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ER-2018-0226 Rate Case To Show Cause\"/>
    </mc:Choice>
  </mc:AlternateContent>
  <bookViews>
    <workbookView xWindow="0" yWindow="0" windowWidth="19425" windowHeight="11025"/>
  </bookViews>
  <sheets>
    <sheet name="Electric" sheetId="1" r:id="rId1"/>
    <sheet name="Ga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P6" i="2"/>
  <c r="T26" i="1"/>
  <c r="T14" i="1"/>
  <c r="T24" i="1"/>
  <c r="T12" i="1"/>
  <c r="T22" i="1"/>
  <c r="T10" i="1"/>
  <c r="T20" i="1"/>
  <c r="T8" i="1"/>
  <c r="T18" i="1"/>
  <c r="T6" i="1"/>
  <c r="T16" i="1"/>
  <c r="T4" i="1"/>
  <c r="D16" i="1" l="1"/>
  <c r="L6" i="2" l="1"/>
  <c r="J6" i="2"/>
  <c r="L4" i="2"/>
  <c r="J4" i="2"/>
  <c r="R4" i="2" l="1"/>
  <c r="T4" i="2" s="1"/>
  <c r="R6" i="2"/>
  <c r="T6" i="2" s="1"/>
  <c r="P26" i="1"/>
  <c r="N26" i="1"/>
  <c r="P24" i="1"/>
  <c r="N24" i="1"/>
  <c r="P22" i="1"/>
  <c r="N22" i="1"/>
  <c r="P20" i="1"/>
  <c r="N20" i="1"/>
  <c r="P18" i="1"/>
  <c r="N18" i="1"/>
  <c r="P16" i="1"/>
  <c r="N16" i="1"/>
  <c r="V22" i="1" l="1"/>
  <c r="X22" i="1" s="1"/>
  <c r="V18" i="1"/>
  <c r="X18" i="1" s="1"/>
  <c r="V26" i="1"/>
  <c r="X26" i="1" s="1"/>
  <c r="V20" i="1"/>
  <c r="X20" i="1" s="1"/>
  <c r="V24" i="1"/>
  <c r="X24" i="1" s="1"/>
  <c r="V16" i="1"/>
  <c r="X16" i="1" s="1"/>
  <c r="P14" i="1"/>
  <c r="N14" i="1"/>
  <c r="P12" i="1"/>
  <c r="N12" i="1"/>
  <c r="P10" i="1"/>
  <c r="N10" i="1"/>
  <c r="P8" i="1"/>
  <c r="N8" i="1"/>
  <c r="P6" i="1"/>
  <c r="N6" i="1"/>
  <c r="V10" i="1" l="1"/>
  <c r="X10" i="1" s="1"/>
  <c r="V8" i="1"/>
  <c r="X8" i="1" s="1"/>
  <c r="V6" i="1"/>
  <c r="X6" i="1" s="1"/>
  <c r="V14" i="1"/>
  <c r="X14" i="1" s="1"/>
  <c r="V12" i="1"/>
  <c r="X12" i="1" s="1"/>
  <c r="P4" i="1"/>
  <c r="N4" i="1"/>
  <c r="V4" i="1" l="1"/>
  <c r="X4" i="1" s="1"/>
</calcChain>
</file>

<file path=xl/sharedStrings.xml><?xml version="1.0" encoding="utf-8"?>
<sst xmlns="http://schemas.openxmlformats.org/spreadsheetml/2006/main" count="45" uniqueCount="29">
  <si>
    <t>AMO Cap Structure - with 9.53% - plug to O&amp;M</t>
  </si>
  <si>
    <t>Revenue Requirement</t>
  </si>
  <si>
    <t>Income Tax Exp at 21%</t>
  </si>
  <si>
    <t>Income Tax Exp at 35%</t>
  </si>
  <si>
    <t>% Increase in Base Rates prior to Tax Rate Chg</t>
  </si>
  <si>
    <t>Rev Req Difference</t>
  </si>
  <si>
    <t>Inc Tax Exp Difference</t>
  </si>
  <si>
    <t>AMO Cap Structure - with 9.7% Order high end of range - plug to O&amp;M</t>
  </si>
  <si>
    <t>AMO Cap Structure - with 9.2% Order high end of range - plug to O&amp;M</t>
  </si>
  <si>
    <t>Adjustments made:</t>
  </si>
  <si>
    <t>Decrease federal tax rate to 21%</t>
  </si>
  <si>
    <t>Remove production deduction</t>
  </si>
  <si>
    <t>% Income Tax Change</t>
  </si>
  <si>
    <t>Total Tax Reform Change</t>
  </si>
  <si>
    <t>Staff's position on Cap Structure - with 9.53% - plug to O&amp;M</t>
  </si>
  <si>
    <t>Staff's position on  Cap Structure - with 9.7% Order high end of range - plug to O&amp;M</t>
  </si>
  <si>
    <t>Staff's position on  Cap Structure - with 9.2% Order high end of range - plug to O&amp;M</t>
  </si>
  <si>
    <t>AMO Cap Structure - with 9.53% - plug to Rate Base and O&amp;M</t>
  </si>
  <si>
    <t>ROE 10.00% ISRS rate per Stip - plug to O&amp;M</t>
  </si>
  <si>
    <t>Staff midpoint 8.60%  - plug to O&amp;M</t>
  </si>
  <si>
    <t>AMO Cap Structure - with 9.7% Order high end of range - plug to Rate Base and O&amp;M</t>
  </si>
  <si>
    <t>AMO Cap Structure - with 9.2% Order high end of range - plug to Rate Base and O&amp;M</t>
  </si>
  <si>
    <t>Staff's position on  Cap Structure - with 9.53% - plug to Rate Base and O&amp;M</t>
  </si>
  <si>
    <t>Staff's position on  Cap Structure - with 9.7% Order high end of range - plug to Rate Base and O&amp;M</t>
  </si>
  <si>
    <t>Staff's position on  Cap Structure - with 9.2% Order high end of range - plug to Rate Base and O&amp;M</t>
  </si>
  <si>
    <t>Amortization of Excess Deferreds</t>
  </si>
  <si>
    <t>Return on change in ADIT</t>
  </si>
  <si>
    <t>Amortization of excess deferred taxes</t>
  </si>
  <si>
    <t>Change of return on rate base due to return of excess deferred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</si>
</sst>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 applyFill="1"/>
    <xf numFmtId="0" fontId="0" fillId="0" borderId="0" xfId="0" applyFill="1"/>
    <xf numFmtId="10" fontId="0" fillId="0" borderId="0" xfId="2" applyNumberFormat="1" applyFont="1" applyFill="1"/>
    <xf numFmtId="164" fontId="0" fillId="0" borderId="0" xfId="1" applyNumberFormat="1" applyFont="1" applyFill="1"/>
    <xf numFmtId="0" fontId="0" fillId="0" borderId="0" xfId="0" applyFill="1" applyAlignment="1">
      <alignment wrapText="1"/>
    </xf>
    <xf numFmtId="164" fontId="0" fillId="2" borderId="0" xfId="0" applyNumberForma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164" fontId="0" fillId="3" borderId="0" xfId="1" applyNumberFormat="1" applyFont="1" applyFill="1"/>
    <xf numFmtId="164" fontId="0" fillId="3" borderId="0" xfId="0" applyNumberFormat="1" applyFill="1"/>
    <xf numFmtId="10" fontId="0" fillId="3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3"/>
  <sheetViews>
    <sheetView tabSelected="1" workbookViewId="0">
      <pane xSplit="1" ySplit="3" topLeftCell="B4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5" x14ac:dyDescent="0.25"/>
  <cols>
    <col min="1" max="1" width="31.42578125" customWidth="1"/>
    <col min="2" max="2" width="15" customWidth="1"/>
    <col min="3" max="3" width="3.7109375" customWidth="1"/>
    <col min="4" max="4" width="12.28515625" customWidth="1"/>
    <col min="5" max="5" width="4.28515625" hidden="1" customWidth="1"/>
    <col min="6" max="6" width="10.5703125" hidden="1" customWidth="1"/>
    <col min="8" max="8" width="14.7109375" customWidth="1"/>
    <col min="9" max="9" width="4" customWidth="1"/>
    <col min="10" max="10" width="12.5703125" customWidth="1"/>
    <col min="11" max="11" width="4" hidden="1" customWidth="1"/>
    <col min="12" max="12" width="13" hidden="1" customWidth="1"/>
    <col min="14" max="14" width="12.28515625" bestFit="1" customWidth="1"/>
    <col min="15" max="15" width="4" customWidth="1"/>
    <col min="16" max="16" width="13.7109375" customWidth="1"/>
    <col min="17" max="17" width="3.140625" customWidth="1"/>
    <col min="18" max="18" width="12.28515625" bestFit="1" customWidth="1"/>
    <col min="19" max="19" width="4.28515625" customWidth="1"/>
    <col min="20" max="20" width="12.28515625" customWidth="1"/>
    <col min="21" max="21" width="5.42578125" customWidth="1"/>
    <col min="22" max="22" width="13.42578125" bestFit="1" customWidth="1"/>
    <col min="23" max="23" width="4.7109375" customWidth="1"/>
  </cols>
  <sheetData>
    <row r="3" spans="1:25" ht="75" x14ac:dyDescent="0.25">
      <c r="B3" s="12" t="s">
        <v>1</v>
      </c>
      <c r="C3" s="12"/>
      <c r="D3" s="12" t="s">
        <v>3</v>
      </c>
      <c r="E3" s="12"/>
      <c r="F3" s="12" t="s">
        <v>4</v>
      </c>
      <c r="G3" s="12"/>
      <c r="H3" s="12" t="s">
        <v>1</v>
      </c>
      <c r="I3" s="12"/>
      <c r="J3" s="12" t="s">
        <v>2</v>
      </c>
      <c r="K3" s="12"/>
      <c r="L3" s="12" t="s">
        <v>4</v>
      </c>
      <c r="M3" s="12"/>
      <c r="N3" s="12" t="s">
        <v>5</v>
      </c>
      <c r="O3" s="13"/>
      <c r="P3" s="12" t="s">
        <v>6</v>
      </c>
      <c r="Q3" s="13"/>
      <c r="R3" s="14" t="s">
        <v>25</v>
      </c>
      <c r="S3" s="14"/>
      <c r="T3" s="14" t="s">
        <v>26</v>
      </c>
      <c r="U3" s="13"/>
      <c r="V3" s="12" t="s">
        <v>13</v>
      </c>
      <c r="W3" s="13"/>
      <c r="X3" s="12" t="s">
        <v>12</v>
      </c>
      <c r="Y3" s="13"/>
    </row>
    <row r="4" spans="1:25" ht="30" x14ac:dyDescent="0.25">
      <c r="A4" s="1" t="s">
        <v>0</v>
      </c>
      <c r="B4" s="9">
        <v>3352799059</v>
      </c>
      <c r="C4" s="7"/>
      <c r="D4" s="9">
        <v>202718834</v>
      </c>
      <c r="E4" s="7"/>
      <c r="F4" s="8">
        <v>3.4799999999999998E-2</v>
      </c>
      <c r="G4" s="7"/>
      <c r="H4" s="9">
        <v>3260745005</v>
      </c>
      <c r="I4" s="7"/>
      <c r="J4" s="9">
        <v>110749142</v>
      </c>
      <c r="K4" s="7"/>
      <c r="L4" s="8">
        <v>0</v>
      </c>
      <c r="M4" s="7"/>
      <c r="N4" s="6">
        <f>H4-B4</f>
        <v>-92054054</v>
      </c>
      <c r="O4" s="7"/>
      <c r="P4" s="6">
        <f>J4-D4</f>
        <v>-91969692</v>
      </c>
      <c r="Q4" s="7"/>
      <c r="R4" s="6">
        <v>-43661899</v>
      </c>
      <c r="S4" s="6"/>
      <c r="T4" s="6">
        <f>33638156*0.07539</f>
        <v>2535980.58084</v>
      </c>
      <c r="V4" s="4">
        <f>P4+R4+T4</f>
        <v>-133095610.41915999</v>
      </c>
      <c r="X4" s="8">
        <f>V4/2737500000</f>
        <v>-4.8619401066359813E-2</v>
      </c>
    </row>
    <row r="5" spans="1:25" x14ac:dyDescent="0.25">
      <c r="B5" s="2"/>
      <c r="D5" s="2"/>
      <c r="F5" s="3"/>
      <c r="H5" s="2"/>
      <c r="J5" s="2"/>
      <c r="L5" s="3"/>
      <c r="N5" s="4"/>
      <c r="P5" s="4"/>
      <c r="T5" s="7"/>
      <c r="X5" s="3"/>
    </row>
    <row r="6" spans="1:25" ht="45" x14ac:dyDescent="0.25">
      <c r="A6" s="1" t="s">
        <v>7</v>
      </c>
      <c r="B6" s="2">
        <v>3352799059</v>
      </c>
      <c r="D6" s="2">
        <v>206301978</v>
      </c>
      <c r="F6" s="3">
        <v>3.4799999999999998E-2</v>
      </c>
      <c r="H6" s="2">
        <v>3259331982</v>
      </c>
      <c r="J6" s="2">
        <v>112921544</v>
      </c>
      <c r="L6" s="3">
        <v>-5.9999999999999995E-4</v>
      </c>
      <c r="N6" s="6">
        <f>H6-B6</f>
        <v>-93467077</v>
      </c>
      <c r="O6" s="7"/>
      <c r="P6" s="6">
        <f>J6-D6</f>
        <v>-93380434</v>
      </c>
      <c r="Q6" s="7"/>
      <c r="R6" s="6">
        <v>-43661899</v>
      </c>
      <c r="S6" s="6"/>
      <c r="T6" s="6">
        <f>33638156*0.07627</f>
        <v>2565582.1581200003</v>
      </c>
      <c r="V6" s="11">
        <f>P6+R6+T6</f>
        <v>-134476750.84187999</v>
      </c>
      <c r="X6" s="8">
        <f>V6/2737500000</f>
        <v>-4.9123927248175339E-2</v>
      </c>
    </row>
    <row r="7" spans="1:25" x14ac:dyDescent="0.25">
      <c r="B7" s="2"/>
      <c r="D7" s="2"/>
      <c r="F7" s="3"/>
      <c r="H7" s="2"/>
      <c r="J7" s="2"/>
      <c r="L7" s="3"/>
      <c r="N7" s="4"/>
      <c r="P7" s="4"/>
      <c r="T7" s="7"/>
      <c r="X7" s="3"/>
    </row>
    <row r="8" spans="1:25" ht="45" x14ac:dyDescent="0.25">
      <c r="A8" s="1" t="s">
        <v>8</v>
      </c>
      <c r="B8" s="2">
        <v>3352799059</v>
      </c>
      <c r="D8" s="2">
        <v>195755789</v>
      </c>
      <c r="F8" s="3">
        <v>3.4799999999999998E-2</v>
      </c>
      <c r="H8" s="2">
        <v>3263490879</v>
      </c>
      <c r="J8" s="2">
        <v>106527552</v>
      </c>
      <c r="L8" s="3">
        <v>1E-3</v>
      </c>
      <c r="N8" s="6">
        <f>H8-B8</f>
        <v>-89308180</v>
      </c>
      <c r="O8" s="7"/>
      <c r="P8" s="6">
        <f>J8-D8</f>
        <v>-89228237</v>
      </c>
      <c r="Q8" s="7"/>
      <c r="R8" s="6">
        <v>-43661899</v>
      </c>
      <c r="S8" s="6"/>
      <c r="T8" s="6">
        <f>33638156*0.07368</f>
        <v>2478459.3340799999</v>
      </c>
      <c r="V8" s="4">
        <f>P8+R8+T8</f>
        <v>-130411676.66592</v>
      </c>
      <c r="X8" s="8">
        <f>V8/2737500000</f>
        <v>-4.7638968645084934E-2</v>
      </c>
    </row>
    <row r="9" spans="1:25" x14ac:dyDescent="0.25">
      <c r="B9" s="2"/>
      <c r="D9" s="2"/>
      <c r="F9" s="3"/>
      <c r="H9" s="2"/>
      <c r="J9" s="2"/>
      <c r="L9" s="3"/>
      <c r="N9" s="4"/>
      <c r="P9" s="4"/>
      <c r="T9" s="7"/>
      <c r="X9" s="3"/>
    </row>
    <row r="10" spans="1:25" ht="30" x14ac:dyDescent="0.25">
      <c r="A10" s="1" t="s">
        <v>14</v>
      </c>
      <c r="B10" s="2">
        <v>3352799059</v>
      </c>
      <c r="D10" s="2">
        <v>197598700</v>
      </c>
      <c r="F10" s="3">
        <v>3.4799999999999998E-2</v>
      </c>
      <c r="H10" s="2">
        <v>3262795921</v>
      </c>
      <c r="J10" s="2">
        <v>107677402</v>
      </c>
      <c r="L10" s="3">
        <v>8.0000000000000004E-4</v>
      </c>
      <c r="N10" s="6">
        <f>H10-B10</f>
        <v>-90003138</v>
      </c>
      <c r="O10" s="7"/>
      <c r="P10" s="6">
        <f>J10-D10</f>
        <v>-89921298</v>
      </c>
      <c r="Q10" s="7"/>
      <c r="R10" s="6">
        <v>-43661899</v>
      </c>
      <c r="S10" s="6"/>
      <c r="T10" s="6">
        <f>33638156*0.07474</f>
        <v>2514115.7794400002</v>
      </c>
      <c r="V10" s="4">
        <f>P10+R10+T10</f>
        <v>-131069081.22056</v>
      </c>
      <c r="X10" s="8">
        <f>V10/2737500000</f>
        <v>-4.7879116427601828E-2</v>
      </c>
    </row>
    <row r="11" spans="1:25" x14ac:dyDescent="0.25">
      <c r="B11" s="2"/>
      <c r="D11" s="2"/>
      <c r="F11" s="3"/>
      <c r="H11" s="2"/>
      <c r="J11" s="2"/>
      <c r="L11" s="3"/>
      <c r="N11" s="4"/>
      <c r="P11" s="4"/>
      <c r="T11" s="7"/>
      <c r="X11" s="3"/>
    </row>
    <row r="12" spans="1:25" ht="45" x14ac:dyDescent="0.25">
      <c r="A12" s="1" t="s">
        <v>15</v>
      </c>
      <c r="B12" s="2">
        <v>3352799059</v>
      </c>
      <c r="D12" s="2">
        <v>201100251</v>
      </c>
      <c r="F12" s="3">
        <v>3.4799999999999998E-2</v>
      </c>
      <c r="H12" s="2">
        <v>3261415175</v>
      </c>
      <c r="J12" s="2">
        <v>109800352</v>
      </c>
      <c r="L12" s="3">
        <v>2.0000000000000001E-4</v>
      </c>
      <c r="N12" s="6">
        <f>H12-B12</f>
        <v>-91383884</v>
      </c>
      <c r="O12" s="7"/>
      <c r="P12" s="6">
        <f>J12-D12</f>
        <v>-91299899</v>
      </c>
      <c r="Q12" s="7"/>
      <c r="R12" s="6">
        <v>-43661899</v>
      </c>
      <c r="S12" s="6"/>
      <c r="T12" s="6">
        <f>33638156*0.0756</f>
        <v>2543044.5935999998</v>
      </c>
      <c r="V12" s="4">
        <f>P12+R12+T12</f>
        <v>-132418753.4064</v>
      </c>
      <c r="X12" s="8">
        <f>V12/2737500000</f>
        <v>-4.8372147363068489E-2</v>
      </c>
    </row>
    <row r="13" spans="1:25" x14ac:dyDescent="0.25">
      <c r="B13" s="2"/>
      <c r="D13" s="2"/>
      <c r="F13" s="3"/>
      <c r="H13" s="2"/>
      <c r="J13" s="2"/>
      <c r="L13" s="3"/>
      <c r="N13" s="4"/>
      <c r="P13" s="4"/>
      <c r="T13" s="7"/>
      <c r="X13" s="3"/>
    </row>
    <row r="14" spans="1:25" ht="45" x14ac:dyDescent="0.25">
      <c r="A14" s="1" t="s">
        <v>16</v>
      </c>
      <c r="B14" s="2">
        <v>3352799059</v>
      </c>
      <c r="D14" s="2">
        <v>190839506</v>
      </c>
      <c r="F14" s="3">
        <v>3.4799999999999998E-2</v>
      </c>
      <c r="H14" s="2">
        <v>3265461407</v>
      </c>
      <c r="J14" s="2">
        <v>103579392</v>
      </c>
      <c r="L14" s="3">
        <v>1.8E-3</v>
      </c>
      <c r="N14" s="6">
        <f>H14-B14</f>
        <v>-87337652</v>
      </c>
      <c r="O14" s="7"/>
      <c r="P14" s="6">
        <f>J14-D14</f>
        <v>-87260114</v>
      </c>
      <c r="Q14" s="7"/>
      <c r="R14" s="6">
        <v>-43661899</v>
      </c>
      <c r="S14" s="6"/>
      <c r="T14" s="6">
        <f>33638156*0.07308</f>
        <v>2458276.4404800003</v>
      </c>
      <c r="V14" s="4">
        <f>P14+R14+T14</f>
        <v>-128463736.55952001</v>
      </c>
      <c r="X14" s="8">
        <f>V14/2737500000</f>
        <v>-4.6927392350509592E-2</v>
      </c>
    </row>
    <row r="15" spans="1:25" x14ac:dyDescent="0.25">
      <c r="B15" s="2"/>
      <c r="D15" s="2"/>
      <c r="F15" s="3"/>
      <c r="H15" s="2"/>
      <c r="J15" s="2"/>
      <c r="L15" s="3"/>
      <c r="N15" s="4"/>
      <c r="P15" s="4"/>
      <c r="T15" s="7"/>
    </row>
    <row r="16" spans="1:25" ht="30" x14ac:dyDescent="0.25">
      <c r="A16" s="10" t="s">
        <v>17</v>
      </c>
      <c r="B16" s="9">
        <v>3352799059</v>
      </c>
      <c r="C16" s="7"/>
      <c r="D16" s="15">
        <f>202718834*0+202245460</f>
        <v>202245460</v>
      </c>
      <c r="E16" s="7"/>
      <c r="F16" s="8">
        <v>3.4799999999999998E-2</v>
      </c>
      <c r="G16" s="7"/>
      <c r="H16" s="9">
        <v>3261032822</v>
      </c>
      <c r="I16" s="7"/>
      <c r="J16" s="9">
        <v>110479223</v>
      </c>
      <c r="K16" s="7"/>
      <c r="L16" s="8">
        <v>1E-4</v>
      </c>
      <c r="M16" s="7"/>
      <c r="N16" s="6">
        <f>H16-B16</f>
        <v>-91766237</v>
      </c>
      <c r="O16" s="7"/>
      <c r="P16" s="16">
        <f>J16-D16</f>
        <v>-91766237</v>
      </c>
      <c r="Q16" s="7"/>
      <c r="R16" s="6">
        <v>-43661899</v>
      </c>
      <c r="S16" s="6"/>
      <c r="T16" s="6">
        <f>33638156*0.07539</f>
        <v>2535980.58084</v>
      </c>
      <c r="U16" s="7"/>
      <c r="V16" s="4">
        <f>P16+R16+T16</f>
        <v>-132892155.41915999</v>
      </c>
      <c r="W16" s="7"/>
      <c r="X16" s="17">
        <f>V16/2737500000</f>
        <v>-4.8545079605172597E-2</v>
      </c>
    </row>
    <row r="17" spans="1:25" s="7" customFormat="1" x14ac:dyDescent="0.25">
      <c r="B17" s="9"/>
      <c r="D17" s="9"/>
      <c r="F17" s="8"/>
      <c r="H17" s="9"/>
      <c r="J17" s="9"/>
      <c r="L17" s="8"/>
      <c r="N17" s="6"/>
      <c r="P17" s="6"/>
      <c r="X17" s="8"/>
    </row>
    <row r="18" spans="1:25" ht="45" x14ac:dyDescent="0.25">
      <c r="A18" s="10" t="s">
        <v>20</v>
      </c>
      <c r="B18" s="9">
        <v>3352799059</v>
      </c>
      <c r="C18" s="7"/>
      <c r="D18" s="9">
        <v>205893628</v>
      </c>
      <c r="E18" s="7"/>
      <c r="F18" s="8">
        <v>3.4799999999999998E-2</v>
      </c>
      <c r="G18" s="7"/>
      <c r="H18" s="9">
        <v>3259491246</v>
      </c>
      <c r="I18" s="7"/>
      <c r="J18" s="9">
        <v>112672457</v>
      </c>
      <c r="K18" s="7"/>
      <c r="L18" s="8">
        <v>-5.0000000000000001E-4</v>
      </c>
      <c r="M18" s="7"/>
      <c r="N18" s="6">
        <f>H18-B18</f>
        <v>-93307813</v>
      </c>
      <c r="O18" s="7"/>
      <c r="P18" s="6">
        <f>J18-D18</f>
        <v>-93221171</v>
      </c>
      <c r="Q18" s="7"/>
      <c r="R18" s="6">
        <v>-43661899</v>
      </c>
      <c r="S18" s="6"/>
      <c r="T18" s="6">
        <f>33638156*0.07627</f>
        <v>2565582.1581200003</v>
      </c>
      <c r="U18" s="7"/>
      <c r="V18" s="4">
        <f>P18+R18+T18</f>
        <v>-134317487.84187999</v>
      </c>
      <c r="W18" s="7"/>
      <c r="X18" s="8">
        <f>V18/2737500000</f>
        <v>-4.9065748983335156E-2</v>
      </c>
    </row>
    <row r="19" spans="1:25" s="7" customFormat="1" x14ac:dyDescent="0.25">
      <c r="B19" s="9"/>
      <c r="D19" s="9"/>
      <c r="F19" s="8"/>
      <c r="H19" s="9"/>
      <c r="J19" s="9"/>
      <c r="L19" s="8"/>
      <c r="N19" s="6"/>
      <c r="P19" s="6"/>
      <c r="X19" s="8"/>
    </row>
    <row r="20" spans="1:25" ht="45" x14ac:dyDescent="0.25">
      <c r="A20" s="10" t="s">
        <v>21</v>
      </c>
      <c r="B20" s="9">
        <v>3352799059</v>
      </c>
      <c r="C20" s="7"/>
      <c r="D20" s="9">
        <v>195368368</v>
      </c>
      <c r="E20" s="7"/>
      <c r="F20" s="8">
        <v>3.4799999999999998E-2</v>
      </c>
      <c r="G20" s="7"/>
      <c r="H20" s="9">
        <v>3263642085</v>
      </c>
      <c r="I20" s="7"/>
      <c r="J20" s="9">
        <v>106291189</v>
      </c>
      <c r="K20" s="7"/>
      <c r="L20" s="8">
        <v>1.1000000000000001E-3</v>
      </c>
      <c r="M20" s="7"/>
      <c r="N20" s="6">
        <f>H20-B20</f>
        <v>-89156974</v>
      </c>
      <c r="O20" s="7"/>
      <c r="P20" s="6">
        <f>J20-D20</f>
        <v>-89077179</v>
      </c>
      <c r="Q20" s="7"/>
      <c r="R20" s="6">
        <v>-43661899</v>
      </c>
      <c r="S20" s="6"/>
      <c r="T20" s="6">
        <f>33638156*0.07368</f>
        <v>2478459.3340799999</v>
      </c>
      <c r="U20" s="7"/>
      <c r="V20" s="4">
        <f>P20+R20+T20</f>
        <v>-130260618.66592</v>
      </c>
      <c r="W20" s="7"/>
      <c r="X20" s="8">
        <f>V20/2737500000</f>
        <v>-4.7583787640518724E-2</v>
      </c>
    </row>
    <row r="21" spans="1:25" s="7" customFormat="1" x14ac:dyDescent="0.25">
      <c r="B21" s="9"/>
      <c r="D21" s="9"/>
      <c r="F21" s="8"/>
      <c r="H21" s="9"/>
      <c r="J21" s="9"/>
      <c r="L21" s="8"/>
      <c r="N21" s="6"/>
      <c r="P21" s="6"/>
      <c r="X21" s="8"/>
    </row>
    <row r="22" spans="1:25" ht="45" x14ac:dyDescent="0.25">
      <c r="A22" s="10" t="s">
        <v>22</v>
      </c>
      <c r="B22" s="9">
        <v>3352799059</v>
      </c>
      <c r="C22" s="7"/>
      <c r="D22" s="9">
        <v>197207563</v>
      </c>
      <c r="E22" s="7"/>
      <c r="F22" s="8">
        <v>3.4799999999999998E-2</v>
      </c>
      <c r="G22" s="7"/>
      <c r="H22" s="9">
        <v>3262948741</v>
      </c>
      <c r="I22" s="7"/>
      <c r="J22" s="9">
        <v>107438786</v>
      </c>
      <c r="K22" s="7"/>
      <c r="L22" s="8">
        <v>8.0000000000000004E-4</v>
      </c>
      <c r="M22" s="7"/>
      <c r="N22" s="6">
        <f>H22-B22</f>
        <v>-89850318</v>
      </c>
      <c r="O22" s="7"/>
      <c r="P22" s="6">
        <f>J22-D22</f>
        <v>-89768777</v>
      </c>
      <c r="Q22" s="7"/>
      <c r="R22" s="6">
        <v>-43661899</v>
      </c>
      <c r="S22" s="6"/>
      <c r="T22" s="6">
        <f>33638156*0.07474</f>
        <v>2514115.7794400002</v>
      </c>
      <c r="U22" s="7"/>
      <c r="V22" s="4">
        <f>P22+R22+T22</f>
        <v>-130916560.22056</v>
      </c>
      <c r="W22" s="7"/>
      <c r="X22" s="8">
        <f>V22/2737500000</f>
        <v>-4.7823400993811875E-2</v>
      </c>
    </row>
    <row r="23" spans="1:25" s="7" customFormat="1" x14ac:dyDescent="0.25">
      <c r="B23" s="9"/>
      <c r="D23" s="9"/>
      <c r="F23" s="8"/>
      <c r="H23" s="9"/>
      <c r="J23" s="9"/>
      <c r="L23" s="8"/>
      <c r="N23" s="6"/>
      <c r="P23" s="6"/>
      <c r="X23" s="8"/>
    </row>
    <row r="24" spans="1:25" ht="60" x14ac:dyDescent="0.25">
      <c r="A24" s="10" t="s">
        <v>23</v>
      </c>
      <c r="B24" s="9">
        <v>3352799059</v>
      </c>
      <c r="C24" s="7"/>
      <c r="D24" s="9">
        <v>200702209</v>
      </c>
      <c r="E24" s="7"/>
      <c r="F24" s="8">
        <v>3.4799999999999998E-2</v>
      </c>
      <c r="G24" s="7"/>
      <c r="H24" s="9">
        <v>3261570440</v>
      </c>
      <c r="I24" s="7"/>
      <c r="J24" s="9">
        <v>109557506</v>
      </c>
      <c r="K24" s="7"/>
      <c r="L24" s="8">
        <v>2.9999999999999997E-4</v>
      </c>
      <c r="M24" s="7"/>
      <c r="N24" s="6">
        <f>H24-B24</f>
        <v>-91228619</v>
      </c>
      <c r="O24" s="7"/>
      <c r="P24" s="6">
        <f>J24-D24</f>
        <v>-91144703</v>
      </c>
      <c r="Q24" s="7"/>
      <c r="R24" s="6">
        <v>-43661899</v>
      </c>
      <c r="S24" s="6"/>
      <c r="T24" s="6">
        <f>33638156*0.0756</f>
        <v>2543044.5935999998</v>
      </c>
      <c r="U24" s="7"/>
      <c r="V24" s="4">
        <f>P24+R24+T24</f>
        <v>-132263557.4064</v>
      </c>
      <c r="W24" s="7"/>
      <c r="X24" s="8">
        <f>V24/2737500000</f>
        <v>-4.8315454760328766E-2</v>
      </c>
    </row>
    <row r="25" spans="1:25" s="7" customFormat="1" x14ac:dyDescent="0.25">
      <c r="B25" s="9"/>
      <c r="D25" s="9"/>
      <c r="F25" s="8"/>
      <c r="H25" s="9"/>
      <c r="J25" s="9"/>
      <c r="L25" s="8"/>
      <c r="N25" s="6"/>
      <c r="P25" s="6"/>
      <c r="X25" s="8"/>
    </row>
    <row r="26" spans="1:25" ht="60" x14ac:dyDescent="0.25">
      <c r="A26" s="10" t="s">
        <v>24</v>
      </c>
      <c r="B26" s="9">
        <v>3352799059</v>
      </c>
      <c r="C26" s="7"/>
      <c r="D26" s="9">
        <v>190461825</v>
      </c>
      <c r="E26" s="7"/>
      <c r="F26" s="8">
        <v>3.4799999999999998E-2</v>
      </c>
      <c r="G26" s="7"/>
      <c r="H26" s="9">
        <v>3265608745</v>
      </c>
      <c r="I26" s="7"/>
      <c r="J26" s="9">
        <v>103348903</v>
      </c>
      <c r="K26" s="7"/>
      <c r="L26" s="8">
        <v>1.8E-3</v>
      </c>
      <c r="M26" s="7"/>
      <c r="N26" s="6">
        <f>H26-B26</f>
        <v>-87190314</v>
      </c>
      <c r="O26" s="7"/>
      <c r="P26" s="6">
        <f>J26-D26</f>
        <v>-87112922</v>
      </c>
      <c r="Q26" s="7"/>
      <c r="R26" s="6">
        <v>-43661899</v>
      </c>
      <c r="S26" s="6"/>
      <c r="T26" s="6">
        <f>33638156*0.07308</f>
        <v>2458276.4404800003</v>
      </c>
      <c r="U26" s="7"/>
      <c r="V26" s="11">
        <f>P26+R26+T26</f>
        <v>-128316544.55952001</v>
      </c>
      <c r="W26" s="7"/>
      <c r="X26" s="8">
        <f>V26/2737500000</f>
        <v>-4.6873623583386301E-2</v>
      </c>
      <c r="Y26" s="7"/>
    </row>
    <row r="27" spans="1:25" x14ac:dyDescent="0.25">
      <c r="B27" s="2"/>
      <c r="D27" s="2"/>
      <c r="F27" s="3"/>
      <c r="H27" s="2"/>
      <c r="J27" s="2"/>
      <c r="L27" s="3"/>
      <c r="N27" s="4"/>
      <c r="P27" s="4"/>
    </row>
    <row r="28" spans="1:25" x14ac:dyDescent="0.25">
      <c r="B28" s="2"/>
      <c r="D28" s="2"/>
      <c r="F28" s="3"/>
      <c r="H28" s="2"/>
      <c r="J28" s="2"/>
      <c r="L28" s="3"/>
      <c r="N28" s="4"/>
      <c r="P28" s="4"/>
    </row>
    <row r="29" spans="1:25" x14ac:dyDescent="0.25">
      <c r="A29" t="s">
        <v>9</v>
      </c>
      <c r="B29" s="2"/>
    </row>
    <row r="30" spans="1:25" x14ac:dyDescent="0.25">
      <c r="A30" s="5" t="s">
        <v>10</v>
      </c>
    </row>
    <row r="31" spans="1:25" x14ac:dyDescent="0.25">
      <c r="A31" s="5" t="s">
        <v>11</v>
      </c>
    </row>
    <row r="32" spans="1:25" x14ac:dyDescent="0.25">
      <c r="A32" s="5" t="s">
        <v>27</v>
      </c>
    </row>
    <row r="33" spans="1:1" x14ac:dyDescent="0.25">
      <c r="A33" s="5" t="s">
        <v>28</v>
      </c>
    </row>
  </sheetData>
  <pageMargins left="0.2" right="0.2" top="0.25" bottom="0.2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3"/>
  <sheetViews>
    <sheetView workbookViewId="0">
      <pane xSplit="1" ySplit="3" topLeftCell="B4" activePane="bottomRight" state="frozen"/>
      <selection activeCell="V6" sqref="V6"/>
      <selection pane="topRight" activeCell="V6" sqref="V6"/>
      <selection pane="bottomLeft" activeCell="V6" sqref="V6"/>
      <selection pane="bottomRight" activeCell="B19" sqref="B19"/>
    </sheetView>
  </sheetViews>
  <sheetFormatPr defaultRowHeight="15" x14ac:dyDescent="0.25"/>
  <cols>
    <col min="1" max="1" width="31.42578125" customWidth="1"/>
    <col min="2" max="2" width="15" customWidth="1"/>
    <col min="3" max="3" width="3.7109375" customWidth="1"/>
    <col min="4" max="4" width="12.28515625" customWidth="1"/>
    <col min="6" max="6" width="14.7109375" customWidth="1"/>
    <col min="7" max="7" width="4" customWidth="1"/>
    <col min="8" max="8" width="12.5703125" customWidth="1"/>
    <col min="10" max="10" width="12.28515625" bestFit="1" customWidth="1"/>
    <col min="11" max="11" width="4" customWidth="1"/>
    <col min="12" max="12" width="13.7109375" customWidth="1"/>
    <col min="13" max="13" width="3.140625" customWidth="1"/>
    <col min="14" max="14" width="12.28515625" bestFit="1" customWidth="1"/>
    <col min="15" max="15" width="4.140625" customWidth="1"/>
    <col min="16" max="16" width="12.28515625" customWidth="1"/>
    <col min="17" max="17" width="5.42578125" customWidth="1"/>
    <col min="18" max="18" width="13.42578125" bestFit="1" customWidth="1"/>
  </cols>
  <sheetData>
    <row r="3" spans="1:20" ht="60" x14ac:dyDescent="0.25">
      <c r="B3" s="1" t="s">
        <v>1</v>
      </c>
      <c r="C3" s="1"/>
      <c r="D3" s="1" t="s">
        <v>3</v>
      </c>
      <c r="E3" s="1"/>
      <c r="F3" s="1" t="s">
        <v>1</v>
      </c>
      <c r="G3" s="1"/>
      <c r="H3" s="1" t="s">
        <v>2</v>
      </c>
      <c r="I3" s="1"/>
      <c r="J3" s="1" t="s">
        <v>5</v>
      </c>
      <c r="L3" s="1" t="s">
        <v>6</v>
      </c>
      <c r="N3" s="14" t="s">
        <v>25</v>
      </c>
      <c r="O3" s="14"/>
      <c r="P3" s="14" t="s">
        <v>26</v>
      </c>
      <c r="R3" s="1" t="s">
        <v>13</v>
      </c>
      <c r="T3" s="1" t="s">
        <v>12</v>
      </c>
    </row>
    <row r="4" spans="1:20" ht="30" x14ac:dyDescent="0.25">
      <c r="A4" s="10" t="s">
        <v>18</v>
      </c>
      <c r="B4" s="9">
        <v>73210550</v>
      </c>
      <c r="C4" s="7"/>
      <c r="D4" s="9">
        <v>6525911</v>
      </c>
      <c r="E4" s="7"/>
      <c r="F4" s="9">
        <v>70116878</v>
      </c>
      <c r="G4" s="7"/>
      <c r="H4" s="9">
        <v>3662438</v>
      </c>
      <c r="I4" s="7"/>
      <c r="J4" s="6">
        <f>F4-B4</f>
        <v>-3093672</v>
      </c>
      <c r="K4" s="7"/>
      <c r="L4" s="6">
        <f>H4-D4</f>
        <v>-2863473</v>
      </c>
      <c r="M4" s="7"/>
      <c r="N4" s="6">
        <v>-1085079</v>
      </c>
      <c r="O4" s="6"/>
      <c r="P4" s="6">
        <f>821047*0.08057</f>
        <v>66151.756789999999</v>
      </c>
      <c r="Q4" s="7"/>
      <c r="R4" s="6">
        <f>L4+N4+P4</f>
        <v>-3882400.24321</v>
      </c>
      <c r="S4" s="7"/>
      <c r="T4" s="8">
        <f>R4/72300000</f>
        <v>-5.3698481925449515E-2</v>
      </c>
    </row>
    <row r="5" spans="1:20" s="7" customFormat="1" x14ac:dyDescent="0.25">
      <c r="B5" s="9"/>
      <c r="D5" s="9"/>
      <c r="F5" s="9"/>
      <c r="H5" s="9"/>
      <c r="J5" s="6"/>
      <c r="L5" s="6"/>
      <c r="T5" s="8"/>
    </row>
    <row r="6" spans="1:20" ht="30" x14ac:dyDescent="0.25">
      <c r="A6" s="10" t="s">
        <v>19</v>
      </c>
      <c r="B6" s="9">
        <v>73210550</v>
      </c>
      <c r="C6" s="7"/>
      <c r="D6" s="9">
        <v>5746787</v>
      </c>
      <c r="E6" s="7"/>
      <c r="F6" s="9">
        <v>70572691</v>
      </c>
      <c r="G6" s="7"/>
      <c r="H6" s="9">
        <v>3108928</v>
      </c>
      <c r="I6" s="7"/>
      <c r="J6" s="6">
        <f>F6-B6</f>
        <v>-2637859</v>
      </c>
      <c r="K6" s="7"/>
      <c r="L6" s="6">
        <f>H6-D6</f>
        <v>-2637859</v>
      </c>
      <c r="M6" s="7"/>
      <c r="N6" s="6">
        <v>-1085079</v>
      </c>
      <c r="O6" s="6"/>
      <c r="P6" s="6">
        <f>821047*0.07316</f>
        <v>60067.798520000004</v>
      </c>
      <c r="Q6" s="7"/>
      <c r="R6" s="6">
        <f>L6+N6+P6</f>
        <v>-3662870.2014799998</v>
      </c>
      <c r="S6" s="7"/>
      <c r="T6" s="8">
        <f>R6/72300000</f>
        <v>-5.0662105138035957E-2</v>
      </c>
    </row>
    <row r="7" spans="1:20" s="7" customFormat="1" x14ac:dyDescent="0.25">
      <c r="B7" s="9"/>
      <c r="D7" s="9"/>
      <c r="F7" s="9"/>
      <c r="H7" s="9"/>
      <c r="J7" s="6"/>
      <c r="L7" s="6"/>
      <c r="T7" s="8"/>
    </row>
    <row r="8" spans="1:20" x14ac:dyDescent="0.25">
      <c r="B8" s="2"/>
      <c r="D8" s="2"/>
      <c r="F8" s="2"/>
      <c r="H8" s="2"/>
      <c r="J8" s="4"/>
      <c r="L8" s="4"/>
    </row>
    <row r="9" spans="1:20" x14ac:dyDescent="0.25">
      <c r="B9" s="2"/>
      <c r="D9" s="2"/>
      <c r="F9" s="2"/>
      <c r="H9" s="2"/>
      <c r="J9" s="4"/>
      <c r="L9" s="4"/>
    </row>
    <row r="10" spans="1:20" x14ac:dyDescent="0.25">
      <c r="A10" t="s">
        <v>9</v>
      </c>
      <c r="B10" s="2"/>
    </row>
    <row r="11" spans="1:20" x14ac:dyDescent="0.25">
      <c r="A11" s="5" t="s">
        <v>10</v>
      </c>
    </row>
    <row r="12" spans="1:20" x14ac:dyDescent="0.25">
      <c r="A12" s="5" t="s">
        <v>27</v>
      </c>
    </row>
    <row r="13" spans="1:20" x14ac:dyDescent="0.25">
      <c r="A13" s="5" t="s">
        <v>28</v>
      </c>
    </row>
  </sheetData>
  <pageMargins left="0.2" right="0.2" top="0.25" bottom="0.2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</vt:lpstr>
      <vt:lpstr>Gas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Laura M</dc:creator>
  <cp:lastModifiedBy>Dehne, Cathleen A</cp:lastModifiedBy>
  <cp:lastPrinted>2018-03-26T19:29:54Z</cp:lastPrinted>
  <dcterms:created xsi:type="dcterms:W3CDTF">2018-03-01T19:35:11Z</dcterms:created>
  <dcterms:modified xsi:type="dcterms:W3CDTF">2018-03-26T19:43:44Z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