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ndrew\Dropbox\POLICY\EPA CAA 111(d)\Missouri\"/>
    </mc:Choice>
  </mc:AlternateContent>
  <bookViews>
    <workbookView xWindow="0" yWindow="0" windowWidth="20400" windowHeight="7755" tabRatio="500"/>
  </bookViews>
  <sheets>
    <sheet name="Calculations" sheetId="1" r:id="rId1"/>
  </sheet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8" i="1" l="1"/>
  <c r="E16" i="1"/>
  <c r="E17" i="1"/>
  <c r="G17" i="1"/>
  <c r="G16" i="1"/>
  <c r="I17" i="1"/>
  <c r="I16" i="1"/>
  <c r="I54" i="1"/>
  <c r="I15" i="1"/>
  <c r="I55" i="1"/>
  <c r="I56" i="1"/>
  <c r="I10" i="1"/>
  <c r="I36" i="1"/>
  <c r="E36" i="1"/>
  <c r="I57" i="1"/>
  <c r="I37" i="1"/>
  <c r="I44" i="1"/>
  <c r="I45" i="1"/>
  <c r="I58" i="1"/>
  <c r="I59" i="1"/>
  <c r="H17" i="1"/>
  <c r="H16" i="1"/>
  <c r="H54" i="1"/>
  <c r="H15" i="1"/>
  <c r="H55" i="1"/>
  <c r="H56" i="1"/>
  <c r="H10" i="1"/>
  <c r="H36" i="1"/>
  <c r="H57" i="1"/>
  <c r="H37" i="1"/>
  <c r="H44" i="1"/>
  <c r="H45" i="1"/>
  <c r="H58" i="1"/>
  <c r="H59" i="1"/>
  <c r="G54" i="1"/>
  <c r="G11" i="1"/>
  <c r="G15" i="1"/>
  <c r="G10" i="1"/>
  <c r="G36" i="1"/>
  <c r="G57" i="1"/>
  <c r="G44" i="1"/>
  <c r="G37" i="1"/>
  <c r="G45" i="1"/>
  <c r="G58" i="1"/>
  <c r="G55" i="1"/>
  <c r="G56" i="1"/>
  <c r="G59" i="1"/>
  <c r="F16" i="1"/>
  <c r="F54" i="1"/>
  <c r="N20" i="1"/>
  <c r="F15" i="1"/>
  <c r="F55" i="1"/>
  <c r="F11" i="1"/>
  <c r="F56" i="1"/>
  <c r="F17" i="1"/>
  <c r="F10" i="1"/>
  <c r="F36" i="1"/>
  <c r="F57" i="1"/>
  <c r="F37" i="1"/>
  <c r="F44" i="1"/>
  <c r="F45" i="1"/>
  <c r="F58" i="1"/>
  <c r="F59" i="1"/>
  <c r="E37" i="1"/>
  <c r="E43" i="1"/>
  <c r="F40" i="1"/>
  <c r="G40" i="1"/>
  <c r="H40" i="1"/>
  <c r="I40" i="1"/>
  <c r="E40" i="1"/>
  <c r="I64" i="1"/>
  <c r="I65" i="1"/>
  <c r="I66" i="1"/>
  <c r="I67" i="1"/>
  <c r="I63" i="1"/>
  <c r="I68" i="1"/>
  <c r="H64" i="1"/>
  <c r="H65" i="1"/>
  <c r="H66" i="1"/>
  <c r="H67" i="1"/>
  <c r="H63" i="1"/>
  <c r="H68" i="1"/>
  <c r="G64" i="1"/>
  <c r="G65" i="1"/>
  <c r="G66" i="1"/>
  <c r="G67" i="1"/>
  <c r="G63" i="1"/>
  <c r="G68" i="1"/>
  <c r="I30" i="1"/>
  <c r="E44" i="1"/>
  <c r="E45" i="1"/>
  <c r="I49" i="1"/>
  <c r="H49" i="1"/>
  <c r="G49" i="1"/>
  <c r="F49" i="1"/>
  <c r="I43" i="1"/>
  <c r="I48" i="1"/>
  <c r="H43" i="1"/>
  <c r="H48" i="1"/>
  <c r="G43" i="1"/>
  <c r="G48" i="1"/>
  <c r="F43" i="1"/>
  <c r="F48" i="1"/>
  <c r="I47" i="1"/>
  <c r="H47" i="1"/>
  <c r="G47" i="1"/>
  <c r="F47" i="1"/>
  <c r="F26" i="1"/>
  <c r="F27" i="1"/>
  <c r="F28" i="1"/>
  <c r="F29" i="1"/>
  <c r="F30" i="1"/>
  <c r="F31" i="1"/>
  <c r="F25" i="1"/>
  <c r="F32" i="1"/>
  <c r="G26" i="1"/>
  <c r="G27" i="1"/>
  <c r="G28" i="1"/>
  <c r="G29" i="1"/>
  <c r="G30" i="1"/>
  <c r="G31" i="1"/>
  <c r="G25" i="1"/>
  <c r="G32" i="1"/>
  <c r="H26" i="1"/>
  <c r="H27" i="1"/>
  <c r="H28" i="1"/>
  <c r="H29" i="1"/>
  <c r="H30" i="1"/>
  <c r="H31" i="1"/>
  <c r="H25" i="1"/>
  <c r="H32" i="1"/>
  <c r="I26" i="1"/>
  <c r="I27" i="1"/>
  <c r="I28" i="1"/>
  <c r="I29" i="1"/>
  <c r="I31" i="1"/>
  <c r="I25" i="1"/>
  <c r="I32" i="1"/>
  <c r="E26" i="1"/>
  <c r="E27" i="1"/>
  <c r="E28" i="1"/>
  <c r="E29" i="1"/>
  <c r="E30" i="1"/>
  <c r="E31" i="1"/>
  <c r="E25" i="1"/>
  <c r="E32" i="1"/>
</calcChain>
</file>

<file path=xl/sharedStrings.xml><?xml version="1.0" encoding="utf-8"?>
<sst xmlns="http://schemas.openxmlformats.org/spreadsheetml/2006/main" count="189" uniqueCount="114">
  <si>
    <t>MEEIA cumulative target by 2020 (of 2012 generation)</t>
    <phoneticPr fontId="8" type="noConversion"/>
  </si>
  <si>
    <t>Slightly higher EE savings assumption beyond 2020 MEEIA levels (of 2030 generation)</t>
    <phoneticPr fontId="8" type="noConversion"/>
  </si>
  <si>
    <t>total</t>
    <phoneticPr fontId="8" type="noConversion"/>
  </si>
  <si>
    <t>Based on what's left after all other assumptions in each scenario</t>
    <phoneticPr fontId="8" type="noConversion"/>
  </si>
  <si>
    <t>Coal MWH/yr Amounts</t>
    <phoneticPr fontId="8" type="noConversion"/>
  </si>
  <si>
    <t>Slightly less conservative projection of RE development</t>
    <phoneticPr fontId="8" type="noConversion"/>
  </si>
  <si>
    <t>EPA Target for Missouri</t>
    <phoneticPr fontId="8" type="noConversion"/>
  </si>
  <si>
    <t>Assumes 33% in-state generation, applying the 1.25 multiplier to out-of-state generation</t>
    <phoneticPr fontId="8" type="noConversion"/>
  </si>
  <si>
    <t>Exhibit 1</t>
    <phoneticPr fontId="8" type="noConversion"/>
  </si>
  <si>
    <t>Alternative Compliance Scenarios</t>
    <phoneticPr fontId="8" type="noConversion"/>
  </si>
  <si>
    <t>Analyses of Ameren's August 25, 2014 Compliance Proposal and Alternatives to Consider</t>
    <phoneticPr fontId="8" type="noConversion"/>
  </si>
  <si>
    <t>Year</t>
    <phoneticPr fontId="8" type="noConversion"/>
  </si>
  <si>
    <t>SOURCE</t>
    <phoneticPr fontId="8" type="noConversion"/>
  </si>
  <si>
    <t>Ameren Proposal</t>
    <phoneticPr fontId="8" type="noConversion"/>
  </si>
  <si>
    <t>Alternative 1</t>
    <phoneticPr fontId="8" type="noConversion"/>
  </si>
  <si>
    <t xml:space="preserve">Alternative 2 </t>
    <phoneticPr fontId="8" type="noConversion"/>
  </si>
  <si>
    <t>Alternative 3</t>
    <phoneticPr fontId="8" type="noConversion"/>
  </si>
  <si>
    <t>2012 Generation Level</t>
    <phoneticPr fontId="8" type="noConversion"/>
  </si>
  <si>
    <t>Total</t>
    <phoneticPr fontId="8" type="noConversion"/>
  </si>
  <si>
    <t xml:space="preserve">Alternative 1 </t>
    <phoneticPr fontId="8" type="noConversion"/>
  </si>
  <si>
    <t xml:space="preserve">Alternative 2 </t>
    <phoneticPr fontId="8" type="noConversion"/>
  </si>
  <si>
    <t xml:space="preserve">Alternative 3 </t>
    <phoneticPr fontId="8" type="noConversion"/>
  </si>
  <si>
    <t>Total</t>
    <phoneticPr fontId="8" type="noConversion"/>
  </si>
  <si>
    <t>Ameren's projected number of 2,133,00 MWh of RAP potential from their most recent potential study, plus 10%</t>
    <phoneticPr fontId="8" type="noConversion"/>
  </si>
  <si>
    <t>Conservative projection of renewable energy development</t>
    <phoneticPr fontId="8" type="noConversion"/>
  </si>
  <si>
    <t>Ameren 2012 Generation estimated based on available information in EPA Plant Level Data, EIA form 860, public announcements of Efficiency Savings and Renewable Energy investments.</t>
  </si>
  <si>
    <t>1200MW new NGCC, minimum RE &amp; EE</t>
  </si>
  <si>
    <t>400MW new gas, modest EE &amp; RE</t>
  </si>
  <si>
    <t>No new gas, &amp; levels of EE &amp; RE compliant with existing MO law &amp; rules</t>
  </si>
  <si>
    <t>Assumed number.</t>
  </si>
  <si>
    <t>From Ameren's Response to Commission Questions</t>
  </si>
  <si>
    <t>% of Generation</t>
  </si>
  <si>
    <t>Emissions (tons)</t>
  </si>
  <si>
    <t>Coal + Gas Tons</t>
  </si>
  <si>
    <t>Coal + Gas lbs/MWh</t>
  </si>
  <si>
    <t>Change in</t>
  </si>
  <si>
    <t>Coal + Gas Tons/Year</t>
  </si>
  <si>
    <t>Emissions</t>
  </si>
  <si>
    <t>% Change in Tons</t>
  </si>
  <si>
    <t>vs. 2012</t>
  </si>
  <si>
    <t>% Change in Rate</t>
  </si>
  <si>
    <t>ratio</t>
  </si>
  <si>
    <t>Relavent MWh</t>
  </si>
  <si>
    <t>Relavent MWh for lbs/MWh calc</t>
  </si>
  <si>
    <t>Tons CO2 emissions from coal + gas + 6% of nuclear + EE + Wind + Solar</t>
  </si>
  <si>
    <t>Amt of Proposed New Solar</t>
    <phoneticPr fontId="8" type="noConversion"/>
  </si>
  <si>
    <t>New Net-Metered Solar Online 2013</t>
    <phoneticPr fontId="8" type="noConversion"/>
  </si>
  <si>
    <t>Tons CO2 per MWh Coal</t>
    <phoneticPr fontId="8" type="noConversion"/>
  </si>
  <si>
    <t>Tons CO2 per MWh NGCC</t>
    <phoneticPr fontId="8" type="noConversion"/>
  </si>
  <si>
    <t>Tons CO2 per MWh LFG</t>
    <phoneticPr fontId="8" type="noConversion"/>
  </si>
  <si>
    <t>Lbs in One Ton</t>
    <phoneticPr fontId="8" type="noConversion"/>
  </si>
  <si>
    <t>lbs</t>
  </si>
  <si>
    <t>Cost per year, applying representative LCOEs, not capital build costs</t>
  </si>
  <si>
    <t>Coal Fuel Savings</t>
  </si>
  <si>
    <t>Compliance Credit Purchases</t>
  </si>
  <si>
    <t>Cost Assumptions</t>
  </si>
  <si>
    <t>Cost of new solar build is negligible</t>
  </si>
  <si>
    <t>Levelized Cost of Energy (LCOE)</t>
  </si>
  <si>
    <t>per kWh</t>
  </si>
  <si>
    <t>CCNG</t>
  </si>
  <si>
    <t>EE-Ameren</t>
  </si>
  <si>
    <t>Assumed value.</t>
  </si>
  <si>
    <t>Fuel Savings per MWh Coal</t>
  </si>
  <si>
    <t>$</t>
  </si>
  <si>
    <t>Compliance Credit Purchase Price</t>
  </si>
  <si>
    <t>per CO2 ton</t>
  </si>
  <si>
    <t>lbs/MWh</t>
  </si>
  <si>
    <t>Compliance Target for MO</t>
  </si>
  <si>
    <t>Cost per Year, Compared to Ameren Plan</t>
  </si>
  <si>
    <t>O'Fallon 5.7MW solar farm, coming online 2014.</t>
  </si>
  <si>
    <t>Conservative assumption for EE 2030 levels per MEEIA.</t>
    <phoneticPr fontId="8" type="noConversion"/>
  </si>
  <si>
    <t>SOURCE:</t>
  </si>
  <si>
    <t>Ameren Proposal</t>
  </si>
  <si>
    <t>Assumptions</t>
  </si>
  <si>
    <t>No new gas, more EE &amp; RE</t>
  </si>
  <si>
    <t>GLOBAL</t>
  </si>
  <si>
    <t>Hours in a Year</t>
  </si>
  <si>
    <t>hours</t>
  </si>
  <si>
    <t>Resource</t>
  </si>
  <si>
    <t>MWh/yr</t>
  </si>
  <si>
    <t>EIA Demand Growth, 2012-2030</t>
  </si>
  <si>
    <t>%</t>
  </si>
  <si>
    <t>Coal</t>
  </si>
  <si>
    <t>Wind Capacity Factor in Missouri</t>
  </si>
  <si>
    <t>NGCC</t>
  </si>
  <si>
    <t>Solar Capacity Factor in Missouri</t>
  </si>
  <si>
    <t>Nuclear</t>
  </si>
  <si>
    <t>Hydro</t>
  </si>
  <si>
    <t>For Ameren's Analyses</t>
  </si>
  <si>
    <t>Landfill Gas</t>
  </si>
  <si>
    <t>EE</t>
  </si>
  <si>
    <t>RE</t>
  </si>
  <si>
    <t>TOTAL</t>
  </si>
  <si>
    <t>LFG</t>
  </si>
  <si>
    <t>Amt Wind, 2012</t>
  </si>
  <si>
    <t>MW</t>
  </si>
  <si>
    <t>Horizon Wind Farm in Iowa</t>
  </si>
  <si>
    <t>Amt Solar, 2012</t>
  </si>
  <si>
    <t>Net-Metered Solar, reported in 2012 Compliance Report</t>
  </si>
  <si>
    <t>NGCC Proposed Plant Size</t>
  </si>
  <si>
    <t>NGCC Plant Uptime Rate</t>
  </si>
  <si>
    <t>EE Savings</t>
  </si>
  <si>
    <t>Coal Online in 2030</t>
  </si>
  <si>
    <t>Assumes coal online equals the remainder of total demand minus all other categories</t>
  </si>
  <si>
    <t>Amt of proposed new Wind</t>
  </si>
  <si>
    <t>For Alternative 1</t>
  </si>
  <si>
    <t>RE Savings</t>
  </si>
  <si>
    <t>For Alternative 2</t>
  </si>
  <si>
    <t>For Alternative 3</t>
  </si>
  <si>
    <t>Wind + Solar</t>
  </si>
  <si>
    <t>150MW from Ameren's comments</t>
  </si>
  <si>
    <t>NOTE: EPA based all numbers on 2012, which was a leap-year, thus the assumption of 8784 hours in a year (366*24)</t>
  </si>
  <si>
    <t>From EPA tech support docs from the Missouri region.</t>
  </si>
  <si>
    <t>%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</si>
</sst>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.000"/>
    <numFmt numFmtId="167" formatCode="&quot;$&quot;#,##0"/>
    <numFmt numFmtId="168" formatCode="0.000%"/>
    <numFmt numFmtId="169" formatCode="&quot;$&quot;#,##0.00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22"/>
      <color theme="1"/>
      <name val="Calibri"/>
      <scheme val="minor"/>
    </font>
    <font>
      <u/>
      <sz val="12"/>
      <color theme="1"/>
      <name val="Calibri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i/>
      <sz val="12"/>
      <color theme="1"/>
      <name val="Calibri"/>
      <scheme val="minor"/>
    </font>
    <font>
      <sz val="8"/>
      <name val="Verdana"/>
    </font>
    <font>
      <sz val="20"/>
      <color indexed="8"/>
      <name val="Calibri"/>
    </font>
    <font>
      <i/>
      <sz val="18"/>
      <color indexed="8"/>
      <name val="Calibri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10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10" fontId="0" fillId="0" borderId="0" xfId="0" applyNumberFormat="1"/>
    <xf numFmtId="0" fontId="0" fillId="0" borderId="4" xfId="0" applyBorder="1"/>
    <xf numFmtId="9" fontId="0" fillId="0" borderId="0" xfId="0" applyNumberFormat="1"/>
    <xf numFmtId="0" fontId="2" fillId="0" borderId="0" xfId="0" applyFont="1" applyAlignment="1"/>
    <xf numFmtId="0" fontId="4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Fill="1" applyAlignment="1">
      <alignment wrapText="1"/>
    </xf>
    <xf numFmtId="0" fontId="0" fillId="0" borderId="1" xfId="0" applyBorder="1"/>
    <xf numFmtId="0" fontId="0" fillId="2" borderId="0" xfId="0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67" fontId="0" fillId="0" borderId="0" xfId="0" applyNumberFormat="1" applyBorder="1"/>
    <xf numFmtId="0" fontId="2" fillId="2" borderId="11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3" fontId="0" fillId="3" borderId="0" xfId="0" applyNumberFormat="1" applyFill="1"/>
    <xf numFmtId="0" fontId="0" fillId="0" borderId="10" xfId="0" applyBorder="1"/>
    <xf numFmtId="3" fontId="11" fillId="0" borderId="9" xfId="0" applyNumberFormat="1" applyFont="1" applyBorder="1"/>
    <xf numFmtId="3" fontId="11" fillId="0" borderId="9" xfId="0" applyNumberFormat="1" applyFont="1" applyFill="1" applyBorder="1"/>
    <xf numFmtId="3" fontId="11" fillId="0" borderId="10" xfId="0" applyNumberFormat="1" applyFont="1" applyBorder="1"/>
    <xf numFmtId="3" fontId="11" fillId="0" borderId="10" xfId="0" applyNumberFormat="1" applyFont="1" applyFill="1" applyBorder="1"/>
    <xf numFmtId="3" fontId="11" fillId="0" borderId="11" xfId="0" applyNumberFormat="1" applyFont="1" applyBorder="1"/>
    <xf numFmtId="3" fontId="11" fillId="0" borderId="11" xfId="0" applyNumberFormat="1" applyFont="1" applyFill="1" applyBorder="1"/>
    <xf numFmtId="0" fontId="12" fillId="0" borderId="9" xfId="0" applyFont="1" applyBorder="1" applyAlignment="1">
      <alignment horizontal="left"/>
    </xf>
    <xf numFmtId="0" fontId="12" fillId="0" borderId="11" xfId="0" applyFont="1" applyBorder="1"/>
    <xf numFmtId="0" fontId="12" fillId="0" borderId="21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3" fontId="12" fillId="0" borderId="19" xfId="0" applyNumberFormat="1" applyFont="1" applyBorder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25" xfId="0" applyNumberFormat="1" applyBorder="1"/>
    <xf numFmtId="10" fontId="0" fillId="0" borderId="27" xfId="0" applyNumberFormat="1" applyBorder="1"/>
    <xf numFmtId="10" fontId="0" fillId="0" borderId="29" xfId="0" applyNumberFormat="1" applyBorder="1"/>
    <xf numFmtId="10" fontId="0" fillId="0" borderId="30" xfId="0" applyNumberFormat="1" applyBorder="1"/>
    <xf numFmtId="9" fontId="0" fillId="0" borderId="13" xfId="0" applyNumberFormat="1" applyBorder="1"/>
    <xf numFmtId="9" fontId="0" fillId="0" borderId="14" xfId="0" applyNumberFormat="1" applyBorder="1"/>
    <xf numFmtId="10" fontId="0" fillId="4" borderId="34" xfId="2" applyNumberFormat="1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32" xfId="0" applyFont="1" applyFill="1" applyBorder="1"/>
    <xf numFmtId="0" fontId="2" fillId="4" borderId="31" xfId="0" applyFont="1" applyFill="1" applyBorder="1"/>
    <xf numFmtId="0" fontId="2" fillId="4" borderId="21" xfId="0" applyFont="1" applyFill="1" applyBorder="1"/>
    <xf numFmtId="0" fontId="2" fillId="2" borderId="29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165" fontId="0" fillId="4" borderId="13" xfId="0" applyNumberFormat="1" applyFill="1" applyBorder="1"/>
    <xf numFmtId="0" fontId="0" fillId="0" borderId="14" xfId="0" applyBorder="1"/>
    <xf numFmtId="165" fontId="0" fillId="4" borderId="9" xfId="1" applyNumberFormat="1" applyFont="1" applyFill="1" applyBorder="1"/>
    <xf numFmtId="165" fontId="0" fillId="4" borderId="10" xfId="1" applyNumberFormat="1" applyFont="1" applyFill="1" applyBorder="1"/>
    <xf numFmtId="37" fontId="0" fillId="4" borderId="11" xfId="0" applyNumberFormat="1" applyFill="1" applyBorder="1"/>
    <xf numFmtId="0" fontId="2" fillId="4" borderId="11" xfId="0" applyFont="1" applyFill="1" applyBorder="1"/>
    <xf numFmtId="0" fontId="0" fillId="4" borderId="22" xfId="0" applyFill="1" applyBorder="1" applyAlignment="1">
      <alignment wrapText="1"/>
    </xf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0" fontId="0" fillId="4" borderId="33" xfId="0" applyFill="1" applyBorder="1" applyAlignment="1">
      <alignment wrapText="1"/>
    </xf>
    <xf numFmtId="10" fontId="0" fillId="4" borderId="35" xfId="2" applyNumberFormat="1" applyFont="1" applyFill="1" applyBorder="1"/>
    <xf numFmtId="0" fontId="0" fillId="4" borderId="23" xfId="0" applyFill="1" applyBorder="1" applyAlignment="1">
      <alignment wrapText="1"/>
    </xf>
    <xf numFmtId="164" fontId="0" fillId="4" borderId="19" xfId="2" applyNumberFormat="1" applyFont="1" applyFill="1" applyBorder="1"/>
    <xf numFmtId="164" fontId="0" fillId="4" borderId="20" xfId="2" applyNumberFormat="1" applyFont="1" applyFill="1" applyBorder="1"/>
    <xf numFmtId="0" fontId="2" fillId="2" borderId="24" xfId="0" applyFont="1" applyFill="1" applyBorder="1"/>
    <xf numFmtId="0" fontId="2" fillId="2" borderId="26" xfId="0" applyFont="1" applyFill="1" applyBorder="1"/>
    <xf numFmtId="0" fontId="2" fillId="2" borderId="26" xfId="0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167" fontId="0" fillId="0" borderId="9" xfId="0" applyNumberFormat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0" borderId="5" xfId="0" applyNumberFormat="1" applyBorder="1"/>
    <xf numFmtId="167" fontId="0" fillId="0" borderId="27" xfId="0" applyNumberFormat="1" applyBorder="1"/>
    <xf numFmtId="167" fontId="0" fillId="0" borderId="30" xfId="0" applyNumberFormat="1" applyBorder="1"/>
    <xf numFmtId="0" fontId="12" fillId="0" borderId="31" xfId="0" applyFont="1" applyBorder="1" applyAlignment="1">
      <alignment horizontal="center" wrapText="1"/>
    </xf>
    <xf numFmtId="0" fontId="12" fillId="0" borderId="31" xfId="0" applyFont="1" applyFill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12" fillId="0" borderId="31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/>
    <xf numFmtId="0" fontId="12" fillId="0" borderId="24" xfId="0" applyFont="1" applyBorder="1"/>
    <xf numFmtId="0" fontId="12" fillId="0" borderId="26" xfId="0" applyFont="1" applyBorder="1"/>
    <xf numFmtId="0" fontId="12" fillId="0" borderId="28" xfId="0" applyFont="1" applyBorder="1"/>
    <xf numFmtId="0" fontId="12" fillId="0" borderId="12" xfId="0" applyFont="1" applyFill="1" applyBorder="1"/>
    <xf numFmtId="0" fontId="12" fillId="0" borderId="31" xfId="0" applyFont="1" applyBorder="1"/>
    <xf numFmtId="3" fontId="0" fillId="0" borderId="31" xfId="0" applyNumberFormat="1" applyBorder="1"/>
    <xf numFmtId="3" fontId="0" fillId="0" borderId="8" xfId="0" applyNumberFormat="1" applyBorder="1"/>
    <xf numFmtId="166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169" fontId="0" fillId="0" borderId="0" xfId="0" applyNumberFormat="1"/>
    <xf numFmtId="167" fontId="0" fillId="0" borderId="0" xfId="0" applyNumberFormat="1"/>
    <xf numFmtId="167" fontId="0" fillId="0" borderId="0" xfId="0" applyNumberFormat="1"/>
    <xf numFmtId="0" fontId="12" fillId="0" borderId="6" xfId="0" applyFont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168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0" fontId="12" fillId="2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5">
    <cellStyle name="Comma" xfId="1" builtinId="3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j-lt"/>
              </a:rPr>
              <a:t>Alternative</a:t>
            </a:r>
            <a:r>
              <a:rPr lang="en-US" sz="1800" b="1" baseline="0">
                <a:latin typeface="+mj-lt"/>
              </a:rPr>
              <a:t> #1 Generation</a:t>
            </a:r>
            <a:endParaRPr lang="en-US" sz="1800" b="1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5.3207511613357897E-17"/>
                  <c:y val="2.9712854837162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827137195611098E-2"/>
                  <c:y val="-3.820224193349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8045228659351798E-3"/>
                  <c:y val="-4.669162902982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Calculations!$D$25:$D$31</c:f>
              <c:strCache>
                <c:ptCount val="7"/>
                <c:pt idx="0">
                  <c:v>Coal</c:v>
                </c:pt>
                <c:pt idx="1">
                  <c:v>NGCC</c:v>
                </c:pt>
                <c:pt idx="2">
                  <c:v>Nuclear</c:v>
                </c:pt>
                <c:pt idx="3">
                  <c:v>Hydro</c:v>
                </c:pt>
                <c:pt idx="4">
                  <c:v>Landfill Gas</c:v>
                </c:pt>
                <c:pt idx="5">
                  <c:v>EE</c:v>
                </c:pt>
                <c:pt idx="6">
                  <c:v>Wind + Solar</c:v>
                </c:pt>
              </c:strCache>
            </c:strRef>
          </c:cat>
          <c:val>
            <c:numRef>
              <c:f>Calculations!$G$25:$G$31</c:f>
              <c:numCache>
                <c:formatCode>0.00%</c:formatCode>
                <c:ptCount val="7"/>
                <c:pt idx="0">
                  <c:v>0.588664225254663</c:v>
                </c:pt>
                <c:pt idx="1">
                  <c:v>5.0388689976810716E-2</c:v>
                </c:pt>
                <c:pt idx="2">
                  <c:v>0.20494936135794611</c:v>
                </c:pt>
                <c:pt idx="3">
                  <c:v>1.3657816940287877E-2</c:v>
                </c:pt>
                <c:pt idx="4">
                  <c:v>1.91213911569561E-3</c:v>
                </c:pt>
                <c:pt idx="5">
                  <c:v>8.4427767354596631E-2</c:v>
                </c:pt>
                <c:pt idx="6">
                  <c:v>5.6000000000000001E-2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j-lt"/>
              </a:rPr>
              <a:t>Ameren</a:t>
            </a:r>
            <a:r>
              <a:rPr lang="en-US" sz="1800" b="1" baseline="0">
                <a:latin typeface="+mj-lt"/>
              </a:rPr>
              <a:t> 2012 Generation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18643945496701E-2"/>
                  <c:y val="2.157144036413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7966098637417E-3"/>
                  <c:y val="-3.4514304582623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8.197147338373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9.0600049529385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Calculations!$D$25:$D$31</c:f>
              <c:strCache>
                <c:ptCount val="7"/>
                <c:pt idx="0">
                  <c:v>Coal</c:v>
                </c:pt>
                <c:pt idx="1">
                  <c:v>NGCC</c:v>
                </c:pt>
                <c:pt idx="2">
                  <c:v>Nuclear</c:v>
                </c:pt>
                <c:pt idx="3">
                  <c:v>Hydro</c:v>
                </c:pt>
                <c:pt idx="4">
                  <c:v>Landfill Gas</c:v>
                </c:pt>
                <c:pt idx="5">
                  <c:v>EE</c:v>
                </c:pt>
                <c:pt idx="6">
                  <c:v>Wind + Solar</c:v>
                </c:pt>
              </c:strCache>
            </c:strRef>
          </c:cat>
          <c:val>
            <c:numRef>
              <c:f>Calculations!$E$25:$E$31</c:f>
              <c:numCache>
                <c:formatCode>0.00%</c:formatCode>
                <c:ptCount val="7"/>
                <c:pt idx="0">
                  <c:v>0.73454370872166597</c:v>
                </c:pt>
                <c:pt idx="1">
                  <c:v>0</c:v>
                </c:pt>
                <c:pt idx="2">
                  <c:v>0.24032362112832764</c:v>
                </c:pt>
                <c:pt idx="3">
                  <c:v>1.6015156144181565E-2</c:v>
                </c:pt>
                <c:pt idx="4">
                  <c:v>2.2421743270646722E-3</c:v>
                </c:pt>
                <c:pt idx="5">
                  <c:v>6.2406438045191023E-4</c:v>
                </c:pt>
                <c:pt idx="6">
                  <c:v>6.2512752983083118E-3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j-lt"/>
              </a:rPr>
              <a:t>Ameren Proposal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1.7809084371869399E-2"/>
                  <c:y val="6.929234172991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809084371869399E-2"/>
                  <c:y val="2.165385679059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12363374874772E-3"/>
                  <c:y val="-1.2992314074358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236337487477503E-3"/>
                  <c:y val="-5.6300027655555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Calculations!$D$25:$D$31</c:f>
              <c:strCache>
                <c:ptCount val="7"/>
                <c:pt idx="0">
                  <c:v>Coal</c:v>
                </c:pt>
                <c:pt idx="1">
                  <c:v>NGCC</c:v>
                </c:pt>
                <c:pt idx="2">
                  <c:v>Nuclear</c:v>
                </c:pt>
                <c:pt idx="3">
                  <c:v>Hydro</c:v>
                </c:pt>
                <c:pt idx="4">
                  <c:v>Landfill Gas</c:v>
                </c:pt>
                <c:pt idx="5">
                  <c:v>EE</c:v>
                </c:pt>
                <c:pt idx="6">
                  <c:v>Wind + Solar</c:v>
                </c:pt>
              </c:strCache>
            </c:strRef>
          </c:cat>
          <c:val>
            <c:numRef>
              <c:f>Calculations!$F$25:$F$31</c:f>
              <c:numCache>
                <c:formatCode>0.00%</c:formatCode>
                <c:ptCount val="7"/>
                <c:pt idx="0">
                  <c:v>0.57012732295420343</c:v>
                </c:pt>
                <c:pt idx="1">
                  <c:v>0.15116606993043213</c:v>
                </c:pt>
                <c:pt idx="2">
                  <c:v>0.20494936135794611</c:v>
                </c:pt>
                <c:pt idx="3">
                  <c:v>1.3657816940287877E-2</c:v>
                </c:pt>
                <c:pt idx="4">
                  <c:v>1.91213911569561E-3</c:v>
                </c:pt>
                <c:pt idx="5">
                  <c:v>4.4864520071566098E-2</c:v>
                </c:pt>
                <c:pt idx="6">
                  <c:v>1.3322769629868751E-2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j-lt"/>
              </a:rPr>
              <a:t>Alternative #2 Generation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37386937850201E-2"/>
                  <c:y val="3.4779072446245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921733672312801E-2"/>
                  <c:y val="-1.3042152167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Calculations!$D$25:$D$31</c:f>
              <c:strCache>
                <c:ptCount val="7"/>
                <c:pt idx="0">
                  <c:v>Coal</c:v>
                </c:pt>
                <c:pt idx="1">
                  <c:v>NGCC</c:v>
                </c:pt>
                <c:pt idx="2">
                  <c:v>Nuclear</c:v>
                </c:pt>
                <c:pt idx="3">
                  <c:v>Hydro</c:v>
                </c:pt>
                <c:pt idx="4">
                  <c:v>Landfill Gas</c:v>
                </c:pt>
                <c:pt idx="5">
                  <c:v>EE</c:v>
                </c:pt>
                <c:pt idx="6">
                  <c:v>Wind + Solar</c:v>
                </c:pt>
              </c:strCache>
            </c:strRef>
          </c:cat>
          <c:val>
            <c:numRef>
              <c:f>Calculations!$H$25:$H$31</c:f>
              <c:numCache>
                <c:formatCode>0.00%</c:formatCode>
                <c:ptCount val="7"/>
                <c:pt idx="0">
                  <c:v>0.5929806825860704</c:v>
                </c:pt>
                <c:pt idx="1">
                  <c:v>0</c:v>
                </c:pt>
                <c:pt idx="2">
                  <c:v>0.20494936135794611</c:v>
                </c:pt>
                <c:pt idx="3">
                  <c:v>1.3657816940287877E-2</c:v>
                </c:pt>
                <c:pt idx="4">
                  <c:v>1.91213911569561E-3</c:v>
                </c:pt>
                <c:pt idx="5">
                  <c:v>0.125</c:v>
                </c:pt>
                <c:pt idx="6">
                  <c:v>6.1499999999999999E-2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j-lt"/>
              </a:rPr>
              <a:t>Alternative</a:t>
            </a:r>
            <a:r>
              <a:rPr lang="en-US" sz="1800" b="1" baseline="0">
                <a:latin typeface="+mj-lt"/>
              </a:rPr>
              <a:t> #3 Generation</a:t>
            </a:r>
            <a:endParaRPr lang="en-US" sz="1800" b="1">
              <a:latin typeface="+mj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173692027890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910033772397101E-3"/>
                  <c:y val="-3.0431688390464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Calculations!$D$25:$D$31</c:f>
              <c:strCache>
                <c:ptCount val="7"/>
                <c:pt idx="0">
                  <c:v>Coal</c:v>
                </c:pt>
                <c:pt idx="1">
                  <c:v>NGCC</c:v>
                </c:pt>
                <c:pt idx="2">
                  <c:v>Nuclear</c:v>
                </c:pt>
                <c:pt idx="3">
                  <c:v>Hydro</c:v>
                </c:pt>
                <c:pt idx="4">
                  <c:v>Landfill Gas</c:v>
                </c:pt>
                <c:pt idx="5">
                  <c:v>EE</c:v>
                </c:pt>
                <c:pt idx="6">
                  <c:v>Wind + Solar</c:v>
                </c:pt>
              </c:strCache>
            </c:strRef>
          </c:cat>
          <c:val>
            <c:numRef>
              <c:f>Calculations!$I$25:$I$31</c:f>
              <c:numCache>
                <c:formatCode>0.00%</c:formatCode>
                <c:ptCount val="7"/>
                <c:pt idx="0">
                  <c:v>0.4714806825860704</c:v>
                </c:pt>
                <c:pt idx="1">
                  <c:v>0</c:v>
                </c:pt>
                <c:pt idx="2">
                  <c:v>0.20494936135794611</c:v>
                </c:pt>
                <c:pt idx="3">
                  <c:v>1.3657816940287877E-2</c:v>
                </c:pt>
                <c:pt idx="4">
                  <c:v>1.91213911569561E-3</c:v>
                </c:pt>
                <c:pt idx="5">
                  <c:v>0.17799999999999999</c:v>
                </c:pt>
                <c:pt idx="6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106456</xdr:colOff>
      <xdr:row>84</xdr:row>
      <xdr:rowOff>123265</xdr:rowOff>
    </xdr:from>
    <xdr:to>
      <xdr:col>5</xdr:col>
      <xdr:colOff>1098177</xdr:colOff>
      <xdr:row>99</xdr:row>
      <xdr:rowOff>89647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72837</xdr:colOff>
      <xdr:row>69</xdr:row>
      <xdr:rowOff>89646</xdr:rowOff>
    </xdr:from>
    <xdr:to>
      <xdr:col>5</xdr:col>
      <xdr:colOff>1098176</xdr:colOff>
      <xdr:row>84</xdr:row>
      <xdr:rowOff>77319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39219</xdr:colOff>
      <xdr:row>69</xdr:row>
      <xdr:rowOff>90766</xdr:rowOff>
    </xdr:from>
    <xdr:to>
      <xdr:col>8</xdr:col>
      <xdr:colOff>885264</xdr:colOff>
      <xdr:row>84</xdr:row>
      <xdr:rowOff>67235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50426</xdr:colOff>
      <xdr:row>84</xdr:row>
      <xdr:rowOff>146796</xdr:rowOff>
    </xdr:from>
    <xdr:to>
      <xdr:col>8</xdr:col>
      <xdr:colOff>874059</xdr:colOff>
      <xdr:row>99</xdr:row>
      <xdr:rowOff>112058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84043</xdr:colOff>
      <xdr:row>99</xdr:row>
      <xdr:rowOff>158000</xdr:rowOff>
    </xdr:from>
    <xdr:to>
      <xdr:col>5</xdr:col>
      <xdr:colOff>1098176</xdr:colOff>
      <xdr:row>114</xdr:row>
      <xdr:rowOff>123263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zoomScale="85" zoomScaleNormal="85" zoomScalePageLayoutView="85" workbookViewId="0">
      <selection activeCell="E22" sqref="E22"/>
    </sheetView>
  </sheetViews>
  <sheetFormatPr defaultColWidth="11" defaultRowHeight="15.75" x14ac:dyDescent="0.25"/>
  <cols>
    <col min="1" max="1" width="10.375" customWidth="1"/>
    <col min="2" max="3" width="3.375" customWidth="1"/>
    <col min="4" max="4" width="11.875" customWidth="1"/>
    <col min="5" max="5" width="14.5" customWidth="1"/>
    <col min="6" max="6" width="14.875" customWidth="1"/>
    <col min="7" max="7" width="21" customWidth="1"/>
    <col min="8" max="8" width="14.625" customWidth="1"/>
    <col min="9" max="9" width="15.125" customWidth="1"/>
    <col min="10" max="10" width="1.875" style="24" customWidth="1"/>
    <col min="12" max="12" width="18.875" customWidth="1"/>
    <col min="13" max="13" width="10.625" style="8" customWidth="1"/>
    <col min="14" max="14" width="12.625" customWidth="1"/>
    <col min="15" max="15" width="60.875" style="4" customWidth="1"/>
  </cols>
  <sheetData>
    <row r="1" spans="1:15" ht="26.25" x14ac:dyDescent="0.4">
      <c r="A1" s="2" t="s">
        <v>8</v>
      </c>
    </row>
    <row r="2" spans="1:15" ht="26.25" x14ac:dyDescent="0.4">
      <c r="A2" s="2" t="s">
        <v>9</v>
      </c>
    </row>
    <row r="3" spans="1:15" ht="23.25" x14ac:dyDescent="0.35">
      <c r="A3" s="1" t="s">
        <v>10</v>
      </c>
    </row>
    <row r="5" spans="1:15" ht="17.100000000000001" customHeight="1" thickBot="1" x14ac:dyDescent="0.3"/>
    <row r="6" spans="1:15" s="4" customFormat="1" ht="59.1" customHeight="1" thickBot="1" x14ac:dyDescent="0.5">
      <c r="D6" s="115" t="s">
        <v>12</v>
      </c>
      <c r="E6" s="94" t="s">
        <v>17</v>
      </c>
      <c r="F6" s="116" t="s">
        <v>13</v>
      </c>
      <c r="G6" s="93" t="s">
        <v>14</v>
      </c>
      <c r="H6" s="117" t="s">
        <v>15</v>
      </c>
      <c r="I6" s="93" t="s">
        <v>16</v>
      </c>
      <c r="J6" s="25"/>
      <c r="K6" s="5" t="s">
        <v>73</v>
      </c>
      <c r="M6" s="123"/>
    </row>
    <row r="7" spans="1:15" s="4" customFormat="1" ht="79.5" thickBot="1" x14ac:dyDescent="0.3">
      <c r="D7" s="45"/>
      <c r="E7" s="94"/>
      <c r="F7" s="97" t="s">
        <v>26</v>
      </c>
      <c r="G7" s="98" t="s">
        <v>27</v>
      </c>
      <c r="H7" s="98" t="s">
        <v>74</v>
      </c>
      <c r="I7" s="99" t="s">
        <v>28</v>
      </c>
      <c r="J7" s="25"/>
      <c r="K7" s="6" t="s">
        <v>75</v>
      </c>
      <c r="M7" s="123"/>
    </row>
    <row r="8" spans="1:15" ht="31.5" x14ac:dyDescent="0.25">
      <c r="D8" s="34" t="s">
        <v>11</v>
      </c>
      <c r="E8" s="39">
        <v>2012</v>
      </c>
      <c r="F8" s="40">
        <v>2030</v>
      </c>
      <c r="G8" s="40">
        <v>2030</v>
      </c>
      <c r="H8" s="40">
        <v>2030</v>
      </c>
      <c r="I8" s="41">
        <v>2030</v>
      </c>
      <c r="K8" t="s">
        <v>76</v>
      </c>
      <c r="M8" s="8" t="s">
        <v>77</v>
      </c>
      <c r="N8">
        <f>366*24</f>
        <v>8784</v>
      </c>
      <c r="O8" s="124" t="s">
        <v>111</v>
      </c>
    </row>
    <row r="9" spans="1:15" ht="16.5" thickBot="1" x14ac:dyDescent="0.3">
      <c r="D9" s="35" t="s">
        <v>78</v>
      </c>
      <c r="E9" s="42" t="s">
        <v>79</v>
      </c>
      <c r="F9" s="43" t="s">
        <v>79</v>
      </c>
      <c r="G9" s="43" t="s">
        <v>79</v>
      </c>
      <c r="H9" s="43" t="s">
        <v>79</v>
      </c>
      <c r="I9" s="44" t="s">
        <v>79</v>
      </c>
      <c r="J9" s="26"/>
      <c r="K9" t="s">
        <v>80</v>
      </c>
      <c r="M9" s="8" t="s">
        <v>81</v>
      </c>
      <c r="N9" s="9">
        <v>0.1726</v>
      </c>
      <c r="O9" s="124" t="s">
        <v>112</v>
      </c>
    </row>
    <row r="10" spans="1:15" x14ac:dyDescent="0.25">
      <c r="D10" s="36" t="s">
        <v>82</v>
      </c>
      <c r="E10" s="28">
        <v>32760330</v>
      </c>
      <c r="F10" s="29">
        <f>F17-SUM(F11:F16)</f>
        <v>29816205.226615999</v>
      </c>
      <c r="G10" s="29">
        <f>G17-SUM(G11:G16)</f>
        <v>30785637.949805502</v>
      </c>
      <c r="H10" s="29">
        <f>H17-SUM(H11:H16)</f>
        <v>31011377.661732115</v>
      </c>
      <c r="I10" s="29">
        <f>I17-SUM(I11:I16)</f>
        <v>24657237.47377827</v>
      </c>
      <c r="K10" t="s">
        <v>83</v>
      </c>
      <c r="M10" s="8" t="s">
        <v>81</v>
      </c>
      <c r="N10" s="11">
        <v>0.3</v>
      </c>
      <c r="O10" s="124"/>
    </row>
    <row r="11" spans="1:15" x14ac:dyDescent="0.25">
      <c r="D11" s="37" t="s">
        <v>84</v>
      </c>
      <c r="E11" s="30">
        <v>0</v>
      </c>
      <c r="F11" s="30">
        <f>N18*N19*N8</f>
        <v>7905600</v>
      </c>
      <c r="G11" s="30">
        <f>N34*N35*N8</f>
        <v>2635200</v>
      </c>
      <c r="H11" s="30">
        <v>0</v>
      </c>
      <c r="I11" s="30">
        <v>0</v>
      </c>
      <c r="K11" t="s">
        <v>85</v>
      </c>
      <c r="M11" s="8" t="s">
        <v>81</v>
      </c>
      <c r="N11" s="11">
        <v>0.15</v>
      </c>
      <c r="O11" s="124"/>
    </row>
    <row r="12" spans="1:15" x14ac:dyDescent="0.25">
      <c r="D12" s="37" t="s">
        <v>86</v>
      </c>
      <c r="E12" s="30">
        <v>10718329</v>
      </c>
      <c r="F12" s="31">
        <v>10718329</v>
      </c>
      <c r="G12" s="31">
        <v>10718329</v>
      </c>
      <c r="H12" s="31">
        <v>10718329</v>
      </c>
      <c r="I12" s="31">
        <v>10718329</v>
      </c>
      <c r="K12" t="s">
        <v>4</v>
      </c>
      <c r="O12" s="124" t="s">
        <v>3</v>
      </c>
    </row>
    <row r="13" spans="1:15" x14ac:dyDescent="0.25">
      <c r="D13" s="37" t="s">
        <v>87</v>
      </c>
      <c r="E13" s="30">
        <v>714269</v>
      </c>
      <c r="F13" s="31">
        <v>714269</v>
      </c>
      <c r="G13" s="31">
        <v>714269</v>
      </c>
      <c r="H13" s="31">
        <v>714269</v>
      </c>
      <c r="I13" s="31">
        <v>714269</v>
      </c>
      <c r="K13" s="12" t="s">
        <v>88</v>
      </c>
      <c r="O13" s="124"/>
    </row>
    <row r="14" spans="1:15" ht="30" customHeight="1" x14ac:dyDescent="0.25">
      <c r="D14" s="37" t="s">
        <v>89</v>
      </c>
      <c r="E14" s="30">
        <v>100000</v>
      </c>
      <c r="F14" s="31">
        <v>100000</v>
      </c>
      <c r="G14" s="31">
        <v>100000</v>
      </c>
      <c r="H14" s="31">
        <v>100000</v>
      </c>
      <c r="I14" s="31">
        <v>100000</v>
      </c>
      <c r="K14" s="4" t="s">
        <v>71</v>
      </c>
      <c r="L14" s="136" t="s">
        <v>25</v>
      </c>
      <c r="M14" s="137"/>
      <c r="N14" s="137"/>
      <c r="O14" s="137"/>
    </row>
    <row r="15" spans="1:15" x14ac:dyDescent="0.25">
      <c r="D15" s="37" t="s">
        <v>90</v>
      </c>
      <c r="E15" s="30">
        <v>27833</v>
      </c>
      <c r="F15" s="30">
        <f>N20</f>
        <v>2346300</v>
      </c>
      <c r="G15" s="30">
        <f>E17*N36</f>
        <v>4415356.9508400001</v>
      </c>
      <c r="H15" s="31">
        <f>H17*N42</f>
        <v>6537181.2633269997</v>
      </c>
      <c r="I15" s="30">
        <f>I17*N48</f>
        <v>9308946.1189776473</v>
      </c>
      <c r="O15" s="124"/>
    </row>
    <row r="16" spans="1:15" ht="16.5" thickBot="1" x14ac:dyDescent="0.3">
      <c r="D16" s="35" t="s">
        <v>109</v>
      </c>
      <c r="E16" s="32">
        <f>N16*N10*N8+N17*N11*N8</f>
        <v>278804.15999999997</v>
      </c>
      <c r="F16" s="33">
        <f>E16+(N22*N10*N8)+(N23*N11*N8)+(N24*N11*N8)</f>
        <v>696746.87999999989</v>
      </c>
      <c r="G16" s="32">
        <f>G17*N37</f>
        <v>2928657.2059704959</v>
      </c>
      <c r="H16" s="32">
        <f>H17*N43</f>
        <v>3216293.1815568837</v>
      </c>
      <c r="I16" s="32">
        <f>I17*N49</f>
        <v>6798668.5138600804</v>
      </c>
      <c r="K16" t="s">
        <v>94</v>
      </c>
      <c r="M16" s="8" t="s">
        <v>95</v>
      </c>
      <c r="N16">
        <v>102</v>
      </c>
      <c r="O16" s="124" t="s">
        <v>96</v>
      </c>
    </row>
    <row r="17" spans="4:15" ht="16.5" thickBot="1" x14ac:dyDescent="0.3">
      <c r="D17" s="106" t="s">
        <v>92</v>
      </c>
      <c r="E17" s="107">
        <f>SUM(E10:E16)</f>
        <v>44599565.159999996</v>
      </c>
      <c r="F17" s="108">
        <f>$E$17*(1+$N$9)</f>
        <v>52297450.106615998</v>
      </c>
      <c r="G17" s="107">
        <f>$E$17*(1+$N$9)</f>
        <v>52297450.106615998</v>
      </c>
      <c r="H17" s="108">
        <f>$E$17*(1+$N$9)</f>
        <v>52297450.106615998</v>
      </c>
      <c r="I17" s="107">
        <f>$E$17*(1+$N$9)</f>
        <v>52297450.106615998</v>
      </c>
      <c r="K17" t="s">
        <v>97</v>
      </c>
      <c r="M17" s="8" t="s">
        <v>95</v>
      </c>
      <c r="N17">
        <v>7.6</v>
      </c>
      <c r="O17" s="124" t="s">
        <v>98</v>
      </c>
    </row>
    <row r="18" spans="4:15" x14ac:dyDescent="0.25">
      <c r="K18" t="s">
        <v>99</v>
      </c>
      <c r="M18" s="8" t="s">
        <v>95</v>
      </c>
      <c r="N18">
        <v>1200</v>
      </c>
      <c r="O18" s="124" t="s">
        <v>30</v>
      </c>
    </row>
    <row r="19" spans="4:15" x14ac:dyDescent="0.25">
      <c r="K19" t="s">
        <v>100</v>
      </c>
      <c r="M19" s="8" t="s">
        <v>81</v>
      </c>
      <c r="N19" s="11">
        <v>0.75</v>
      </c>
      <c r="O19" s="125" t="s">
        <v>29</v>
      </c>
    </row>
    <row r="20" spans="4:15" ht="32.25" thickBot="1" x14ac:dyDescent="0.3">
      <c r="K20" t="s">
        <v>101</v>
      </c>
      <c r="M20" s="8" t="s">
        <v>79</v>
      </c>
      <c r="N20" s="3">
        <f>2133000*1.1</f>
        <v>2346300</v>
      </c>
      <c r="O20" s="16" t="s">
        <v>23</v>
      </c>
    </row>
    <row r="21" spans="4:15" ht="32.25" thickBot="1" x14ac:dyDescent="0.3">
      <c r="D21" s="7"/>
      <c r="E21" s="7"/>
      <c r="F21" s="118" t="s">
        <v>72</v>
      </c>
      <c r="G21" s="93" t="s">
        <v>19</v>
      </c>
      <c r="H21" s="119" t="s">
        <v>20</v>
      </c>
      <c r="I21" s="93" t="s">
        <v>21</v>
      </c>
      <c r="K21" t="s">
        <v>102</v>
      </c>
      <c r="M21" s="8" t="s">
        <v>79</v>
      </c>
      <c r="O21" s="4" t="s">
        <v>103</v>
      </c>
    </row>
    <row r="22" spans="4:15" ht="79.5" thickBot="1" x14ac:dyDescent="0.3">
      <c r="D22" s="7"/>
      <c r="E22" s="7"/>
      <c r="F22" s="120" t="s">
        <v>26</v>
      </c>
      <c r="G22" s="93" t="s">
        <v>27</v>
      </c>
      <c r="H22" s="117" t="s">
        <v>74</v>
      </c>
      <c r="I22" s="93" t="s">
        <v>28</v>
      </c>
      <c r="K22" t="s">
        <v>104</v>
      </c>
      <c r="M22" s="8" t="s">
        <v>95</v>
      </c>
      <c r="N22">
        <v>150</v>
      </c>
      <c r="O22" s="4" t="s">
        <v>110</v>
      </c>
    </row>
    <row r="23" spans="4:15" ht="31.5" x14ac:dyDescent="0.25">
      <c r="D23" s="46"/>
      <c r="E23" s="100" t="s">
        <v>31</v>
      </c>
      <c r="F23" s="47"/>
      <c r="G23" s="47"/>
      <c r="H23" s="47"/>
      <c r="I23" s="48"/>
      <c r="K23" t="s">
        <v>45</v>
      </c>
      <c r="M23" s="8" t="s">
        <v>95</v>
      </c>
      <c r="N23">
        <v>5.7</v>
      </c>
      <c r="O23" s="16" t="s">
        <v>69</v>
      </c>
    </row>
    <row r="24" spans="4:15" ht="16.5" thickBot="1" x14ac:dyDescent="0.3">
      <c r="D24" s="101" t="s">
        <v>78</v>
      </c>
      <c r="E24" s="49">
        <v>2012</v>
      </c>
      <c r="F24" s="49">
        <v>2030</v>
      </c>
      <c r="G24" s="49">
        <v>2030</v>
      </c>
      <c r="H24" s="49">
        <v>2030</v>
      </c>
      <c r="I24" s="50">
        <v>2030</v>
      </c>
      <c r="K24" t="s">
        <v>46</v>
      </c>
      <c r="M24" s="8" t="s">
        <v>95</v>
      </c>
      <c r="N24">
        <v>11.5</v>
      </c>
    </row>
    <row r="25" spans="4:15" x14ac:dyDescent="0.25">
      <c r="D25" s="102" t="s">
        <v>82</v>
      </c>
      <c r="E25" s="51">
        <f t="shared" ref="E25:I31" si="0">E10/E$17</f>
        <v>0.73454370872166597</v>
      </c>
      <c r="F25" s="53">
        <f t="shared" si="0"/>
        <v>0.57012732295420343</v>
      </c>
      <c r="G25" s="51">
        <f t="shared" si="0"/>
        <v>0.588664225254663</v>
      </c>
      <c r="H25" s="53">
        <f t="shared" si="0"/>
        <v>0.5929806825860704</v>
      </c>
      <c r="I25" s="51">
        <f t="shared" si="0"/>
        <v>0.4714806825860704</v>
      </c>
      <c r="K25" t="s">
        <v>47</v>
      </c>
      <c r="M25" s="8" t="s">
        <v>41</v>
      </c>
      <c r="N25">
        <v>1</v>
      </c>
    </row>
    <row r="26" spans="4:15" x14ac:dyDescent="0.25">
      <c r="D26" s="103" t="s">
        <v>84</v>
      </c>
      <c r="E26" s="52">
        <f t="shared" si="0"/>
        <v>0</v>
      </c>
      <c r="F26" s="54">
        <f t="shared" si="0"/>
        <v>0.15116606993043213</v>
      </c>
      <c r="G26" s="52">
        <f t="shared" si="0"/>
        <v>5.0388689976810716E-2</v>
      </c>
      <c r="H26" s="54">
        <f t="shared" si="0"/>
        <v>0</v>
      </c>
      <c r="I26" s="52">
        <f t="shared" si="0"/>
        <v>0</v>
      </c>
      <c r="K26" t="s">
        <v>48</v>
      </c>
      <c r="M26" s="8" t="s">
        <v>41</v>
      </c>
      <c r="N26">
        <v>0.45</v>
      </c>
    </row>
    <row r="27" spans="4:15" x14ac:dyDescent="0.25">
      <c r="D27" s="103" t="s">
        <v>86</v>
      </c>
      <c r="E27" s="52">
        <f t="shared" si="0"/>
        <v>0.24032362112832764</v>
      </c>
      <c r="F27" s="54">
        <f t="shared" si="0"/>
        <v>0.20494936135794611</v>
      </c>
      <c r="G27" s="52">
        <f t="shared" si="0"/>
        <v>0.20494936135794611</v>
      </c>
      <c r="H27" s="54">
        <f t="shared" si="0"/>
        <v>0.20494936135794611</v>
      </c>
      <c r="I27" s="52">
        <f t="shared" si="0"/>
        <v>0.20494936135794611</v>
      </c>
      <c r="K27" t="s">
        <v>49</v>
      </c>
      <c r="M27" s="8" t="s">
        <v>41</v>
      </c>
      <c r="N27">
        <v>0.45</v>
      </c>
    </row>
    <row r="28" spans="4:15" ht="31.5" x14ac:dyDescent="0.25">
      <c r="D28" s="103" t="s">
        <v>87</v>
      </c>
      <c r="E28" s="52">
        <f t="shared" si="0"/>
        <v>1.6015156144181565E-2</v>
      </c>
      <c r="F28" s="54">
        <f t="shared" si="0"/>
        <v>1.3657816940287877E-2</v>
      </c>
      <c r="G28" s="52">
        <f t="shared" si="0"/>
        <v>1.3657816940287877E-2</v>
      </c>
      <c r="H28" s="54">
        <f t="shared" si="0"/>
        <v>1.3657816940287877E-2</v>
      </c>
      <c r="I28" s="52">
        <f t="shared" si="0"/>
        <v>1.3657816940287877E-2</v>
      </c>
      <c r="K28" t="s">
        <v>43</v>
      </c>
      <c r="O28" s="4" t="s">
        <v>44</v>
      </c>
    </row>
    <row r="29" spans="4:15" x14ac:dyDescent="0.25">
      <c r="D29" s="103" t="s">
        <v>89</v>
      </c>
      <c r="E29" s="52">
        <f t="shared" si="0"/>
        <v>2.2421743270646722E-3</v>
      </c>
      <c r="F29" s="54">
        <f t="shared" si="0"/>
        <v>1.91213911569561E-3</v>
      </c>
      <c r="G29" s="52">
        <f t="shared" si="0"/>
        <v>1.91213911569561E-3</v>
      </c>
      <c r="H29" s="54">
        <f t="shared" si="0"/>
        <v>1.91213911569561E-3</v>
      </c>
      <c r="I29" s="52">
        <f t="shared" si="0"/>
        <v>1.91213911569561E-3</v>
      </c>
      <c r="K29" t="s">
        <v>50</v>
      </c>
      <c r="M29" s="8" t="s">
        <v>51</v>
      </c>
      <c r="N29">
        <v>2000</v>
      </c>
    </row>
    <row r="30" spans="4:15" x14ac:dyDescent="0.25">
      <c r="D30" s="103" t="s">
        <v>90</v>
      </c>
      <c r="E30" s="52">
        <f t="shared" si="0"/>
        <v>6.2406438045191023E-4</v>
      </c>
      <c r="F30" s="54">
        <f t="shared" si="0"/>
        <v>4.4864520071566098E-2</v>
      </c>
      <c r="G30" s="52">
        <f t="shared" si="0"/>
        <v>8.4427767354596631E-2</v>
      </c>
      <c r="H30" s="54">
        <f t="shared" si="0"/>
        <v>0.125</v>
      </c>
      <c r="I30" s="52">
        <f t="shared" si="0"/>
        <v>0.17799999999999999</v>
      </c>
    </row>
    <row r="31" spans="4:15" ht="16.5" thickBot="1" x14ac:dyDescent="0.3">
      <c r="D31" s="104" t="s">
        <v>109</v>
      </c>
      <c r="E31" s="55">
        <f t="shared" si="0"/>
        <v>6.2512752983083118E-3</v>
      </c>
      <c r="F31" s="56">
        <f t="shared" si="0"/>
        <v>1.3322769629868751E-2</v>
      </c>
      <c r="G31" s="55">
        <f t="shared" si="0"/>
        <v>5.6000000000000001E-2</v>
      </c>
      <c r="H31" s="56">
        <f t="shared" si="0"/>
        <v>6.1499999999999999E-2</v>
      </c>
      <c r="I31" s="55">
        <f t="shared" si="0"/>
        <v>0.13</v>
      </c>
    </row>
    <row r="32" spans="4:15" ht="16.5" thickBot="1" x14ac:dyDescent="0.3">
      <c r="D32" s="105" t="s">
        <v>22</v>
      </c>
      <c r="E32" s="57">
        <f>SUM(E25:E31)</f>
        <v>1</v>
      </c>
      <c r="F32" s="57">
        <f t="shared" ref="F32:I32" si="1">SUM(F25:F31)</f>
        <v>1</v>
      </c>
      <c r="G32" s="57">
        <f t="shared" si="1"/>
        <v>1</v>
      </c>
      <c r="H32" s="57">
        <f t="shared" si="1"/>
        <v>1</v>
      </c>
      <c r="I32" s="58">
        <f t="shared" si="1"/>
        <v>1</v>
      </c>
      <c r="K32" s="14" t="s">
        <v>105</v>
      </c>
    </row>
    <row r="33" spans="4:17" ht="16.5" thickBot="1" x14ac:dyDescent="0.3"/>
    <row r="34" spans="4:17" ht="32.25" thickBot="1" x14ac:dyDescent="0.3">
      <c r="D34" s="18"/>
      <c r="E34" s="121" t="s">
        <v>32</v>
      </c>
      <c r="F34" s="96" t="s">
        <v>72</v>
      </c>
      <c r="G34" s="117" t="s">
        <v>19</v>
      </c>
      <c r="H34" s="93" t="s">
        <v>20</v>
      </c>
      <c r="I34" s="122" t="s">
        <v>21</v>
      </c>
      <c r="K34" t="s">
        <v>84</v>
      </c>
      <c r="M34" s="8" t="s">
        <v>95</v>
      </c>
      <c r="N34">
        <v>400</v>
      </c>
    </row>
    <row r="35" spans="4:17" ht="16.5" thickBot="1" x14ac:dyDescent="0.3">
      <c r="D35" s="63" t="s">
        <v>78</v>
      </c>
      <c r="E35" s="62">
        <v>2012</v>
      </c>
      <c r="F35" s="60">
        <v>2030</v>
      </c>
      <c r="G35" s="60">
        <v>2030</v>
      </c>
      <c r="H35" s="60">
        <v>2030</v>
      </c>
      <c r="I35" s="61">
        <v>2030</v>
      </c>
      <c r="K35" t="s">
        <v>100</v>
      </c>
      <c r="M35" s="8" t="s">
        <v>81</v>
      </c>
      <c r="N35" s="11">
        <v>0.75</v>
      </c>
    </row>
    <row r="36" spans="4:17" x14ac:dyDescent="0.25">
      <c r="D36" s="64" t="s">
        <v>82</v>
      </c>
      <c r="E36" s="69">
        <f>E10*$N$25</f>
        <v>32760330</v>
      </c>
      <c r="F36" s="69">
        <f>F10*$N$25</f>
        <v>29816205.226615999</v>
      </c>
      <c r="G36" s="69">
        <f>G10*$N$25</f>
        <v>30785637.949805502</v>
      </c>
      <c r="H36" s="69">
        <f>H10*$N$25</f>
        <v>31011377.661732115</v>
      </c>
      <c r="I36" s="69">
        <f>I10*$N$25</f>
        <v>24657237.47377827</v>
      </c>
      <c r="K36" t="s">
        <v>101</v>
      </c>
      <c r="M36" s="8" t="s">
        <v>81</v>
      </c>
      <c r="N36" s="9">
        <v>9.9000000000000005E-2</v>
      </c>
      <c r="O36" s="126" t="s">
        <v>0</v>
      </c>
    </row>
    <row r="37" spans="4:17" x14ac:dyDescent="0.25">
      <c r="D37" s="20" t="s">
        <v>84</v>
      </c>
      <c r="E37" s="70">
        <f>E11*$N$26</f>
        <v>0</v>
      </c>
      <c r="F37" s="70">
        <f>F11*$N$26</f>
        <v>3557520</v>
      </c>
      <c r="G37" s="70">
        <f>G11*$N$26</f>
        <v>1185840</v>
      </c>
      <c r="H37" s="70">
        <f>H11*$N$26</f>
        <v>0</v>
      </c>
      <c r="I37" s="70">
        <f>I11*$N$26</f>
        <v>0</v>
      </c>
      <c r="K37" t="s">
        <v>106</v>
      </c>
      <c r="M37" s="8" t="s">
        <v>81</v>
      </c>
      <c r="N37" s="9">
        <v>5.6000000000000001E-2</v>
      </c>
      <c r="O37" s="16" t="s">
        <v>24</v>
      </c>
    </row>
    <row r="38" spans="4:17" x14ac:dyDescent="0.25">
      <c r="D38" s="20" t="s">
        <v>86</v>
      </c>
      <c r="E38" s="70">
        <v>0</v>
      </c>
      <c r="F38" s="70">
        <v>0</v>
      </c>
      <c r="G38" s="70">
        <v>0</v>
      </c>
      <c r="H38" s="70">
        <v>0</v>
      </c>
      <c r="I38" s="27"/>
    </row>
    <row r="39" spans="4:17" x14ac:dyDescent="0.25">
      <c r="D39" s="20" t="s">
        <v>87</v>
      </c>
      <c r="E39" s="70">
        <v>0</v>
      </c>
      <c r="F39" s="70">
        <v>0</v>
      </c>
      <c r="G39" s="70">
        <v>0</v>
      </c>
      <c r="H39" s="70">
        <v>0</v>
      </c>
      <c r="I39" s="27"/>
      <c r="K39" s="14"/>
      <c r="O39" s="127"/>
      <c r="Q39" s="9"/>
    </row>
    <row r="40" spans="4:17" x14ac:dyDescent="0.25">
      <c r="D40" s="20" t="s">
        <v>93</v>
      </c>
      <c r="E40" s="70">
        <f>E14*$N$27</f>
        <v>45000</v>
      </c>
      <c r="F40" s="70">
        <f>F14*$N$27</f>
        <v>45000</v>
      </c>
      <c r="G40" s="70">
        <f>G14*$N$27</f>
        <v>45000</v>
      </c>
      <c r="H40" s="70">
        <f>H14*$N$27</f>
        <v>45000</v>
      </c>
      <c r="I40" s="70">
        <f>I14*$N$27</f>
        <v>45000</v>
      </c>
      <c r="K40" s="14" t="s">
        <v>107</v>
      </c>
      <c r="O40" s="128"/>
    </row>
    <row r="41" spans="4:17" x14ac:dyDescent="0.25">
      <c r="D41" s="20" t="s">
        <v>90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</row>
    <row r="42" spans="4:17" ht="31.5" x14ac:dyDescent="0.25">
      <c r="D42" s="20" t="s">
        <v>91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K42" t="s">
        <v>101</v>
      </c>
      <c r="M42" s="8" t="s">
        <v>81</v>
      </c>
      <c r="N42" s="9">
        <v>0.125</v>
      </c>
      <c r="O42" s="126" t="s">
        <v>1</v>
      </c>
    </row>
    <row r="43" spans="4:17" ht="31.5" x14ac:dyDescent="0.25">
      <c r="D43" s="21" t="s">
        <v>33</v>
      </c>
      <c r="E43" s="70">
        <f>E36+E37</f>
        <v>32760330</v>
      </c>
      <c r="F43" s="70">
        <f>F36+F37</f>
        <v>33373725.226615999</v>
      </c>
      <c r="G43" s="70">
        <f>G36+G37</f>
        <v>31971477.949805502</v>
      </c>
      <c r="H43" s="70">
        <f>H36+H37</f>
        <v>31011377.661732115</v>
      </c>
      <c r="I43" s="70">
        <f>I36+I37</f>
        <v>24657237.47377827</v>
      </c>
      <c r="K43" t="s">
        <v>106</v>
      </c>
      <c r="M43" s="8" t="s">
        <v>81</v>
      </c>
      <c r="N43" s="9">
        <v>6.1499999999999999E-2</v>
      </c>
      <c r="O43" s="16" t="s">
        <v>5</v>
      </c>
    </row>
    <row r="44" spans="4:17" ht="31.5" x14ac:dyDescent="0.25">
      <c r="D44" s="21" t="s">
        <v>42</v>
      </c>
      <c r="E44" s="70">
        <f>SUM(E10,E11,E15,E16)+0.06*E12</f>
        <v>33710066.899999999</v>
      </c>
      <c r="F44" s="70">
        <f t="shared" ref="F44:I44" si="2">SUM(F10,F11,F15,F16)+0.06*F12</f>
        <v>41407951.846616</v>
      </c>
      <c r="G44" s="70">
        <f t="shared" si="2"/>
        <v>41407951.846616</v>
      </c>
      <c r="H44" s="70">
        <f t="shared" si="2"/>
        <v>41407951.846616</v>
      </c>
      <c r="I44" s="70">
        <f t="shared" si="2"/>
        <v>41407951.846615992</v>
      </c>
      <c r="N44" s="9"/>
      <c r="O44" s="16"/>
    </row>
    <row r="45" spans="4:17" ht="32.25" thickBot="1" x14ac:dyDescent="0.3">
      <c r="D45" s="65" t="s">
        <v>34</v>
      </c>
      <c r="E45" s="71">
        <f>(E36+E37)/E44*$N$29</f>
        <v>1943.6526244330889</v>
      </c>
      <c r="F45" s="71">
        <f>(F36+F37)/F44*$N$29</f>
        <v>1611.9476447538138</v>
      </c>
      <c r="G45" s="71">
        <f>(G36+G37)/G44*$N$29</f>
        <v>1544.2192392531156</v>
      </c>
      <c r="H45" s="71">
        <f>(H36+H37)/H44*$N$29</f>
        <v>1497.8464898049031</v>
      </c>
      <c r="I45" s="71">
        <f>(I36+I37)/I44*$N$29</f>
        <v>1190.9421439202795</v>
      </c>
    </row>
    <row r="46" spans="4:17" ht="16.5" thickBot="1" x14ac:dyDescent="0.3">
      <c r="D46" s="66"/>
      <c r="E46" s="67"/>
      <c r="F46" s="67"/>
      <c r="G46" s="67"/>
      <c r="H46" s="67"/>
      <c r="I46" s="68"/>
      <c r="K46" s="14" t="s">
        <v>108</v>
      </c>
    </row>
    <row r="47" spans="4:17" ht="31.5" x14ac:dyDescent="0.25">
      <c r="D47" s="19" t="s">
        <v>35</v>
      </c>
      <c r="E47" s="73" t="s">
        <v>36</v>
      </c>
      <c r="F47" s="74">
        <f>($E36-(F36+F37))*-1</f>
        <v>613395.22661599889</v>
      </c>
      <c r="G47" s="74">
        <f>($E36-(G36+G37))*-1</f>
        <v>-788852.05019449815</v>
      </c>
      <c r="H47" s="74">
        <f>($E36-(H36+H37))*-1</f>
        <v>-1748952.3382678851</v>
      </c>
      <c r="I47" s="75">
        <f>($E36-(I36+I37))*-1</f>
        <v>-8103092.5262217298</v>
      </c>
    </row>
    <row r="48" spans="4:17" ht="31.5" x14ac:dyDescent="0.25">
      <c r="D48" s="20" t="s">
        <v>37</v>
      </c>
      <c r="E48" s="76" t="s">
        <v>38</v>
      </c>
      <c r="F48" s="59">
        <f>F43/$E43-1</f>
        <v>1.872371940746631E-2</v>
      </c>
      <c r="G48" s="59">
        <f>G43/$E43-1</f>
        <v>-2.4079490352951205E-2</v>
      </c>
      <c r="H48" s="59">
        <f>H43/$E43-1</f>
        <v>-5.338628573851012E-2</v>
      </c>
      <c r="I48" s="77">
        <f>I43/$E43-1</f>
        <v>-0.24734465514302606</v>
      </c>
      <c r="K48" t="s">
        <v>101</v>
      </c>
      <c r="M48" s="8" t="s">
        <v>113</v>
      </c>
      <c r="N48" s="15">
        <v>0.17799999999999999</v>
      </c>
      <c r="O48" s="4" t="s">
        <v>70</v>
      </c>
    </row>
    <row r="49" spans="4:15" ht="32.25" thickBot="1" x14ac:dyDescent="0.3">
      <c r="D49" s="72" t="s">
        <v>39</v>
      </c>
      <c r="E49" s="78" t="s">
        <v>40</v>
      </c>
      <c r="F49" s="79">
        <f>F45/$E45-1</f>
        <v>-0.17066062912143287</v>
      </c>
      <c r="G49" s="79">
        <f>G45/$E45-1</f>
        <v>-0.2055065705459983</v>
      </c>
      <c r="H49" s="79">
        <f>H45/$E45-1</f>
        <v>-0.22936512884251403</v>
      </c>
      <c r="I49" s="80">
        <f>I45/$E45-1</f>
        <v>-0.38726595022727106</v>
      </c>
      <c r="K49" t="s">
        <v>106</v>
      </c>
      <c r="M49" s="8" t="s">
        <v>81</v>
      </c>
      <c r="N49" s="15">
        <v>0.13</v>
      </c>
      <c r="O49" s="4" t="s">
        <v>7</v>
      </c>
    </row>
    <row r="50" spans="4:15" x14ac:dyDescent="0.25">
      <c r="O50" s="129"/>
    </row>
    <row r="51" spans="4:15" ht="16.5" thickBot="1" x14ac:dyDescent="0.3"/>
    <row r="52" spans="4:15" ht="16.5" thickBot="1" x14ac:dyDescent="0.3">
      <c r="E52" s="132" t="s">
        <v>52</v>
      </c>
      <c r="F52" s="133"/>
      <c r="G52" s="133"/>
      <c r="H52" s="133"/>
      <c r="I52" s="134"/>
    </row>
    <row r="53" spans="4:15" ht="45.95" customHeight="1" thickBot="1" x14ac:dyDescent="0.3">
      <c r="E53" s="10"/>
      <c r="F53" s="96" t="s">
        <v>72</v>
      </c>
      <c r="G53" s="93" t="s">
        <v>19</v>
      </c>
      <c r="H53" s="93" t="s">
        <v>20</v>
      </c>
      <c r="I53" s="95" t="s">
        <v>21</v>
      </c>
      <c r="K53" s="131" t="s">
        <v>55</v>
      </c>
      <c r="L53" s="131"/>
    </row>
    <row r="54" spans="4:15" x14ac:dyDescent="0.25">
      <c r="E54" s="81" t="s">
        <v>109</v>
      </c>
      <c r="F54" s="85">
        <f>F16*$N$57*1000</f>
        <v>69674688</v>
      </c>
      <c r="G54" s="85">
        <f>G16*$N$57*1000</f>
        <v>292865720.59704965</v>
      </c>
      <c r="H54" s="85">
        <f>H16*$N$57*1000</f>
        <v>321629318.15568841</v>
      </c>
      <c r="I54" s="85">
        <f>I16*$N$57*1000</f>
        <v>679866851.38600814</v>
      </c>
      <c r="K54" t="s">
        <v>56</v>
      </c>
    </row>
    <row r="55" spans="4:15" x14ac:dyDescent="0.25">
      <c r="E55" s="82" t="s">
        <v>90</v>
      </c>
      <c r="F55" s="86">
        <f>F15*$N$58*1000</f>
        <v>140778000</v>
      </c>
      <c r="G55" s="86">
        <f>G15*$N$58*1000</f>
        <v>264921417.05039999</v>
      </c>
      <c r="H55" s="86">
        <f>H15*$N$58*1000</f>
        <v>392230875.79961991</v>
      </c>
      <c r="I55" s="86">
        <f>I15*$N$58*1000</f>
        <v>558536767.13865876</v>
      </c>
      <c r="K55" s="13" t="s">
        <v>57</v>
      </c>
    </row>
    <row r="56" spans="4:15" x14ac:dyDescent="0.25">
      <c r="E56" s="82" t="s">
        <v>59</v>
      </c>
      <c r="F56" s="86">
        <f>F11*$N$56*1000</f>
        <v>798465600.00000012</v>
      </c>
      <c r="G56" s="86">
        <f>G11*$N$56*1000</f>
        <v>266155200</v>
      </c>
      <c r="H56" s="86">
        <f>H11*$N$56*1000</f>
        <v>0</v>
      </c>
      <c r="I56" s="86">
        <f>I11*$N$56*1000</f>
        <v>0</v>
      </c>
      <c r="L56" t="s">
        <v>59</v>
      </c>
      <c r="M56" s="8" t="s">
        <v>58</v>
      </c>
      <c r="N56" s="109">
        <v>0.10100000000000001</v>
      </c>
      <c r="O56" s="4" t="s">
        <v>61</v>
      </c>
    </row>
    <row r="57" spans="4:15" ht="31.5" x14ac:dyDescent="0.25">
      <c r="E57" s="83" t="s">
        <v>53</v>
      </c>
      <c r="F57" s="86">
        <f>(F36-$E36)*$N$61</f>
        <v>-7007016.9606539225</v>
      </c>
      <c r="G57" s="86">
        <f>(G36-$E36)*$N$61</f>
        <v>-4699767.0794629054</v>
      </c>
      <c r="H57" s="86">
        <f>(H36-$E36)*$N$61</f>
        <v>-4162506.5650775665</v>
      </c>
      <c r="I57" s="86">
        <f>(I36-$E36)*$N$61</f>
        <v>-19285360.212407716</v>
      </c>
      <c r="L57" t="s">
        <v>109</v>
      </c>
      <c r="M57" s="8" t="s">
        <v>58</v>
      </c>
      <c r="N57" s="109">
        <v>0.1</v>
      </c>
      <c r="O57" s="4" t="s">
        <v>61</v>
      </c>
    </row>
    <row r="58" spans="4:15" ht="48" thickBot="1" x14ac:dyDescent="0.3">
      <c r="E58" s="84" t="s">
        <v>54</v>
      </c>
      <c r="F58" s="87">
        <f>(F45-$N$63)/$N$29*F17*$N$62</f>
        <v>35534885.613746479</v>
      </c>
      <c r="G58" s="87">
        <f>(G45-$N$63)/$N$29*G17*$N$62</f>
        <v>114656.53901223523</v>
      </c>
      <c r="H58" s="87">
        <f>(H45-$N$63)/$N$29*H17*$N$62</f>
        <v>-24137108.966732752</v>
      </c>
      <c r="I58" s="87">
        <f>(I45-$N$63)/$N$29*I17*$N$62</f>
        <v>-184640256.13077995</v>
      </c>
      <c r="L58" t="s">
        <v>60</v>
      </c>
      <c r="M58" s="8" t="s">
        <v>58</v>
      </c>
      <c r="N58" s="109">
        <v>0.06</v>
      </c>
      <c r="O58" s="4" t="s">
        <v>61</v>
      </c>
    </row>
    <row r="59" spans="4:15" x14ac:dyDescent="0.25">
      <c r="E59" s="130" t="s">
        <v>2</v>
      </c>
      <c r="F59" s="22">
        <f>SUM(F54:F58)</f>
        <v>1037446156.6530927</v>
      </c>
      <c r="G59" s="22">
        <f>SUM(G54:G58)</f>
        <v>819357227.10699892</v>
      </c>
      <c r="H59" s="22">
        <f>SUM(H54:H58)</f>
        <v>685560578.42349803</v>
      </c>
      <c r="I59" s="22">
        <f>SUM(I54:I58)</f>
        <v>1034478002.181479</v>
      </c>
      <c r="N59" s="109"/>
    </row>
    <row r="60" spans="4:15" ht="16.5" thickBot="1" x14ac:dyDescent="0.3">
      <c r="N60" s="109"/>
      <c r="O60" s="4" t="s">
        <v>61</v>
      </c>
    </row>
    <row r="61" spans="4:15" ht="16.5" thickBot="1" x14ac:dyDescent="0.3">
      <c r="F61" s="135" t="s">
        <v>68</v>
      </c>
      <c r="G61" s="133"/>
      <c r="H61" s="133"/>
      <c r="I61" s="134"/>
      <c r="K61" t="s">
        <v>62</v>
      </c>
      <c r="M61" s="8" t="s">
        <v>63</v>
      </c>
      <c r="N61" s="110">
        <v>2.38</v>
      </c>
      <c r="O61" s="4" t="s">
        <v>61</v>
      </c>
    </row>
    <row r="62" spans="4:15" ht="16.5" thickBot="1" x14ac:dyDescent="0.3">
      <c r="F62" s="17"/>
      <c r="G62" s="93" t="s">
        <v>19</v>
      </c>
      <c r="H62" s="93" t="s">
        <v>20</v>
      </c>
      <c r="I62" s="93" t="s">
        <v>21</v>
      </c>
      <c r="K62" t="s">
        <v>64</v>
      </c>
      <c r="M62" s="8" t="s">
        <v>65</v>
      </c>
      <c r="N62" s="111">
        <v>20</v>
      </c>
      <c r="O62" s="4" t="s">
        <v>61</v>
      </c>
    </row>
    <row r="63" spans="4:15" x14ac:dyDescent="0.25">
      <c r="F63" s="19" t="s">
        <v>109</v>
      </c>
      <c r="G63" s="85">
        <f t="shared" ref="G63:I67" si="3">G54-$F54</f>
        <v>223191032.59704965</v>
      </c>
      <c r="H63" s="90">
        <f t="shared" si="3"/>
        <v>251954630.15568841</v>
      </c>
      <c r="I63" s="85">
        <f t="shared" si="3"/>
        <v>610192163.38600814</v>
      </c>
      <c r="K63" t="s">
        <v>67</v>
      </c>
      <c r="M63" s="8" t="s">
        <v>66</v>
      </c>
      <c r="N63" s="8">
        <v>1544</v>
      </c>
      <c r="O63" s="4" t="s">
        <v>6</v>
      </c>
    </row>
    <row r="64" spans="4:15" x14ac:dyDescent="0.25">
      <c r="F64" s="20" t="s">
        <v>90</v>
      </c>
      <c r="G64" s="86">
        <f t="shared" si="3"/>
        <v>124143417.05039999</v>
      </c>
      <c r="H64" s="91">
        <f t="shared" si="3"/>
        <v>251452875.79961991</v>
      </c>
      <c r="I64" s="86">
        <f t="shared" si="3"/>
        <v>417758767.13865876</v>
      </c>
    </row>
    <row r="65" spans="6:9" x14ac:dyDescent="0.25">
      <c r="F65" s="20" t="s">
        <v>59</v>
      </c>
      <c r="G65" s="86">
        <f t="shared" si="3"/>
        <v>-532310400.00000012</v>
      </c>
      <c r="H65" s="91">
        <f t="shared" si="3"/>
        <v>-798465600.00000012</v>
      </c>
      <c r="I65" s="86">
        <f t="shared" si="3"/>
        <v>-798465600.00000012</v>
      </c>
    </row>
    <row r="66" spans="6:9" ht="31.5" x14ac:dyDescent="0.25">
      <c r="F66" s="21" t="s">
        <v>53</v>
      </c>
      <c r="G66" s="86">
        <f t="shared" si="3"/>
        <v>2307249.8811910171</v>
      </c>
      <c r="H66" s="91">
        <f t="shared" si="3"/>
        <v>2844510.395576356</v>
      </c>
      <c r="I66" s="86">
        <f t="shared" si="3"/>
        <v>-12278343.251753792</v>
      </c>
    </row>
    <row r="67" spans="6:9" ht="33" customHeight="1" thickBot="1" x14ac:dyDescent="0.3">
      <c r="F67" s="23" t="s">
        <v>54</v>
      </c>
      <c r="G67" s="87">
        <f t="shared" si="3"/>
        <v>-35420229.074734241</v>
      </c>
      <c r="H67" s="92">
        <f t="shared" si="3"/>
        <v>-59671994.580479234</v>
      </c>
      <c r="I67" s="87">
        <f t="shared" si="3"/>
        <v>-220175141.74452645</v>
      </c>
    </row>
    <row r="68" spans="6:9" ht="16.5" thickBot="1" x14ac:dyDescent="0.3">
      <c r="F68" s="38" t="s">
        <v>18</v>
      </c>
      <c r="G68" s="88">
        <f>SUM(G63:G67)</f>
        <v>-218088929.54609373</v>
      </c>
      <c r="H68" s="88">
        <f>SUM(H63:H67)</f>
        <v>-351885578.22959471</v>
      </c>
      <c r="I68" s="89">
        <f>SUM(I63:I67)</f>
        <v>-2968154.4716134667</v>
      </c>
    </row>
    <row r="70" spans="6:9" x14ac:dyDescent="0.25">
      <c r="G70" s="114"/>
      <c r="H70" s="114"/>
      <c r="I70" s="114"/>
    </row>
    <row r="73" spans="6:9" x14ac:dyDescent="0.25">
      <c r="F73" s="112"/>
      <c r="G73" s="113"/>
      <c r="H73" s="113"/>
      <c r="I73" s="113"/>
    </row>
  </sheetData>
  <mergeCells count="4">
    <mergeCell ref="K53:L53"/>
    <mergeCell ref="E52:I52"/>
    <mergeCell ref="F61:I61"/>
    <mergeCell ref="L14:O14"/>
  </mergeCells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Benita Juarez</dc:creator>
  <cp:lastModifiedBy>Andrew Linhares</cp:lastModifiedBy>
  <cp:lastPrinted>2014-09-17T00:55:33Z</cp:lastPrinted>
  <dcterms:created xsi:type="dcterms:W3CDTF">2014-09-15T22:22:50Z</dcterms:created>
  <dcterms:modified xsi:type="dcterms:W3CDTF">2014-09-17T02:30:20Z</dcterms:modified>
</cp:coreProperties>
</file>