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firstSheet="5" activeTab="10"/>
  </bookViews>
  <sheets>
    <sheet name="Summary Data" sheetId="1" r:id="rId1"/>
    <sheet name="Input Data" sheetId="2" r:id="rId2"/>
    <sheet name="Beginning Arrears" sheetId="3" r:id="rId3"/>
    <sheet name="December 2001" sheetId="4" r:id="rId4"/>
    <sheet name="January 2002" sheetId="5" r:id="rId5"/>
    <sheet name="February 2002" sheetId="6" r:id="rId6"/>
    <sheet name="March 2002" sheetId="7" r:id="rId7"/>
    <sheet name="April 2002" sheetId="8" r:id="rId8"/>
    <sheet name="May 2002" sheetId="9" r:id="rId9"/>
    <sheet name="June 2002" sheetId="10" r:id="rId10"/>
    <sheet name="July 2002" sheetId="11" r:id="rId11"/>
    <sheet name="August 2002" sheetId="12" r:id="rId12"/>
    <sheet name="September 2002" sheetId="13" r:id="rId13"/>
    <sheet name="October 2002" sheetId="14" r:id="rId14"/>
    <sheet name="November 2002" sheetId="15" r:id="rId15"/>
    <sheet name="December 2002" sheetId="16" r:id="rId16"/>
    <sheet name="January 2003" sheetId="17" r:id="rId17"/>
    <sheet name="February 2003" sheetId="18" r:id="rId18"/>
    <sheet name="March 2003" sheetId="19" r:id="rId19"/>
    <sheet name="April 2003" sheetId="20" r:id="rId20"/>
    <sheet name="May 2003" sheetId="21" r:id="rId21"/>
    <sheet name="June 2003" sheetId="22" r:id="rId22"/>
    <sheet name="July 2003" sheetId="23" r:id="rId23"/>
    <sheet name="August 2003" sheetId="24" r:id="rId24"/>
    <sheet name="Sheet2" sheetId="25" r:id="rId25"/>
    <sheet name="Sheet3" sheetId="26" r:id="rId26"/>
  </sheets>
  <externalReferences>
    <externalReference r:id="rId29"/>
  </externalReferences>
  <definedNames/>
  <calcPr fullCalcOnLoad="1"/>
</workbook>
</file>

<file path=xl/sharedStrings.xml><?xml version="1.0" encoding="utf-8"?>
<sst xmlns="http://schemas.openxmlformats.org/spreadsheetml/2006/main" count="991" uniqueCount="84">
  <si>
    <t>30-day Arrears</t>
  </si>
  <si>
    <t>60-day arrears</t>
  </si>
  <si>
    <t>90-day arrears</t>
  </si>
  <si>
    <t>Dollars</t>
  </si>
  <si>
    <t>Working capital per $1,000</t>
  </si>
  <si>
    <t>$1,000 increments</t>
  </si>
  <si>
    <t>Total working capital expense</t>
  </si>
  <si>
    <t>Cost savings</t>
  </si>
  <si>
    <t>Total</t>
  </si>
  <si>
    <t>Beginning Arrears</t>
  </si>
  <si>
    <t>Dollars adjusted for charge-offs</t>
  </si>
  <si>
    <t>Collectability factor</t>
  </si>
  <si>
    <t>Uncollectable rate</t>
  </si>
  <si>
    <t>Uncollectable dollars</t>
  </si>
  <si>
    <t>Charge-offs</t>
  </si>
  <si>
    <t>Total program cost</t>
  </si>
  <si>
    <t>30-day</t>
  </si>
  <si>
    <t>60-day</t>
  </si>
  <si>
    <t>90-day</t>
  </si>
  <si>
    <t>Dollars in Arrears</t>
  </si>
  <si>
    <t>Total Arrears ($s)</t>
  </si>
  <si>
    <t>Total Arrears($s)</t>
  </si>
  <si>
    <t>Total Arrears</t>
  </si>
  <si>
    <t>Avoided DNPs</t>
  </si>
  <si>
    <t xml:space="preserve">  Cost per DNP</t>
  </si>
  <si>
    <t xml:space="preserve">  Total cost of DNPs</t>
  </si>
  <si>
    <t xml:space="preserve">  DNPs</t>
  </si>
  <si>
    <t>Total Annual</t>
  </si>
  <si>
    <t>Annual savings per participant</t>
  </si>
  <si>
    <t>Cost Savings</t>
  </si>
  <si>
    <t>Avoided Collection Costs</t>
  </si>
  <si>
    <t xml:space="preserve">  Total number of accounts</t>
  </si>
  <si>
    <t xml:space="preserve">  Accounts in arrears</t>
  </si>
  <si>
    <t xml:space="preserve">  Cost per account in arrears</t>
  </si>
  <si>
    <t xml:space="preserve">  Total non-DNP collection cost</t>
  </si>
  <si>
    <t>Total accounts</t>
  </si>
  <si>
    <t xml:space="preserve">   Percentage accounts in arrears</t>
  </si>
  <si>
    <t xml:space="preserve">   Number of accounts in arrears</t>
  </si>
  <si>
    <t xml:space="preserve">   Average dollars of accounts in arrears</t>
  </si>
  <si>
    <t>Month-to-Month</t>
  </si>
  <si>
    <t>Working Capital</t>
  </si>
  <si>
    <t>30-day arrears</t>
  </si>
  <si>
    <t>Working Capital Until Charge-off</t>
  </si>
  <si>
    <t>Total beginning arrears</t>
  </si>
  <si>
    <t xml:space="preserve">   Total write-off</t>
  </si>
  <si>
    <t xml:space="preserve">   Working capital per $1,000 arrears written off</t>
  </si>
  <si>
    <t xml:space="preserve">   Working capital for write-offs</t>
  </si>
  <si>
    <t>Collectability rate</t>
  </si>
  <si>
    <t xml:space="preserve">   Collectability rate</t>
  </si>
  <si>
    <t>Working capital cost savings</t>
  </si>
  <si>
    <t>Charge-off cost savings</t>
  </si>
  <si>
    <t>Charge-offs Wkg Cap</t>
  </si>
  <si>
    <t>Charge-offs Working Capital</t>
  </si>
  <si>
    <t>Total charge-offs</t>
  </si>
  <si>
    <t>Uncollectible rate</t>
  </si>
  <si>
    <t>Annual average</t>
  </si>
  <si>
    <t>Collection Savings</t>
  </si>
  <si>
    <t>Disconnection Savings</t>
  </si>
  <si>
    <t>Monthly Arrears: Working Capital</t>
  </si>
  <si>
    <t>Arrears Wkg Cap</t>
  </si>
  <si>
    <t>Incremental uncollectable rate</t>
  </si>
  <si>
    <t>Percent of Accounts in Arrears</t>
  </si>
  <si>
    <t>Dollars of Arrears per Account</t>
  </si>
  <si>
    <t>DNPs per 100 Accts in Arrears</t>
  </si>
  <si>
    <t>Reduce EA to ELIR customers</t>
  </si>
  <si>
    <t>Total program savings</t>
  </si>
  <si>
    <t>Net program cost per participant</t>
  </si>
  <si>
    <t>Net program cost</t>
  </si>
  <si>
    <t>Average number program participants</t>
  </si>
  <si>
    <t>EA Population</t>
  </si>
  <si>
    <t>ELIR population</t>
  </si>
  <si>
    <t>EA Accounts</t>
  </si>
  <si>
    <t>ELIP Accounts</t>
  </si>
  <si>
    <t>EA population</t>
  </si>
  <si>
    <t>ELIP population</t>
  </si>
  <si>
    <t xml:space="preserve">  No. accts in arrears (100 increments)</t>
  </si>
  <si>
    <t>Accounts by Month</t>
  </si>
  <si>
    <t>Percentage of accounts in arrears (EA)</t>
  </si>
  <si>
    <t>Percentage of accounts in arrears (ELIP)</t>
  </si>
  <si>
    <t>Average</t>
  </si>
  <si>
    <t>DNP per 100 Accts in Arrears (EA)</t>
  </si>
  <si>
    <t>DNP per 100 Accts in Arrears (ELIP)</t>
  </si>
  <si>
    <t>EA</t>
  </si>
  <si>
    <t>ELIR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</si>
</sst>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&quot;$&quot;#,##0.0"/>
    <numFmt numFmtId="168" formatCode="#,##0.0"/>
    <numFmt numFmtId="169" formatCode="0.000"/>
    <numFmt numFmtId="170" formatCode="#,##0.000"/>
    <numFmt numFmtId="171" formatCode="0.000%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"/>
    <numFmt numFmtId="179" formatCode="mmmm\-yy"/>
  </numFmts>
  <fonts count="4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 style="medium"/>
      <right style="medium"/>
      <top style="mediumDashed"/>
      <bottom style="medium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Dashed"/>
      <top style="mediumDashed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Dash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164" fontId="0" fillId="0" borderId="0" xfId="0" applyNumberFormat="1" applyBorder="1" applyAlignment="1">
      <alignment horizontal="center"/>
    </xf>
    <xf numFmtId="9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9" fontId="0" fillId="0" borderId="23" xfId="0" applyNumberFormat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2" borderId="0" xfId="0" applyFill="1" applyAlignment="1">
      <alignment horizontal="center"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9" fontId="0" fillId="0" borderId="29" xfId="0" applyNumberFormat="1" applyBorder="1" applyAlignment="1">
      <alignment/>
    </xf>
    <xf numFmtId="10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165" fontId="0" fillId="0" borderId="31" xfId="0" applyNumberFormat="1" applyBorder="1" applyAlignment="1">
      <alignment/>
    </xf>
    <xf numFmtId="165" fontId="0" fillId="0" borderId="32" xfId="0" applyNumberFormat="1" applyBorder="1" applyAlignment="1">
      <alignment horizontal="center"/>
    </xf>
    <xf numFmtId="171" fontId="0" fillId="0" borderId="9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9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171" fontId="0" fillId="0" borderId="0" xfId="0" applyNumberFormat="1" applyBorder="1" applyAlignment="1">
      <alignment/>
    </xf>
    <xf numFmtId="171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171" fontId="0" fillId="0" borderId="8" xfId="0" applyNumberFormat="1" applyBorder="1" applyAlignment="1">
      <alignment/>
    </xf>
    <xf numFmtId="179" fontId="0" fillId="0" borderId="5" xfId="0" applyNumberFormat="1" applyBorder="1" applyAlignment="1">
      <alignment/>
    </xf>
    <xf numFmtId="179" fontId="0" fillId="0" borderId="7" xfId="0" applyNumberFormat="1" applyBorder="1" applyAlignment="1">
      <alignment/>
    </xf>
    <xf numFmtId="179" fontId="0" fillId="0" borderId="0" xfId="0" applyNumberFormat="1" applyAlignment="1">
      <alignment/>
    </xf>
    <xf numFmtId="179" fontId="1" fillId="0" borderId="0" xfId="0" applyNumberFormat="1" applyFont="1" applyAlignment="1">
      <alignment/>
    </xf>
    <xf numFmtId="0" fontId="0" fillId="2" borderId="0" xfId="0" applyFill="1" applyAlignment="1">
      <alignment/>
    </xf>
    <xf numFmtId="179" fontId="0" fillId="0" borderId="5" xfId="0" applyNumberFormat="1" applyBorder="1" applyAlignment="1">
      <alignment horizontal="left"/>
    </xf>
    <xf numFmtId="179" fontId="0" fillId="0" borderId="7" xfId="0" applyNumberFormat="1" applyBorder="1" applyAlignment="1">
      <alignment horizontal="left"/>
    </xf>
    <xf numFmtId="3" fontId="0" fillId="0" borderId="2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0" fillId="0" borderId="36" xfId="0" applyBorder="1" applyAlignment="1">
      <alignment/>
    </xf>
    <xf numFmtId="9" fontId="0" fillId="0" borderId="37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6" fontId="0" fillId="0" borderId="6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65" fontId="0" fillId="0" borderId="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meiseb\Temporary%20Internet%20Files\OLK1A\MGE%20payment%20problem%20cos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Working Capital"/>
    </sheetNames>
    <sheetDataSet>
      <sheetData sheetId="1">
        <row r="26">
          <cell r="C26">
            <v>45.67868031566741</v>
          </cell>
          <cell r="D26">
            <v>36.059797012539775</v>
          </cell>
          <cell r="E26">
            <v>3.0851720988794114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workbookViewId="0" topLeftCell="A1">
      <pane xSplit="1" ySplit="2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1" sqref="D31"/>
    </sheetView>
  </sheetViews>
  <sheetFormatPr defaultColWidth="9.140625" defaultRowHeight="12.75"/>
  <cols>
    <col min="1" max="1" width="31.7109375" style="0" customWidth="1"/>
    <col min="2" max="3" width="25.7109375" style="0" customWidth="1"/>
    <col min="4" max="4" width="25.00390625" style="0" bestFit="1" customWidth="1"/>
    <col min="5" max="6" width="18.57421875" style="0" customWidth="1"/>
    <col min="7" max="7" width="21.57421875" style="0" customWidth="1"/>
    <col min="8" max="9" width="16.7109375" style="0" customWidth="1"/>
    <col min="12" max="12" width="15.28125" style="0" bestFit="1" customWidth="1"/>
  </cols>
  <sheetData>
    <row r="1" spans="2:8" ht="12.75">
      <c r="B1" s="120" t="s">
        <v>9</v>
      </c>
      <c r="C1" s="120"/>
      <c r="D1" s="120" t="s">
        <v>39</v>
      </c>
      <c r="E1" s="120"/>
      <c r="F1" s="120"/>
      <c r="G1" s="120"/>
      <c r="H1" s="120"/>
    </row>
    <row r="2" spans="1:9" ht="18">
      <c r="A2" s="6" t="s">
        <v>29</v>
      </c>
      <c r="B2" s="45" t="s">
        <v>40</v>
      </c>
      <c r="C2" s="45" t="s">
        <v>14</v>
      </c>
      <c r="D2" s="29" t="s">
        <v>59</v>
      </c>
      <c r="E2" s="29" t="s">
        <v>51</v>
      </c>
      <c r="F2" s="29" t="s">
        <v>14</v>
      </c>
      <c r="G2" s="29" t="s">
        <v>30</v>
      </c>
      <c r="H2" s="29" t="s">
        <v>23</v>
      </c>
      <c r="I2" s="29" t="s">
        <v>8</v>
      </c>
    </row>
    <row r="3" spans="1:9" ht="12.75">
      <c r="A3" s="99">
        <v>37226</v>
      </c>
      <c r="B3" s="30">
        <f>'Beginning Arrears'!K19</f>
        <v>52.20488146949997</v>
      </c>
      <c r="C3" s="30">
        <f>'Beginning Arrears'!K21</f>
        <v>2980.5813000000007</v>
      </c>
      <c r="D3" s="30">
        <f>'December 2001'!H18</f>
        <v>744.3919056499996</v>
      </c>
      <c r="E3" s="30">
        <f>'December 2001'!H40</f>
        <v>40.88747316831704</v>
      </c>
      <c r="F3" s="30">
        <f>'December 2001'!D40</f>
        <v>2011.3400000000004</v>
      </c>
      <c r="G3" s="30">
        <f>'December 2001'!H56</f>
        <v>1553.8351999999995</v>
      </c>
      <c r="H3" s="30">
        <f>'December 2001'!C56</f>
        <v>-203.71812160000002</v>
      </c>
      <c r="I3" s="30">
        <f>SUM(B3:H3)</f>
        <v>7179.522638687818</v>
      </c>
    </row>
    <row r="4" spans="1:9" ht="12.75">
      <c r="A4" s="99">
        <v>37257</v>
      </c>
      <c r="B4" s="101"/>
      <c r="C4" s="101"/>
      <c r="D4" s="30">
        <f>'January 2002'!H18</f>
        <v>879.2239763625</v>
      </c>
      <c r="E4" s="30">
        <f>'January 2002'!H40</f>
        <v>48.29344122310411</v>
      </c>
      <c r="F4" s="30">
        <f>'January 2002'!D40</f>
        <v>2375.655000000001</v>
      </c>
      <c r="G4" s="30">
        <f>'January 2002'!H56</f>
        <v>2369.5728</v>
      </c>
      <c r="H4" s="30">
        <f>'January 2002'!C56</f>
        <v>242.51026320000003</v>
      </c>
      <c r="I4" s="30">
        <f>SUM(B4:H4)</f>
        <v>5915.255480785605</v>
      </c>
    </row>
    <row r="5" spans="1:9" ht="12.75">
      <c r="A5" s="99">
        <v>37288</v>
      </c>
      <c r="B5" s="56"/>
      <c r="C5" s="56"/>
      <c r="D5" s="30">
        <f>'February 2002'!H18</f>
        <v>882.3357561425</v>
      </c>
      <c r="E5" s="30">
        <f>'February 2002'!H40</f>
        <v>48.464363033637994</v>
      </c>
      <c r="F5" s="30">
        <f>'February 2002'!D40</f>
        <v>2384.0630000000015</v>
      </c>
      <c r="G5" s="30">
        <f>'February 2002'!H56</f>
        <v>1997.0302000000006</v>
      </c>
      <c r="H5" s="30">
        <f>'February 2002'!C58</f>
        <v>56.10512820000004</v>
      </c>
      <c r="I5" s="30">
        <f aca="true" t="shared" si="0" ref="I5:I23">SUM(B5:H5)</f>
        <v>5367.998447376141</v>
      </c>
    </row>
    <row r="6" spans="1:9" ht="12.75">
      <c r="A6" s="99">
        <v>37316</v>
      </c>
      <c r="B6" s="56"/>
      <c r="C6" s="56"/>
      <c r="D6" s="30">
        <f>'March 2002'!H18</f>
        <v>897.5574962199998</v>
      </c>
      <c r="E6" s="30">
        <f>'March 2002'!H40</f>
        <v>49.30045284636965</v>
      </c>
      <c r="F6" s="30">
        <f>'March 2002'!D40</f>
        <v>2425.1920000000014</v>
      </c>
      <c r="G6" s="30">
        <f>'March 2002'!H56</f>
        <v>1941.5176000000001</v>
      </c>
      <c r="H6" s="30">
        <f>'March 2002'!C56</f>
        <v>950.41474</v>
      </c>
      <c r="I6" s="30">
        <f t="shared" si="0"/>
        <v>6263.982289066371</v>
      </c>
    </row>
    <row r="7" spans="1:9" ht="12.75">
      <c r="A7" s="99">
        <v>37347</v>
      </c>
      <c r="B7" s="56"/>
      <c r="C7" s="56"/>
      <c r="D7" s="30">
        <f>'April 2002'!H18</f>
        <v>703.1476851037498</v>
      </c>
      <c r="E7" s="30">
        <f>'April 2002'!H40</f>
        <v>38.62203751791134</v>
      </c>
      <c r="F7" s="30">
        <f>'April 2002'!D40</f>
        <v>1899.8985000000007</v>
      </c>
      <c r="G7" s="30">
        <f>'April 2002'!H56</f>
        <v>1511.2625999999996</v>
      </c>
      <c r="H7" s="30">
        <f>'April 2002'!C56</f>
        <v>805.0338822</v>
      </c>
      <c r="I7" s="30">
        <f t="shared" si="0"/>
        <v>4957.964704821662</v>
      </c>
    </row>
    <row r="8" spans="1:9" ht="12.75">
      <c r="A8" s="99">
        <v>37377</v>
      </c>
      <c r="B8" s="56"/>
      <c r="C8" s="56"/>
      <c r="D8" s="30">
        <f>'May 2002'!H18</f>
        <v>856.7153866075004</v>
      </c>
      <c r="E8" s="30">
        <f>'May 2002'!H40</f>
        <v>47.05710408311251</v>
      </c>
      <c r="F8" s="30">
        <f>'May 2002'!D40</f>
        <v>2314.837000000002</v>
      </c>
      <c r="G8" s="30">
        <f>'May 2002'!H56</f>
        <v>2334.8936000000003</v>
      </c>
      <c r="H8" s="30">
        <f>'May 2002'!C56</f>
        <v>686.2471872000002</v>
      </c>
      <c r="I8" s="30">
        <f t="shared" si="0"/>
        <v>6239.7502778906155</v>
      </c>
    </row>
    <row r="9" spans="1:9" ht="12.75">
      <c r="A9" s="99">
        <v>37408</v>
      </c>
      <c r="B9" s="56"/>
      <c r="C9" s="56"/>
      <c r="D9" s="30">
        <f>'June 2002'!H18</f>
        <v>939.5946506600003</v>
      </c>
      <c r="E9" s="30">
        <f>'June 2002'!H40</f>
        <v>51.60944225261132</v>
      </c>
      <c r="F9" s="30">
        <f>'June 2002'!D40</f>
        <v>2538.7760000000017</v>
      </c>
      <c r="G9" s="30">
        <f>'June 2002'!H56</f>
        <v>2923.4048</v>
      </c>
      <c r="H9" s="30">
        <f>'June 2002'!C56</f>
        <v>8048.833766400001</v>
      </c>
      <c r="I9" s="30">
        <f t="shared" si="0"/>
        <v>14502.218659312613</v>
      </c>
    </row>
    <row r="10" spans="1:9" ht="12.75">
      <c r="A10" s="99">
        <v>37438</v>
      </c>
      <c r="B10" s="56"/>
      <c r="C10" s="56"/>
      <c r="D10" s="30">
        <f>'July 2002'!H18</f>
        <v>889.9401494750002</v>
      </c>
      <c r="E10" s="30">
        <f>'July 2002'!H40</f>
        <v>48.88205219170644</v>
      </c>
      <c r="F10" s="30">
        <f>'July 2002'!D40</f>
        <v>2404.6100000000015</v>
      </c>
      <c r="G10" s="30">
        <f>'July 2002'!H56</f>
        <v>2709.6360000000004</v>
      </c>
      <c r="H10" s="30">
        <f>'July 2002'!C56</f>
        <v>8344.176086000001</v>
      </c>
      <c r="I10" s="30">
        <f t="shared" si="0"/>
        <v>14397.24428766671</v>
      </c>
    </row>
    <row r="11" spans="1:9" ht="12.75">
      <c r="A11" s="99">
        <v>37469</v>
      </c>
      <c r="B11" s="56"/>
      <c r="C11" s="56"/>
      <c r="D11" s="30">
        <f>'August 2002'!H18</f>
        <v>576.9857034750003</v>
      </c>
      <c r="E11" s="30">
        <f>'August 2002'!H40</f>
        <v>31.692294462466798</v>
      </c>
      <c r="F11" s="30">
        <f>'August 2002'!D40</f>
        <v>1559.010000000001</v>
      </c>
      <c r="G11" s="30">
        <f>'August 2002'!H56</f>
        <v>2055.9071999999996</v>
      </c>
      <c r="H11" s="30">
        <f>'August 2002'!C56</f>
        <v>2998.6669608</v>
      </c>
      <c r="I11" s="30">
        <f t="shared" si="0"/>
        <v>7222.262158737468</v>
      </c>
    </row>
    <row r="12" spans="1:9" ht="12.75">
      <c r="A12" s="99">
        <v>37500</v>
      </c>
      <c r="B12" s="56"/>
      <c r="C12" s="56"/>
      <c r="D12" s="30">
        <f>'September 2002'!H18</f>
        <v>640.6563521312501</v>
      </c>
      <c r="E12" s="30">
        <f>'September 2002'!H40</f>
        <v>35.18955433160594</v>
      </c>
      <c r="F12" s="30">
        <f>'September 2002'!D40</f>
        <v>1731.047500000001</v>
      </c>
      <c r="G12" s="30">
        <f>'September 2002'!H56</f>
        <v>2390.4062000000004</v>
      </c>
      <c r="H12" s="30">
        <f>'September 2002'!C56</f>
        <v>2763.4614280000005</v>
      </c>
      <c r="I12" s="30">
        <f t="shared" si="0"/>
        <v>7560.761034462857</v>
      </c>
    </row>
    <row r="13" spans="1:9" ht="12.75">
      <c r="A13" s="99">
        <v>37530</v>
      </c>
      <c r="B13" s="56"/>
      <c r="C13" s="56"/>
      <c r="D13" s="30">
        <f>'October 2002'!H18</f>
        <v>470.03122694999996</v>
      </c>
      <c r="E13" s="30">
        <f>'October 2002'!H40</f>
        <v>25.817568721959496</v>
      </c>
      <c r="F13" s="30">
        <f>'October 2002'!D40</f>
        <v>1270.0200000000007</v>
      </c>
      <c r="G13" s="30">
        <f>'October 2002'!H56</f>
        <v>2210.1520000000005</v>
      </c>
      <c r="H13" s="30">
        <f>'October 2002'!C56</f>
        <v>-221.7594</v>
      </c>
      <c r="I13" s="30">
        <f t="shared" si="0"/>
        <v>3754.2613956719606</v>
      </c>
    </row>
    <row r="14" spans="1:9" ht="12.75">
      <c r="A14" s="99">
        <v>37561</v>
      </c>
      <c r="B14" s="56"/>
      <c r="C14" s="56"/>
      <c r="D14" s="30">
        <f>'November 2002'!H18</f>
        <v>299.2776779362499</v>
      </c>
      <c r="E14" s="30">
        <f>'November 2002'!H40</f>
        <v>16.43852913178792</v>
      </c>
      <c r="F14" s="30">
        <f>'November 2002'!D40</f>
        <v>808.6455000000003</v>
      </c>
      <c r="G14" s="30">
        <f>'November 2002'!H56</f>
        <v>1788.6961999999994</v>
      </c>
      <c r="H14" s="30">
        <f>'November 2002'!C56</f>
        <v>3878.8821268</v>
      </c>
      <c r="I14" s="30">
        <f t="shared" si="0"/>
        <v>6791.940033868038</v>
      </c>
    </row>
    <row r="15" spans="1:9" ht="12.75">
      <c r="A15" s="99">
        <v>37591</v>
      </c>
      <c r="B15" s="56"/>
      <c r="C15" s="56"/>
      <c r="D15" s="30">
        <f>'December 2002'!H18</f>
        <v>479.19002978249995</v>
      </c>
      <c r="E15" s="30">
        <f>'December 2002'!H40</f>
        <v>26.320637471398346</v>
      </c>
      <c r="F15" s="30">
        <f>'December 2002'!D40</f>
        <v>1294.7670000000005</v>
      </c>
      <c r="G15" s="30">
        <f>'December 2002'!H56</f>
        <v>1819.8816</v>
      </c>
      <c r="H15" s="30">
        <f>'December 2002'!C56</f>
        <v>0</v>
      </c>
      <c r="I15" s="30">
        <f t="shared" si="0"/>
        <v>3620.159267253899</v>
      </c>
    </row>
    <row r="16" spans="1:9" ht="12.75">
      <c r="A16" s="99">
        <v>37622</v>
      </c>
      <c r="B16" s="56"/>
      <c r="C16" s="56"/>
      <c r="D16" s="30">
        <f>'January 2003'!H18</f>
        <v>641.9200500449999</v>
      </c>
      <c r="E16" s="30">
        <f>'January 2003'!H40</f>
        <v>35.25896590654266</v>
      </c>
      <c r="F16" s="30">
        <f>'January 2003'!D40</f>
        <v>1734.462000000001</v>
      </c>
      <c r="G16" s="30">
        <f>'January 2003'!H56</f>
        <v>1866.5949999999996</v>
      </c>
      <c r="H16" s="30">
        <f>'January 2003'!C56</f>
        <v>0</v>
      </c>
      <c r="I16" s="30">
        <f t="shared" si="0"/>
        <v>4278.236015951543</v>
      </c>
    </row>
    <row r="17" spans="1:9" ht="12.75">
      <c r="A17" s="99">
        <v>37653</v>
      </c>
      <c r="B17" s="56"/>
      <c r="C17" s="56"/>
      <c r="D17" s="30">
        <f>'February 2003'!H18</f>
        <v>680.4133358737499</v>
      </c>
      <c r="E17" s="30">
        <f>'February 2003'!H40</f>
        <v>37.37330000869689</v>
      </c>
      <c r="F17" s="30">
        <f>'February 2003'!D40</f>
        <v>1838.4705000000008</v>
      </c>
      <c r="G17" s="30">
        <f>'February 2003'!H56</f>
        <v>1927.8011999999999</v>
      </c>
      <c r="H17" s="30">
        <f>'February 2003'!C56</f>
        <v>1281.096783</v>
      </c>
      <c r="I17" s="30">
        <f t="shared" si="0"/>
        <v>5765.155118882448</v>
      </c>
    </row>
    <row r="18" spans="1:9" ht="12.75">
      <c r="A18" s="99">
        <v>37681</v>
      </c>
      <c r="B18" s="56"/>
      <c r="C18" s="56"/>
      <c r="D18" s="30">
        <f>'March 2003'!H18</f>
        <v>737.8535781662499</v>
      </c>
      <c r="E18" s="30">
        <f>'March 2003'!H40</f>
        <v>40.52834017999677</v>
      </c>
      <c r="F18" s="30">
        <f>'March 2003'!D40</f>
        <v>1993.6735000000008</v>
      </c>
      <c r="G18" s="30">
        <f>'March 2003'!H56</f>
        <v>1591.3611999999991</v>
      </c>
      <c r="H18" s="30">
        <f>'March 2003'!C56</f>
        <v>1434.7251515999997</v>
      </c>
      <c r="I18" s="30">
        <f t="shared" si="0"/>
        <v>5798.141769946246</v>
      </c>
    </row>
    <row r="19" spans="1:9" ht="12.75">
      <c r="A19" s="99">
        <v>37712</v>
      </c>
      <c r="B19" s="56"/>
      <c r="C19" s="56"/>
      <c r="D19" s="30">
        <f>'April 2003'!H18</f>
        <v>753.0891968999999</v>
      </c>
      <c r="E19" s="30">
        <f>'April 2003'!H40</f>
        <v>41.36519231050853</v>
      </c>
      <c r="F19" s="30">
        <f>'April 2003'!D40</f>
        <v>2034.8400000000008</v>
      </c>
      <c r="G19" s="30">
        <f>'April 2003'!H56</f>
        <v>1911.1085999999998</v>
      </c>
      <c r="H19" s="30">
        <f>'April 2003'!C56</f>
        <v>486.53527640000004</v>
      </c>
      <c r="I19" s="30">
        <f t="shared" si="0"/>
        <v>5226.938265610509</v>
      </c>
    </row>
    <row r="20" spans="1:9" ht="12.75">
      <c r="A20" s="99">
        <v>37742</v>
      </c>
      <c r="B20" s="56"/>
      <c r="C20" s="56"/>
      <c r="D20" s="30">
        <f>'May 2003'!H18</f>
        <v>710.7837217725</v>
      </c>
      <c r="E20" s="30">
        <f>'May 2003'!H40</f>
        <v>39.04146476051841</v>
      </c>
      <c r="F20" s="30">
        <f>'May 2003'!D40</f>
        <v>1920.5310000000009</v>
      </c>
      <c r="G20" s="30">
        <f>'May 2003'!H56</f>
        <v>1865.6892</v>
      </c>
      <c r="H20" s="30">
        <f>'May 2003'!C56</f>
        <v>1432.6820568000003</v>
      </c>
      <c r="I20" s="30">
        <f t="shared" si="0"/>
        <v>5968.727443333019</v>
      </c>
    </row>
    <row r="21" spans="1:9" ht="12.75">
      <c r="A21" s="99">
        <v>37773</v>
      </c>
      <c r="B21" s="56"/>
      <c r="C21" s="56"/>
      <c r="D21" s="30">
        <f>'June 2003'!H18</f>
        <v>739.4585059750001</v>
      </c>
      <c r="E21" s="30">
        <f>'June 2003'!H40</f>
        <v>40.61649460808671</v>
      </c>
      <c r="F21" s="30">
        <f>'June 2003'!D40</f>
        <v>1998.0100000000014</v>
      </c>
      <c r="G21" s="30">
        <f>'June 2003'!H56</f>
        <v>1785.3317999999997</v>
      </c>
      <c r="H21" s="30">
        <f>'June 2003'!C56</f>
        <v>2189.5965728</v>
      </c>
      <c r="I21" s="30">
        <f t="shared" si="0"/>
        <v>6753.013373383088</v>
      </c>
    </row>
    <row r="22" spans="1:9" ht="12.75">
      <c r="A22" s="99">
        <v>37803</v>
      </c>
      <c r="B22" s="56"/>
      <c r="C22" s="56"/>
      <c r="D22" s="30">
        <f>'July 2003'!H18</f>
        <v>662.3146428800002</v>
      </c>
      <c r="E22" s="30">
        <f>'July 2003'!H40</f>
        <v>36.379186802270524</v>
      </c>
      <c r="F22" s="30">
        <f>'July 2003'!D40</f>
        <v>1789.5680000000011</v>
      </c>
      <c r="G22" s="30">
        <f>'July 2003'!H56</f>
        <v>1412.0128000000004</v>
      </c>
      <c r="H22" s="30">
        <f>'July 2003'!C56</f>
        <v>1285.0508864000003</v>
      </c>
      <c r="I22" s="30">
        <f t="shared" si="0"/>
        <v>5185.325516082273</v>
      </c>
    </row>
    <row r="23" spans="1:9" ht="13.5" thickBot="1">
      <c r="A23" s="99">
        <v>37834</v>
      </c>
      <c r="B23" s="56"/>
      <c r="C23" s="56"/>
      <c r="D23" s="30">
        <f>'August 2003'!H18</f>
        <v>485.5242484950001</v>
      </c>
      <c r="E23" s="30">
        <f>'August 2003'!H40</f>
        <v>26.668559306232712</v>
      </c>
      <c r="F23" s="30">
        <f>'August 2003'!D40</f>
        <v>1311.8820000000007</v>
      </c>
      <c r="G23" s="30">
        <f>'August 2003'!H56</f>
        <v>1315.2216000000003</v>
      </c>
      <c r="H23" s="30">
        <f>'August 2003'!C56</f>
        <v>-483.2852287999999</v>
      </c>
      <c r="I23" s="30">
        <f t="shared" si="0"/>
        <v>2656.011179001234</v>
      </c>
    </row>
    <row r="24" spans="1:9" ht="13.5" thickBot="1">
      <c r="A24" s="31" t="s">
        <v>27</v>
      </c>
      <c r="B24" s="95">
        <f>SUM(B3:B23)</f>
        <v>52.20488146949997</v>
      </c>
      <c r="C24" s="95">
        <f>SUM(C3:C23)</f>
        <v>2980.5813000000007</v>
      </c>
      <c r="D24" s="95">
        <f aca="true" t="shared" si="1" ref="D24:I24">SUM(D3:D23)</f>
        <v>14670.405276603753</v>
      </c>
      <c r="E24" s="95">
        <f t="shared" si="1"/>
        <v>805.8064543188422</v>
      </c>
      <c r="F24" s="95">
        <f t="shared" si="1"/>
        <v>39639.29850000001</v>
      </c>
      <c r="G24" s="95">
        <f t="shared" si="1"/>
        <v>41281.31740000001</v>
      </c>
      <c r="H24" s="95">
        <f t="shared" si="1"/>
        <v>35975.25554540001</v>
      </c>
      <c r="I24" s="95">
        <f t="shared" si="1"/>
        <v>135404.86935779214</v>
      </c>
    </row>
    <row r="25" spans="1:9" ht="13.5" thickBot="1">
      <c r="A25" s="13"/>
      <c r="B25" s="13"/>
      <c r="C25" s="13"/>
      <c r="D25" s="13"/>
      <c r="E25" s="13"/>
      <c r="F25" s="13"/>
      <c r="G25" s="13"/>
      <c r="H25" s="13"/>
      <c r="I25" s="38"/>
    </row>
    <row r="26" spans="1:9" ht="13.5" thickBot="1">
      <c r="A26" s="31" t="s">
        <v>28</v>
      </c>
      <c r="B26" s="32"/>
      <c r="C26" s="32"/>
      <c r="D26" s="32"/>
      <c r="E26" s="32"/>
      <c r="F26" s="32"/>
      <c r="G26" s="32"/>
      <c r="H26" s="32"/>
      <c r="I26" s="65">
        <f>I24/D31</f>
        <v>222.131259785457</v>
      </c>
    </row>
    <row r="27" ht="13.5" thickBot="1"/>
    <row r="28" spans="1:4" ht="12.75">
      <c r="A28" s="33" t="s">
        <v>15</v>
      </c>
      <c r="B28" s="37"/>
      <c r="C28" s="37"/>
      <c r="D28" s="104">
        <v>212292</v>
      </c>
    </row>
    <row r="29" spans="1:7" ht="12.75">
      <c r="A29" s="34" t="s">
        <v>65</v>
      </c>
      <c r="B29" s="13"/>
      <c r="C29" s="13"/>
      <c r="D29" s="105">
        <f>I24</f>
        <v>135404.86935779214</v>
      </c>
      <c r="F29" s="4"/>
      <c r="G29" s="4"/>
    </row>
    <row r="30" spans="1:7" ht="12.75">
      <c r="A30" s="34" t="s">
        <v>67</v>
      </c>
      <c r="B30" s="13"/>
      <c r="C30" s="13"/>
      <c r="D30" s="105">
        <f>D28-D29</f>
        <v>76887.13064220786</v>
      </c>
      <c r="F30" s="4"/>
      <c r="G30" s="4"/>
    </row>
    <row r="31" spans="1:7" ht="12.75">
      <c r="A31" s="34" t="s">
        <v>68</v>
      </c>
      <c r="B31" s="13"/>
      <c r="C31" s="13"/>
      <c r="D31" s="115">
        <f>'Input Data'!K54</f>
        <v>609.5714285714286</v>
      </c>
      <c r="F31" s="4"/>
      <c r="G31" s="4"/>
    </row>
    <row r="32" spans="1:7" ht="13.5" thickBot="1">
      <c r="A32" s="35" t="s">
        <v>66</v>
      </c>
      <c r="B32" s="44"/>
      <c r="C32" s="44"/>
      <c r="D32" s="108">
        <f>D30/D31</f>
        <v>126.13309456185964</v>
      </c>
      <c r="G32" s="4"/>
    </row>
  </sheetData>
  <mergeCells count="2">
    <mergeCell ref="D1:H1"/>
    <mergeCell ref="B1:C1"/>
  </mergeCells>
  <printOptions/>
  <pageMargins left="0.75" right="0.75" top="1" bottom="1" header="0.5" footer="0.5"/>
  <pageSetup fitToHeight="1" fitToWidth="1" horizontalDpi="600" verticalDpi="600" orientation="landscape" scale="61" r:id="rId1"/>
  <headerFooter alignWithMargins="0">
    <oddHeader>&amp;R&amp;"Arial,Bold"&amp;12Appendix A</oddHeader>
    <oddFooter>&amp;RPage  &amp;P
&amp;F
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 topLeftCell="C28">
      <selection activeCell="C53" sqref="C53"/>
    </sheetView>
  </sheetViews>
  <sheetFormatPr defaultColWidth="9.140625" defaultRowHeight="12.75"/>
  <cols>
    <col min="2" max="2" width="39.421875" style="0" bestFit="1" customWidth="1"/>
    <col min="3" max="3" width="11.140625" style="0" bestFit="1" customWidth="1"/>
    <col min="4" max="4" width="15.28125" style="0" customWidth="1"/>
    <col min="5" max="5" width="13.140625" style="0" bestFit="1" customWidth="1"/>
    <col min="6" max="6" width="12.8515625" style="0" bestFit="1" customWidth="1"/>
    <col min="7" max="7" width="41.7109375" style="0" bestFit="1" customWidth="1"/>
  </cols>
  <sheetData>
    <row r="1" ht="18.75" thickBot="1">
      <c r="B1" s="100">
        <f>'Summary Data'!A9</f>
        <v>37408</v>
      </c>
    </row>
    <row r="2" spans="1:9" ht="19.5" thickBot="1" thickTop="1">
      <c r="A2" s="20"/>
      <c r="B2" s="18"/>
      <c r="C2" s="122" t="str">
        <f>'January 2002'!C2</f>
        <v>Monthly Arrears: Working Capital</v>
      </c>
      <c r="D2" s="122"/>
      <c r="E2" s="122"/>
      <c r="F2" s="122"/>
      <c r="G2" s="122"/>
      <c r="H2" s="122"/>
      <c r="I2" s="9"/>
    </row>
    <row r="3" spans="1:9" ht="15.75">
      <c r="A3" s="10"/>
      <c r="B3" s="19" t="str">
        <f>'December 2001'!B3</f>
        <v>EA population</v>
      </c>
      <c r="C3" s="46"/>
      <c r="D3" s="46" t="s">
        <v>20</v>
      </c>
      <c r="E3" s="46" t="s">
        <v>0</v>
      </c>
      <c r="F3" s="46" t="s">
        <v>1</v>
      </c>
      <c r="G3" s="46" t="s">
        <v>2</v>
      </c>
      <c r="H3" s="81" t="s">
        <v>8</v>
      </c>
      <c r="I3" s="12"/>
    </row>
    <row r="4" spans="1:9" ht="12.75">
      <c r="A4" s="10"/>
      <c r="B4" s="13" t="s">
        <v>3</v>
      </c>
      <c r="C4" s="38"/>
      <c r="D4" s="38">
        <f>'Input Data'!K39*'Input Data'!F39*'Input Data'!B39</f>
        <v>71955.52</v>
      </c>
      <c r="E4" s="38">
        <f>$D$4*'Input Data'!B4</f>
        <v>17988.88</v>
      </c>
      <c r="F4" s="38">
        <f>$D$4*'Input Data'!C4</f>
        <v>14391.104000000001</v>
      </c>
      <c r="G4" s="38">
        <f>$D$4*'Input Data'!D4</f>
        <v>39575.53600000001</v>
      </c>
      <c r="H4" s="82"/>
      <c r="I4" s="12"/>
    </row>
    <row r="5" spans="1:9" ht="12.75">
      <c r="A5" s="10"/>
      <c r="B5" s="13" t="s">
        <v>10</v>
      </c>
      <c r="C5" s="38"/>
      <c r="D5" s="38"/>
      <c r="E5" s="38">
        <f>E4*E24</f>
        <v>17089.436</v>
      </c>
      <c r="F5" s="38">
        <f>F4*F24</f>
        <v>12951.993600000002</v>
      </c>
      <c r="G5" s="38">
        <f>G4*G24</f>
        <v>33639.20560000001</v>
      </c>
      <c r="H5" s="82"/>
      <c r="I5" s="12"/>
    </row>
    <row r="6" spans="1:9" ht="12.75">
      <c r="A6" s="10"/>
      <c r="B6" s="13" t="s">
        <v>5</v>
      </c>
      <c r="C6" s="92"/>
      <c r="D6" s="92"/>
      <c r="E6" s="92">
        <f>E5/1000</f>
        <v>17.089436000000003</v>
      </c>
      <c r="F6" s="92">
        <f>F5/1000</f>
        <v>12.951993600000002</v>
      </c>
      <c r="G6" s="92">
        <f>G5/1000</f>
        <v>33.63920560000001</v>
      </c>
      <c r="H6" s="82"/>
      <c r="I6" s="12"/>
    </row>
    <row r="7" spans="1:9" ht="12.75">
      <c r="A7" s="10"/>
      <c r="B7" s="13" t="s">
        <v>4</v>
      </c>
      <c r="C7" s="83"/>
      <c r="D7" s="83"/>
      <c r="E7" s="83">
        <f>'December 2001'!E7</f>
        <v>6.18</v>
      </c>
      <c r="F7" s="83">
        <f>'December 2001'!F7</f>
        <v>9.28</v>
      </c>
      <c r="G7" s="83">
        <f>'December 2001'!G7</f>
        <v>32.87</v>
      </c>
      <c r="H7" s="82"/>
      <c r="I7" s="12"/>
    </row>
    <row r="8" spans="1:9" ht="12.75">
      <c r="A8" s="10"/>
      <c r="B8" s="21" t="s">
        <v>6</v>
      </c>
      <c r="C8" s="84"/>
      <c r="D8" s="84"/>
      <c r="E8" s="84">
        <f>E6*E7</f>
        <v>105.61271448000001</v>
      </c>
      <c r="F8" s="84">
        <f>F6*F7</f>
        <v>120.19450060800001</v>
      </c>
      <c r="G8" s="84">
        <f>G6*G7</f>
        <v>1105.7206880720003</v>
      </c>
      <c r="H8" s="85">
        <f>SUM(C8:G8)</f>
        <v>1331.5279031600003</v>
      </c>
      <c r="I8" s="12"/>
    </row>
    <row r="9" spans="1:9" ht="12.75">
      <c r="A9" s="10"/>
      <c r="B9" s="13"/>
      <c r="C9" s="46"/>
      <c r="D9" s="46"/>
      <c r="E9" s="46"/>
      <c r="F9" s="46"/>
      <c r="G9" s="46"/>
      <c r="H9" s="82"/>
      <c r="I9" s="12"/>
    </row>
    <row r="10" spans="1:9" ht="12.75">
      <c r="A10" s="10"/>
      <c r="B10" s="13"/>
      <c r="C10" s="46"/>
      <c r="D10" s="46"/>
      <c r="E10" s="46"/>
      <c r="F10" s="46"/>
      <c r="G10" s="46"/>
      <c r="H10" s="82"/>
      <c r="I10" s="12"/>
    </row>
    <row r="11" spans="1:9" ht="15.75">
      <c r="A11" s="10"/>
      <c r="B11" s="19" t="str">
        <f>'December 2001'!B11</f>
        <v>ELIP population</v>
      </c>
      <c r="C11" s="46"/>
      <c r="D11" s="46" t="str">
        <f>D3</f>
        <v>Total Arrears ($s)</v>
      </c>
      <c r="E11" s="46" t="str">
        <f>E3</f>
        <v>30-day Arrears</v>
      </c>
      <c r="F11" s="46" t="str">
        <f>F3</f>
        <v>60-day arrears</v>
      </c>
      <c r="G11" s="46" t="str">
        <f>G3</f>
        <v>90-day arrears</v>
      </c>
      <c r="H11" s="82"/>
      <c r="I11" s="12"/>
    </row>
    <row r="12" spans="1:9" ht="12.75">
      <c r="A12" s="10"/>
      <c r="B12" s="13" t="str">
        <f>B4</f>
        <v>Dollars</v>
      </c>
      <c r="C12" s="38"/>
      <c r="D12" s="38">
        <f>'Input Data'!K39*'Input Data'!G39*'Input Data'!C39</f>
        <v>21180</v>
      </c>
      <c r="E12" s="38">
        <f>$D$12*'Input Data'!B4</f>
        <v>5295</v>
      </c>
      <c r="F12" s="38">
        <f>$D$12*'Input Data'!C4</f>
        <v>4236</v>
      </c>
      <c r="G12" s="38">
        <f>$D$12*'Input Data'!D4</f>
        <v>11649.000000000002</v>
      </c>
      <c r="H12" s="82"/>
      <c r="I12" s="12"/>
    </row>
    <row r="13" spans="1:9" ht="12.75">
      <c r="A13" s="10"/>
      <c r="B13" s="13" t="str">
        <f>B5</f>
        <v>Dollars adjusted for charge-offs</v>
      </c>
      <c r="C13" s="38"/>
      <c r="D13" s="38"/>
      <c r="E13" s="38">
        <f>E12*E24</f>
        <v>5030.25</v>
      </c>
      <c r="F13" s="38">
        <f>F12*F24</f>
        <v>3812.4</v>
      </c>
      <c r="G13" s="38">
        <f>G12*G24</f>
        <v>9901.650000000001</v>
      </c>
      <c r="H13" s="82"/>
      <c r="I13" s="12"/>
    </row>
    <row r="14" spans="1:9" ht="12.75">
      <c r="A14" s="10"/>
      <c r="B14" s="13" t="str">
        <f>B6</f>
        <v>$1,000 increments</v>
      </c>
      <c r="C14" s="92"/>
      <c r="D14" s="92"/>
      <c r="E14" s="92">
        <f>E13/1000</f>
        <v>5.03025</v>
      </c>
      <c r="F14" s="92">
        <f>F13/1000</f>
        <v>3.8124000000000002</v>
      </c>
      <c r="G14" s="92">
        <f>G13/1000</f>
        <v>9.901650000000002</v>
      </c>
      <c r="H14" s="82"/>
      <c r="I14" s="12"/>
    </row>
    <row r="15" spans="1:9" ht="12.75">
      <c r="A15" s="10"/>
      <c r="B15" s="13" t="str">
        <f>B7</f>
        <v>Working capital per $1,000</v>
      </c>
      <c r="C15" s="83"/>
      <c r="D15" s="83"/>
      <c r="E15" s="83">
        <f>E7</f>
        <v>6.18</v>
      </c>
      <c r="F15" s="83">
        <f>F7</f>
        <v>9.28</v>
      </c>
      <c r="G15" s="83">
        <f>G7</f>
        <v>32.87</v>
      </c>
      <c r="H15" s="82"/>
      <c r="I15" s="12"/>
    </row>
    <row r="16" spans="1:9" ht="12.75">
      <c r="A16" s="10"/>
      <c r="B16" s="21" t="str">
        <f>B8</f>
        <v>Total working capital expense</v>
      </c>
      <c r="C16" s="84"/>
      <c r="D16" s="84"/>
      <c r="E16" s="84">
        <f>E14*E15</f>
        <v>31.086944999999996</v>
      </c>
      <c r="F16" s="84">
        <f>F14*F15</f>
        <v>35.379072</v>
      </c>
      <c r="G16" s="84">
        <f>G14*G15</f>
        <v>325.4672355</v>
      </c>
      <c r="H16" s="85">
        <f>SUM(C16:G16)</f>
        <v>391.9332525</v>
      </c>
      <c r="I16" s="12"/>
    </row>
    <row r="17" spans="1:9" ht="13.5" thickBot="1">
      <c r="A17" s="10"/>
      <c r="B17" s="13"/>
      <c r="C17" s="46"/>
      <c r="D17" s="46"/>
      <c r="E17" s="46"/>
      <c r="F17" s="46"/>
      <c r="G17" s="46"/>
      <c r="H17" s="82"/>
      <c r="I17" s="12"/>
    </row>
    <row r="18" spans="1:9" ht="13.5" thickBot="1">
      <c r="A18" s="10"/>
      <c r="B18" s="22" t="s">
        <v>7</v>
      </c>
      <c r="C18" s="86"/>
      <c r="D18" s="86"/>
      <c r="E18" s="86">
        <f>E8-E16</f>
        <v>74.52576948000001</v>
      </c>
      <c r="F18" s="86">
        <f>F8-F16</f>
        <v>84.81542860800002</v>
      </c>
      <c r="G18" s="86">
        <f>G8-G16</f>
        <v>780.2534525720002</v>
      </c>
      <c r="H18" s="87">
        <f>SUM(C18:G18)</f>
        <v>939.5946506600003</v>
      </c>
      <c r="I18" s="12"/>
    </row>
    <row r="19" spans="1:9" ht="13.5" thickBot="1">
      <c r="A19" s="15"/>
      <c r="B19" s="17"/>
      <c r="C19" s="17"/>
      <c r="D19" s="17"/>
      <c r="E19" s="17"/>
      <c r="F19" s="17"/>
      <c r="G19" s="17"/>
      <c r="H19" s="17"/>
      <c r="I19" s="16"/>
    </row>
    <row r="20" ht="13.5" thickTop="1"/>
    <row r="21" ht="13.5" thickBot="1"/>
    <row r="22" spans="1:9" ht="18" thickBot="1" thickTop="1">
      <c r="A22" s="20"/>
      <c r="B22" s="8"/>
      <c r="C22" s="122" t="s">
        <v>52</v>
      </c>
      <c r="D22" s="122"/>
      <c r="E22" s="122"/>
      <c r="F22" s="122"/>
      <c r="G22" s="122"/>
      <c r="H22" s="122"/>
      <c r="I22" s="9"/>
    </row>
    <row r="23" spans="1:9" ht="15.75">
      <c r="A23" s="10"/>
      <c r="B23" s="19" t="str">
        <f aca="true" t="shared" si="0" ref="B23:H23">B3</f>
        <v>EA population</v>
      </c>
      <c r="C23" s="13"/>
      <c r="D23" s="46" t="s">
        <v>53</v>
      </c>
      <c r="E23" s="46" t="str">
        <f t="shared" si="0"/>
        <v>30-day Arrears</v>
      </c>
      <c r="F23" s="46" t="str">
        <f t="shared" si="0"/>
        <v>60-day arrears</v>
      </c>
      <c r="G23" s="46" t="str">
        <f t="shared" si="0"/>
        <v>90-day arrears</v>
      </c>
      <c r="H23" s="81" t="str">
        <f t="shared" si="0"/>
        <v>Total</v>
      </c>
      <c r="I23" s="12"/>
    </row>
    <row r="24" spans="1:9" ht="12.75">
      <c r="A24" s="10"/>
      <c r="B24" s="13" t="s">
        <v>11</v>
      </c>
      <c r="C24" s="26"/>
      <c r="D24" s="88"/>
      <c r="E24" s="88">
        <v>0.95</v>
      </c>
      <c r="F24" s="88">
        <v>0.9</v>
      </c>
      <c r="G24" s="88">
        <v>0.85</v>
      </c>
      <c r="H24" s="82"/>
      <c r="I24" s="12"/>
    </row>
    <row r="25" spans="1:9" ht="12.75">
      <c r="A25" s="10"/>
      <c r="B25" s="13" t="s">
        <v>12</v>
      </c>
      <c r="C25" s="26"/>
      <c r="D25" s="88"/>
      <c r="E25" s="88">
        <f>1-E24</f>
        <v>0.050000000000000044</v>
      </c>
      <c r="F25" s="88">
        <f>(1-F24)-E25</f>
        <v>0.04999999999999993</v>
      </c>
      <c r="G25" s="88">
        <f>(1-G24)-(E25+F25)</f>
        <v>0.050000000000000044</v>
      </c>
      <c r="H25" s="82"/>
      <c r="I25" s="12"/>
    </row>
    <row r="26" spans="1:9" ht="12.75">
      <c r="A26" s="10"/>
      <c r="B26" s="13" t="s">
        <v>13</v>
      </c>
      <c r="C26" s="27"/>
      <c r="D26" s="38">
        <f>SUM(E26:G26)</f>
        <v>3597.776000000002</v>
      </c>
      <c r="E26" s="38">
        <f>E25*E4</f>
        <v>899.4440000000009</v>
      </c>
      <c r="F26" s="38">
        <f>F25*F4</f>
        <v>719.5551999999991</v>
      </c>
      <c r="G26" s="38">
        <f>G25*G4</f>
        <v>1978.7768000000021</v>
      </c>
      <c r="H26" s="82"/>
      <c r="I26" s="12"/>
    </row>
    <row r="27" spans="1:9" ht="12.75">
      <c r="A27" s="10"/>
      <c r="B27" s="13" t="s">
        <v>5</v>
      </c>
      <c r="C27" s="25"/>
      <c r="D27" s="92"/>
      <c r="E27" s="92">
        <f>E26/1000</f>
        <v>0.8994440000000009</v>
      </c>
      <c r="F27" s="92">
        <f>F26/1000</f>
        <v>0.7195551999999991</v>
      </c>
      <c r="G27" s="92">
        <f>G26/1000</f>
        <v>1.9787768000000021</v>
      </c>
      <c r="H27" s="82"/>
      <c r="I27" s="12"/>
    </row>
    <row r="28" spans="1:9" ht="12.75">
      <c r="A28" s="10"/>
      <c r="B28" s="13" t="s">
        <v>4</v>
      </c>
      <c r="C28" s="14"/>
      <c r="D28" s="83"/>
      <c r="E28" s="83">
        <f>'December 2001'!E28</f>
        <v>45.67868031566741</v>
      </c>
      <c r="F28" s="83">
        <f>'December 2001'!F28</f>
        <v>36.059797012539775</v>
      </c>
      <c r="G28" s="83">
        <f>'December 2001'!G28</f>
        <v>3.0851720988794114</v>
      </c>
      <c r="H28" s="82"/>
      <c r="I28" s="12"/>
    </row>
    <row r="29" spans="1:9" ht="12.75">
      <c r="A29" s="10"/>
      <c r="B29" s="21" t="s">
        <v>6</v>
      </c>
      <c r="C29" s="28"/>
      <c r="D29" s="89"/>
      <c r="E29" s="89">
        <f>E27*E28</f>
        <v>41.085414937845194</v>
      </c>
      <c r="F29" s="89">
        <f>F27*F28</f>
        <v>25.947014451317425</v>
      </c>
      <c r="G29" s="89">
        <f>G27*G28</f>
        <v>6.104866973269892</v>
      </c>
      <c r="H29" s="90">
        <f>SUM(C29:G29)</f>
        <v>73.13729636243251</v>
      </c>
      <c r="I29" s="12"/>
    </row>
    <row r="30" spans="1:9" ht="12.75">
      <c r="A30" s="10"/>
      <c r="B30" s="13"/>
      <c r="C30" s="13"/>
      <c r="D30" s="46"/>
      <c r="E30" s="46"/>
      <c r="F30" s="46"/>
      <c r="G30" s="46"/>
      <c r="H30" s="82"/>
      <c r="I30" s="12"/>
    </row>
    <row r="31" spans="1:9" ht="12.75">
      <c r="A31" s="10"/>
      <c r="B31" s="13"/>
      <c r="C31" s="13"/>
      <c r="D31" s="46"/>
      <c r="E31" s="46"/>
      <c r="F31" s="46"/>
      <c r="G31" s="46"/>
      <c r="H31" s="82"/>
      <c r="I31" s="12"/>
    </row>
    <row r="32" spans="1:9" ht="15.75">
      <c r="A32" s="10"/>
      <c r="B32" s="19" t="str">
        <f aca="true" t="shared" si="1" ref="B32:G32">B11</f>
        <v>ELIP population</v>
      </c>
      <c r="C32" s="13"/>
      <c r="D32" s="46" t="s">
        <v>53</v>
      </c>
      <c r="E32" s="46" t="str">
        <f t="shared" si="1"/>
        <v>30-day Arrears</v>
      </c>
      <c r="F32" s="46" t="str">
        <f t="shared" si="1"/>
        <v>60-day arrears</v>
      </c>
      <c r="G32" s="46" t="str">
        <f t="shared" si="1"/>
        <v>90-day arrears</v>
      </c>
      <c r="H32" s="82"/>
      <c r="I32" s="12"/>
    </row>
    <row r="33" spans="1:9" ht="12.75">
      <c r="A33" s="10"/>
      <c r="B33" s="13" t="str">
        <f aca="true" t="shared" si="2" ref="B33:B38">B24</f>
        <v>Collectability factor</v>
      </c>
      <c r="C33" s="26"/>
      <c r="D33" s="88"/>
      <c r="E33" s="88">
        <f>E24</f>
        <v>0.95</v>
      </c>
      <c r="F33" s="88">
        <f>F24</f>
        <v>0.9</v>
      </c>
      <c r="G33" s="88">
        <f>G24</f>
        <v>0.85</v>
      </c>
      <c r="H33" s="82"/>
      <c r="I33" s="12"/>
    </row>
    <row r="34" spans="1:9" ht="12.75">
      <c r="A34" s="10"/>
      <c r="B34" s="13" t="str">
        <f t="shared" si="2"/>
        <v>Uncollectable rate</v>
      </c>
      <c r="C34" s="26"/>
      <c r="D34" s="88"/>
      <c r="E34" s="88">
        <f>1-E33</f>
        <v>0.050000000000000044</v>
      </c>
      <c r="F34" s="88">
        <f>(1-F33)-E34</f>
        <v>0.04999999999999993</v>
      </c>
      <c r="G34" s="88">
        <f>(1-G33)-(E34+F34)</f>
        <v>0.050000000000000044</v>
      </c>
      <c r="H34" s="82"/>
      <c r="I34" s="12"/>
    </row>
    <row r="35" spans="1:9" ht="12.75">
      <c r="A35" s="10"/>
      <c r="B35" s="13" t="str">
        <f t="shared" si="2"/>
        <v>Uncollectable dollars</v>
      </c>
      <c r="C35" s="27"/>
      <c r="D35" s="38">
        <f>SUM(E35:G35)</f>
        <v>1059.0000000000005</v>
      </c>
      <c r="E35" s="38">
        <f>E34*E12</f>
        <v>264.7500000000002</v>
      </c>
      <c r="F35" s="38">
        <f>F34*F12</f>
        <v>211.79999999999973</v>
      </c>
      <c r="G35" s="38">
        <f>G34*G12</f>
        <v>582.4500000000006</v>
      </c>
      <c r="H35" s="82"/>
      <c r="I35" s="12"/>
    </row>
    <row r="36" spans="1:9" ht="12.75">
      <c r="A36" s="10"/>
      <c r="B36" s="13" t="str">
        <f t="shared" si="2"/>
        <v>$1,000 increments</v>
      </c>
      <c r="C36" s="25"/>
      <c r="D36" s="92"/>
      <c r="E36" s="92">
        <f>E35/1000</f>
        <v>0.2647500000000002</v>
      </c>
      <c r="F36" s="92">
        <f>F35/1000</f>
        <v>0.21179999999999974</v>
      </c>
      <c r="G36" s="92">
        <f>G35/1000</f>
        <v>0.5824500000000006</v>
      </c>
      <c r="H36" s="82"/>
      <c r="I36" s="12"/>
    </row>
    <row r="37" spans="1:9" ht="12.75">
      <c r="A37" s="10"/>
      <c r="B37" s="13" t="str">
        <f t="shared" si="2"/>
        <v>Working capital per $1,000</v>
      </c>
      <c r="C37" s="14"/>
      <c r="D37" s="83"/>
      <c r="E37" s="83">
        <f>E28</f>
        <v>45.67868031566741</v>
      </c>
      <c r="F37" s="83">
        <f>F28</f>
        <v>36.059797012539775</v>
      </c>
      <c r="G37" s="83">
        <f>G28</f>
        <v>3.0851720988794114</v>
      </c>
      <c r="H37" s="82"/>
      <c r="I37" s="12"/>
    </row>
    <row r="38" spans="1:9" ht="12.75">
      <c r="A38" s="10"/>
      <c r="B38" s="21" t="str">
        <f t="shared" si="2"/>
        <v>Total working capital expense</v>
      </c>
      <c r="C38" s="28"/>
      <c r="D38" s="89"/>
      <c r="E38" s="89">
        <f>E36*E37</f>
        <v>12.093430613572956</v>
      </c>
      <c r="F38" s="89">
        <f>F36*F37</f>
        <v>7.637465007255915</v>
      </c>
      <c r="G38" s="89">
        <f>G36*G37</f>
        <v>1.796958488992315</v>
      </c>
      <c r="H38" s="90">
        <f>SUM(C38:G38)</f>
        <v>21.527854109821185</v>
      </c>
      <c r="I38" s="12"/>
    </row>
    <row r="39" spans="1:9" ht="13.5" thickBot="1">
      <c r="A39" s="10"/>
      <c r="B39" s="13"/>
      <c r="C39" s="13"/>
      <c r="D39" s="46"/>
      <c r="E39" s="46"/>
      <c r="F39" s="46"/>
      <c r="G39" s="46"/>
      <c r="H39" s="82"/>
      <c r="I39" s="12"/>
    </row>
    <row r="40" spans="1:9" ht="13.5" thickBot="1">
      <c r="A40" s="10"/>
      <c r="B40" s="22" t="s">
        <v>7</v>
      </c>
      <c r="C40" s="23"/>
      <c r="D40" s="86">
        <f>D26-D35</f>
        <v>2538.7760000000017</v>
      </c>
      <c r="E40" s="86">
        <f>E29-E38</f>
        <v>28.991984324272238</v>
      </c>
      <c r="F40" s="86">
        <f>F29-F38</f>
        <v>18.30954944406151</v>
      </c>
      <c r="G40" s="86">
        <f>G29-G38</f>
        <v>4.3079084842775766</v>
      </c>
      <c r="H40" s="91">
        <f>SUM(E40:G40)</f>
        <v>51.60944225261132</v>
      </c>
      <c r="I40" s="12"/>
    </row>
    <row r="41" spans="1:9" ht="13.5" thickBot="1">
      <c r="A41" s="15"/>
      <c r="B41" s="17"/>
      <c r="C41" s="17"/>
      <c r="D41" s="74"/>
      <c r="E41" s="74"/>
      <c r="F41" s="74"/>
      <c r="G41" s="74"/>
      <c r="H41" s="74"/>
      <c r="I41" s="16"/>
    </row>
    <row r="42" ht="14.25" thickBot="1" thickTop="1"/>
    <row r="43" spans="1:9" ht="13.5" thickTop="1">
      <c r="A43" s="20"/>
      <c r="B43" s="123" t="str">
        <f>'January 2002'!B43</f>
        <v>Disconnection Savings</v>
      </c>
      <c r="C43" s="123"/>
      <c r="D43" s="9"/>
      <c r="F43" s="20"/>
      <c r="G43" s="123" t="str">
        <f>'January 2002'!G43</f>
        <v>Collection Savings</v>
      </c>
      <c r="H43" s="123"/>
      <c r="I43" s="9"/>
    </row>
    <row r="44" spans="1:9" ht="12.75">
      <c r="A44" s="10"/>
      <c r="B44" s="13" t="s">
        <v>80</v>
      </c>
      <c r="C44" s="13">
        <f>'Input Data'!B15</f>
        <v>18.6</v>
      </c>
      <c r="D44" s="12"/>
      <c r="F44" s="10"/>
      <c r="G44" s="13" t="s">
        <v>77</v>
      </c>
      <c r="H44" s="40">
        <f>'Input Data'!F39</f>
        <v>0.56</v>
      </c>
      <c r="I44" s="12"/>
    </row>
    <row r="45" spans="1:9" ht="12.75">
      <c r="A45" s="10"/>
      <c r="B45" s="13" t="s">
        <v>75</v>
      </c>
      <c r="C45" s="94">
        <f>'Input Data'!K39*'Input Data'!F39/100</f>
        <v>3.9536000000000002</v>
      </c>
      <c r="D45" s="12"/>
      <c r="F45" s="10"/>
      <c r="G45" s="13" t="s">
        <v>31</v>
      </c>
      <c r="H45" s="25">
        <f>H51</f>
        <v>706</v>
      </c>
      <c r="I45" s="12"/>
    </row>
    <row r="46" spans="1:9" ht="12.75">
      <c r="A46" s="10"/>
      <c r="B46" s="13" t="s">
        <v>26</v>
      </c>
      <c r="C46" s="93">
        <f>C45*C44</f>
        <v>73.53696000000001</v>
      </c>
      <c r="D46" s="12"/>
      <c r="F46" s="10"/>
      <c r="G46" s="13" t="s">
        <v>32</v>
      </c>
      <c r="H46" s="25">
        <f>H44*H45</f>
        <v>395.36</v>
      </c>
      <c r="I46" s="12"/>
    </row>
    <row r="47" spans="1:9" ht="12.75">
      <c r="A47" s="10"/>
      <c r="B47" s="13" t="s">
        <v>24</v>
      </c>
      <c r="C47" s="14">
        <f>'January 2002'!C47</f>
        <v>121.18</v>
      </c>
      <c r="D47" s="12"/>
      <c r="F47" s="10"/>
      <c r="G47" s="13" t="s">
        <v>33</v>
      </c>
      <c r="H47" s="14">
        <f>'December 2001'!H47</f>
        <v>12.94</v>
      </c>
      <c r="I47" s="12"/>
    </row>
    <row r="48" spans="1:9" ht="12.75">
      <c r="A48" s="10"/>
      <c r="B48" s="13" t="s">
        <v>25</v>
      </c>
      <c r="C48" s="11">
        <f>C47*C46</f>
        <v>8911.208812800001</v>
      </c>
      <c r="D48" s="12"/>
      <c r="F48" s="10"/>
      <c r="G48" s="13" t="s">
        <v>34</v>
      </c>
      <c r="H48" s="11">
        <f>H46*H47</f>
        <v>5115.9583999999995</v>
      </c>
      <c r="I48" s="12"/>
    </row>
    <row r="49" spans="1:9" ht="12.75">
      <c r="A49" s="10"/>
      <c r="B49" s="13"/>
      <c r="C49" s="13"/>
      <c r="D49" s="12"/>
      <c r="F49" s="10"/>
      <c r="G49" s="13"/>
      <c r="H49" s="13"/>
      <c r="I49" s="12"/>
    </row>
    <row r="50" spans="1:9" ht="12.75">
      <c r="A50" s="10"/>
      <c r="B50" s="13" t="s">
        <v>81</v>
      </c>
      <c r="C50" s="13">
        <f>'Input Data'!C15</f>
        <v>4.2</v>
      </c>
      <c r="D50" s="12"/>
      <c r="F50" s="10"/>
      <c r="G50" s="13" t="s">
        <v>78</v>
      </c>
      <c r="H50" s="40">
        <f>'Input Data'!G39</f>
        <v>0.24</v>
      </c>
      <c r="I50" s="12"/>
    </row>
    <row r="51" spans="1:9" ht="12.75">
      <c r="A51" s="10"/>
      <c r="B51" s="13" t="s">
        <v>75</v>
      </c>
      <c r="C51" s="94">
        <f>'Input Data'!K39*'Input Data'!G39/100</f>
        <v>1.6944</v>
      </c>
      <c r="D51" s="12"/>
      <c r="F51" s="10"/>
      <c r="G51" s="13" t="s">
        <v>31</v>
      </c>
      <c r="H51" s="25">
        <f>'Input Data'!K39</f>
        <v>706</v>
      </c>
      <c r="I51" s="12"/>
    </row>
    <row r="52" spans="1:9" ht="12.75">
      <c r="A52" s="10"/>
      <c r="B52" s="13" t="s">
        <v>26</v>
      </c>
      <c r="C52" s="93">
        <f>C51*C50</f>
        <v>7.11648</v>
      </c>
      <c r="D52" s="12"/>
      <c r="F52" s="10"/>
      <c r="G52" s="13" t="s">
        <v>32</v>
      </c>
      <c r="H52" s="25">
        <f>H50*H51</f>
        <v>169.44</v>
      </c>
      <c r="I52" s="12"/>
    </row>
    <row r="53" spans="1:9" ht="12.75">
      <c r="A53" s="10"/>
      <c r="B53" s="13" t="s">
        <v>24</v>
      </c>
      <c r="C53" s="14">
        <f>C47</f>
        <v>121.18</v>
      </c>
      <c r="D53" s="12"/>
      <c r="F53" s="10"/>
      <c r="G53" s="13" t="s">
        <v>33</v>
      </c>
      <c r="H53" s="14">
        <f>H47</f>
        <v>12.94</v>
      </c>
      <c r="I53" s="12"/>
    </row>
    <row r="54" spans="1:9" ht="12.75">
      <c r="A54" s="10"/>
      <c r="B54" s="13" t="s">
        <v>25</v>
      </c>
      <c r="C54" s="11">
        <f>C53*C52</f>
        <v>862.3750464000001</v>
      </c>
      <c r="D54" s="12"/>
      <c r="F54" s="10"/>
      <c r="G54" s="13" t="s">
        <v>34</v>
      </c>
      <c r="H54" s="11">
        <f>H52*H53</f>
        <v>2192.5535999999997</v>
      </c>
      <c r="I54" s="12"/>
    </row>
    <row r="55" spans="1:9" ht="13.5" thickBot="1">
      <c r="A55" s="10"/>
      <c r="B55" s="13"/>
      <c r="C55" s="13"/>
      <c r="D55" s="12"/>
      <c r="F55" s="10"/>
      <c r="G55" s="13"/>
      <c r="H55" s="13"/>
      <c r="I55" s="12"/>
    </row>
    <row r="56" spans="1:9" ht="13.5" thickBot="1">
      <c r="A56" s="10"/>
      <c r="B56" s="22" t="s">
        <v>7</v>
      </c>
      <c r="C56" s="36">
        <f>C48-C54</f>
        <v>8048.833766400001</v>
      </c>
      <c r="D56" s="12"/>
      <c r="F56" s="10"/>
      <c r="G56" s="22" t="s">
        <v>7</v>
      </c>
      <c r="H56" s="36">
        <f>H48-H54</f>
        <v>2923.4048</v>
      </c>
      <c r="I56" s="12"/>
    </row>
    <row r="57" spans="1:9" ht="13.5" thickBot="1">
      <c r="A57" s="15"/>
      <c r="B57" s="17"/>
      <c r="C57" s="17"/>
      <c r="D57" s="16"/>
      <c r="F57" s="15"/>
      <c r="G57" s="17"/>
      <c r="H57" s="17"/>
      <c r="I57" s="16"/>
    </row>
    <row r="58" ht="13.5" thickTop="1"/>
  </sheetData>
  <mergeCells count="4">
    <mergeCell ref="C22:H22"/>
    <mergeCell ref="C2:H2"/>
    <mergeCell ref="G43:H43"/>
    <mergeCell ref="B43:C43"/>
  </mergeCells>
  <printOptions/>
  <pageMargins left="0.75" right="0.75" top="1" bottom="1" header="0.5" footer="0.5"/>
  <pageSetup fitToHeight="1" fitToWidth="1" horizontalDpi="600" verticalDpi="600" orientation="landscape" scale="62" r:id="rId1"/>
  <headerFooter alignWithMargins="0">
    <oddHeader>&amp;R&amp;"Arial,Bold"&amp;12Appendix A</oddHeader>
    <oddFooter>&amp;RPage &amp;P
&amp;F
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workbookViewId="0" topLeftCell="C36">
      <selection activeCell="C53" sqref="C53"/>
    </sheetView>
  </sheetViews>
  <sheetFormatPr defaultColWidth="9.140625" defaultRowHeight="12.75"/>
  <cols>
    <col min="2" max="2" width="39.421875" style="0" bestFit="1" customWidth="1"/>
    <col min="3" max="3" width="11.140625" style="0" bestFit="1" customWidth="1"/>
    <col min="4" max="4" width="15.28125" style="0" customWidth="1"/>
    <col min="5" max="5" width="13.140625" style="0" bestFit="1" customWidth="1"/>
    <col min="6" max="6" width="12.8515625" style="0" bestFit="1" customWidth="1"/>
    <col min="7" max="7" width="41.7109375" style="0" bestFit="1" customWidth="1"/>
  </cols>
  <sheetData>
    <row r="1" ht="18.75" thickBot="1">
      <c r="B1" s="100">
        <f>'Summary Data'!A10</f>
        <v>37438</v>
      </c>
    </row>
    <row r="2" spans="1:9" ht="19.5" thickBot="1" thickTop="1">
      <c r="A2" s="20"/>
      <c r="B2" s="18"/>
      <c r="C2" s="122" t="str">
        <f>'January 2002'!C2</f>
        <v>Monthly Arrears: Working Capital</v>
      </c>
      <c r="D2" s="122"/>
      <c r="E2" s="122"/>
      <c r="F2" s="122"/>
      <c r="G2" s="122"/>
      <c r="H2" s="122"/>
      <c r="I2" s="9"/>
    </row>
    <row r="3" spans="1:9" ht="15.75">
      <c r="A3" s="10"/>
      <c r="B3" s="19" t="str">
        <f>'December 2001'!B3</f>
        <v>EA population</v>
      </c>
      <c r="C3" s="46"/>
      <c r="D3" s="46" t="s">
        <v>20</v>
      </c>
      <c r="E3" s="46" t="s">
        <v>0</v>
      </c>
      <c r="F3" s="46" t="s">
        <v>1</v>
      </c>
      <c r="G3" s="46" t="s">
        <v>2</v>
      </c>
      <c r="H3" s="81" t="s">
        <v>8</v>
      </c>
      <c r="I3" s="12"/>
    </row>
    <row r="4" spans="1:9" ht="12.75">
      <c r="A4" s="10"/>
      <c r="B4" s="13" t="s">
        <v>3</v>
      </c>
      <c r="C4" s="38"/>
      <c r="D4" s="38">
        <f>'Input Data'!K40*'Input Data'!F40*'Input Data'!B40</f>
        <v>70253.70000000001</v>
      </c>
      <c r="E4" s="38">
        <f>$D$4*'Input Data'!B4</f>
        <v>17563.425000000003</v>
      </c>
      <c r="F4" s="38">
        <f>$D$4*'Input Data'!C4</f>
        <v>14050.740000000003</v>
      </c>
      <c r="G4" s="38">
        <f>$D$4*'Input Data'!D4</f>
        <v>38639.53500000001</v>
      </c>
      <c r="H4" s="82"/>
      <c r="I4" s="12"/>
    </row>
    <row r="5" spans="1:9" ht="12.75">
      <c r="A5" s="10"/>
      <c r="B5" s="13" t="s">
        <v>10</v>
      </c>
      <c r="C5" s="38"/>
      <c r="D5" s="38"/>
      <c r="E5" s="38">
        <f>E4*E24</f>
        <v>16685.253750000003</v>
      </c>
      <c r="F5" s="38">
        <f>F4*F24</f>
        <v>12645.666000000003</v>
      </c>
      <c r="G5" s="38">
        <f>G4*G24</f>
        <v>32843.604750000006</v>
      </c>
      <c r="H5" s="82"/>
      <c r="I5" s="12"/>
    </row>
    <row r="6" spans="1:9" ht="12.75">
      <c r="A6" s="10"/>
      <c r="B6" s="13" t="s">
        <v>5</v>
      </c>
      <c r="C6" s="92"/>
      <c r="D6" s="92"/>
      <c r="E6" s="92">
        <f>E5/1000</f>
        <v>16.685253750000005</v>
      </c>
      <c r="F6" s="92">
        <f>F5/1000</f>
        <v>12.645666000000002</v>
      </c>
      <c r="G6" s="92">
        <f>G5/1000</f>
        <v>32.843604750000004</v>
      </c>
      <c r="H6" s="82"/>
      <c r="I6" s="12"/>
    </row>
    <row r="7" spans="1:9" ht="12.75">
      <c r="A7" s="10"/>
      <c r="B7" s="13" t="s">
        <v>4</v>
      </c>
      <c r="C7" s="83"/>
      <c r="D7" s="83"/>
      <c r="E7" s="83">
        <f>'December 2001'!E7</f>
        <v>6.18</v>
      </c>
      <c r="F7" s="83">
        <f>'December 2001'!F7</f>
        <v>9.28</v>
      </c>
      <c r="G7" s="83">
        <f>'December 2001'!G7</f>
        <v>32.87</v>
      </c>
      <c r="H7" s="82"/>
      <c r="I7" s="12"/>
    </row>
    <row r="8" spans="1:9" ht="12.75">
      <c r="A8" s="10"/>
      <c r="B8" s="21" t="s">
        <v>6</v>
      </c>
      <c r="C8" s="84"/>
      <c r="D8" s="84"/>
      <c r="E8" s="84">
        <f>E6*E7</f>
        <v>103.11486817500003</v>
      </c>
      <c r="F8" s="84">
        <f>F6*F7</f>
        <v>117.35178048000002</v>
      </c>
      <c r="G8" s="84">
        <f>G6*G7</f>
        <v>1079.5692881325</v>
      </c>
      <c r="H8" s="85">
        <f>SUM(C8:G8)</f>
        <v>1300.0359367875</v>
      </c>
      <c r="I8" s="12"/>
    </row>
    <row r="9" spans="1:9" ht="12.75">
      <c r="A9" s="10"/>
      <c r="B9" s="13"/>
      <c r="C9" s="46"/>
      <c r="D9" s="46"/>
      <c r="E9" s="46"/>
      <c r="F9" s="46"/>
      <c r="G9" s="46"/>
      <c r="H9" s="82"/>
      <c r="I9" s="12"/>
    </row>
    <row r="10" spans="1:9" ht="12.75">
      <c r="A10" s="10"/>
      <c r="B10" s="13"/>
      <c r="C10" s="46"/>
      <c r="D10" s="46"/>
      <c r="E10" s="46"/>
      <c r="F10" s="46"/>
      <c r="G10" s="46"/>
      <c r="H10" s="82"/>
      <c r="I10" s="12"/>
    </row>
    <row r="11" spans="1:9" ht="15.75">
      <c r="A11" s="10"/>
      <c r="B11" s="19" t="str">
        <f>'December 2001'!B11</f>
        <v>ELIP population</v>
      </c>
      <c r="C11" s="46"/>
      <c r="D11" s="46" t="str">
        <f>D3</f>
        <v>Total Arrears ($s)</v>
      </c>
      <c r="E11" s="46" t="str">
        <f>E3</f>
        <v>30-day Arrears</v>
      </c>
      <c r="F11" s="46" t="str">
        <f>F3</f>
        <v>60-day arrears</v>
      </c>
      <c r="G11" s="46" t="str">
        <f>G3</f>
        <v>90-day arrears</v>
      </c>
      <c r="H11" s="82"/>
      <c r="I11" s="12"/>
    </row>
    <row r="12" spans="1:9" ht="12.75">
      <c r="A12" s="10"/>
      <c r="B12" s="13" t="str">
        <f>B4</f>
        <v>Dollars</v>
      </c>
      <c r="C12" s="38"/>
      <c r="D12" s="38">
        <f>'Input Data'!K40*'Input Data'!G40*'Input Data'!C40</f>
        <v>22161.5</v>
      </c>
      <c r="E12" s="38">
        <f>$D$12*'Input Data'!B4</f>
        <v>5540.375</v>
      </c>
      <c r="F12" s="38">
        <f>$D$12*'Input Data'!C4</f>
        <v>4432.3</v>
      </c>
      <c r="G12" s="38">
        <f>$D$12*'Input Data'!D4</f>
        <v>12188.825</v>
      </c>
      <c r="H12" s="82"/>
      <c r="I12" s="12"/>
    </row>
    <row r="13" spans="1:9" ht="12.75">
      <c r="A13" s="10"/>
      <c r="B13" s="13" t="str">
        <f>B5</f>
        <v>Dollars adjusted for charge-offs</v>
      </c>
      <c r="C13" s="38"/>
      <c r="D13" s="38"/>
      <c r="E13" s="38">
        <f>E12*E24</f>
        <v>5263.35625</v>
      </c>
      <c r="F13" s="38">
        <f>F12*F24</f>
        <v>3989.07</v>
      </c>
      <c r="G13" s="38">
        <f>G12*G24</f>
        <v>10360.501250000001</v>
      </c>
      <c r="H13" s="82"/>
      <c r="I13" s="12"/>
    </row>
    <row r="14" spans="1:9" ht="12.75">
      <c r="A14" s="10"/>
      <c r="B14" s="13" t="str">
        <f>B6</f>
        <v>$1,000 increments</v>
      </c>
      <c r="C14" s="92"/>
      <c r="D14" s="92"/>
      <c r="E14" s="92">
        <f>E13/1000</f>
        <v>5.26335625</v>
      </c>
      <c r="F14" s="92">
        <f>F13/1000</f>
        <v>3.9890700000000003</v>
      </c>
      <c r="G14" s="92">
        <f>G13/1000</f>
        <v>10.36050125</v>
      </c>
      <c r="H14" s="82"/>
      <c r="I14" s="12"/>
    </row>
    <row r="15" spans="1:9" ht="12.75">
      <c r="A15" s="10"/>
      <c r="B15" s="13" t="str">
        <f>B7</f>
        <v>Working capital per $1,000</v>
      </c>
      <c r="C15" s="83"/>
      <c r="D15" s="83"/>
      <c r="E15" s="83">
        <f>E7</f>
        <v>6.18</v>
      </c>
      <c r="F15" s="83">
        <f>F7</f>
        <v>9.28</v>
      </c>
      <c r="G15" s="83">
        <f>G7</f>
        <v>32.87</v>
      </c>
      <c r="H15" s="82"/>
      <c r="I15" s="12"/>
    </row>
    <row r="16" spans="1:9" ht="12.75">
      <c r="A16" s="10"/>
      <c r="B16" s="21" t="str">
        <f>B8</f>
        <v>Total working capital expense</v>
      </c>
      <c r="C16" s="84"/>
      <c r="D16" s="84"/>
      <c r="E16" s="84">
        <f>E14*E15</f>
        <v>32.527541625</v>
      </c>
      <c r="F16" s="84">
        <f>F14*F15</f>
        <v>37.0185696</v>
      </c>
      <c r="G16" s="84">
        <f>G14*G15</f>
        <v>340.54967608749996</v>
      </c>
      <c r="H16" s="85">
        <f>SUM(C16:G16)</f>
        <v>410.09578731249997</v>
      </c>
      <c r="I16" s="12"/>
    </row>
    <row r="17" spans="1:9" ht="13.5" thickBot="1">
      <c r="A17" s="10"/>
      <c r="B17" s="13"/>
      <c r="C17" s="46"/>
      <c r="D17" s="46"/>
      <c r="E17" s="46"/>
      <c r="F17" s="46"/>
      <c r="G17" s="46"/>
      <c r="H17" s="82"/>
      <c r="I17" s="12"/>
    </row>
    <row r="18" spans="1:9" ht="13.5" thickBot="1">
      <c r="A18" s="10"/>
      <c r="B18" s="22" t="s">
        <v>7</v>
      </c>
      <c r="C18" s="86"/>
      <c r="D18" s="86"/>
      <c r="E18" s="86">
        <f>E8-E16</f>
        <v>70.58732655000003</v>
      </c>
      <c r="F18" s="86">
        <f>F8-F16</f>
        <v>80.33321088000002</v>
      </c>
      <c r="G18" s="86">
        <f>G8-G16</f>
        <v>739.0196120450001</v>
      </c>
      <c r="H18" s="87">
        <f>SUM(C18:G18)</f>
        <v>889.9401494750002</v>
      </c>
      <c r="I18" s="12"/>
    </row>
    <row r="19" spans="1:9" ht="13.5" thickBot="1">
      <c r="A19" s="15"/>
      <c r="B19" s="17"/>
      <c r="C19" s="17"/>
      <c r="D19" s="17"/>
      <c r="E19" s="17"/>
      <c r="F19" s="17"/>
      <c r="G19" s="17"/>
      <c r="H19" s="17"/>
      <c r="I19" s="16"/>
    </row>
    <row r="20" ht="13.5" thickTop="1"/>
    <row r="21" ht="13.5" thickBot="1"/>
    <row r="22" spans="1:9" ht="18" thickBot="1" thickTop="1">
      <c r="A22" s="20"/>
      <c r="B22" s="8"/>
      <c r="C22" s="122" t="s">
        <v>52</v>
      </c>
      <c r="D22" s="122"/>
      <c r="E22" s="122"/>
      <c r="F22" s="122"/>
      <c r="G22" s="122"/>
      <c r="H22" s="122"/>
      <c r="I22" s="9"/>
    </row>
    <row r="23" spans="1:9" ht="15.75">
      <c r="A23" s="10"/>
      <c r="B23" s="19" t="str">
        <f aca="true" t="shared" si="0" ref="B23:H23">B3</f>
        <v>EA population</v>
      </c>
      <c r="C23" s="13"/>
      <c r="D23" s="46" t="s">
        <v>53</v>
      </c>
      <c r="E23" s="46" t="str">
        <f t="shared" si="0"/>
        <v>30-day Arrears</v>
      </c>
      <c r="F23" s="46" t="str">
        <f t="shared" si="0"/>
        <v>60-day arrears</v>
      </c>
      <c r="G23" s="46" t="str">
        <f t="shared" si="0"/>
        <v>90-day arrears</v>
      </c>
      <c r="H23" s="81" t="str">
        <f t="shared" si="0"/>
        <v>Total</v>
      </c>
      <c r="I23" s="12"/>
    </row>
    <row r="24" spans="1:9" ht="12.75">
      <c r="A24" s="10"/>
      <c r="B24" s="13" t="s">
        <v>11</v>
      </c>
      <c r="C24" s="26"/>
      <c r="D24" s="88"/>
      <c r="E24" s="88">
        <v>0.95</v>
      </c>
      <c r="F24" s="88">
        <v>0.9</v>
      </c>
      <c r="G24" s="88">
        <v>0.85</v>
      </c>
      <c r="H24" s="82"/>
      <c r="I24" s="12"/>
    </row>
    <row r="25" spans="1:9" ht="12.75">
      <c r="A25" s="10"/>
      <c r="B25" s="13" t="s">
        <v>12</v>
      </c>
      <c r="C25" s="26"/>
      <c r="D25" s="88"/>
      <c r="E25" s="88">
        <f>1-E24</f>
        <v>0.050000000000000044</v>
      </c>
      <c r="F25" s="88">
        <f>(1-F24)-E25</f>
        <v>0.04999999999999993</v>
      </c>
      <c r="G25" s="88">
        <f>(1-G24)-(E25+F25)</f>
        <v>0.050000000000000044</v>
      </c>
      <c r="H25" s="82"/>
      <c r="I25" s="12"/>
    </row>
    <row r="26" spans="1:9" ht="12.75">
      <c r="A26" s="10"/>
      <c r="B26" s="13" t="s">
        <v>13</v>
      </c>
      <c r="C26" s="27"/>
      <c r="D26" s="38">
        <f>SUM(E26:G26)</f>
        <v>3512.685000000002</v>
      </c>
      <c r="E26" s="38">
        <f>E25*E4</f>
        <v>878.1712500000009</v>
      </c>
      <c r="F26" s="38">
        <f>F25*F4</f>
        <v>702.5369999999992</v>
      </c>
      <c r="G26" s="38">
        <f>G25*G4</f>
        <v>1931.9767500000023</v>
      </c>
      <c r="H26" s="82"/>
      <c r="I26" s="12"/>
    </row>
    <row r="27" spans="1:9" ht="12.75">
      <c r="A27" s="10"/>
      <c r="B27" s="13" t="s">
        <v>5</v>
      </c>
      <c r="C27" s="25"/>
      <c r="D27" s="92"/>
      <c r="E27" s="92">
        <f>E26/1000</f>
        <v>0.8781712500000008</v>
      </c>
      <c r="F27" s="92">
        <f>F26/1000</f>
        <v>0.7025369999999992</v>
      </c>
      <c r="G27" s="92">
        <f>G26/1000</f>
        <v>1.9319767500000022</v>
      </c>
      <c r="H27" s="82"/>
      <c r="I27" s="12"/>
    </row>
    <row r="28" spans="1:9" ht="12.75">
      <c r="A28" s="10"/>
      <c r="B28" s="13" t="s">
        <v>4</v>
      </c>
      <c r="C28" s="14"/>
      <c r="D28" s="83"/>
      <c r="E28" s="83">
        <f>'December 2001'!E28</f>
        <v>45.67868031566741</v>
      </c>
      <c r="F28" s="83">
        <f>'December 2001'!F28</f>
        <v>36.059797012539775</v>
      </c>
      <c r="G28" s="83">
        <f>'December 2001'!G28</f>
        <v>3.0851720988794114</v>
      </c>
      <c r="H28" s="82"/>
      <c r="I28" s="12"/>
    </row>
    <row r="29" spans="1:9" ht="12.75">
      <c r="A29" s="10"/>
      <c r="B29" s="21" t="s">
        <v>6</v>
      </c>
      <c r="C29" s="28"/>
      <c r="D29" s="89"/>
      <c r="E29" s="89">
        <f>E27*E28</f>
        <v>40.11370379116008</v>
      </c>
      <c r="F29" s="89">
        <f>F27*F28</f>
        <v>25.333341613798627</v>
      </c>
      <c r="G29" s="89">
        <f>G27*G28</f>
        <v>5.960480764783731</v>
      </c>
      <c r="H29" s="90">
        <f>SUM(C29:G29)</f>
        <v>71.40752616974243</v>
      </c>
      <c r="I29" s="12"/>
    </row>
    <row r="30" spans="1:9" ht="12.75">
      <c r="A30" s="10"/>
      <c r="B30" s="13"/>
      <c r="C30" s="13"/>
      <c r="D30" s="46"/>
      <c r="E30" s="46"/>
      <c r="F30" s="46"/>
      <c r="G30" s="46"/>
      <c r="H30" s="82"/>
      <c r="I30" s="12"/>
    </row>
    <row r="31" spans="1:9" ht="12.75">
      <c r="A31" s="10"/>
      <c r="B31" s="13"/>
      <c r="C31" s="13"/>
      <c r="D31" s="46"/>
      <c r="E31" s="46"/>
      <c r="F31" s="46"/>
      <c r="G31" s="46"/>
      <c r="H31" s="82"/>
      <c r="I31" s="12"/>
    </row>
    <row r="32" spans="1:9" ht="15.75">
      <c r="A32" s="10"/>
      <c r="B32" s="19" t="str">
        <f aca="true" t="shared" si="1" ref="B32:G32">B11</f>
        <v>ELIP population</v>
      </c>
      <c r="C32" s="13"/>
      <c r="D32" s="46" t="s">
        <v>53</v>
      </c>
      <c r="E32" s="46" t="str">
        <f t="shared" si="1"/>
        <v>30-day Arrears</v>
      </c>
      <c r="F32" s="46" t="str">
        <f t="shared" si="1"/>
        <v>60-day arrears</v>
      </c>
      <c r="G32" s="46" t="str">
        <f t="shared" si="1"/>
        <v>90-day arrears</v>
      </c>
      <c r="H32" s="82"/>
      <c r="I32" s="12"/>
    </row>
    <row r="33" spans="1:9" ht="12.75">
      <c r="A33" s="10"/>
      <c r="B33" s="13" t="str">
        <f aca="true" t="shared" si="2" ref="B33:B38">B24</f>
        <v>Collectability factor</v>
      </c>
      <c r="C33" s="26"/>
      <c r="D33" s="88"/>
      <c r="E33" s="88">
        <f>E24</f>
        <v>0.95</v>
      </c>
      <c r="F33" s="88">
        <f>F24</f>
        <v>0.9</v>
      </c>
      <c r="G33" s="88">
        <f>G24</f>
        <v>0.85</v>
      </c>
      <c r="H33" s="82"/>
      <c r="I33" s="12"/>
    </row>
    <row r="34" spans="1:9" ht="12.75">
      <c r="A34" s="10"/>
      <c r="B34" s="13" t="str">
        <f t="shared" si="2"/>
        <v>Uncollectable rate</v>
      </c>
      <c r="C34" s="26"/>
      <c r="D34" s="88"/>
      <c r="E34" s="88">
        <f>1-E33</f>
        <v>0.050000000000000044</v>
      </c>
      <c r="F34" s="88">
        <f>(1-F33)-E34</f>
        <v>0.04999999999999993</v>
      </c>
      <c r="G34" s="88">
        <f>(1-G33)-(E34+F34)</f>
        <v>0.050000000000000044</v>
      </c>
      <c r="H34" s="82"/>
      <c r="I34" s="12"/>
    </row>
    <row r="35" spans="1:9" ht="12.75">
      <c r="A35" s="10"/>
      <c r="B35" s="13" t="str">
        <f t="shared" si="2"/>
        <v>Uncollectable dollars</v>
      </c>
      <c r="C35" s="27"/>
      <c r="D35" s="38">
        <f>SUM(E35:G35)</f>
        <v>1108.0750000000005</v>
      </c>
      <c r="E35" s="38">
        <f>E34*E12</f>
        <v>277.01875000000024</v>
      </c>
      <c r="F35" s="38">
        <f>F34*F12</f>
        <v>221.61499999999972</v>
      </c>
      <c r="G35" s="38">
        <f>G34*G12</f>
        <v>609.4412500000005</v>
      </c>
      <c r="H35" s="82"/>
      <c r="I35" s="12"/>
    </row>
    <row r="36" spans="1:9" ht="12.75">
      <c r="A36" s="10"/>
      <c r="B36" s="13" t="str">
        <f t="shared" si="2"/>
        <v>$1,000 increments</v>
      </c>
      <c r="C36" s="25"/>
      <c r="D36" s="92"/>
      <c r="E36" s="92">
        <f>E35/1000</f>
        <v>0.27701875000000026</v>
      </c>
      <c r="F36" s="92">
        <f>F35/1000</f>
        <v>0.22161499999999973</v>
      </c>
      <c r="G36" s="92">
        <f>G35/1000</f>
        <v>0.6094412500000005</v>
      </c>
      <c r="H36" s="82"/>
      <c r="I36" s="12"/>
    </row>
    <row r="37" spans="1:9" ht="12.75">
      <c r="A37" s="10"/>
      <c r="B37" s="13" t="str">
        <f t="shared" si="2"/>
        <v>Working capital per $1,000</v>
      </c>
      <c r="C37" s="14"/>
      <c r="D37" s="83"/>
      <c r="E37" s="83">
        <f>E28</f>
        <v>45.67868031566741</v>
      </c>
      <c r="F37" s="83">
        <f>F28</f>
        <v>36.059797012539775</v>
      </c>
      <c r="G37" s="83">
        <f>G28</f>
        <v>3.0851720988794114</v>
      </c>
      <c r="H37" s="82"/>
      <c r="I37" s="12"/>
    </row>
    <row r="38" spans="1:9" ht="12.75">
      <c r="A38" s="10"/>
      <c r="B38" s="21" t="str">
        <f t="shared" si="2"/>
        <v>Total working capital expense</v>
      </c>
      <c r="C38" s="28"/>
      <c r="D38" s="89"/>
      <c r="E38" s="89">
        <f>E36*E37</f>
        <v>12.653850922695803</v>
      </c>
      <c r="F38" s="89">
        <f>F36*F37</f>
        <v>7.991391914933993</v>
      </c>
      <c r="G38" s="89">
        <f>G36*G37</f>
        <v>1.8802311404061935</v>
      </c>
      <c r="H38" s="90">
        <f>SUM(C38:G38)</f>
        <v>22.52547397803599</v>
      </c>
      <c r="I38" s="12"/>
    </row>
    <row r="39" spans="1:9" ht="13.5" thickBot="1">
      <c r="A39" s="10"/>
      <c r="B39" s="13"/>
      <c r="C39" s="13"/>
      <c r="D39" s="46"/>
      <c r="E39" s="46"/>
      <c r="F39" s="46"/>
      <c r="G39" s="46"/>
      <c r="H39" s="82"/>
      <c r="I39" s="12"/>
    </row>
    <row r="40" spans="1:9" ht="13.5" thickBot="1">
      <c r="A40" s="10"/>
      <c r="B40" s="22" t="s">
        <v>7</v>
      </c>
      <c r="C40" s="23"/>
      <c r="D40" s="86">
        <f>D26-D35</f>
        <v>2404.6100000000015</v>
      </c>
      <c r="E40" s="86">
        <f>E29-E38</f>
        <v>27.459852868464274</v>
      </c>
      <c r="F40" s="86">
        <f>F29-F38</f>
        <v>17.341949698864635</v>
      </c>
      <c r="G40" s="86">
        <f>G29-G38</f>
        <v>4.0802496243775375</v>
      </c>
      <c r="H40" s="91">
        <f>SUM(E40:G40)</f>
        <v>48.88205219170644</v>
      </c>
      <c r="I40" s="12"/>
    </row>
    <row r="41" spans="1:9" ht="13.5" thickBot="1">
      <c r="A41" s="15"/>
      <c r="B41" s="17"/>
      <c r="C41" s="17"/>
      <c r="D41" s="17"/>
      <c r="E41" s="17"/>
      <c r="F41" s="17"/>
      <c r="G41" s="17"/>
      <c r="H41" s="17"/>
      <c r="I41" s="16"/>
    </row>
    <row r="42" ht="14.25" thickBot="1" thickTop="1"/>
    <row r="43" spans="1:9" ht="13.5" thickTop="1">
      <c r="A43" s="20"/>
      <c r="B43" s="123" t="str">
        <f>'January 2002'!B43</f>
        <v>Disconnection Savings</v>
      </c>
      <c r="C43" s="123"/>
      <c r="D43" s="9"/>
      <c r="F43" s="20"/>
      <c r="G43" s="123" t="str">
        <f>'January 2002'!G43</f>
        <v>Collection Savings</v>
      </c>
      <c r="H43" s="123"/>
      <c r="I43" s="9"/>
    </row>
    <row r="44" spans="1:9" ht="12.75">
      <c r="A44" s="10"/>
      <c r="B44" s="13" t="s">
        <v>80</v>
      </c>
      <c r="C44" s="13">
        <f>'Input Data'!B16</f>
        <v>18.8</v>
      </c>
      <c r="D44" s="12"/>
      <c r="F44" s="10"/>
      <c r="G44" s="13" t="s">
        <v>77</v>
      </c>
      <c r="H44" s="40">
        <f>'Input Data'!F40</f>
        <v>0.55</v>
      </c>
      <c r="I44" s="12"/>
    </row>
    <row r="45" spans="1:9" ht="12.75">
      <c r="A45" s="10"/>
      <c r="B45" s="13" t="s">
        <v>75</v>
      </c>
      <c r="C45" s="94">
        <f>'Input Data'!K40*'Input Data'!F40/100</f>
        <v>3.8390000000000004</v>
      </c>
      <c r="D45" s="12"/>
      <c r="F45" s="10"/>
      <c r="G45" s="13" t="s">
        <v>31</v>
      </c>
      <c r="H45" s="25">
        <f>H51</f>
        <v>698</v>
      </c>
      <c r="I45" s="12"/>
    </row>
    <row r="46" spans="1:9" ht="12.75">
      <c r="A46" s="10"/>
      <c r="B46" s="13" t="s">
        <v>26</v>
      </c>
      <c r="C46" s="93">
        <f>C45*C44</f>
        <v>72.17320000000001</v>
      </c>
      <c r="D46" s="12"/>
      <c r="F46" s="10"/>
      <c r="G46" s="13" t="s">
        <v>32</v>
      </c>
      <c r="H46" s="25">
        <f>H44*H45</f>
        <v>383.90000000000003</v>
      </c>
      <c r="I46" s="12"/>
    </row>
    <row r="47" spans="1:9" ht="12.75">
      <c r="A47" s="10"/>
      <c r="B47" s="13" t="s">
        <v>24</v>
      </c>
      <c r="C47" s="14">
        <f>'January 2002'!C47</f>
        <v>121.18</v>
      </c>
      <c r="D47" s="12"/>
      <c r="F47" s="10"/>
      <c r="G47" s="13" t="s">
        <v>33</v>
      </c>
      <c r="H47" s="14">
        <f>'December 2001'!H47</f>
        <v>12.94</v>
      </c>
      <c r="I47" s="12"/>
    </row>
    <row r="48" spans="1:9" ht="12.75">
      <c r="A48" s="10"/>
      <c r="B48" s="13" t="s">
        <v>25</v>
      </c>
      <c r="C48" s="11">
        <f>C47*C46</f>
        <v>8745.948376000002</v>
      </c>
      <c r="D48" s="12"/>
      <c r="F48" s="10"/>
      <c r="G48" s="13" t="s">
        <v>34</v>
      </c>
      <c r="H48" s="11">
        <f>H46*H47</f>
        <v>4967.666</v>
      </c>
      <c r="I48" s="12"/>
    </row>
    <row r="49" spans="1:9" ht="12.75">
      <c r="A49" s="10"/>
      <c r="B49" s="13"/>
      <c r="C49" s="13"/>
      <c r="D49" s="12"/>
      <c r="F49" s="10"/>
      <c r="G49" s="13"/>
      <c r="H49" s="13"/>
      <c r="I49" s="12"/>
    </row>
    <row r="50" spans="1:9" ht="12.75">
      <c r="A50" s="10"/>
      <c r="B50" s="13" t="s">
        <v>81</v>
      </c>
      <c r="C50" s="13">
        <f>'Input Data'!C16</f>
        <v>1.9</v>
      </c>
      <c r="D50" s="12"/>
      <c r="F50" s="10"/>
      <c r="G50" s="13" t="s">
        <v>78</v>
      </c>
      <c r="H50" s="40">
        <f>'Input Data'!G40</f>
        <v>0.25</v>
      </c>
      <c r="I50" s="12"/>
    </row>
    <row r="51" spans="1:9" ht="12.75">
      <c r="A51" s="10"/>
      <c r="B51" s="13" t="s">
        <v>75</v>
      </c>
      <c r="C51" s="94">
        <f>'Input Data'!K40*'Input Data'!G40/100</f>
        <v>1.745</v>
      </c>
      <c r="D51" s="12"/>
      <c r="F51" s="10"/>
      <c r="G51" s="13" t="s">
        <v>31</v>
      </c>
      <c r="H51" s="25">
        <f>'Input Data'!K40</f>
        <v>698</v>
      </c>
      <c r="I51" s="12"/>
    </row>
    <row r="52" spans="1:9" ht="12.75">
      <c r="A52" s="10"/>
      <c r="B52" s="13" t="s">
        <v>26</v>
      </c>
      <c r="C52" s="93">
        <f>C51*C50</f>
        <v>3.3155</v>
      </c>
      <c r="D52" s="12"/>
      <c r="F52" s="10"/>
      <c r="G52" s="13" t="s">
        <v>32</v>
      </c>
      <c r="H52" s="25">
        <f>H50*H51</f>
        <v>174.5</v>
      </c>
      <c r="I52" s="12"/>
    </row>
    <row r="53" spans="1:9" ht="12.75">
      <c r="A53" s="10"/>
      <c r="B53" s="13" t="s">
        <v>24</v>
      </c>
      <c r="C53" s="14">
        <f>C47</f>
        <v>121.18</v>
      </c>
      <c r="D53" s="12"/>
      <c r="F53" s="10"/>
      <c r="G53" s="13" t="s">
        <v>33</v>
      </c>
      <c r="H53" s="14">
        <f>H47</f>
        <v>12.94</v>
      </c>
      <c r="I53" s="12"/>
    </row>
    <row r="54" spans="1:9" ht="12.75">
      <c r="A54" s="10"/>
      <c r="B54" s="13" t="s">
        <v>25</v>
      </c>
      <c r="C54" s="11">
        <f>C53*C52</f>
        <v>401.77229000000005</v>
      </c>
      <c r="D54" s="12"/>
      <c r="F54" s="10"/>
      <c r="G54" s="13" t="s">
        <v>34</v>
      </c>
      <c r="H54" s="11">
        <f>H52*H53</f>
        <v>2258.0299999999997</v>
      </c>
      <c r="I54" s="12"/>
    </row>
    <row r="55" spans="1:9" ht="13.5" thickBot="1">
      <c r="A55" s="10"/>
      <c r="B55" s="13"/>
      <c r="C55" s="13"/>
      <c r="D55" s="12"/>
      <c r="F55" s="10"/>
      <c r="G55" s="13"/>
      <c r="H55" s="13"/>
      <c r="I55" s="12"/>
    </row>
    <row r="56" spans="1:9" ht="13.5" thickBot="1">
      <c r="A56" s="10"/>
      <c r="B56" s="22" t="s">
        <v>7</v>
      </c>
      <c r="C56" s="36">
        <f>C48-C54</f>
        <v>8344.176086000001</v>
      </c>
      <c r="D56" s="12"/>
      <c r="F56" s="10"/>
      <c r="G56" s="22" t="s">
        <v>7</v>
      </c>
      <c r="H56" s="36">
        <f>H48-H54</f>
        <v>2709.6360000000004</v>
      </c>
      <c r="I56" s="12"/>
    </row>
    <row r="57" spans="1:9" ht="13.5" thickBot="1">
      <c r="A57" s="15"/>
      <c r="B57" s="17"/>
      <c r="C57" s="17"/>
      <c r="D57" s="16"/>
      <c r="F57" s="15"/>
      <c r="G57" s="17"/>
      <c r="H57" s="17"/>
      <c r="I57" s="16"/>
    </row>
    <row r="58" ht="13.5" thickTop="1"/>
  </sheetData>
  <mergeCells count="4">
    <mergeCell ref="C22:H22"/>
    <mergeCell ref="C2:H2"/>
    <mergeCell ref="G43:H43"/>
    <mergeCell ref="B43:C43"/>
  </mergeCells>
  <printOptions/>
  <pageMargins left="0.75" right="0.75" top="1" bottom="1" header="0.5" footer="0.5"/>
  <pageSetup fitToHeight="1" fitToWidth="1" horizontalDpi="600" verticalDpi="600" orientation="landscape" scale="59" r:id="rId1"/>
  <headerFooter alignWithMargins="0">
    <oddHeader>&amp;R&amp;"Arial,Bold"&amp;12Appendix A</oddHeader>
    <oddFooter>&amp;RPage &amp;P
&amp;F
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 topLeftCell="B15">
      <selection activeCell="D44" sqref="D44"/>
    </sheetView>
  </sheetViews>
  <sheetFormatPr defaultColWidth="9.140625" defaultRowHeight="12.75"/>
  <cols>
    <col min="2" max="2" width="39.421875" style="0" bestFit="1" customWidth="1"/>
    <col min="3" max="3" width="11.140625" style="0" bestFit="1" customWidth="1"/>
    <col min="4" max="4" width="14.7109375" style="0" customWidth="1"/>
    <col min="5" max="5" width="13.140625" style="0" bestFit="1" customWidth="1"/>
    <col min="6" max="6" width="12.8515625" style="0" bestFit="1" customWidth="1"/>
    <col min="7" max="7" width="41.7109375" style="0" bestFit="1" customWidth="1"/>
  </cols>
  <sheetData>
    <row r="1" ht="18.75" thickBot="1">
      <c r="B1" s="100">
        <f>'Summary Data'!A11</f>
        <v>37469</v>
      </c>
    </row>
    <row r="2" spans="1:9" ht="19.5" thickBot="1" thickTop="1">
      <c r="A2" s="20"/>
      <c r="B2" s="18"/>
      <c r="C2" s="122" t="str">
        <f>'January 2002'!C2</f>
        <v>Monthly Arrears: Working Capital</v>
      </c>
      <c r="D2" s="122"/>
      <c r="E2" s="122"/>
      <c r="F2" s="122"/>
      <c r="G2" s="122"/>
      <c r="H2" s="122"/>
      <c r="I2" s="9"/>
    </row>
    <row r="3" spans="1:9" ht="15.75">
      <c r="A3" s="10"/>
      <c r="B3" s="19" t="str">
        <f>'December 2001'!B3</f>
        <v>EA population</v>
      </c>
      <c r="C3" s="46"/>
      <c r="D3" s="46" t="s">
        <v>21</v>
      </c>
      <c r="E3" s="46" t="s">
        <v>0</v>
      </c>
      <c r="F3" s="46" t="s">
        <v>1</v>
      </c>
      <c r="G3" s="46" t="s">
        <v>2</v>
      </c>
      <c r="H3" s="81" t="s">
        <v>8</v>
      </c>
      <c r="I3" s="12"/>
    </row>
    <row r="4" spans="1:9" ht="12.75">
      <c r="A4" s="10"/>
      <c r="B4" s="13" t="s">
        <v>3</v>
      </c>
      <c r="C4" s="38"/>
      <c r="D4" s="38">
        <f>'Input Data'!K41*'Input Data'!F41*'Input Data'!B41</f>
        <v>51834.600000000006</v>
      </c>
      <c r="E4" s="38">
        <f>$D$4*'Input Data'!B4</f>
        <v>12958.650000000001</v>
      </c>
      <c r="F4" s="38">
        <f>$D$4*'Input Data'!C4</f>
        <v>10366.920000000002</v>
      </c>
      <c r="G4" s="38">
        <f>$D$4*'Input Data'!D4</f>
        <v>28509.030000000006</v>
      </c>
      <c r="H4" s="82"/>
      <c r="I4" s="12"/>
    </row>
    <row r="5" spans="1:9" ht="12.75">
      <c r="A5" s="10"/>
      <c r="B5" s="13" t="s">
        <v>10</v>
      </c>
      <c r="C5" s="38"/>
      <c r="D5" s="38"/>
      <c r="E5" s="38">
        <f>E4*E24</f>
        <v>12310.7175</v>
      </c>
      <c r="F5" s="38">
        <f>F4*F24</f>
        <v>9330.228000000003</v>
      </c>
      <c r="G5" s="38">
        <f>G4*G24</f>
        <v>24232.675500000005</v>
      </c>
      <c r="H5" s="82"/>
      <c r="I5" s="12"/>
    </row>
    <row r="6" spans="1:9" ht="12.75">
      <c r="A6" s="10"/>
      <c r="B6" s="13" t="s">
        <v>5</v>
      </c>
      <c r="C6" s="92"/>
      <c r="D6" s="92"/>
      <c r="E6" s="92">
        <f>E5/1000</f>
        <v>12.3107175</v>
      </c>
      <c r="F6" s="92">
        <f>F5/1000</f>
        <v>9.330228000000004</v>
      </c>
      <c r="G6" s="92">
        <f>G5/1000</f>
        <v>24.232675500000006</v>
      </c>
      <c r="H6" s="82"/>
      <c r="I6" s="12"/>
    </row>
    <row r="7" spans="1:9" ht="12.75">
      <c r="A7" s="10"/>
      <c r="B7" s="13" t="s">
        <v>4</v>
      </c>
      <c r="C7" s="83"/>
      <c r="D7" s="83"/>
      <c r="E7" s="83">
        <f>'December 2001'!E7</f>
        <v>6.18</v>
      </c>
      <c r="F7" s="83">
        <f>'December 2001'!F7</f>
        <v>9.28</v>
      </c>
      <c r="G7" s="83">
        <f>'December 2001'!G7</f>
        <v>32.87</v>
      </c>
      <c r="H7" s="82"/>
      <c r="I7" s="12"/>
    </row>
    <row r="8" spans="1:9" ht="12.75">
      <c r="A8" s="10"/>
      <c r="B8" s="21" t="s">
        <v>6</v>
      </c>
      <c r="C8" s="84"/>
      <c r="D8" s="84"/>
      <c r="E8" s="84">
        <f>E6*E7</f>
        <v>76.08023415</v>
      </c>
      <c r="F8" s="84">
        <f>F6*F7</f>
        <v>86.58451584000002</v>
      </c>
      <c r="G8" s="84">
        <f>G6*G7</f>
        <v>796.5280436850002</v>
      </c>
      <c r="H8" s="85">
        <f>SUM(C8:G8)</f>
        <v>959.1927936750002</v>
      </c>
      <c r="I8" s="12"/>
    </row>
    <row r="9" spans="1:9" ht="12.75">
      <c r="A9" s="10"/>
      <c r="B9" s="13"/>
      <c r="C9" s="46"/>
      <c r="D9" s="46"/>
      <c r="E9" s="46"/>
      <c r="F9" s="46"/>
      <c r="G9" s="46"/>
      <c r="H9" s="82"/>
      <c r="I9" s="12"/>
    </row>
    <row r="10" spans="1:9" ht="12.75">
      <c r="A10" s="10"/>
      <c r="B10" s="13"/>
      <c r="C10" s="46"/>
      <c r="D10" s="46"/>
      <c r="E10" s="46"/>
      <c r="F10" s="46"/>
      <c r="G10" s="46"/>
      <c r="H10" s="82"/>
      <c r="I10" s="12"/>
    </row>
    <row r="11" spans="1:9" ht="15.75">
      <c r="A11" s="10"/>
      <c r="B11" s="19" t="str">
        <f>'December 2001'!B11</f>
        <v>ELIP population</v>
      </c>
      <c r="C11" s="46"/>
      <c r="D11" s="46" t="str">
        <f>D3</f>
        <v>Total Arrears($s)</v>
      </c>
      <c r="E11" s="46" t="str">
        <f>E3</f>
        <v>30-day Arrears</v>
      </c>
      <c r="F11" s="46" t="str">
        <f>F3</f>
        <v>60-day arrears</v>
      </c>
      <c r="G11" s="46" t="str">
        <f>G3</f>
        <v>90-day arrears</v>
      </c>
      <c r="H11" s="82"/>
      <c r="I11" s="12"/>
    </row>
    <row r="12" spans="1:9" ht="12.75">
      <c r="A12" s="10"/>
      <c r="B12" s="13" t="str">
        <f>B4</f>
        <v>Dollars</v>
      </c>
      <c r="C12" s="38"/>
      <c r="D12" s="38">
        <f>'Input Data'!K41*'Input Data'!G41*'Input Data'!C41</f>
        <v>20654.399999999998</v>
      </c>
      <c r="E12" s="38">
        <f>$D$12*'Input Data'!B4</f>
        <v>5163.599999999999</v>
      </c>
      <c r="F12" s="38">
        <f>$D$12*'Input Data'!C4</f>
        <v>4130.88</v>
      </c>
      <c r="G12" s="38">
        <f>$D$12*'Input Data'!D4</f>
        <v>11359.92</v>
      </c>
      <c r="H12" s="82"/>
      <c r="I12" s="12"/>
    </row>
    <row r="13" spans="1:9" ht="12.75">
      <c r="A13" s="10"/>
      <c r="B13" s="13" t="str">
        <f>B5</f>
        <v>Dollars adjusted for charge-offs</v>
      </c>
      <c r="C13" s="38"/>
      <c r="D13" s="38"/>
      <c r="E13" s="38">
        <f>E12*E24</f>
        <v>4905.419999999999</v>
      </c>
      <c r="F13" s="38">
        <f>F12*F24</f>
        <v>3717.7920000000004</v>
      </c>
      <c r="G13" s="38">
        <f>G12*G24</f>
        <v>9655.932</v>
      </c>
      <c r="H13" s="82"/>
      <c r="I13" s="12"/>
    </row>
    <row r="14" spans="1:9" ht="12.75">
      <c r="A14" s="10"/>
      <c r="B14" s="13" t="str">
        <f>B6</f>
        <v>$1,000 increments</v>
      </c>
      <c r="C14" s="92"/>
      <c r="D14" s="92"/>
      <c r="E14" s="92">
        <f>E13/1000</f>
        <v>4.9054199999999994</v>
      </c>
      <c r="F14" s="92">
        <f>F13/1000</f>
        <v>3.717792</v>
      </c>
      <c r="G14" s="92">
        <f>G13/1000</f>
        <v>9.655932</v>
      </c>
      <c r="H14" s="82"/>
      <c r="I14" s="12"/>
    </row>
    <row r="15" spans="1:9" ht="12.75">
      <c r="A15" s="10"/>
      <c r="B15" s="13" t="str">
        <f>B7</f>
        <v>Working capital per $1,000</v>
      </c>
      <c r="C15" s="83"/>
      <c r="D15" s="83"/>
      <c r="E15" s="83">
        <f>E7</f>
        <v>6.18</v>
      </c>
      <c r="F15" s="83">
        <f>F7</f>
        <v>9.28</v>
      </c>
      <c r="G15" s="83">
        <f>G7</f>
        <v>32.87</v>
      </c>
      <c r="H15" s="82"/>
      <c r="I15" s="12"/>
    </row>
    <row r="16" spans="1:9" ht="12.75">
      <c r="A16" s="10"/>
      <c r="B16" s="21" t="str">
        <f>B8</f>
        <v>Total working capital expense</v>
      </c>
      <c r="C16" s="84"/>
      <c r="D16" s="84"/>
      <c r="E16" s="84">
        <f>E14*E15</f>
        <v>30.315495599999995</v>
      </c>
      <c r="F16" s="84">
        <f>F14*F15</f>
        <v>34.50110976</v>
      </c>
      <c r="G16" s="84">
        <f>G14*G15</f>
        <v>317.39048484</v>
      </c>
      <c r="H16" s="85">
        <f>SUM(C16:G16)</f>
        <v>382.2070902</v>
      </c>
      <c r="I16" s="12"/>
    </row>
    <row r="17" spans="1:9" ht="13.5" thickBot="1">
      <c r="A17" s="10"/>
      <c r="B17" s="13"/>
      <c r="C17" s="46"/>
      <c r="D17" s="46"/>
      <c r="E17" s="46"/>
      <c r="F17" s="46"/>
      <c r="G17" s="46"/>
      <c r="H17" s="82"/>
      <c r="I17" s="12"/>
    </row>
    <row r="18" spans="1:9" ht="13.5" thickBot="1">
      <c r="A18" s="10"/>
      <c r="B18" s="22" t="s">
        <v>7</v>
      </c>
      <c r="C18" s="86"/>
      <c r="D18" s="86"/>
      <c r="E18" s="86">
        <f>E8-E16</f>
        <v>45.764738550000004</v>
      </c>
      <c r="F18" s="86">
        <f>F8-F16</f>
        <v>52.083406080000024</v>
      </c>
      <c r="G18" s="86">
        <f>G8-G16</f>
        <v>479.13755884500017</v>
      </c>
      <c r="H18" s="87">
        <f>SUM(C18:G18)</f>
        <v>576.9857034750003</v>
      </c>
      <c r="I18" s="12"/>
    </row>
    <row r="19" spans="1:9" ht="13.5" thickBot="1">
      <c r="A19" s="15"/>
      <c r="B19" s="17"/>
      <c r="C19" s="17"/>
      <c r="D19" s="17"/>
      <c r="E19" s="17"/>
      <c r="F19" s="17"/>
      <c r="G19" s="17"/>
      <c r="H19" s="17"/>
      <c r="I19" s="16"/>
    </row>
    <row r="20" ht="13.5" thickTop="1"/>
    <row r="21" ht="13.5" thickBot="1"/>
    <row r="22" spans="1:9" ht="18" thickBot="1" thickTop="1">
      <c r="A22" s="20"/>
      <c r="B22" s="8"/>
      <c r="C22" s="122" t="s">
        <v>52</v>
      </c>
      <c r="D22" s="122"/>
      <c r="E22" s="122"/>
      <c r="F22" s="122"/>
      <c r="G22" s="122"/>
      <c r="H22" s="122"/>
      <c r="I22" s="9"/>
    </row>
    <row r="23" spans="1:9" ht="15.75">
      <c r="A23" s="10"/>
      <c r="B23" s="19" t="str">
        <f aca="true" t="shared" si="0" ref="B23:H23">B3</f>
        <v>EA population</v>
      </c>
      <c r="C23" s="13"/>
      <c r="D23" s="46" t="s">
        <v>53</v>
      </c>
      <c r="E23" s="46" t="str">
        <f t="shared" si="0"/>
        <v>30-day Arrears</v>
      </c>
      <c r="F23" s="46" t="str">
        <f t="shared" si="0"/>
        <v>60-day arrears</v>
      </c>
      <c r="G23" s="46" t="str">
        <f t="shared" si="0"/>
        <v>90-day arrears</v>
      </c>
      <c r="H23" s="81" t="str">
        <f t="shared" si="0"/>
        <v>Total</v>
      </c>
      <c r="I23" s="12"/>
    </row>
    <row r="24" spans="1:9" ht="12.75">
      <c r="A24" s="10"/>
      <c r="B24" s="13" t="s">
        <v>11</v>
      </c>
      <c r="C24" s="26"/>
      <c r="D24" s="88"/>
      <c r="E24" s="88">
        <v>0.95</v>
      </c>
      <c r="F24" s="88">
        <v>0.9</v>
      </c>
      <c r="G24" s="88">
        <v>0.85</v>
      </c>
      <c r="H24" s="82"/>
      <c r="I24" s="12"/>
    </row>
    <row r="25" spans="1:9" ht="12.75">
      <c r="A25" s="10"/>
      <c r="B25" s="13" t="s">
        <v>12</v>
      </c>
      <c r="C25" s="26"/>
      <c r="D25" s="88"/>
      <c r="E25" s="88">
        <f>1-E24</f>
        <v>0.050000000000000044</v>
      </c>
      <c r="F25" s="88">
        <f>(1-F24)-E25</f>
        <v>0.04999999999999993</v>
      </c>
      <c r="G25" s="88">
        <f>(1-G24)-(E25+F25)</f>
        <v>0.050000000000000044</v>
      </c>
      <c r="H25" s="82"/>
      <c r="I25" s="12"/>
    </row>
    <row r="26" spans="1:9" ht="12.75">
      <c r="A26" s="10"/>
      <c r="B26" s="13" t="s">
        <v>13</v>
      </c>
      <c r="C26" s="27"/>
      <c r="D26" s="38">
        <f>SUM(E26:G26)</f>
        <v>2591.7300000000014</v>
      </c>
      <c r="E26" s="38">
        <f>E25*E4</f>
        <v>647.9325000000007</v>
      </c>
      <c r="F26" s="38">
        <f>F25*F4</f>
        <v>518.3459999999994</v>
      </c>
      <c r="G26" s="38">
        <f>G25*G4</f>
        <v>1425.4515000000015</v>
      </c>
      <c r="H26" s="82"/>
      <c r="I26" s="12"/>
    </row>
    <row r="27" spans="1:9" ht="12.75">
      <c r="A27" s="10"/>
      <c r="B27" s="13" t="s">
        <v>5</v>
      </c>
      <c r="C27" s="25"/>
      <c r="D27" s="92"/>
      <c r="E27" s="92">
        <f>E26/1000</f>
        <v>0.6479325000000007</v>
      </c>
      <c r="F27" s="92">
        <f>F26/1000</f>
        <v>0.5183459999999994</v>
      </c>
      <c r="G27" s="92">
        <f>G26/1000</f>
        <v>1.4254515000000014</v>
      </c>
      <c r="H27" s="82"/>
      <c r="I27" s="12"/>
    </row>
    <row r="28" spans="1:9" ht="12.75">
      <c r="A28" s="10"/>
      <c r="B28" s="13" t="s">
        <v>4</v>
      </c>
      <c r="C28" s="14"/>
      <c r="D28" s="83"/>
      <c r="E28" s="83">
        <f>'December 2001'!E28</f>
        <v>45.67868031566741</v>
      </c>
      <c r="F28" s="83">
        <f>'December 2001'!F28</f>
        <v>36.059797012539775</v>
      </c>
      <c r="G28" s="83">
        <f>'December 2001'!G28</f>
        <v>3.0851720988794114</v>
      </c>
      <c r="H28" s="82"/>
      <c r="I28" s="12"/>
    </row>
    <row r="29" spans="1:9" ht="12.75">
      <c r="A29" s="10"/>
      <c r="B29" s="21" t="s">
        <v>6</v>
      </c>
      <c r="C29" s="28"/>
      <c r="D29" s="89"/>
      <c r="E29" s="89">
        <f>E27*E28</f>
        <v>29.596701533631204</v>
      </c>
      <c r="F29" s="89">
        <f>F27*F28</f>
        <v>18.69145154226192</v>
      </c>
      <c r="G29" s="89">
        <f>G27*G28</f>
        <v>4.397763196105809</v>
      </c>
      <c r="H29" s="90">
        <f>SUM(C29:G29)</f>
        <v>52.68591627199893</v>
      </c>
      <c r="I29" s="12"/>
    </row>
    <row r="30" spans="1:9" ht="12.75">
      <c r="A30" s="10"/>
      <c r="B30" s="13"/>
      <c r="C30" s="13"/>
      <c r="D30" s="46"/>
      <c r="E30" s="46"/>
      <c r="F30" s="46"/>
      <c r="G30" s="46"/>
      <c r="H30" s="82"/>
      <c r="I30" s="12"/>
    </row>
    <row r="31" spans="1:9" ht="12.75">
      <c r="A31" s="10"/>
      <c r="B31" s="13"/>
      <c r="C31" s="13"/>
      <c r="D31" s="46"/>
      <c r="E31" s="46"/>
      <c r="F31" s="46"/>
      <c r="G31" s="46"/>
      <c r="H31" s="82"/>
      <c r="I31" s="12"/>
    </row>
    <row r="32" spans="1:9" ht="15.75">
      <c r="A32" s="10"/>
      <c r="B32" s="19" t="str">
        <f aca="true" t="shared" si="1" ref="B32:G32">B11</f>
        <v>ELIP population</v>
      </c>
      <c r="C32" s="13"/>
      <c r="D32" s="46" t="s">
        <v>53</v>
      </c>
      <c r="E32" s="46" t="str">
        <f t="shared" si="1"/>
        <v>30-day Arrears</v>
      </c>
      <c r="F32" s="46" t="str">
        <f t="shared" si="1"/>
        <v>60-day arrears</v>
      </c>
      <c r="G32" s="46" t="str">
        <f t="shared" si="1"/>
        <v>90-day arrears</v>
      </c>
      <c r="H32" s="82"/>
      <c r="I32" s="12"/>
    </row>
    <row r="33" spans="1:9" ht="12.75">
      <c r="A33" s="10"/>
      <c r="B33" s="13" t="str">
        <f aca="true" t="shared" si="2" ref="B33:B38">B24</f>
        <v>Collectability factor</v>
      </c>
      <c r="C33" s="26"/>
      <c r="D33" s="88"/>
      <c r="E33" s="88">
        <f>E24</f>
        <v>0.95</v>
      </c>
      <c r="F33" s="88">
        <f>F24</f>
        <v>0.9</v>
      </c>
      <c r="G33" s="88">
        <f>G24</f>
        <v>0.85</v>
      </c>
      <c r="H33" s="82"/>
      <c r="I33" s="12"/>
    </row>
    <row r="34" spans="1:9" ht="12.75">
      <c r="A34" s="10"/>
      <c r="B34" s="13" t="str">
        <f t="shared" si="2"/>
        <v>Uncollectable rate</v>
      </c>
      <c r="C34" s="26"/>
      <c r="D34" s="88"/>
      <c r="E34" s="88">
        <f>1-E33</f>
        <v>0.050000000000000044</v>
      </c>
      <c r="F34" s="88">
        <f>(1-F33)-E34</f>
        <v>0.04999999999999993</v>
      </c>
      <c r="G34" s="88">
        <f>(1-G33)-(E34+F34)</f>
        <v>0.050000000000000044</v>
      </c>
      <c r="H34" s="82"/>
      <c r="I34" s="12"/>
    </row>
    <row r="35" spans="1:9" ht="12.75">
      <c r="A35" s="10"/>
      <c r="B35" s="13" t="str">
        <f t="shared" si="2"/>
        <v>Uncollectable dollars</v>
      </c>
      <c r="C35" s="27"/>
      <c r="D35" s="38">
        <f>SUM(E35:G35)</f>
        <v>1032.7200000000005</v>
      </c>
      <c r="E35" s="38">
        <f>E34*E12</f>
        <v>258.1800000000002</v>
      </c>
      <c r="F35" s="38">
        <f>F34*F12</f>
        <v>206.54399999999973</v>
      </c>
      <c r="G35" s="38">
        <f>G34*G12</f>
        <v>567.9960000000005</v>
      </c>
      <c r="H35" s="82"/>
      <c r="I35" s="12"/>
    </row>
    <row r="36" spans="1:9" ht="12.75">
      <c r="A36" s="10"/>
      <c r="B36" s="13" t="str">
        <f t="shared" si="2"/>
        <v>$1,000 increments</v>
      </c>
      <c r="C36" s="25"/>
      <c r="D36" s="92"/>
      <c r="E36" s="92">
        <f>E35/1000</f>
        <v>0.2581800000000002</v>
      </c>
      <c r="F36" s="92">
        <f>F35/1000</f>
        <v>0.20654399999999973</v>
      </c>
      <c r="G36" s="92">
        <f>G35/1000</f>
        <v>0.5679960000000005</v>
      </c>
      <c r="H36" s="82"/>
      <c r="I36" s="12"/>
    </row>
    <row r="37" spans="1:9" ht="12.75">
      <c r="A37" s="10"/>
      <c r="B37" s="13" t="str">
        <f t="shared" si="2"/>
        <v>Working capital per $1,000</v>
      </c>
      <c r="C37" s="14"/>
      <c r="D37" s="83"/>
      <c r="E37" s="83">
        <f>E28</f>
        <v>45.67868031566741</v>
      </c>
      <c r="F37" s="83">
        <f>F28</f>
        <v>36.059797012539775</v>
      </c>
      <c r="G37" s="83">
        <f>G28</f>
        <v>3.0851720988794114</v>
      </c>
      <c r="H37" s="82"/>
      <c r="I37" s="12"/>
    </row>
    <row r="38" spans="1:9" ht="12.75">
      <c r="A38" s="10"/>
      <c r="B38" s="21" t="str">
        <f t="shared" si="2"/>
        <v>Total working capital expense</v>
      </c>
      <c r="C38" s="28"/>
      <c r="D38" s="89"/>
      <c r="E38" s="89">
        <f>E36*E37</f>
        <v>11.79332168389902</v>
      </c>
      <c r="F38" s="89">
        <f>F36*F37</f>
        <v>7.447934714158006</v>
      </c>
      <c r="G38" s="89">
        <f>G36*G37</f>
        <v>1.7523654114751117</v>
      </c>
      <c r="H38" s="90">
        <f>SUM(C38:G38)</f>
        <v>20.993621809532137</v>
      </c>
      <c r="I38" s="12"/>
    </row>
    <row r="39" spans="1:9" ht="13.5" thickBot="1">
      <c r="A39" s="10"/>
      <c r="B39" s="13"/>
      <c r="C39" s="13"/>
      <c r="D39" s="46"/>
      <c r="E39" s="46"/>
      <c r="F39" s="46"/>
      <c r="G39" s="46"/>
      <c r="H39" s="82"/>
      <c r="I39" s="12"/>
    </row>
    <row r="40" spans="1:9" ht="13.5" thickBot="1">
      <c r="A40" s="10"/>
      <c r="B40" s="22" t="s">
        <v>7</v>
      </c>
      <c r="C40" s="23"/>
      <c r="D40" s="86">
        <f>D26-D35</f>
        <v>1559.010000000001</v>
      </c>
      <c r="E40" s="86">
        <f>E29-E38</f>
        <v>17.803379849732185</v>
      </c>
      <c r="F40" s="86">
        <f>F29-F38</f>
        <v>11.243516828103914</v>
      </c>
      <c r="G40" s="86">
        <f>G29-G38</f>
        <v>2.6453977846306973</v>
      </c>
      <c r="H40" s="91">
        <f>SUM(E40:G40)</f>
        <v>31.692294462466798</v>
      </c>
      <c r="I40" s="12"/>
    </row>
    <row r="41" spans="1:9" ht="13.5" thickBot="1">
      <c r="A41" s="15"/>
      <c r="B41" s="17"/>
      <c r="C41" s="17"/>
      <c r="D41" s="17"/>
      <c r="E41" s="17"/>
      <c r="F41" s="17"/>
      <c r="G41" s="17"/>
      <c r="H41" s="17"/>
      <c r="I41" s="16"/>
    </row>
    <row r="42" ht="14.25" thickBot="1" thickTop="1"/>
    <row r="43" spans="1:9" ht="13.5" thickTop="1">
      <c r="A43" s="20"/>
      <c r="B43" s="123" t="str">
        <f>'January 2002'!B43</f>
        <v>Disconnection Savings</v>
      </c>
      <c r="C43" s="123"/>
      <c r="D43" s="9"/>
      <c r="F43" s="20"/>
      <c r="G43" s="123" t="str">
        <f>'January 2002'!G43</f>
        <v>Collection Savings</v>
      </c>
      <c r="H43" s="123"/>
      <c r="I43" s="9"/>
    </row>
    <row r="44" spans="1:9" ht="12.75">
      <c r="A44" s="10"/>
      <c r="B44" s="13" t="s">
        <v>80</v>
      </c>
      <c r="C44" s="13">
        <f>'Input Data'!B17</f>
        <v>9.7</v>
      </c>
      <c r="D44" s="12"/>
      <c r="F44" s="10"/>
      <c r="G44" s="13" t="s">
        <v>77</v>
      </c>
      <c r="H44" s="40">
        <f>'Input Data'!F41</f>
        <v>0.54</v>
      </c>
      <c r="I44" s="12"/>
    </row>
    <row r="45" spans="1:9" ht="12.75">
      <c r="A45" s="10"/>
      <c r="B45" s="13" t="s">
        <v>75</v>
      </c>
      <c r="C45" s="94">
        <f>'Input Data'!K41*'Input Data'!F41/100</f>
        <v>3.5748</v>
      </c>
      <c r="D45" s="12"/>
      <c r="F45" s="10"/>
      <c r="G45" s="13" t="s">
        <v>31</v>
      </c>
      <c r="H45" s="25">
        <f>H51</f>
        <v>662</v>
      </c>
      <c r="I45" s="12"/>
    </row>
    <row r="46" spans="1:9" ht="12.75">
      <c r="A46" s="10"/>
      <c r="B46" s="13" t="s">
        <v>26</v>
      </c>
      <c r="C46" s="93">
        <f>C45*C44</f>
        <v>34.67556</v>
      </c>
      <c r="D46" s="12"/>
      <c r="F46" s="10"/>
      <c r="G46" s="13" t="s">
        <v>32</v>
      </c>
      <c r="H46" s="25">
        <f>H44*H45</f>
        <v>357.48</v>
      </c>
      <c r="I46" s="12"/>
    </row>
    <row r="47" spans="1:9" ht="12.75">
      <c r="A47" s="10"/>
      <c r="B47" s="13" t="s">
        <v>24</v>
      </c>
      <c r="C47" s="14">
        <f>'January 2002'!C47</f>
        <v>121.18</v>
      </c>
      <c r="D47" s="12"/>
      <c r="F47" s="10"/>
      <c r="G47" s="13" t="s">
        <v>33</v>
      </c>
      <c r="H47" s="14">
        <f>'December 2001'!H47</f>
        <v>12.94</v>
      </c>
      <c r="I47" s="12"/>
    </row>
    <row r="48" spans="1:9" ht="12.75">
      <c r="A48" s="10"/>
      <c r="B48" s="13" t="s">
        <v>25</v>
      </c>
      <c r="C48" s="11">
        <f>C47*C46</f>
        <v>4201.9843608</v>
      </c>
      <c r="D48" s="12"/>
      <c r="F48" s="10"/>
      <c r="G48" s="13" t="s">
        <v>34</v>
      </c>
      <c r="H48" s="11">
        <f>H46*H47</f>
        <v>4625.7912</v>
      </c>
      <c r="I48" s="12"/>
    </row>
    <row r="49" spans="1:9" ht="12.75">
      <c r="A49" s="10"/>
      <c r="B49" s="13"/>
      <c r="C49" s="13"/>
      <c r="D49" s="12"/>
      <c r="F49" s="10"/>
      <c r="G49" s="13"/>
      <c r="H49" s="13"/>
      <c r="I49" s="12"/>
    </row>
    <row r="50" spans="1:9" ht="12.75">
      <c r="A50" s="10"/>
      <c r="B50" s="13" t="s">
        <v>81</v>
      </c>
      <c r="C50" s="13">
        <f>'Input Data'!C17</f>
        <v>5</v>
      </c>
      <c r="D50" s="12"/>
      <c r="F50" s="10"/>
      <c r="G50" s="13" t="s">
        <v>78</v>
      </c>
      <c r="H50" s="40">
        <f>'Input Data'!G41</f>
        <v>0.3</v>
      </c>
      <c r="I50" s="12"/>
    </row>
    <row r="51" spans="1:9" ht="12.75">
      <c r="A51" s="10"/>
      <c r="B51" s="13" t="s">
        <v>75</v>
      </c>
      <c r="C51" s="94">
        <f>'Input Data'!K41*'Input Data'!G41/100</f>
        <v>1.986</v>
      </c>
      <c r="D51" s="12"/>
      <c r="F51" s="10"/>
      <c r="G51" s="13" t="s">
        <v>31</v>
      </c>
      <c r="H51" s="25">
        <f>'Input Data'!K41</f>
        <v>662</v>
      </c>
      <c r="I51" s="12"/>
    </row>
    <row r="52" spans="1:9" ht="12.75">
      <c r="A52" s="10"/>
      <c r="B52" s="13" t="s">
        <v>26</v>
      </c>
      <c r="C52" s="93">
        <f>C51*C50</f>
        <v>9.93</v>
      </c>
      <c r="D52" s="12"/>
      <c r="F52" s="10"/>
      <c r="G52" s="13" t="s">
        <v>32</v>
      </c>
      <c r="H52" s="25">
        <f>H50*H51</f>
        <v>198.6</v>
      </c>
      <c r="I52" s="12"/>
    </row>
    <row r="53" spans="1:9" ht="12.75">
      <c r="A53" s="10"/>
      <c r="B53" s="13" t="s">
        <v>24</v>
      </c>
      <c r="C53" s="14">
        <f>C47</f>
        <v>121.18</v>
      </c>
      <c r="D53" s="12"/>
      <c r="F53" s="10"/>
      <c r="G53" s="13" t="s">
        <v>33</v>
      </c>
      <c r="H53" s="14">
        <f>H47</f>
        <v>12.94</v>
      </c>
      <c r="I53" s="12"/>
    </row>
    <row r="54" spans="1:9" ht="12.75">
      <c r="A54" s="10"/>
      <c r="B54" s="13" t="s">
        <v>25</v>
      </c>
      <c r="C54" s="11">
        <f>C53*C52</f>
        <v>1203.3174000000001</v>
      </c>
      <c r="D54" s="12"/>
      <c r="F54" s="10"/>
      <c r="G54" s="13" t="s">
        <v>34</v>
      </c>
      <c r="H54" s="11">
        <f>H52*H53</f>
        <v>2569.884</v>
      </c>
      <c r="I54" s="12"/>
    </row>
    <row r="55" spans="1:9" ht="13.5" thickBot="1">
      <c r="A55" s="10"/>
      <c r="B55" s="13"/>
      <c r="C55" s="13"/>
      <c r="D55" s="12"/>
      <c r="F55" s="10"/>
      <c r="G55" s="13"/>
      <c r="H55" s="13"/>
      <c r="I55" s="12"/>
    </row>
    <row r="56" spans="1:9" ht="13.5" thickBot="1">
      <c r="A56" s="10"/>
      <c r="B56" s="22" t="s">
        <v>7</v>
      </c>
      <c r="C56" s="36">
        <f>C48-C54</f>
        <v>2998.6669608</v>
      </c>
      <c r="D56" s="12"/>
      <c r="F56" s="10"/>
      <c r="G56" s="22" t="s">
        <v>7</v>
      </c>
      <c r="H56" s="36">
        <f>H48-H54</f>
        <v>2055.9071999999996</v>
      </c>
      <c r="I56" s="12"/>
    </row>
    <row r="57" spans="1:9" ht="13.5" thickBot="1">
      <c r="A57" s="15"/>
      <c r="B57" s="17"/>
      <c r="C57" s="17"/>
      <c r="D57" s="16"/>
      <c r="F57" s="15"/>
      <c r="G57" s="17"/>
      <c r="H57" s="17"/>
      <c r="I57" s="16"/>
    </row>
    <row r="58" ht="13.5" thickTop="1"/>
  </sheetData>
  <mergeCells count="4">
    <mergeCell ref="C22:H22"/>
    <mergeCell ref="C2:H2"/>
    <mergeCell ref="G43:H43"/>
    <mergeCell ref="B43:C43"/>
  </mergeCells>
  <printOptions/>
  <pageMargins left="0.75" right="0.75" top="1" bottom="1" header="0.5" footer="0.5"/>
  <pageSetup fitToHeight="1" fitToWidth="1" horizontalDpi="600" verticalDpi="600" orientation="landscape" scale="62" r:id="rId1"/>
  <headerFooter alignWithMargins="0">
    <oddHeader>&amp;R&amp;"Arial,Bold"&amp;12Appendix A</oddHeader>
    <oddFooter>&amp;RPage &amp;P
&amp;F
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 topLeftCell="B15">
      <selection activeCell="E44" sqref="E44"/>
    </sheetView>
  </sheetViews>
  <sheetFormatPr defaultColWidth="9.140625" defaultRowHeight="12.75"/>
  <cols>
    <col min="2" max="2" width="39.421875" style="0" bestFit="1" customWidth="1"/>
    <col min="3" max="3" width="11.140625" style="0" bestFit="1" customWidth="1"/>
    <col min="4" max="4" width="15.28125" style="0" customWidth="1"/>
    <col min="5" max="5" width="13.140625" style="0" bestFit="1" customWidth="1"/>
    <col min="6" max="6" width="12.8515625" style="0" bestFit="1" customWidth="1"/>
    <col min="7" max="7" width="41.7109375" style="0" bestFit="1" customWidth="1"/>
  </cols>
  <sheetData>
    <row r="1" ht="18.75" thickBot="1">
      <c r="B1" s="100">
        <f>'Summary Data'!A12</f>
        <v>37500</v>
      </c>
    </row>
    <row r="2" spans="1:9" ht="19.5" thickBot="1" thickTop="1">
      <c r="A2" s="20"/>
      <c r="B2" s="18"/>
      <c r="C2" s="122" t="str">
        <f>'January 2002'!C2</f>
        <v>Monthly Arrears: Working Capital</v>
      </c>
      <c r="D2" s="122"/>
      <c r="E2" s="122"/>
      <c r="F2" s="122"/>
      <c r="G2" s="122"/>
      <c r="H2" s="122"/>
      <c r="I2" s="9"/>
    </row>
    <row r="3" spans="1:9" ht="15.75">
      <c r="A3" s="10"/>
      <c r="B3" s="19" t="str">
        <f>'December 2001'!B3</f>
        <v>EA population</v>
      </c>
      <c r="C3" s="46"/>
      <c r="D3" s="46" t="s">
        <v>20</v>
      </c>
      <c r="E3" s="46" t="s">
        <v>0</v>
      </c>
      <c r="F3" s="46" t="s">
        <v>1</v>
      </c>
      <c r="G3" s="46" t="s">
        <v>2</v>
      </c>
      <c r="H3" s="81" t="s">
        <v>8</v>
      </c>
      <c r="I3" s="12"/>
    </row>
    <row r="4" spans="1:9" ht="12.75">
      <c r="A4" s="10"/>
      <c r="B4" s="13" t="s">
        <v>3</v>
      </c>
      <c r="C4" s="38"/>
      <c r="D4" s="38">
        <f>'Input Data'!K42*'Input Data'!F42*'Input Data'!B42</f>
        <v>48698.65</v>
      </c>
      <c r="E4" s="38">
        <f>$D$4*'Input Data'!B4</f>
        <v>12174.6625</v>
      </c>
      <c r="F4" s="38">
        <f>$D$4*'Input Data'!C4</f>
        <v>9739.730000000001</v>
      </c>
      <c r="G4" s="38">
        <f>$D$4*'Input Data'!D4</f>
        <v>26784.257500000003</v>
      </c>
      <c r="H4" s="82"/>
      <c r="I4" s="12"/>
    </row>
    <row r="5" spans="1:9" ht="12.75">
      <c r="A5" s="10"/>
      <c r="B5" s="13" t="s">
        <v>10</v>
      </c>
      <c r="C5" s="38"/>
      <c r="D5" s="38"/>
      <c r="E5" s="38">
        <f>E4*E24</f>
        <v>11565.929375</v>
      </c>
      <c r="F5" s="38">
        <f>F4*F24</f>
        <v>8765.757000000001</v>
      </c>
      <c r="G5" s="38">
        <f>G4*G24</f>
        <v>22766.618875000004</v>
      </c>
      <c r="H5" s="82"/>
      <c r="I5" s="12"/>
    </row>
    <row r="6" spans="1:9" ht="12.75">
      <c r="A6" s="10"/>
      <c r="B6" s="13" t="s">
        <v>5</v>
      </c>
      <c r="C6" s="92"/>
      <c r="D6" s="92"/>
      <c r="E6" s="92">
        <f>E5/1000</f>
        <v>11.565929375</v>
      </c>
      <c r="F6" s="92">
        <f>F5/1000</f>
        <v>8.765757</v>
      </c>
      <c r="G6" s="92">
        <f>G5/1000</f>
        <v>22.766618875000002</v>
      </c>
      <c r="H6" s="82"/>
      <c r="I6" s="12"/>
    </row>
    <row r="7" spans="1:9" ht="12.75">
      <c r="A7" s="10"/>
      <c r="B7" s="13" t="s">
        <v>4</v>
      </c>
      <c r="C7" s="83"/>
      <c r="D7" s="83"/>
      <c r="E7" s="83">
        <f>'December 2001'!E7</f>
        <v>6.18</v>
      </c>
      <c r="F7" s="83">
        <f>'December 2001'!F7</f>
        <v>9.28</v>
      </c>
      <c r="G7" s="83">
        <f>'December 2001'!G7</f>
        <v>32.87</v>
      </c>
      <c r="H7" s="82"/>
      <c r="I7" s="12"/>
    </row>
    <row r="8" spans="1:9" ht="12.75">
      <c r="A8" s="10"/>
      <c r="B8" s="21" t="s">
        <v>6</v>
      </c>
      <c r="C8" s="84"/>
      <c r="D8" s="84"/>
      <c r="E8" s="84">
        <f>E6*E7</f>
        <v>71.4774435375</v>
      </c>
      <c r="F8" s="84">
        <f>F6*F7</f>
        <v>81.34622496</v>
      </c>
      <c r="G8" s="84">
        <f>G6*G7</f>
        <v>748.3387624212501</v>
      </c>
      <c r="H8" s="85">
        <f>SUM(C8:G8)</f>
        <v>901.16243091875</v>
      </c>
      <c r="I8" s="12"/>
    </row>
    <row r="9" spans="1:9" ht="12.75">
      <c r="A9" s="10"/>
      <c r="B9" s="13"/>
      <c r="C9" s="46"/>
      <c r="D9" s="46"/>
      <c r="E9" s="46"/>
      <c r="F9" s="46"/>
      <c r="G9" s="46"/>
      <c r="H9" s="82"/>
      <c r="I9" s="12"/>
    </row>
    <row r="10" spans="1:9" ht="12.75">
      <c r="A10" s="10"/>
      <c r="B10" s="13"/>
      <c r="C10" s="46"/>
      <c r="D10" s="46"/>
      <c r="E10" s="46"/>
      <c r="F10" s="46"/>
      <c r="G10" s="46"/>
      <c r="H10" s="82"/>
      <c r="I10" s="12"/>
    </row>
    <row r="11" spans="1:9" ht="15.75">
      <c r="A11" s="10"/>
      <c r="B11" s="19" t="str">
        <f>'December 2001'!B11</f>
        <v>ELIP population</v>
      </c>
      <c r="C11" s="46"/>
      <c r="D11" s="46" t="str">
        <f>D3</f>
        <v>Total Arrears ($s)</v>
      </c>
      <c r="E11" s="46" t="str">
        <f>E3</f>
        <v>30-day Arrears</v>
      </c>
      <c r="F11" s="46" t="str">
        <f>F3</f>
        <v>60-day arrears</v>
      </c>
      <c r="G11" s="46" t="str">
        <f>G3</f>
        <v>90-day arrears</v>
      </c>
      <c r="H11" s="82"/>
      <c r="I11" s="12"/>
    </row>
    <row r="12" spans="1:9" ht="12.75">
      <c r="A12" s="10"/>
      <c r="B12" s="13" t="str">
        <f>B4</f>
        <v>Dollars</v>
      </c>
      <c r="C12" s="38"/>
      <c r="D12" s="38">
        <f>'Input Data'!K42*'Input Data'!G42*'Input Data'!C42</f>
        <v>14077.7</v>
      </c>
      <c r="E12" s="38">
        <f>$D$12*'Input Data'!B4</f>
        <v>3519.425</v>
      </c>
      <c r="F12" s="38">
        <f>$D$12*'Input Data'!C4</f>
        <v>2815.5400000000004</v>
      </c>
      <c r="G12" s="38">
        <f>$D$12*'Input Data'!D4</f>
        <v>7742.735000000001</v>
      </c>
      <c r="H12" s="82"/>
      <c r="I12" s="12"/>
    </row>
    <row r="13" spans="1:9" ht="12.75">
      <c r="A13" s="10"/>
      <c r="B13" s="13" t="str">
        <f>B5</f>
        <v>Dollars adjusted for charge-offs</v>
      </c>
      <c r="C13" s="38"/>
      <c r="D13" s="38"/>
      <c r="E13" s="38">
        <f>E12*E24</f>
        <v>3343.45375</v>
      </c>
      <c r="F13" s="38">
        <f>F12*F24</f>
        <v>2533.9860000000003</v>
      </c>
      <c r="G13" s="38">
        <f>G12*G24</f>
        <v>6581.324750000001</v>
      </c>
      <c r="H13" s="82"/>
      <c r="I13" s="12"/>
    </row>
    <row r="14" spans="1:9" ht="12.75">
      <c r="A14" s="10"/>
      <c r="B14" s="13" t="str">
        <f>B6</f>
        <v>$1,000 increments</v>
      </c>
      <c r="C14" s="92"/>
      <c r="D14" s="92"/>
      <c r="E14" s="92">
        <f>E13/1000</f>
        <v>3.34345375</v>
      </c>
      <c r="F14" s="92">
        <f>F13/1000</f>
        <v>2.5339860000000005</v>
      </c>
      <c r="G14" s="92">
        <f>G13/1000</f>
        <v>6.58132475</v>
      </c>
      <c r="H14" s="82"/>
      <c r="I14" s="12"/>
    </row>
    <row r="15" spans="1:9" ht="12.75">
      <c r="A15" s="10"/>
      <c r="B15" s="13" t="str">
        <f>B7</f>
        <v>Working capital per $1,000</v>
      </c>
      <c r="C15" s="83"/>
      <c r="D15" s="83"/>
      <c r="E15" s="83">
        <f>E7</f>
        <v>6.18</v>
      </c>
      <c r="F15" s="83">
        <f>F7</f>
        <v>9.28</v>
      </c>
      <c r="G15" s="83">
        <f>G7</f>
        <v>32.87</v>
      </c>
      <c r="H15" s="82"/>
      <c r="I15" s="12"/>
    </row>
    <row r="16" spans="1:9" ht="12.75">
      <c r="A16" s="10"/>
      <c r="B16" s="21" t="str">
        <f>B8</f>
        <v>Total working capital expense</v>
      </c>
      <c r="C16" s="84"/>
      <c r="D16" s="84"/>
      <c r="E16" s="84">
        <f>E14*E15</f>
        <v>20.662544175</v>
      </c>
      <c r="F16" s="84">
        <f>F14*F15</f>
        <v>23.515390080000003</v>
      </c>
      <c r="G16" s="84">
        <f>G14*G15</f>
        <v>216.3281445325</v>
      </c>
      <c r="H16" s="85">
        <f>SUM(C16:G16)</f>
        <v>260.50607878750003</v>
      </c>
      <c r="I16" s="12"/>
    </row>
    <row r="17" spans="1:9" ht="13.5" thickBot="1">
      <c r="A17" s="10"/>
      <c r="B17" s="13"/>
      <c r="C17" s="46"/>
      <c r="D17" s="46"/>
      <c r="E17" s="46"/>
      <c r="F17" s="46"/>
      <c r="G17" s="46"/>
      <c r="H17" s="82"/>
      <c r="I17" s="12"/>
    </row>
    <row r="18" spans="1:9" ht="13.5" thickBot="1">
      <c r="A18" s="10"/>
      <c r="B18" s="22" t="s">
        <v>7</v>
      </c>
      <c r="C18" s="86"/>
      <c r="D18" s="86"/>
      <c r="E18" s="86">
        <f>E8-E16</f>
        <v>50.81489936249999</v>
      </c>
      <c r="F18" s="86">
        <f>F8-F16</f>
        <v>57.83083488</v>
      </c>
      <c r="G18" s="86">
        <f>G8-G16</f>
        <v>532.0106178887501</v>
      </c>
      <c r="H18" s="87">
        <f>SUM(C18:G18)</f>
        <v>640.6563521312501</v>
      </c>
      <c r="I18" s="12"/>
    </row>
    <row r="19" spans="1:9" ht="13.5" thickBot="1">
      <c r="A19" s="15"/>
      <c r="B19" s="17"/>
      <c r="C19" s="17"/>
      <c r="D19" s="17"/>
      <c r="E19" s="17"/>
      <c r="F19" s="17"/>
      <c r="G19" s="17"/>
      <c r="H19" s="17"/>
      <c r="I19" s="16"/>
    </row>
    <row r="20" ht="13.5" thickTop="1"/>
    <row r="21" ht="13.5" thickBot="1"/>
    <row r="22" spans="1:9" ht="18" thickBot="1" thickTop="1">
      <c r="A22" s="20"/>
      <c r="B22" s="8"/>
      <c r="C22" s="122" t="s">
        <v>52</v>
      </c>
      <c r="D22" s="122"/>
      <c r="E22" s="122"/>
      <c r="F22" s="122"/>
      <c r="G22" s="122"/>
      <c r="H22" s="122"/>
      <c r="I22" s="9"/>
    </row>
    <row r="23" spans="1:9" ht="15.75">
      <c r="A23" s="10"/>
      <c r="B23" s="19" t="str">
        <f aca="true" t="shared" si="0" ref="B23:H23">B3</f>
        <v>EA population</v>
      </c>
      <c r="C23" s="13"/>
      <c r="D23" s="46" t="s">
        <v>53</v>
      </c>
      <c r="E23" s="46" t="str">
        <f t="shared" si="0"/>
        <v>30-day Arrears</v>
      </c>
      <c r="F23" s="46" t="str">
        <f t="shared" si="0"/>
        <v>60-day arrears</v>
      </c>
      <c r="G23" s="46" t="str">
        <f t="shared" si="0"/>
        <v>90-day arrears</v>
      </c>
      <c r="H23" s="81" t="str">
        <f t="shared" si="0"/>
        <v>Total</v>
      </c>
      <c r="I23" s="12"/>
    </row>
    <row r="24" spans="1:9" ht="12.75">
      <c r="A24" s="10"/>
      <c r="B24" s="13" t="s">
        <v>11</v>
      </c>
      <c r="C24" s="26"/>
      <c r="D24" s="88"/>
      <c r="E24" s="88">
        <v>0.95</v>
      </c>
      <c r="F24" s="88">
        <v>0.9</v>
      </c>
      <c r="G24" s="88">
        <v>0.85</v>
      </c>
      <c r="H24" s="82"/>
      <c r="I24" s="12"/>
    </row>
    <row r="25" spans="1:9" ht="12.75">
      <c r="A25" s="10"/>
      <c r="B25" s="13" t="s">
        <v>12</v>
      </c>
      <c r="C25" s="26"/>
      <c r="D25" s="88"/>
      <c r="E25" s="88">
        <f>1-E24</f>
        <v>0.050000000000000044</v>
      </c>
      <c r="F25" s="88">
        <f>(1-F24)-E25</f>
        <v>0.04999999999999993</v>
      </c>
      <c r="G25" s="88">
        <f>(1-G24)-(E25+F25)</f>
        <v>0.050000000000000044</v>
      </c>
      <c r="H25" s="82"/>
      <c r="I25" s="12"/>
    </row>
    <row r="26" spans="1:9" ht="12.75">
      <c r="A26" s="10"/>
      <c r="B26" s="13" t="s">
        <v>13</v>
      </c>
      <c r="C26" s="27"/>
      <c r="D26" s="38">
        <f>SUM(E26:G26)</f>
        <v>2434.9325000000013</v>
      </c>
      <c r="E26" s="38">
        <f>E25*E4</f>
        <v>608.7331250000005</v>
      </c>
      <c r="F26" s="38">
        <f>F25*F4</f>
        <v>486.9864999999994</v>
      </c>
      <c r="G26" s="38">
        <f>G25*G4</f>
        <v>1339.2128750000013</v>
      </c>
      <c r="H26" s="82"/>
      <c r="I26" s="12"/>
    </row>
    <row r="27" spans="1:9" ht="12.75">
      <c r="A27" s="10"/>
      <c r="B27" s="13" t="s">
        <v>5</v>
      </c>
      <c r="C27" s="25"/>
      <c r="D27" s="92"/>
      <c r="E27" s="92">
        <f>E26/1000</f>
        <v>0.6087331250000005</v>
      </c>
      <c r="F27" s="92">
        <f>F26/1000</f>
        <v>0.48698649999999943</v>
      </c>
      <c r="G27" s="92">
        <f>G26/1000</f>
        <v>1.3392128750000014</v>
      </c>
      <c r="H27" s="82"/>
      <c r="I27" s="12"/>
    </row>
    <row r="28" spans="1:9" ht="12.75">
      <c r="A28" s="10"/>
      <c r="B28" s="13" t="s">
        <v>4</v>
      </c>
      <c r="C28" s="14"/>
      <c r="D28" s="83"/>
      <c r="E28" s="83">
        <f>'December 2001'!E28</f>
        <v>45.67868031566741</v>
      </c>
      <c r="F28" s="83">
        <f>'December 2001'!F28</f>
        <v>36.059797012539775</v>
      </c>
      <c r="G28" s="83">
        <f>'December 2001'!G28</f>
        <v>3.0851720988794114</v>
      </c>
      <c r="H28" s="82"/>
      <c r="I28" s="12"/>
    </row>
    <row r="29" spans="1:9" ht="12.75">
      <c r="A29" s="10"/>
      <c r="B29" s="21" t="s">
        <v>6</v>
      </c>
      <c r="C29" s="28"/>
      <c r="D29" s="89"/>
      <c r="E29" s="89">
        <f>E27*E28</f>
        <v>27.80612581443223</v>
      </c>
      <c r="F29" s="89">
        <f>F27*F28</f>
        <v>17.56063433784718</v>
      </c>
      <c r="G29" s="89">
        <f>G27*G28</f>
        <v>4.131702196410085</v>
      </c>
      <c r="H29" s="90">
        <f>SUM(C29:G29)</f>
        <v>49.4984623486895</v>
      </c>
      <c r="I29" s="12"/>
    </row>
    <row r="30" spans="1:9" ht="12.75">
      <c r="A30" s="10"/>
      <c r="B30" s="13"/>
      <c r="C30" s="13"/>
      <c r="D30" s="46"/>
      <c r="E30" s="46"/>
      <c r="F30" s="46"/>
      <c r="G30" s="46"/>
      <c r="H30" s="82"/>
      <c r="I30" s="12"/>
    </row>
    <row r="31" spans="1:9" ht="12.75">
      <c r="A31" s="10"/>
      <c r="B31" s="13"/>
      <c r="C31" s="13"/>
      <c r="D31" s="46"/>
      <c r="E31" s="46"/>
      <c r="F31" s="46"/>
      <c r="G31" s="46"/>
      <c r="H31" s="82"/>
      <c r="I31" s="12"/>
    </row>
    <row r="32" spans="1:9" ht="15.75">
      <c r="A32" s="10"/>
      <c r="B32" s="19" t="str">
        <f aca="true" t="shared" si="1" ref="B32:G32">B11</f>
        <v>ELIP population</v>
      </c>
      <c r="C32" s="13"/>
      <c r="D32" s="46" t="s">
        <v>53</v>
      </c>
      <c r="E32" s="46" t="str">
        <f t="shared" si="1"/>
        <v>30-day Arrears</v>
      </c>
      <c r="F32" s="46" t="str">
        <f t="shared" si="1"/>
        <v>60-day arrears</v>
      </c>
      <c r="G32" s="46" t="str">
        <f t="shared" si="1"/>
        <v>90-day arrears</v>
      </c>
      <c r="H32" s="82"/>
      <c r="I32" s="12"/>
    </row>
    <row r="33" spans="1:9" ht="12.75">
      <c r="A33" s="10"/>
      <c r="B33" s="13" t="str">
        <f aca="true" t="shared" si="2" ref="B33:B38">B24</f>
        <v>Collectability factor</v>
      </c>
      <c r="C33" s="26"/>
      <c r="D33" s="88"/>
      <c r="E33" s="88">
        <f>E24</f>
        <v>0.95</v>
      </c>
      <c r="F33" s="88">
        <f>F24</f>
        <v>0.9</v>
      </c>
      <c r="G33" s="88">
        <f>G24</f>
        <v>0.85</v>
      </c>
      <c r="H33" s="82"/>
      <c r="I33" s="12"/>
    </row>
    <row r="34" spans="1:9" ht="12.75">
      <c r="A34" s="10"/>
      <c r="B34" s="13" t="str">
        <f t="shared" si="2"/>
        <v>Uncollectable rate</v>
      </c>
      <c r="C34" s="26"/>
      <c r="D34" s="88"/>
      <c r="E34" s="88">
        <f>1-E33</f>
        <v>0.050000000000000044</v>
      </c>
      <c r="F34" s="88">
        <f>(1-F33)-E34</f>
        <v>0.04999999999999993</v>
      </c>
      <c r="G34" s="88">
        <f>(1-G33)-(E34+F34)</f>
        <v>0.050000000000000044</v>
      </c>
      <c r="H34" s="82"/>
      <c r="I34" s="12"/>
    </row>
    <row r="35" spans="1:9" ht="12.75">
      <c r="A35" s="10"/>
      <c r="B35" s="13" t="str">
        <f t="shared" si="2"/>
        <v>Uncollectable dollars</v>
      </c>
      <c r="C35" s="27"/>
      <c r="D35" s="38">
        <f>SUM(E35:G35)</f>
        <v>703.8850000000003</v>
      </c>
      <c r="E35" s="38">
        <f>E34*E12</f>
        <v>175.97125000000017</v>
      </c>
      <c r="F35" s="38">
        <f>F34*F12</f>
        <v>140.77699999999984</v>
      </c>
      <c r="G35" s="38">
        <f>G34*G12</f>
        <v>387.13675000000035</v>
      </c>
      <c r="H35" s="82"/>
      <c r="I35" s="12"/>
    </row>
    <row r="36" spans="1:9" ht="12.75">
      <c r="A36" s="10"/>
      <c r="B36" s="13" t="str">
        <f t="shared" si="2"/>
        <v>$1,000 increments</v>
      </c>
      <c r="C36" s="25"/>
      <c r="D36" s="92"/>
      <c r="E36" s="92">
        <f>E35/1000</f>
        <v>0.17597125000000016</v>
      </c>
      <c r="F36" s="92">
        <f>F35/1000</f>
        <v>0.14077699999999985</v>
      </c>
      <c r="G36" s="92">
        <f>G35/1000</f>
        <v>0.38713675000000036</v>
      </c>
      <c r="H36" s="82"/>
      <c r="I36" s="12"/>
    </row>
    <row r="37" spans="1:9" ht="12.75">
      <c r="A37" s="10"/>
      <c r="B37" s="13" t="str">
        <f t="shared" si="2"/>
        <v>Working capital per $1,000</v>
      </c>
      <c r="C37" s="14"/>
      <c r="D37" s="83"/>
      <c r="E37" s="83">
        <f>E28</f>
        <v>45.67868031566741</v>
      </c>
      <c r="F37" s="83">
        <f>F28</f>
        <v>36.059797012539775</v>
      </c>
      <c r="G37" s="83">
        <f>G28</f>
        <v>3.0851720988794114</v>
      </c>
      <c r="H37" s="82"/>
      <c r="I37" s="12"/>
    </row>
    <row r="38" spans="1:9" ht="12.75">
      <c r="A38" s="10"/>
      <c r="B38" s="21" t="str">
        <f t="shared" si="2"/>
        <v>Total working capital expense</v>
      </c>
      <c r="C38" s="28"/>
      <c r="D38" s="89"/>
      <c r="E38" s="89">
        <f>E36*E37</f>
        <v>8.038134473498395</v>
      </c>
      <c r="F38" s="89">
        <f>F36*F37</f>
        <v>5.076390044034307</v>
      </c>
      <c r="G38" s="89">
        <f>G36*G37</f>
        <v>1.194383499550855</v>
      </c>
      <c r="H38" s="90">
        <f>SUM(C38:G38)</f>
        <v>14.308908017083557</v>
      </c>
      <c r="I38" s="12"/>
    </row>
    <row r="39" spans="1:9" ht="13.5" thickBot="1">
      <c r="A39" s="10"/>
      <c r="B39" s="13"/>
      <c r="C39" s="13"/>
      <c r="D39" s="46"/>
      <c r="E39" s="46"/>
      <c r="F39" s="46"/>
      <c r="G39" s="46"/>
      <c r="H39" s="82"/>
      <c r="I39" s="12"/>
    </row>
    <row r="40" spans="1:9" ht="13.5" thickBot="1">
      <c r="A40" s="10"/>
      <c r="B40" s="22" t="s">
        <v>7</v>
      </c>
      <c r="C40" s="23"/>
      <c r="D40" s="86">
        <f>D26-D35</f>
        <v>1731.047500000001</v>
      </c>
      <c r="E40" s="86">
        <f>E29-E38</f>
        <v>19.767991340933836</v>
      </c>
      <c r="F40" s="86">
        <f>F29-F38</f>
        <v>12.484244293812873</v>
      </c>
      <c r="G40" s="86">
        <f>G29-G38</f>
        <v>2.93731869685923</v>
      </c>
      <c r="H40" s="91">
        <f>SUM(E40:G40)</f>
        <v>35.18955433160594</v>
      </c>
      <c r="I40" s="12"/>
    </row>
    <row r="41" spans="1:9" ht="13.5" thickBot="1">
      <c r="A41" s="15"/>
      <c r="B41" s="17"/>
      <c r="C41" s="17"/>
      <c r="D41" s="17"/>
      <c r="E41" s="17"/>
      <c r="F41" s="17"/>
      <c r="G41" s="17"/>
      <c r="H41" s="17"/>
      <c r="I41" s="16"/>
    </row>
    <row r="42" ht="14.25" thickBot="1" thickTop="1"/>
    <row r="43" spans="1:9" ht="13.5" thickTop="1">
      <c r="A43" s="20"/>
      <c r="B43" s="123" t="str">
        <f>'January 2002'!B43</f>
        <v>Disconnection Savings</v>
      </c>
      <c r="C43" s="123"/>
      <c r="D43" s="9"/>
      <c r="F43" s="20"/>
      <c r="G43" s="123" t="str">
        <f>'January 2002'!G43</f>
        <v>Collection Savings</v>
      </c>
      <c r="H43" s="123"/>
      <c r="I43" s="9"/>
    </row>
    <row r="44" spans="1:9" ht="12.75">
      <c r="A44" s="10"/>
      <c r="B44" s="13" t="s">
        <v>80</v>
      </c>
      <c r="C44" s="13">
        <f>'Input Data'!B18</f>
        <v>8.4</v>
      </c>
      <c r="D44" s="12"/>
      <c r="F44" s="10"/>
      <c r="G44" s="13" t="s">
        <v>77</v>
      </c>
      <c r="H44" s="40">
        <f>'Input Data'!F42</f>
        <v>0.55</v>
      </c>
      <c r="I44" s="12"/>
    </row>
    <row r="45" spans="1:9" ht="12.75">
      <c r="A45" s="10"/>
      <c r="B45" s="13" t="s">
        <v>75</v>
      </c>
      <c r="C45" s="94">
        <f>'Input Data'!K42*'Input Data'!F42/100</f>
        <v>3.5035000000000003</v>
      </c>
      <c r="D45" s="12"/>
      <c r="F45" s="10"/>
      <c r="G45" s="13" t="s">
        <v>31</v>
      </c>
      <c r="H45" s="25">
        <f>H51</f>
        <v>637</v>
      </c>
      <c r="I45" s="12"/>
    </row>
    <row r="46" spans="1:9" ht="12.75">
      <c r="A46" s="10"/>
      <c r="B46" s="13" t="s">
        <v>26</v>
      </c>
      <c r="C46" s="93">
        <f>C45*C44</f>
        <v>29.429400000000005</v>
      </c>
      <c r="D46" s="12"/>
      <c r="F46" s="10"/>
      <c r="G46" s="13" t="s">
        <v>32</v>
      </c>
      <c r="H46" s="25">
        <f>H44*H45</f>
        <v>350.35</v>
      </c>
      <c r="I46" s="12"/>
    </row>
    <row r="47" spans="1:9" ht="12.75">
      <c r="A47" s="10"/>
      <c r="B47" s="13" t="s">
        <v>24</v>
      </c>
      <c r="C47" s="14">
        <f>'January 2002'!C47</f>
        <v>121.18</v>
      </c>
      <c r="D47" s="12"/>
      <c r="F47" s="10"/>
      <c r="G47" s="13" t="s">
        <v>33</v>
      </c>
      <c r="H47" s="14">
        <f>'December 2001'!H47</f>
        <v>12.94</v>
      </c>
      <c r="I47" s="12"/>
    </row>
    <row r="48" spans="1:9" ht="12.75">
      <c r="A48" s="10"/>
      <c r="B48" s="13" t="s">
        <v>25</v>
      </c>
      <c r="C48" s="11">
        <f>C47*C46</f>
        <v>3566.254692000001</v>
      </c>
      <c r="D48" s="12"/>
      <c r="F48" s="10"/>
      <c r="G48" s="13" t="s">
        <v>34</v>
      </c>
      <c r="H48" s="11">
        <f>H46*H47</f>
        <v>4533.529</v>
      </c>
      <c r="I48" s="12"/>
    </row>
    <row r="49" spans="1:9" ht="12.75">
      <c r="A49" s="10"/>
      <c r="B49" s="13"/>
      <c r="C49" s="13"/>
      <c r="D49" s="12"/>
      <c r="F49" s="10"/>
      <c r="G49" s="13"/>
      <c r="H49" s="13"/>
      <c r="I49" s="12"/>
    </row>
    <row r="50" spans="1:9" ht="12.75">
      <c r="A50" s="10"/>
      <c r="B50" s="13" t="s">
        <v>81</v>
      </c>
      <c r="C50" s="13">
        <f>'Input Data'!C18</f>
        <v>4</v>
      </c>
      <c r="D50" s="12"/>
      <c r="F50" s="10"/>
      <c r="G50" s="13" t="s">
        <v>78</v>
      </c>
      <c r="H50" s="40">
        <f>'Input Data'!G42</f>
        <v>0.26</v>
      </c>
      <c r="I50" s="12"/>
    </row>
    <row r="51" spans="1:9" ht="12.75">
      <c r="A51" s="10"/>
      <c r="B51" s="13" t="s">
        <v>75</v>
      </c>
      <c r="C51" s="94">
        <f>'Input Data'!K42*'Input Data'!G42/100</f>
        <v>1.6562000000000001</v>
      </c>
      <c r="D51" s="12"/>
      <c r="F51" s="10"/>
      <c r="G51" s="13" t="s">
        <v>31</v>
      </c>
      <c r="H51" s="25">
        <f>'Input Data'!K42</f>
        <v>637</v>
      </c>
      <c r="I51" s="12"/>
    </row>
    <row r="52" spans="1:9" ht="12.75">
      <c r="A52" s="10"/>
      <c r="B52" s="13" t="s">
        <v>26</v>
      </c>
      <c r="C52" s="93">
        <f>C51*C50</f>
        <v>6.6248000000000005</v>
      </c>
      <c r="D52" s="12"/>
      <c r="F52" s="10"/>
      <c r="G52" s="13" t="s">
        <v>32</v>
      </c>
      <c r="H52" s="25">
        <f>H50*H51</f>
        <v>165.62</v>
      </c>
      <c r="I52" s="12"/>
    </row>
    <row r="53" spans="1:9" ht="12.75">
      <c r="A53" s="10"/>
      <c r="B53" s="13" t="s">
        <v>24</v>
      </c>
      <c r="C53" s="14">
        <f>C47</f>
        <v>121.18</v>
      </c>
      <c r="D53" s="12"/>
      <c r="F53" s="10"/>
      <c r="G53" s="13" t="s">
        <v>33</v>
      </c>
      <c r="H53" s="14">
        <f>H47</f>
        <v>12.94</v>
      </c>
      <c r="I53" s="12"/>
    </row>
    <row r="54" spans="1:9" ht="12.75">
      <c r="A54" s="10"/>
      <c r="B54" s="13" t="s">
        <v>25</v>
      </c>
      <c r="C54" s="11">
        <f>C53*C52</f>
        <v>802.7932640000001</v>
      </c>
      <c r="D54" s="12"/>
      <c r="F54" s="10"/>
      <c r="G54" s="13" t="s">
        <v>34</v>
      </c>
      <c r="H54" s="11">
        <f>H52*H53</f>
        <v>2143.1228</v>
      </c>
      <c r="I54" s="12"/>
    </row>
    <row r="55" spans="1:9" ht="13.5" thickBot="1">
      <c r="A55" s="10"/>
      <c r="B55" s="13"/>
      <c r="C55" s="13"/>
      <c r="D55" s="12"/>
      <c r="F55" s="10"/>
      <c r="G55" s="13"/>
      <c r="H55" s="13"/>
      <c r="I55" s="12"/>
    </row>
    <row r="56" spans="1:9" ht="13.5" thickBot="1">
      <c r="A56" s="10"/>
      <c r="B56" s="22" t="s">
        <v>7</v>
      </c>
      <c r="C56" s="36">
        <f>C48-C54</f>
        <v>2763.4614280000005</v>
      </c>
      <c r="D56" s="12"/>
      <c r="F56" s="10"/>
      <c r="G56" s="22" t="s">
        <v>7</v>
      </c>
      <c r="H56" s="36">
        <f>H48-H54</f>
        <v>2390.4062000000004</v>
      </c>
      <c r="I56" s="12"/>
    </row>
    <row r="57" spans="1:9" ht="13.5" thickBot="1">
      <c r="A57" s="15"/>
      <c r="B57" s="17"/>
      <c r="C57" s="17"/>
      <c r="D57" s="16"/>
      <c r="F57" s="15"/>
      <c r="G57" s="17"/>
      <c r="H57" s="17"/>
      <c r="I57" s="16"/>
    </row>
    <row r="58" ht="13.5" thickTop="1"/>
  </sheetData>
  <mergeCells count="4">
    <mergeCell ref="C22:H22"/>
    <mergeCell ref="C2:H2"/>
    <mergeCell ref="G43:H43"/>
    <mergeCell ref="B43:C43"/>
  </mergeCells>
  <printOptions/>
  <pageMargins left="0.75" right="0.75" top="1" bottom="1" header="0.5" footer="0.5"/>
  <pageSetup fitToHeight="1" fitToWidth="1" horizontalDpi="600" verticalDpi="600" orientation="landscape" scale="62" r:id="rId1"/>
  <headerFooter alignWithMargins="0">
    <oddHeader>&amp;R&amp;"Arial,Bold"&amp;12Appendix A</oddHeader>
    <oddFooter>&amp;RPage &amp;P
&amp;F
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 topLeftCell="B12">
      <selection activeCell="E40" sqref="E40"/>
    </sheetView>
  </sheetViews>
  <sheetFormatPr defaultColWidth="9.140625" defaultRowHeight="12.75"/>
  <cols>
    <col min="2" max="2" width="39.421875" style="0" bestFit="1" customWidth="1"/>
    <col min="3" max="3" width="11.140625" style="0" bestFit="1" customWidth="1"/>
    <col min="4" max="4" width="15.28125" style="0" customWidth="1"/>
    <col min="5" max="5" width="13.140625" style="0" bestFit="1" customWidth="1"/>
    <col min="6" max="6" width="12.8515625" style="0" bestFit="1" customWidth="1"/>
    <col min="7" max="7" width="41.7109375" style="0" bestFit="1" customWidth="1"/>
  </cols>
  <sheetData>
    <row r="1" ht="18.75" thickBot="1">
      <c r="B1" s="100">
        <f>'Summary Data'!A13</f>
        <v>37530</v>
      </c>
    </row>
    <row r="2" spans="1:9" ht="19.5" thickBot="1" thickTop="1">
      <c r="A2" s="20"/>
      <c r="B2" s="18"/>
      <c r="C2" s="122" t="str">
        <f>'January 2002'!C2</f>
        <v>Monthly Arrears: Working Capital</v>
      </c>
      <c r="D2" s="122"/>
      <c r="E2" s="122"/>
      <c r="F2" s="122"/>
      <c r="G2" s="122"/>
      <c r="H2" s="122"/>
      <c r="I2" s="9"/>
    </row>
    <row r="3" spans="1:9" ht="15.75">
      <c r="A3" s="10"/>
      <c r="B3" s="19" t="str">
        <f>'December 2001'!B3</f>
        <v>EA population</v>
      </c>
      <c r="C3" s="46"/>
      <c r="D3" s="46" t="s">
        <v>20</v>
      </c>
      <c r="E3" s="46" t="s">
        <v>0</v>
      </c>
      <c r="F3" s="46" t="s">
        <v>1</v>
      </c>
      <c r="G3" s="46" t="s">
        <v>2</v>
      </c>
      <c r="H3" s="81" t="s">
        <v>8</v>
      </c>
      <c r="I3" s="12"/>
    </row>
    <row r="4" spans="1:9" ht="12.75">
      <c r="A4" s="10"/>
      <c r="B4" s="13" t="s">
        <v>3</v>
      </c>
      <c r="C4" s="38"/>
      <c r="D4" s="38">
        <f>'Input Data'!K43*'Input Data'!F43*'Input Data'!B43</f>
        <v>36532.9</v>
      </c>
      <c r="E4" s="38">
        <f>$D$4*'Input Data'!B4</f>
        <v>9133.225</v>
      </c>
      <c r="F4" s="38">
        <f>$D$4*'Input Data'!C4</f>
        <v>7306.580000000001</v>
      </c>
      <c r="G4" s="38">
        <f>$D$4*'Input Data'!D4</f>
        <v>20093.095</v>
      </c>
      <c r="H4" s="82"/>
      <c r="I4" s="12"/>
    </row>
    <row r="5" spans="1:9" ht="12.75">
      <c r="A5" s="10"/>
      <c r="B5" s="13" t="s">
        <v>10</v>
      </c>
      <c r="C5" s="38"/>
      <c r="D5" s="38"/>
      <c r="E5" s="38">
        <f>E4*E24</f>
        <v>8676.56375</v>
      </c>
      <c r="F5" s="38">
        <f>F4*F24</f>
        <v>6575.9220000000005</v>
      </c>
      <c r="G5" s="38">
        <f>G4*G24</f>
        <v>17079.13075</v>
      </c>
      <c r="H5" s="82"/>
      <c r="I5" s="12"/>
    </row>
    <row r="6" spans="1:9" ht="12.75">
      <c r="A6" s="10"/>
      <c r="B6" s="13" t="s">
        <v>5</v>
      </c>
      <c r="C6" s="92"/>
      <c r="D6" s="92"/>
      <c r="E6" s="92">
        <f>E5/1000</f>
        <v>8.67656375</v>
      </c>
      <c r="F6" s="92">
        <f>F5/1000</f>
        <v>6.575922</v>
      </c>
      <c r="G6" s="92">
        <f>G5/1000</f>
        <v>17.07913075</v>
      </c>
      <c r="H6" s="82"/>
      <c r="I6" s="12"/>
    </row>
    <row r="7" spans="1:9" ht="12.75">
      <c r="A7" s="10"/>
      <c r="B7" s="13" t="s">
        <v>4</v>
      </c>
      <c r="C7" s="83"/>
      <c r="D7" s="83"/>
      <c r="E7" s="83">
        <f>'December 2001'!E7</f>
        <v>6.18</v>
      </c>
      <c r="F7" s="83">
        <f>'December 2001'!F7</f>
        <v>9.28</v>
      </c>
      <c r="G7" s="83">
        <f>'December 2001'!G7</f>
        <v>32.87</v>
      </c>
      <c r="H7" s="82"/>
      <c r="I7" s="12"/>
    </row>
    <row r="8" spans="1:9" ht="12.75">
      <c r="A8" s="10"/>
      <c r="B8" s="21" t="s">
        <v>6</v>
      </c>
      <c r="C8" s="84"/>
      <c r="D8" s="84"/>
      <c r="E8" s="84">
        <f>E6*E7</f>
        <v>53.621163974999995</v>
      </c>
      <c r="F8" s="84">
        <f>F6*F7</f>
        <v>61.024556159999996</v>
      </c>
      <c r="G8" s="84">
        <f>G6*G7</f>
        <v>561.3910277525</v>
      </c>
      <c r="H8" s="85">
        <f>SUM(C8:G8)</f>
        <v>676.0367478875</v>
      </c>
      <c r="I8" s="12"/>
    </row>
    <row r="9" spans="1:9" ht="12.75">
      <c r="A9" s="10"/>
      <c r="B9" s="13"/>
      <c r="C9" s="46"/>
      <c r="D9" s="46"/>
      <c r="E9" s="46"/>
      <c r="F9" s="46"/>
      <c r="G9" s="46"/>
      <c r="H9" s="82"/>
      <c r="I9" s="12"/>
    </row>
    <row r="10" spans="1:9" ht="12.75">
      <c r="A10" s="10"/>
      <c r="B10" s="13"/>
      <c r="C10" s="46"/>
      <c r="D10" s="46"/>
      <c r="E10" s="46"/>
      <c r="F10" s="46"/>
      <c r="G10" s="46"/>
      <c r="H10" s="82"/>
      <c r="I10" s="12"/>
    </row>
    <row r="11" spans="1:9" ht="15.75">
      <c r="A11" s="10"/>
      <c r="B11" s="19" t="str">
        <f>'December 2001'!B11</f>
        <v>ELIP population</v>
      </c>
      <c r="C11" s="46"/>
      <c r="D11" s="46" t="str">
        <f>D3</f>
        <v>Total Arrears ($s)</v>
      </c>
      <c r="E11" s="46" t="str">
        <f>E3</f>
        <v>30-day Arrears</v>
      </c>
      <c r="F11" s="46" t="str">
        <f>F3</f>
        <v>60-day arrears</v>
      </c>
      <c r="G11" s="46" t="str">
        <f>G3</f>
        <v>90-day arrears</v>
      </c>
      <c r="H11" s="82"/>
      <c r="I11" s="12"/>
    </row>
    <row r="12" spans="1:9" ht="12.75">
      <c r="A12" s="10"/>
      <c r="B12" s="13" t="str">
        <f>B4</f>
        <v>Dollars</v>
      </c>
      <c r="C12" s="38"/>
      <c r="D12" s="38">
        <f>'Input Data'!K43*'Input Data'!G43*'Input Data'!C43</f>
        <v>11132.5</v>
      </c>
      <c r="E12" s="38">
        <f>$D$12*'Input Data'!B4</f>
        <v>2783.125</v>
      </c>
      <c r="F12" s="38">
        <f>$D$12*'Input Data'!C4</f>
        <v>2226.5</v>
      </c>
      <c r="G12" s="38">
        <f>$D$12*'Input Data'!D4</f>
        <v>6122.875000000001</v>
      </c>
      <c r="H12" s="82"/>
      <c r="I12" s="12"/>
    </row>
    <row r="13" spans="1:9" ht="12.75">
      <c r="A13" s="10"/>
      <c r="B13" s="13" t="str">
        <f>B5</f>
        <v>Dollars adjusted for charge-offs</v>
      </c>
      <c r="C13" s="38"/>
      <c r="D13" s="38"/>
      <c r="E13" s="38">
        <f>E12*E24</f>
        <v>2643.96875</v>
      </c>
      <c r="F13" s="38">
        <f>F12*F24</f>
        <v>2003.8500000000001</v>
      </c>
      <c r="G13" s="38">
        <f>G12*G24</f>
        <v>5204.44375</v>
      </c>
      <c r="H13" s="82"/>
      <c r="I13" s="12"/>
    </row>
    <row r="14" spans="1:9" ht="12.75">
      <c r="A14" s="10"/>
      <c r="B14" s="13" t="str">
        <f>B6</f>
        <v>$1,000 increments</v>
      </c>
      <c r="C14" s="92"/>
      <c r="D14" s="92"/>
      <c r="E14" s="92">
        <f>E13/1000</f>
        <v>2.64396875</v>
      </c>
      <c r="F14" s="92">
        <f>F13/1000</f>
        <v>2.0038500000000004</v>
      </c>
      <c r="G14" s="92">
        <f>G13/1000</f>
        <v>5.20444375</v>
      </c>
      <c r="H14" s="82"/>
      <c r="I14" s="12"/>
    </row>
    <row r="15" spans="1:9" ht="12.75">
      <c r="A15" s="10"/>
      <c r="B15" s="13" t="str">
        <f>B7</f>
        <v>Working capital per $1,000</v>
      </c>
      <c r="C15" s="83"/>
      <c r="D15" s="83"/>
      <c r="E15" s="83">
        <f>E7</f>
        <v>6.18</v>
      </c>
      <c r="F15" s="83">
        <f>F7</f>
        <v>9.28</v>
      </c>
      <c r="G15" s="83">
        <f>G7</f>
        <v>32.87</v>
      </c>
      <c r="H15" s="82"/>
      <c r="I15" s="12"/>
    </row>
    <row r="16" spans="1:9" ht="12.75">
      <c r="A16" s="10"/>
      <c r="B16" s="21" t="str">
        <f>B8</f>
        <v>Total working capital expense</v>
      </c>
      <c r="C16" s="84"/>
      <c r="D16" s="84"/>
      <c r="E16" s="84">
        <f>E14*E15</f>
        <v>16.339726875</v>
      </c>
      <c r="F16" s="84">
        <f>F14*F15</f>
        <v>18.595728</v>
      </c>
      <c r="G16" s="84">
        <f>G14*G15</f>
        <v>171.0700660625</v>
      </c>
      <c r="H16" s="85">
        <f>SUM(C16:G16)</f>
        <v>206.0055209375</v>
      </c>
      <c r="I16" s="12"/>
    </row>
    <row r="17" spans="1:9" ht="13.5" thickBot="1">
      <c r="A17" s="10"/>
      <c r="B17" s="13"/>
      <c r="C17" s="46"/>
      <c r="D17" s="46"/>
      <c r="E17" s="46"/>
      <c r="F17" s="46"/>
      <c r="G17" s="46"/>
      <c r="H17" s="82"/>
      <c r="I17" s="12"/>
    </row>
    <row r="18" spans="1:9" ht="13.5" thickBot="1">
      <c r="A18" s="10"/>
      <c r="B18" s="22" t="s">
        <v>7</v>
      </c>
      <c r="C18" s="86"/>
      <c r="D18" s="86"/>
      <c r="E18" s="86">
        <f>E8-E16</f>
        <v>37.28143709999999</v>
      </c>
      <c r="F18" s="86">
        <f>F8-F16</f>
        <v>42.428828159999995</v>
      </c>
      <c r="G18" s="86">
        <f>G8-G16</f>
        <v>390.32096169</v>
      </c>
      <c r="H18" s="87">
        <f>SUM(C18:G18)</f>
        <v>470.03122694999996</v>
      </c>
      <c r="I18" s="12"/>
    </row>
    <row r="19" spans="1:9" ht="13.5" thickBot="1">
      <c r="A19" s="15"/>
      <c r="B19" s="17"/>
      <c r="C19" s="17"/>
      <c r="D19" s="17"/>
      <c r="E19" s="17"/>
      <c r="F19" s="17"/>
      <c r="G19" s="17"/>
      <c r="H19" s="17"/>
      <c r="I19" s="16"/>
    </row>
    <row r="20" ht="13.5" thickTop="1"/>
    <row r="21" ht="13.5" thickBot="1"/>
    <row r="22" spans="1:9" ht="18" thickBot="1" thickTop="1">
      <c r="A22" s="20"/>
      <c r="B22" s="8"/>
      <c r="C22" s="122" t="s">
        <v>52</v>
      </c>
      <c r="D22" s="122"/>
      <c r="E22" s="122"/>
      <c r="F22" s="122"/>
      <c r="G22" s="122"/>
      <c r="H22" s="122"/>
      <c r="I22" s="9"/>
    </row>
    <row r="23" spans="1:9" ht="15.75">
      <c r="A23" s="10"/>
      <c r="B23" s="19" t="str">
        <f aca="true" t="shared" si="0" ref="B23:H23">B3</f>
        <v>EA population</v>
      </c>
      <c r="C23" s="13"/>
      <c r="D23" s="46" t="s">
        <v>53</v>
      </c>
      <c r="E23" s="46" t="str">
        <f t="shared" si="0"/>
        <v>30-day Arrears</v>
      </c>
      <c r="F23" s="46" t="str">
        <f t="shared" si="0"/>
        <v>60-day arrears</v>
      </c>
      <c r="G23" s="46" t="str">
        <f t="shared" si="0"/>
        <v>90-day arrears</v>
      </c>
      <c r="H23" s="81" t="str">
        <f t="shared" si="0"/>
        <v>Total</v>
      </c>
      <c r="I23" s="12"/>
    </row>
    <row r="24" spans="1:9" ht="12.75">
      <c r="A24" s="10"/>
      <c r="B24" s="13" t="s">
        <v>11</v>
      </c>
      <c r="C24" s="26"/>
      <c r="D24" s="88"/>
      <c r="E24" s="88">
        <v>0.95</v>
      </c>
      <c r="F24" s="88">
        <v>0.9</v>
      </c>
      <c r="G24" s="88">
        <v>0.85</v>
      </c>
      <c r="H24" s="82"/>
      <c r="I24" s="12"/>
    </row>
    <row r="25" spans="1:9" ht="12.75">
      <c r="A25" s="10"/>
      <c r="B25" s="13" t="s">
        <v>12</v>
      </c>
      <c r="C25" s="26"/>
      <c r="D25" s="88"/>
      <c r="E25" s="88">
        <f>1-E24</f>
        <v>0.050000000000000044</v>
      </c>
      <c r="F25" s="88">
        <f>(1-F24)-E25</f>
        <v>0.04999999999999993</v>
      </c>
      <c r="G25" s="88">
        <f>(1-G24)-(E25+F25)</f>
        <v>0.050000000000000044</v>
      </c>
      <c r="H25" s="82"/>
      <c r="I25" s="12"/>
    </row>
    <row r="26" spans="1:9" ht="12.75">
      <c r="A26" s="10"/>
      <c r="B26" s="13" t="s">
        <v>13</v>
      </c>
      <c r="C26" s="27"/>
      <c r="D26" s="38">
        <f>SUM(E26:G26)</f>
        <v>1826.645000000001</v>
      </c>
      <c r="E26" s="38">
        <f>E25*E4</f>
        <v>456.66125000000045</v>
      </c>
      <c r="F26" s="38">
        <f>F25*F4</f>
        <v>365.32899999999955</v>
      </c>
      <c r="G26" s="38">
        <f>G25*G4</f>
        <v>1004.654750000001</v>
      </c>
      <c r="H26" s="82"/>
      <c r="I26" s="12"/>
    </row>
    <row r="27" spans="1:9" ht="12.75">
      <c r="A27" s="10"/>
      <c r="B27" s="13" t="s">
        <v>5</v>
      </c>
      <c r="C27" s="25"/>
      <c r="D27" s="92"/>
      <c r="E27" s="92">
        <f>E26/1000</f>
        <v>0.45666125000000046</v>
      </c>
      <c r="F27" s="92">
        <f>F26/1000</f>
        <v>0.36532899999999957</v>
      </c>
      <c r="G27" s="92">
        <f>G26/1000</f>
        <v>1.004654750000001</v>
      </c>
      <c r="H27" s="82"/>
      <c r="I27" s="12"/>
    </row>
    <row r="28" spans="1:9" ht="12.75">
      <c r="A28" s="10"/>
      <c r="B28" s="13" t="s">
        <v>4</v>
      </c>
      <c r="C28" s="14"/>
      <c r="D28" s="83"/>
      <c r="E28" s="83">
        <f>'December 2001'!E28</f>
        <v>45.67868031566741</v>
      </c>
      <c r="F28" s="83">
        <f>'December 2001'!F28</f>
        <v>36.059797012539775</v>
      </c>
      <c r="G28" s="83">
        <f>'December 2001'!G28</f>
        <v>3.0851720988794114</v>
      </c>
      <c r="H28" s="82"/>
      <c r="I28" s="12"/>
    </row>
    <row r="29" spans="1:9" ht="12.75">
      <c r="A29" s="10"/>
      <c r="B29" s="21" t="s">
        <v>6</v>
      </c>
      <c r="C29" s="28"/>
      <c r="D29" s="89"/>
      <c r="E29" s="89">
        <f>E27*E28</f>
        <v>20.859683251303093</v>
      </c>
      <c r="F29" s="89">
        <f>F27*F28</f>
        <v>13.173689582794127</v>
      </c>
      <c r="G29" s="89">
        <f>G27*G28</f>
        <v>3.099532803706673</v>
      </c>
      <c r="H29" s="90">
        <f>SUM(C29:G29)</f>
        <v>37.132905637803894</v>
      </c>
      <c r="I29" s="12"/>
    </row>
    <row r="30" spans="1:9" ht="12.75">
      <c r="A30" s="10"/>
      <c r="B30" s="13"/>
      <c r="C30" s="13"/>
      <c r="D30" s="46"/>
      <c r="E30" s="46"/>
      <c r="F30" s="46"/>
      <c r="G30" s="46"/>
      <c r="H30" s="82"/>
      <c r="I30" s="12"/>
    </row>
    <row r="31" spans="1:9" ht="12.75">
      <c r="A31" s="10"/>
      <c r="B31" s="13"/>
      <c r="C31" s="13"/>
      <c r="D31" s="46"/>
      <c r="E31" s="46"/>
      <c r="F31" s="46"/>
      <c r="G31" s="46"/>
      <c r="H31" s="82"/>
      <c r="I31" s="12"/>
    </row>
    <row r="32" spans="1:9" ht="15.75">
      <c r="A32" s="10"/>
      <c r="B32" s="19" t="str">
        <f aca="true" t="shared" si="1" ref="B32:G32">B11</f>
        <v>ELIP population</v>
      </c>
      <c r="C32" s="13"/>
      <c r="D32" s="46" t="s">
        <v>53</v>
      </c>
      <c r="E32" s="46" t="str">
        <f t="shared" si="1"/>
        <v>30-day Arrears</v>
      </c>
      <c r="F32" s="46" t="str">
        <f t="shared" si="1"/>
        <v>60-day arrears</v>
      </c>
      <c r="G32" s="46" t="str">
        <f t="shared" si="1"/>
        <v>90-day arrears</v>
      </c>
      <c r="H32" s="82"/>
      <c r="I32" s="12"/>
    </row>
    <row r="33" spans="1:9" ht="12.75">
      <c r="A33" s="10"/>
      <c r="B33" s="13" t="str">
        <f aca="true" t="shared" si="2" ref="B33:B38">B24</f>
        <v>Collectability factor</v>
      </c>
      <c r="C33" s="26"/>
      <c r="D33" s="88"/>
      <c r="E33" s="88">
        <f>E24</f>
        <v>0.95</v>
      </c>
      <c r="F33" s="88">
        <f>F24</f>
        <v>0.9</v>
      </c>
      <c r="G33" s="88">
        <f>G24</f>
        <v>0.85</v>
      </c>
      <c r="H33" s="82"/>
      <c r="I33" s="12"/>
    </row>
    <row r="34" spans="1:9" ht="12.75">
      <c r="A34" s="10"/>
      <c r="B34" s="13" t="str">
        <f t="shared" si="2"/>
        <v>Uncollectable rate</v>
      </c>
      <c r="C34" s="26"/>
      <c r="D34" s="88"/>
      <c r="E34" s="88">
        <f>1-E33</f>
        <v>0.050000000000000044</v>
      </c>
      <c r="F34" s="88">
        <f>(1-F33)-E34</f>
        <v>0.04999999999999993</v>
      </c>
      <c r="G34" s="88">
        <f>(1-G33)-(E34+F34)</f>
        <v>0.050000000000000044</v>
      </c>
      <c r="H34" s="82"/>
      <c r="I34" s="12"/>
    </row>
    <row r="35" spans="1:9" ht="12.75">
      <c r="A35" s="10"/>
      <c r="B35" s="13" t="str">
        <f t="shared" si="2"/>
        <v>Uncollectable dollars</v>
      </c>
      <c r="C35" s="27"/>
      <c r="D35" s="38">
        <f>SUM(E35:G35)</f>
        <v>556.6250000000002</v>
      </c>
      <c r="E35" s="38">
        <f>E34*E12</f>
        <v>139.1562500000001</v>
      </c>
      <c r="F35" s="38">
        <f>F34*F12</f>
        <v>111.32499999999985</v>
      </c>
      <c r="G35" s="38">
        <f>G34*G12</f>
        <v>306.1437500000003</v>
      </c>
      <c r="H35" s="82"/>
      <c r="I35" s="12"/>
    </row>
    <row r="36" spans="1:9" ht="12.75">
      <c r="A36" s="10"/>
      <c r="B36" s="13" t="str">
        <f t="shared" si="2"/>
        <v>$1,000 increments</v>
      </c>
      <c r="C36" s="25"/>
      <c r="D36" s="92"/>
      <c r="E36" s="92">
        <f>E35/1000</f>
        <v>0.13915625000000012</v>
      </c>
      <c r="F36" s="92">
        <f>F35/1000</f>
        <v>0.11132499999999984</v>
      </c>
      <c r="G36" s="92">
        <f>G35/1000</f>
        <v>0.30614375000000027</v>
      </c>
      <c r="H36" s="82"/>
      <c r="I36" s="12"/>
    </row>
    <row r="37" spans="1:9" ht="12.75">
      <c r="A37" s="10"/>
      <c r="B37" s="13" t="str">
        <f t="shared" si="2"/>
        <v>Working capital per $1,000</v>
      </c>
      <c r="C37" s="14"/>
      <c r="D37" s="83"/>
      <c r="E37" s="83">
        <f>E28</f>
        <v>45.67868031566741</v>
      </c>
      <c r="F37" s="83">
        <f>F28</f>
        <v>36.059797012539775</v>
      </c>
      <c r="G37" s="83">
        <f>G28</f>
        <v>3.0851720988794114</v>
      </c>
      <c r="H37" s="82"/>
      <c r="I37" s="12"/>
    </row>
    <row r="38" spans="1:9" ht="12.75">
      <c r="A38" s="10"/>
      <c r="B38" s="21" t="str">
        <f t="shared" si="2"/>
        <v>Total working capital expense</v>
      </c>
      <c r="C38" s="28"/>
      <c r="D38" s="89"/>
      <c r="E38" s="89">
        <f>E36*E37</f>
        <v>6.3564738576770985</v>
      </c>
      <c r="F38" s="89">
        <f>F36*F37</f>
        <v>4.014356902420984</v>
      </c>
      <c r="G38" s="89">
        <f>G36*G37</f>
        <v>0.9445061557463146</v>
      </c>
      <c r="H38" s="90">
        <f>SUM(C38:G38)</f>
        <v>11.315336915844398</v>
      </c>
      <c r="I38" s="12"/>
    </row>
    <row r="39" spans="1:9" ht="13.5" thickBot="1">
      <c r="A39" s="10"/>
      <c r="B39" s="13"/>
      <c r="C39" s="13"/>
      <c r="D39" s="46"/>
      <c r="E39" s="46"/>
      <c r="F39" s="46"/>
      <c r="G39" s="46"/>
      <c r="H39" s="82"/>
      <c r="I39" s="12"/>
    </row>
    <row r="40" spans="1:9" ht="13.5" thickBot="1">
      <c r="A40" s="10"/>
      <c r="B40" s="22" t="s">
        <v>7</v>
      </c>
      <c r="C40" s="23"/>
      <c r="D40" s="86">
        <f>D26-D35</f>
        <v>1270.0200000000007</v>
      </c>
      <c r="E40" s="86">
        <f>E29-E38</f>
        <v>14.503209393625994</v>
      </c>
      <c r="F40" s="86">
        <f>F29-F38</f>
        <v>9.159332680373144</v>
      </c>
      <c r="G40" s="86">
        <f>G29-G38</f>
        <v>2.1550266479603586</v>
      </c>
      <c r="H40" s="91">
        <f>SUM(E40:G40)</f>
        <v>25.817568721959496</v>
      </c>
      <c r="I40" s="12"/>
    </row>
    <row r="41" spans="1:9" ht="13.5" thickBot="1">
      <c r="A41" s="15"/>
      <c r="B41" s="17"/>
      <c r="C41" s="17"/>
      <c r="D41" s="17"/>
      <c r="E41" s="17"/>
      <c r="F41" s="17"/>
      <c r="G41" s="17"/>
      <c r="H41" s="17"/>
      <c r="I41" s="16"/>
    </row>
    <row r="42" ht="14.25" thickBot="1" thickTop="1"/>
    <row r="43" spans="1:9" ht="13.5" thickTop="1">
      <c r="A43" s="20"/>
      <c r="B43" s="123" t="str">
        <f>'January 2002'!B43</f>
        <v>Disconnection Savings</v>
      </c>
      <c r="C43" s="123"/>
      <c r="D43" s="9"/>
      <c r="F43" s="20"/>
      <c r="G43" s="123" t="str">
        <f>'January 2002'!G43</f>
        <v>Collection Savings</v>
      </c>
      <c r="H43" s="123"/>
      <c r="I43" s="9"/>
    </row>
    <row r="44" spans="1:9" ht="12.75">
      <c r="A44" s="10"/>
      <c r="B44" s="13" t="s">
        <v>80</v>
      </c>
      <c r="C44" s="13">
        <f>'Input Data'!B19</f>
        <v>0</v>
      </c>
      <c r="D44" s="12"/>
      <c r="F44" s="10"/>
      <c r="G44" s="13" t="s">
        <v>77</v>
      </c>
      <c r="H44" s="40">
        <f>'Input Data'!F43</f>
        <v>0.53</v>
      </c>
      <c r="I44" s="12"/>
    </row>
    <row r="45" spans="1:9" ht="12.75">
      <c r="A45" s="10"/>
      <c r="B45" s="13" t="s">
        <v>75</v>
      </c>
      <c r="C45" s="94">
        <f>'Input Data'!K43*'Input Data'!F43/100</f>
        <v>3.233</v>
      </c>
      <c r="D45" s="12"/>
      <c r="F45" s="10"/>
      <c r="G45" s="13" t="s">
        <v>31</v>
      </c>
      <c r="H45" s="25">
        <f>H51</f>
        <v>610</v>
      </c>
      <c r="I45" s="12"/>
    </row>
    <row r="46" spans="1:9" ht="12.75">
      <c r="A46" s="10"/>
      <c r="B46" s="13" t="s">
        <v>26</v>
      </c>
      <c r="C46" s="93">
        <f>C45*C44</f>
        <v>0</v>
      </c>
      <c r="D46" s="12"/>
      <c r="F46" s="10"/>
      <c r="G46" s="13" t="s">
        <v>32</v>
      </c>
      <c r="H46" s="25">
        <f>H44*H45</f>
        <v>323.3</v>
      </c>
      <c r="I46" s="12"/>
    </row>
    <row r="47" spans="1:9" ht="12.75">
      <c r="A47" s="10"/>
      <c r="B47" s="13" t="s">
        <v>24</v>
      </c>
      <c r="C47" s="14">
        <f>'January 2002'!C47</f>
        <v>121.18</v>
      </c>
      <c r="D47" s="12"/>
      <c r="F47" s="10"/>
      <c r="G47" s="13" t="s">
        <v>33</v>
      </c>
      <c r="H47" s="14">
        <f>'December 2001'!H47</f>
        <v>12.94</v>
      </c>
      <c r="I47" s="12"/>
    </row>
    <row r="48" spans="1:9" ht="12.75">
      <c r="A48" s="10"/>
      <c r="B48" s="13" t="s">
        <v>25</v>
      </c>
      <c r="C48" s="11">
        <f>C47*C46</f>
        <v>0</v>
      </c>
      <c r="D48" s="12"/>
      <c r="F48" s="10"/>
      <c r="G48" s="13" t="s">
        <v>34</v>
      </c>
      <c r="H48" s="11">
        <f>H46*H47</f>
        <v>4183.502</v>
      </c>
      <c r="I48" s="12"/>
    </row>
    <row r="49" spans="1:9" ht="12.75">
      <c r="A49" s="10"/>
      <c r="B49" s="13"/>
      <c r="C49" s="13"/>
      <c r="D49" s="12"/>
      <c r="F49" s="10"/>
      <c r="G49" s="13"/>
      <c r="H49" s="13"/>
      <c r="I49" s="12"/>
    </row>
    <row r="50" spans="1:9" ht="12.75">
      <c r="A50" s="10"/>
      <c r="B50" s="13" t="s">
        <v>81</v>
      </c>
      <c r="C50" s="13">
        <f>'Input Data'!C19</f>
        <v>1.2</v>
      </c>
      <c r="D50" s="12"/>
      <c r="F50" s="10"/>
      <c r="G50" s="13" t="s">
        <v>78</v>
      </c>
      <c r="H50" s="40">
        <f>'Input Data'!G43</f>
        <v>0.25</v>
      </c>
      <c r="I50" s="12"/>
    </row>
    <row r="51" spans="1:9" ht="12.75">
      <c r="A51" s="10"/>
      <c r="B51" s="13" t="s">
        <v>75</v>
      </c>
      <c r="C51" s="94">
        <f>'Input Data'!K43*'Input Data'!G43/100</f>
        <v>1.525</v>
      </c>
      <c r="D51" s="12"/>
      <c r="F51" s="10"/>
      <c r="G51" s="13" t="s">
        <v>31</v>
      </c>
      <c r="H51" s="25">
        <f>'Input Data'!K43</f>
        <v>610</v>
      </c>
      <c r="I51" s="12"/>
    </row>
    <row r="52" spans="1:9" ht="12.75">
      <c r="A52" s="10"/>
      <c r="B52" s="13" t="s">
        <v>26</v>
      </c>
      <c r="C52" s="93">
        <f>C51*C50</f>
        <v>1.8299999999999998</v>
      </c>
      <c r="D52" s="12"/>
      <c r="F52" s="10"/>
      <c r="G52" s="13" t="s">
        <v>32</v>
      </c>
      <c r="H52" s="25">
        <f>H50*H51</f>
        <v>152.5</v>
      </c>
      <c r="I52" s="12"/>
    </row>
    <row r="53" spans="1:9" ht="12.75">
      <c r="A53" s="10"/>
      <c r="B53" s="13" t="s">
        <v>24</v>
      </c>
      <c r="C53" s="14">
        <f>C47</f>
        <v>121.18</v>
      </c>
      <c r="D53" s="12"/>
      <c r="F53" s="10"/>
      <c r="G53" s="13" t="s">
        <v>33</v>
      </c>
      <c r="H53" s="14">
        <f>H47</f>
        <v>12.94</v>
      </c>
      <c r="I53" s="12"/>
    </row>
    <row r="54" spans="1:9" ht="12.75">
      <c r="A54" s="10"/>
      <c r="B54" s="13" t="s">
        <v>25</v>
      </c>
      <c r="C54" s="11">
        <f>C53*C52</f>
        <v>221.7594</v>
      </c>
      <c r="D54" s="12"/>
      <c r="F54" s="10"/>
      <c r="G54" s="13" t="s">
        <v>34</v>
      </c>
      <c r="H54" s="11">
        <f>H52*H53</f>
        <v>1973.35</v>
      </c>
      <c r="I54" s="12"/>
    </row>
    <row r="55" spans="1:9" ht="13.5" thickBot="1">
      <c r="A55" s="10"/>
      <c r="B55" s="13"/>
      <c r="C55" s="13"/>
      <c r="D55" s="12"/>
      <c r="F55" s="10"/>
      <c r="G55" s="13"/>
      <c r="H55" s="13"/>
      <c r="I55" s="12"/>
    </row>
    <row r="56" spans="1:9" ht="13.5" thickBot="1">
      <c r="A56" s="10"/>
      <c r="B56" s="22" t="s">
        <v>7</v>
      </c>
      <c r="C56" s="36">
        <f>C48-C54</f>
        <v>-221.7594</v>
      </c>
      <c r="D56" s="12"/>
      <c r="F56" s="10"/>
      <c r="G56" s="22" t="s">
        <v>7</v>
      </c>
      <c r="H56" s="36">
        <f>H48-H54</f>
        <v>2210.1520000000005</v>
      </c>
      <c r="I56" s="12"/>
    </row>
    <row r="57" spans="1:9" ht="13.5" thickBot="1">
      <c r="A57" s="15"/>
      <c r="B57" s="17"/>
      <c r="C57" s="17"/>
      <c r="D57" s="16"/>
      <c r="F57" s="15"/>
      <c r="G57" s="17"/>
      <c r="H57" s="17"/>
      <c r="I57" s="16"/>
    </row>
    <row r="58" ht="13.5" thickTop="1"/>
  </sheetData>
  <mergeCells count="4">
    <mergeCell ref="C22:H22"/>
    <mergeCell ref="C2:H2"/>
    <mergeCell ref="G43:H43"/>
    <mergeCell ref="B43:C43"/>
  </mergeCells>
  <printOptions/>
  <pageMargins left="0.75" right="0.75" top="1" bottom="1" header="0.5" footer="0.5"/>
  <pageSetup fitToHeight="1" fitToWidth="1" horizontalDpi="600" verticalDpi="600" orientation="landscape" scale="62" r:id="rId1"/>
  <headerFooter alignWithMargins="0">
    <oddHeader>&amp;R&amp;"Arial,Bold"&amp;12Appendix A</oddHeader>
    <oddFooter>&amp;RPage &amp;P
&amp;F
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 topLeftCell="C21">
      <selection activeCell="E50" sqref="E50"/>
    </sheetView>
  </sheetViews>
  <sheetFormatPr defaultColWidth="9.140625" defaultRowHeight="12.75"/>
  <cols>
    <col min="2" max="2" width="39.421875" style="0" bestFit="1" customWidth="1"/>
    <col min="3" max="3" width="11.140625" style="0" bestFit="1" customWidth="1"/>
    <col min="4" max="4" width="15.28125" style="0" customWidth="1"/>
    <col min="5" max="5" width="13.140625" style="0" bestFit="1" customWidth="1"/>
    <col min="6" max="6" width="12.8515625" style="0" bestFit="1" customWidth="1"/>
    <col min="7" max="7" width="41.7109375" style="0" bestFit="1" customWidth="1"/>
  </cols>
  <sheetData>
    <row r="1" ht="18.75" thickBot="1">
      <c r="B1" s="100">
        <f>'Summary Data'!A14</f>
        <v>37561</v>
      </c>
    </row>
    <row r="2" spans="1:9" ht="19.5" thickBot="1" thickTop="1">
      <c r="A2" s="20"/>
      <c r="B2" s="18"/>
      <c r="C2" s="122" t="str">
        <f>'January 2002'!C2</f>
        <v>Monthly Arrears: Working Capital</v>
      </c>
      <c r="D2" s="122"/>
      <c r="E2" s="122"/>
      <c r="F2" s="122"/>
      <c r="G2" s="122"/>
      <c r="H2" s="122"/>
      <c r="I2" s="9"/>
    </row>
    <row r="3" spans="1:9" ht="15.75">
      <c r="A3" s="10"/>
      <c r="B3" s="19" t="str">
        <f>'December 2001'!B3</f>
        <v>EA population</v>
      </c>
      <c r="C3" s="46"/>
      <c r="D3" s="46" t="s">
        <v>20</v>
      </c>
      <c r="E3" s="46" t="s">
        <v>0</v>
      </c>
      <c r="F3" s="46" t="s">
        <v>1</v>
      </c>
      <c r="G3" s="46" t="s">
        <v>2</v>
      </c>
      <c r="H3" s="81" t="s">
        <v>8</v>
      </c>
      <c r="I3" s="12"/>
    </row>
    <row r="4" spans="1:9" ht="12.75">
      <c r="A4" s="10"/>
      <c r="B4" s="13" t="s">
        <v>3</v>
      </c>
      <c r="C4" s="38"/>
      <c r="D4" s="38">
        <f>'Input Data'!K44*'Input Data'!F44*'Input Data'!B44</f>
        <v>27279.39</v>
      </c>
      <c r="E4" s="38">
        <f>$D$4*'Input Data'!B4</f>
        <v>6819.8475</v>
      </c>
      <c r="F4" s="38">
        <f>$D$4*'Input Data'!C4</f>
        <v>5455.878000000001</v>
      </c>
      <c r="G4" s="38">
        <f>$D$4*'Input Data'!D4</f>
        <v>15003.6645</v>
      </c>
      <c r="H4" s="82"/>
      <c r="I4" s="12"/>
    </row>
    <row r="5" spans="1:9" ht="12.75">
      <c r="A5" s="10"/>
      <c r="B5" s="13" t="s">
        <v>10</v>
      </c>
      <c r="C5" s="38"/>
      <c r="D5" s="38"/>
      <c r="E5" s="38">
        <f>E4*E24</f>
        <v>6478.855124999999</v>
      </c>
      <c r="F5" s="38">
        <f>F4*F24</f>
        <v>4910.2902</v>
      </c>
      <c r="G5" s="38">
        <f>G4*G24</f>
        <v>12753.114825</v>
      </c>
      <c r="H5" s="82"/>
      <c r="I5" s="12"/>
    </row>
    <row r="6" spans="1:9" ht="12.75">
      <c r="A6" s="10"/>
      <c r="B6" s="13" t="s">
        <v>5</v>
      </c>
      <c r="C6" s="92"/>
      <c r="D6" s="92"/>
      <c r="E6" s="92">
        <f>E5/1000</f>
        <v>6.478855124999999</v>
      </c>
      <c r="F6" s="92">
        <f>F5/1000</f>
        <v>4.9102902</v>
      </c>
      <c r="G6" s="92">
        <f>G5/1000</f>
        <v>12.753114825</v>
      </c>
      <c r="H6" s="82"/>
      <c r="I6" s="12"/>
    </row>
    <row r="7" spans="1:9" ht="12.75">
      <c r="A7" s="10"/>
      <c r="B7" s="13" t="s">
        <v>4</v>
      </c>
      <c r="C7" s="83"/>
      <c r="D7" s="83"/>
      <c r="E7" s="83">
        <f>'December 2001'!E7</f>
        <v>6.18</v>
      </c>
      <c r="F7" s="83">
        <f>'December 2001'!F7</f>
        <v>9.28</v>
      </c>
      <c r="G7" s="83">
        <f>'December 2001'!G7</f>
        <v>32.87</v>
      </c>
      <c r="H7" s="82"/>
      <c r="I7" s="12"/>
    </row>
    <row r="8" spans="1:9" ht="12.75">
      <c r="A8" s="10"/>
      <c r="B8" s="21" t="s">
        <v>6</v>
      </c>
      <c r="C8" s="84"/>
      <c r="D8" s="84"/>
      <c r="E8" s="84">
        <f>E6*E7</f>
        <v>40.039324672499994</v>
      </c>
      <c r="F8" s="84">
        <f>F6*F7</f>
        <v>45.567493056</v>
      </c>
      <c r="G8" s="84">
        <f>G6*G7</f>
        <v>419.19488429775</v>
      </c>
      <c r="H8" s="85">
        <f>SUM(C8:G8)</f>
        <v>504.80170202625</v>
      </c>
      <c r="I8" s="12"/>
    </row>
    <row r="9" spans="1:9" ht="12.75">
      <c r="A9" s="10"/>
      <c r="B9" s="13"/>
      <c r="C9" s="46"/>
      <c r="D9" s="46"/>
      <c r="E9" s="46"/>
      <c r="F9" s="46"/>
      <c r="G9" s="46"/>
      <c r="H9" s="82"/>
      <c r="I9" s="12"/>
    </row>
    <row r="10" spans="1:9" ht="12.75">
      <c r="A10" s="10"/>
      <c r="B10" s="13"/>
      <c r="C10" s="46"/>
      <c r="D10" s="46"/>
      <c r="E10" s="46"/>
      <c r="F10" s="46"/>
      <c r="G10" s="46"/>
      <c r="H10" s="82"/>
      <c r="I10" s="12"/>
    </row>
    <row r="11" spans="1:9" ht="15.75">
      <c r="A11" s="10"/>
      <c r="B11" s="19" t="str">
        <f>'December 2001'!B11</f>
        <v>ELIP population</v>
      </c>
      <c r="C11" s="46"/>
      <c r="D11" s="46" t="str">
        <f>D3</f>
        <v>Total Arrears ($s)</v>
      </c>
      <c r="E11" s="46" t="str">
        <f>E3</f>
        <v>30-day Arrears</v>
      </c>
      <c r="F11" s="46" t="str">
        <f>F3</f>
        <v>60-day arrears</v>
      </c>
      <c r="G11" s="46" t="str">
        <f>G3</f>
        <v>90-day arrears</v>
      </c>
      <c r="H11" s="82"/>
      <c r="I11" s="12"/>
    </row>
    <row r="12" spans="1:9" ht="12.75">
      <c r="A12" s="10"/>
      <c r="B12" s="13" t="str">
        <f>B4</f>
        <v>Dollars</v>
      </c>
      <c r="C12" s="38"/>
      <c r="D12" s="38">
        <f>'Input Data'!K44*'Input Data'!G44*'Input Data'!C44</f>
        <v>11106.480000000001</v>
      </c>
      <c r="E12" s="38">
        <f>$D$12*'Input Data'!B4</f>
        <v>2776.6200000000003</v>
      </c>
      <c r="F12" s="38">
        <f>$D$12*'Input Data'!C4</f>
        <v>2221.2960000000003</v>
      </c>
      <c r="G12" s="38">
        <f>$D$12*'Input Data'!D4</f>
        <v>6108.564000000001</v>
      </c>
      <c r="H12" s="82"/>
      <c r="I12" s="12"/>
    </row>
    <row r="13" spans="1:9" ht="12.75">
      <c r="A13" s="10"/>
      <c r="B13" s="13" t="str">
        <f>B5</f>
        <v>Dollars adjusted for charge-offs</v>
      </c>
      <c r="C13" s="38"/>
      <c r="D13" s="38"/>
      <c r="E13" s="38">
        <f>E12*E24</f>
        <v>2637.789</v>
      </c>
      <c r="F13" s="38">
        <f>F12*F24</f>
        <v>1999.1664000000003</v>
      </c>
      <c r="G13" s="38">
        <f>G12*G24</f>
        <v>5192.279400000001</v>
      </c>
      <c r="H13" s="82"/>
      <c r="I13" s="12"/>
    </row>
    <row r="14" spans="1:9" ht="12.75">
      <c r="A14" s="10"/>
      <c r="B14" s="13" t="str">
        <f>B6</f>
        <v>$1,000 increments</v>
      </c>
      <c r="C14" s="92"/>
      <c r="D14" s="92"/>
      <c r="E14" s="92">
        <f>E13/1000</f>
        <v>2.637789</v>
      </c>
      <c r="F14" s="92">
        <f>F13/1000</f>
        <v>1.9991664000000002</v>
      </c>
      <c r="G14" s="92">
        <f>G13/1000</f>
        <v>5.192279400000001</v>
      </c>
      <c r="H14" s="82"/>
      <c r="I14" s="12"/>
    </row>
    <row r="15" spans="1:9" ht="12.75">
      <c r="A15" s="10"/>
      <c r="B15" s="13" t="str">
        <f>B7</f>
        <v>Working capital per $1,000</v>
      </c>
      <c r="C15" s="83"/>
      <c r="D15" s="83"/>
      <c r="E15" s="83">
        <f>E7</f>
        <v>6.18</v>
      </c>
      <c r="F15" s="83">
        <f>F7</f>
        <v>9.28</v>
      </c>
      <c r="G15" s="83">
        <f>G7</f>
        <v>32.87</v>
      </c>
      <c r="H15" s="82"/>
      <c r="I15" s="12"/>
    </row>
    <row r="16" spans="1:9" ht="12.75">
      <c r="A16" s="10"/>
      <c r="B16" s="21" t="str">
        <f>B8</f>
        <v>Total working capital expense</v>
      </c>
      <c r="C16" s="84"/>
      <c r="D16" s="84"/>
      <c r="E16" s="84">
        <f>E14*E15</f>
        <v>16.30153602</v>
      </c>
      <c r="F16" s="84">
        <f>F14*F15</f>
        <v>18.552264192000003</v>
      </c>
      <c r="G16" s="84">
        <f>G14*G15</f>
        <v>170.67022387800003</v>
      </c>
      <c r="H16" s="85">
        <f>SUM(C16:G16)</f>
        <v>205.52402409000004</v>
      </c>
      <c r="I16" s="12"/>
    </row>
    <row r="17" spans="1:9" ht="13.5" thickBot="1">
      <c r="A17" s="10"/>
      <c r="B17" s="13"/>
      <c r="C17" s="46"/>
      <c r="D17" s="46"/>
      <c r="E17" s="46"/>
      <c r="F17" s="46"/>
      <c r="G17" s="46"/>
      <c r="H17" s="82"/>
      <c r="I17" s="12"/>
    </row>
    <row r="18" spans="1:9" ht="13.5" thickBot="1">
      <c r="A18" s="10"/>
      <c r="B18" s="22" t="s">
        <v>7</v>
      </c>
      <c r="C18" s="86"/>
      <c r="D18" s="86"/>
      <c r="E18" s="86">
        <f>E8-E16</f>
        <v>23.737788652499994</v>
      </c>
      <c r="F18" s="86">
        <f>F8-F16</f>
        <v>27.015228864</v>
      </c>
      <c r="G18" s="86">
        <f>G8-G16</f>
        <v>248.52466041974995</v>
      </c>
      <c r="H18" s="87">
        <f>SUM(C18:G18)</f>
        <v>299.2776779362499</v>
      </c>
      <c r="I18" s="12"/>
    </row>
    <row r="19" spans="1:9" ht="13.5" thickBot="1">
      <c r="A19" s="15"/>
      <c r="B19" s="17"/>
      <c r="C19" s="17"/>
      <c r="D19" s="17"/>
      <c r="E19" s="17"/>
      <c r="F19" s="17"/>
      <c r="G19" s="17"/>
      <c r="H19" s="17"/>
      <c r="I19" s="16"/>
    </row>
    <row r="20" ht="13.5" thickTop="1"/>
    <row r="21" ht="13.5" thickBot="1"/>
    <row r="22" spans="1:9" ht="18" thickBot="1" thickTop="1">
      <c r="A22" s="20"/>
      <c r="B22" s="8"/>
      <c r="C22" s="122" t="s">
        <v>52</v>
      </c>
      <c r="D22" s="122"/>
      <c r="E22" s="122"/>
      <c r="F22" s="122"/>
      <c r="G22" s="122"/>
      <c r="H22" s="122"/>
      <c r="I22" s="9"/>
    </row>
    <row r="23" spans="1:9" ht="15.75">
      <c r="A23" s="10"/>
      <c r="B23" s="19" t="str">
        <f aca="true" t="shared" si="0" ref="B23:H23">B3</f>
        <v>EA population</v>
      </c>
      <c r="C23" s="13"/>
      <c r="D23" s="46" t="s">
        <v>53</v>
      </c>
      <c r="E23" s="46" t="str">
        <f t="shared" si="0"/>
        <v>30-day Arrears</v>
      </c>
      <c r="F23" s="46" t="str">
        <f t="shared" si="0"/>
        <v>60-day arrears</v>
      </c>
      <c r="G23" s="46" t="str">
        <f t="shared" si="0"/>
        <v>90-day arrears</v>
      </c>
      <c r="H23" s="81" t="str">
        <f t="shared" si="0"/>
        <v>Total</v>
      </c>
      <c r="I23" s="12"/>
    </row>
    <row r="24" spans="1:9" ht="12.75">
      <c r="A24" s="10"/>
      <c r="B24" s="13" t="s">
        <v>11</v>
      </c>
      <c r="C24" s="26"/>
      <c r="D24" s="88"/>
      <c r="E24" s="88">
        <v>0.95</v>
      </c>
      <c r="F24" s="88">
        <v>0.9</v>
      </c>
      <c r="G24" s="88">
        <v>0.85</v>
      </c>
      <c r="H24" s="82"/>
      <c r="I24" s="12"/>
    </row>
    <row r="25" spans="1:9" ht="12.75">
      <c r="A25" s="10"/>
      <c r="B25" s="13" t="s">
        <v>12</v>
      </c>
      <c r="C25" s="26"/>
      <c r="D25" s="88"/>
      <c r="E25" s="88">
        <f>1-E24</f>
        <v>0.050000000000000044</v>
      </c>
      <c r="F25" s="88">
        <f>(1-F24)-E25</f>
        <v>0.04999999999999993</v>
      </c>
      <c r="G25" s="88">
        <f>(1-G24)-(E25+F25)</f>
        <v>0.050000000000000044</v>
      </c>
      <c r="H25" s="82"/>
      <c r="I25" s="12"/>
    </row>
    <row r="26" spans="1:9" ht="12.75">
      <c r="A26" s="10"/>
      <c r="B26" s="13" t="s">
        <v>13</v>
      </c>
      <c r="C26" s="27"/>
      <c r="D26" s="38">
        <f>SUM(E26:G26)</f>
        <v>1363.9695000000006</v>
      </c>
      <c r="E26" s="38">
        <f>E25*E4</f>
        <v>340.9923750000003</v>
      </c>
      <c r="F26" s="38">
        <f>F25*F4</f>
        <v>272.79389999999967</v>
      </c>
      <c r="G26" s="38">
        <f>G25*G4</f>
        <v>750.1832250000007</v>
      </c>
      <c r="H26" s="82"/>
      <c r="I26" s="12"/>
    </row>
    <row r="27" spans="1:9" ht="12.75">
      <c r="A27" s="10"/>
      <c r="B27" s="13" t="s">
        <v>5</v>
      </c>
      <c r="C27" s="25"/>
      <c r="D27" s="92"/>
      <c r="E27" s="92">
        <f>E26/1000</f>
        <v>0.34099237500000035</v>
      </c>
      <c r="F27" s="92">
        <f>F26/1000</f>
        <v>0.27279389999999965</v>
      </c>
      <c r="G27" s="92">
        <f>G26/1000</f>
        <v>0.7501832250000007</v>
      </c>
      <c r="H27" s="82"/>
      <c r="I27" s="12"/>
    </row>
    <row r="28" spans="1:9" ht="12.75">
      <c r="A28" s="10"/>
      <c r="B28" s="13" t="s">
        <v>4</v>
      </c>
      <c r="C28" s="14"/>
      <c r="D28" s="83"/>
      <c r="E28" s="83">
        <f>'December 2001'!E28</f>
        <v>45.67868031566741</v>
      </c>
      <c r="F28" s="83">
        <f>'December 2001'!F28</f>
        <v>36.059797012539775</v>
      </c>
      <c r="G28" s="83">
        <f>'December 2001'!G28</f>
        <v>3.0851720988794114</v>
      </c>
      <c r="H28" s="82"/>
      <c r="I28" s="12"/>
    </row>
    <row r="29" spans="1:9" ht="12.75">
      <c r="A29" s="10"/>
      <c r="B29" s="21" t="s">
        <v>6</v>
      </c>
      <c r="C29" s="28"/>
      <c r="D29" s="89"/>
      <c r="E29" s="89">
        <f>E27*E28</f>
        <v>15.576081687705194</v>
      </c>
      <c r="F29" s="89">
        <f>F27*F28</f>
        <v>9.83689266025906</v>
      </c>
      <c r="G29" s="89">
        <f>G27*G28</f>
        <v>2.3144443548173776</v>
      </c>
      <c r="H29" s="90">
        <f>SUM(C29:G29)</f>
        <v>27.727418702781634</v>
      </c>
      <c r="I29" s="12"/>
    </row>
    <row r="30" spans="1:9" ht="12.75">
      <c r="A30" s="10"/>
      <c r="B30" s="13"/>
      <c r="C30" s="13"/>
      <c r="D30" s="46"/>
      <c r="E30" s="46"/>
      <c r="F30" s="46"/>
      <c r="G30" s="46"/>
      <c r="H30" s="82"/>
      <c r="I30" s="12"/>
    </row>
    <row r="31" spans="1:9" ht="12.75">
      <c r="A31" s="10"/>
      <c r="B31" s="13"/>
      <c r="C31" s="13"/>
      <c r="D31" s="46"/>
      <c r="E31" s="46"/>
      <c r="F31" s="46"/>
      <c r="G31" s="46"/>
      <c r="H31" s="82"/>
      <c r="I31" s="12"/>
    </row>
    <row r="32" spans="1:9" ht="15.75">
      <c r="A32" s="10"/>
      <c r="B32" s="19" t="str">
        <f aca="true" t="shared" si="1" ref="B32:G32">B11</f>
        <v>ELIP population</v>
      </c>
      <c r="C32" s="13"/>
      <c r="D32" s="46" t="s">
        <v>53</v>
      </c>
      <c r="E32" s="46" t="str">
        <f t="shared" si="1"/>
        <v>30-day Arrears</v>
      </c>
      <c r="F32" s="46" t="str">
        <f t="shared" si="1"/>
        <v>60-day arrears</v>
      </c>
      <c r="G32" s="46" t="str">
        <f t="shared" si="1"/>
        <v>90-day arrears</v>
      </c>
      <c r="H32" s="82"/>
      <c r="I32" s="12"/>
    </row>
    <row r="33" spans="1:9" ht="12.75">
      <c r="A33" s="10"/>
      <c r="B33" s="13" t="str">
        <f aca="true" t="shared" si="2" ref="B33:B38">B24</f>
        <v>Collectability factor</v>
      </c>
      <c r="C33" s="26"/>
      <c r="D33" s="88"/>
      <c r="E33" s="88">
        <f>E24</f>
        <v>0.95</v>
      </c>
      <c r="F33" s="88">
        <f>F24</f>
        <v>0.9</v>
      </c>
      <c r="G33" s="88">
        <f>G24</f>
        <v>0.85</v>
      </c>
      <c r="H33" s="82"/>
      <c r="I33" s="12"/>
    </row>
    <row r="34" spans="1:9" ht="12.75">
      <c r="A34" s="10"/>
      <c r="B34" s="13" t="str">
        <f t="shared" si="2"/>
        <v>Uncollectable rate</v>
      </c>
      <c r="C34" s="26"/>
      <c r="D34" s="88"/>
      <c r="E34" s="88">
        <f>1-E33</f>
        <v>0.050000000000000044</v>
      </c>
      <c r="F34" s="88">
        <f>(1-F33)-E34</f>
        <v>0.04999999999999993</v>
      </c>
      <c r="G34" s="88">
        <f>(1-G33)-(E34+F34)</f>
        <v>0.050000000000000044</v>
      </c>
      <c r="H34" s="82"/>
      <c r="I34" s="12"/>
    </row>
    <row r="35" spans="1:9" ht="12.75">
      <c r="A35" s="10"/>
      <c r="B35" s="13" t="str">
        <f t="shared" si="2"/>
        <v>Uncollectable dollars</v>
      </c>
      <c r="C35" s="27"/>
      <c r="D35" s="38">
        <f>SUM(E35:G35)</f>
        <v>555.3240000000003</v>
      </c>
      <c r="E35" s="38">
        <f>E34*E12</f>
        <v>138.83100000000013</v>
      </c>
      <c r="F35" s="38">
        <f>F34*F12</f>
        <v>111.06479999999986</v>
      </c>
      <c r="G35" s="38">
        <f>G34*G12</f>
        <v>305.42820000000034</v>
      </c>
      <c r="H35" s="82"/>
      <c r="I35" s="12"/>
    </row>
    <row r="36" spans="1:9" ht="12.75">
      <c r="A36" s="10"/>
      <c r="B36" s="13" t="str">
        <f t="shared" si="2"/>
        <v>$1,000 increments</v>
      </c>
      <c r="C36" s="25"/>
      <c r="D36" s="92"/>
      <c r="E36" s="92">
        <f>E35/1000</f>
        <v>0.13883100000000012</v>
      </c>
      <c r="F36" s="92">
        <f>F35/1000</f>
        <v>0.11106479999999987</v>
      </c>
      <c r="G36" s="92">
        <f>G35/1000</f>
        <v>0.30542820000000037</v>
      </c>
      <c r="H36" s="82"/>
      <c r="I36" s="12"/>
    </row>
    <row r="37" spans="1:9" ht="12.75">
      <c r="A37" s="10"/>
      <c r="B37" s="13" t="str">
        <f t="shared" si="2"/>
        <v>Working capital per $1,000</v>
      </c>
      <c r="C37" s="14"/>
      <c r="D37" s="83"/>
      <c r="E37" s="83">
        <f>E28</f>
        <v>45.67868031566741</v>
      </c>
      <c r="F37" s="83">
        <f>F28</f>
        <v>36.059797012539775</v>
      </c>
      <c r="G37" s="83">
        <f>G28</f>
        <v>3.0851720988794114</v>
      </c>
      <c r="H37" s="82"/>
      <c r="I37" s="12"/>
    </row>
    <row r="38" spans="1:9" ht="12.75">
      <c r="A38" s="10"/>
      <c r="B38" s="21" t="str">
        <f t="shared" si="2"/>
        <v>Total working capital expense</v>
      </c>
      <c r="C38" s="28"/>
      <c r="D38" s="89"/>
      <c r="E38" s="89">
        <f>E36*E37</f>
        <v>6.3416168669044275</v>
      </c>
      <c r="F38" s="89">
        <f>F36*F37</f>
        <v>4.004974143238323</v>
      </c>
      <c r="G38" s="89">
        <f>G36*G37</f>
        <v>0.9422985608509618</v>
      </c>
      <c r="H38" s="90">
        <f>SUM(C38:G38)</f>
        <v>11.288889570993712</v>
      </c>
      <c r="I38" s="12"/>
    </row>
    <row r="39" spans="1:9" ht="13.5" thickBot="1">
      <c r="A39" s="10"/>
      <c r="B39" s="13"/>
      <c r="C39" s="13"/>
      <c r="D39" s="46"/>
      <c r="E39" s="46"/>
      <c r="F39" s="46"/>
      <c r="G39" s="46"/>
      <c r="H39" s="82"/>
      <c r="I39" s="12"/>
    </row>
    <row r="40" spans="1:9" ht="13.5" thickBot="1">
      <c r="A40" s="10"/>
      <c r="B40" s="22" t="s">
        <v>7</v>
      </c>
      <c r="C40" s="23"/>
      <c r="D40" s="86">
        <f>D26-D35</f>
        <v>808.6455000000003</v>
      </c>
      <c r="E40" s="86">
        <f>E29-E38</f>
        <v>9.234464820800767</v>
      </c>
      <c r="F40" s="86">
        <f>F29-F38</f>
        <v>5.831918517020737</v>
      </c>
      <c r="G40" s="86">
        <f>G29-G38</f>
        <v>1.372145793966416</v>
      </c>
      <c r="H40" s="91">
        <f>SUM(E40:G40)</f>
        <v>16.43852913178792</v>
      </c>
      <c r="I40" s="12"/>
    </row>
    <row r="41" spans="1:9" ht="13.5" thickBot="1">
      <c r="A41" s="15"/>
      <c r="B41" s="17"/>
      <c r="C41" s="17"/>
      <c r="D41" s="17"/>
      <c r="E41" s="17"/>
      <c r="F41" s="17"/>
      <c r="G41" s="17"/>
      <c r="H41" s="17"/>
      <c r="I41" s="16"/>
    </row>
    <row r="42" ht="14.25" thickBot="1" thickTop="1"/>
    <row r="43" spans="1:9" ht="13.5" thickTop="1">
      <c r="A43" s="20"/>
      <c r="B43" s="123" t="str">
        <f>'January 2002'!B43</f>
        <v>Disconnection Savings</v>
      </c>
      <c r="C43" s="123"/>
      <c r="D43" s="9"/>
      <c r="F43" s="20"/>
      <c r="G43" s="123" t="str">
        <f>'January 2002'!G43</f>
        <v>Collection Savings</v>
      </c>
      <c r="H43" s="123"/>
      <c r="I43" s="9"/>
    </row>
    <row r="44" spans="1:9" ht="12.75">
      <c r="A44" s="10"/>
      <c r="B44" s="13" t="s">
        <v>80</v>
      </c>
      <c r="C44" s="13">
        <f>'Input Data'!B20</f>
        <v>12.2</v>
      </c>
      <c r="D44" s="12"/>
      <c r="F44" s="10"/>
      <c r="G44" s="13" t="s">
        <v>77</v>
      </c>
      <c r="H44" s="40">
        <f>'Input Data'!F44</f>
        <v>0.51</v>
      </c>
      <c r="I44" s="12"/>
    </row>
    <row r="45" spans="1:9" ht="12.75">
      <c r="A45" s="10"/>
      <c r="B45" s="13" t="s">
        <v>75</v>
      </c>
      <c r="C45" s="94">
        <f>'Input Data'!K44*'Input Data'!F44/100</f>
        <v>3.0650999999999997</v>
      </c>
      <c r="D45" s="12"/>
      <c r="F45" s="10"/>
      <c r="G45" s="13" t="s">
        <v>31</v>
      </c>
      <c r="H45" s="25">
        <f>H51</f>
        <v>601</v>
      </c>
      <c r="I45" s="12"/>
    </row>
    <row r="46" spans="1:9" ht="12.75">
      <c r="A46" s="10"/>
      <c r="B46" s="13" t="s">
        <v>26</v>
      </c>
      <c r="C46" s="93">
        <f>C45*C44</f>
        <v>37.39422</v>
      </c>
      <c r="D46" s="12"/>
      <c r="F46" s="10"/>
      <c r="G46" s="13" t="s">
        <v>32</v>
      </c>
      <c r="H46" s="25">
        <f>H44*H45</f>
        <v>306.51</v>
      </c>
      <c r="I46" s="12"/>
    </row>
    <row r="47" spans="1:9" ht="12.75">
      <c r="A47" s="10"/>
      <c r="B47" s="13" t="s">
        <v>24</v>
      </c>
      <c r="C47" s="14">
        <f>'January 2002'!C47</f>
        <v>121.18</v>
      </c>
      <c r="D47" s="12"/>
      <c r="F47" s="10"/>
      <c r="G47" s="13" t="s">
        <v>33</v>
      </c>
      <c r="H47" s="14">
        <f>'December 2001'!H47</f>
        <v>12.94</v>
      </c>
      <c r="I47" s="12"/>
    </row>
    <row r="48" spans="1:9" ht="12.75">
      <c r="A48" s="10"/>
      <c r="B48" s="13" t="s">
        <v>25</v>
      </c>
      <c r="C48" s="11">
        <f>C47*C46</f>
        <v>4531.4315796</v>
      </c>
      <c r="D48" s="12"/>
      <c r="F48" s="10"/>
      <c r="G48" s="13" t="s">
        <v>34</v>
      </c>
      <c r="H48" s="11">
        <f>H46*H47</f>
        <v>3966.2394</v>
      </c>
      <c r="I48" s="12"/>
    </row>
    <row r="49" spans="1:9" ht="12.75">
      <c r="A49" s="10"/>
      <c r="B49" s="13"/>
      <c r="C49" s="13"/>
      <c r="D49" s="12"/>
      <c r="F49" s="10"/>
      <c r="G49" s="13"/>
      <c r="H49" s="13"/>
      <c r="I49" s="12"/>
    </row>
    <row r="50" spans="1:9" ht="12.75">
      <c r="A50" s="10"/>
      <c r="B50" s="13" t="s">
        <v>81</v>
      </c>
      <c r="C50" s="13">
        <f>'Input Data'!C20</f>
        <v>3.2</v>
      </c>
      <c r="D50" s="12"/>
      <c r="F50" s="10"/>
      <c r="G50" s="13" t="s">
        <v>78</v>
      </c>
      <c r="H50" s="40">
        <f>'Input Data'!G44</f>
        <v>0.28</v>
      </c>
      <c r="I50" s="12"/>
    </row>
    <row r="51" spans="1:9" ht="12.75">
      <c r="A51" s="10"/>
      <c r="B51" s="13" t="s">
        <v>75</v>
      </c>
      <c r="C51" s="94">
        <f>'Input Data'!K44*'Input Data'!G44/100</f>
        <v>1.6828000000000003</v>
      </c>
      <c r="D51" s="12"/>
      <c r="F51" s="10"/>
      <c r="G51" s="13" t="s">
        <v>31</v>
      </c>
      <c r="H51" s="25">
        <f>'Input Data'!K44</f>
        <v>601</v>
      </c>
      <c r="I51" s="12"/>
    </row>
    <row r="52" spans="1:9" ht="12.75">
      <c r="A52" s="10"/>
      <c r="B52" s="13" t="s">
        <v>26</v>
      </c>
      <c r="C52" s="93">
        <f>C51*C50</f>
        <v>5.384960000000001</v>
      </c>
      <c r="D52" s="12"/>
      <c r="F52" s="10"/>
      <c r="G52" s="13" t="s">
        <v>32</v>
      </c>
      <c r="H52" s="25">
        <f>H50*H51</f>
        <v>168.28000000000003</v>
      </c>
      <c r="I52" s="12"/>
    </row>
    <row r="53" spans="1:9" ht="12.75">
      <c r="A53" s="10"/>
      <c r="B53" s="13" t="s">
        <v>24</v>
      </c>
      <c r="C53" s="14">
        <f>C47</f>
        <v>121.18</v>
      </c>
      <c r="D53" s="12"/>
      <c r="F53" s="10"/>
      <c r="G53" s="13" t="s">
        <v>33</v>
      </c>
      <c r="H53" s="14">
        <f>H47</f>
        <v>12.94</v>
      </c>
      <c r="I53" s="12"/>
    </row>
    <row r="54" spans="1:9" ht="12.75">
      <c r="A54" s="10"/>
      <c r="B54" s="13" t="s">
        <v>25</v>
      </c>
      <c r="C54" s="11">
        <f>C53*C52</f>
        <v>652.5494528000002</v>
      </c>
      <c r="D54" s="12"/>
      <c r="F54" s="10"/>
      <c r="G54" s="13" t="s">
        <v>34</v>
      </c>
      <c r="H54" s="11">
        <f>H52*H53</f>
        <v>2177.5432000000005</v>
      </c>
      <c r="I54" s="12"/>
    </row>
    <row r="55" spans="1:9" ht="13.5" thickBot="1">
      <c r="A55" s="10"/>
      <c r="B55" s="13"/>
      <c r="C55" s="13"/>
      <c r="D55" s="12"/>
      <c r="F55" s="10"/>
      <c r="G55" s="13"/>
      <c r="H55" s="13"/>
      <c r="I55" s="12"/>
    </row>
    <row r="56" spans="1:9" ht="13.5" thickBot="1">
      <c r="A56" s="10"/>
      <c r="B56" s="22" t="s">
        <v>7</v>
      </c>
      <c r="C56" s="36">
        <f>C48-C54</f>
        <v>3878.8821268</v>
      </c>
      <c r="D56" s="12"/>
      <c r="F56" s="10"/>
      <c r="G56" s="22" t="s">
        <v>7</v>
      </c>
      <c r="H56" s="36">
        <f>H48-H54</f>
        <v>1788.6961999999994</v>
      </c>
      <c r="I56" s="12"/>
    </row>
    <row r="57" spans="1:9" ht="13.5" thickBot="1">
      <c r="A57" s="15"/>
      <c r="B57" s="17"/>
      <c r="C57" s="17"/>
      <c r="D57" s="16"/>
      <c r="F57" s="15"/>
      <c r="G57" s="17"/>
      <c r="H57" s="17"/>
      <c r="I57" s="16"/>
    </row>
    <row r="58" ht="13.5" thickTop="1"/>
  </sheetData>
  <mergeCells count="4">
    <mergeCell ref="C22:H22"/>
    <mergeCell ref="C2:H2"/>
    <mergeCell ref="G43:H43"/>
    <mergeCell ref="B43:C43"/>
  </mergeCells>
  <printOptions/>
  <pageMargins left="0.75" right="0.75" top="1" bottom="1" header="0.5" footer="0.5"/>
  <pageSetup fitToHeight="1" fitToWidth="1" horizontalDpi="600" verticalDpi="600" orientation="landscape" scale="62" r:id="rId1"/>
  <headerFooter alignWithMargins="0">
    <oddHeader>&amp;R&amp;"Arial,Bold"&amp;12Appendix A</oddHeader>
    <oddFooter>&amp;RPage &amp;P
&amp;F
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 topLeftCell="A1">
      <selection activeCell="A1" sqref="A1"/>
    </sheetView>
  </sheetViews>
  <sheetFormatPr defaultColWidth="9.140625" defaultRowHeight="12.75"/>
  <cols>
    <col min="2" max="2" width="39.421875" style="0" bestFit="1" customWidth="1"/>
    <col min="3" max="3" width="11.140625" style="0" bestFit="1" customWidth="1"/>
    <col min="4" max="4" width="15.28125" style="0" customWidth="1"/>
    <col min="5" max="5" width="13.140625" style="0" bestFit="1" customWidth="1"/>
    <col min="6" max="6" width="12.8515625" style="0" bestFit="1" customWidth="1"/>
    <col min="7" max="7" width="41.7109375" style="0" bestFit="1" customWidth="1"/>
  </cols>
  <sheetData>
    <row r="1" ht="18.75" thickBot="1">
      <c r="B1" s="100">
        <f>'Summary Data'!A15</f>
        <v>37591</v>
      </c>
    </row>
    <row r="2" spans="1:9" ht="19.5" thickBot="1" thickTop="1">
      <c r="A2" s="20"/>
      <c r="B2" s="18"/>
      <c r="C2" s="122" t="str">
        <f>'January 2002'!C2</f>
        <v>Monthly Arrears: Working Capital</v>
      </c>
      <c r="D2" s="122"/>
      <c r="E2" s="122"/>
      <c r="F2" s="122"/>
      <c r="G2" s="122"/>
      <c r="H2" s="122"/>
      <c r="I2" s="9"/>
    </row>
    <row r="3" spans="1:9" ht="15.75">
      <c r="A3" s="10"/>
      <c r="B3" s="19" t="str">
        <f>'December 2001'!B3</f>
        <v>EA population</v>
      </c>
      <c r="C3" s="46"/>
      <c r="D3" s="46" t="s">
        <v>20</v>
      </c>
      <c r="E3" s="46" t="s">
        <v>0</v>
      </c>
      <c r="F3" s="46" t="s">
        <v>1</v>
      </c>
      <c r="G3" s="46" t="s">
        <v>2</v>
      </c>
      <c r="H3" s="81" t="s">
        <v>8</v>
      </c>
      <c r="I3" s="12"/>
    </row>
    <row r="4" spans="1:9" ht="12.75">
      <c r="A4" s="10"/>
      <c r="B4" s="13" t="s">
        <v>3</v>
      </c>
      <c r="C4" s="38"/>
      <c r="D4" s="38">
        <f>'Input Data'!K45*'Input Data'!F45*'Input Data'!B45</f>
        <v>38552.94</v>
      </c>
      <c r="E4" s="38">
        <f>$D$4*'Input Data'!B4</f>
        <v>9638.235</v>
      </c>
      <c r="F4" s="38">
        <f>$D$4*'Input Data'!C4</f>
        <v>7710.588000000001</v>
      </c>
      <c r="G4" s="38">
        <f>$D$4*'Input Data'!D4</f>
        <v>21204.117000000002</v>
      </c>
      <c r="H4" s="82"/>
      <c r="I4" s="12"/>
    </row>
    <row r="5" spans="1:9" ht="12.75">
      <c r="A5" s="10"/>
      <c r="B5" s="13" t="s">
        <v>10</v>
      </c>
      <c r="C5" s="38"/>
      <c r="D5" s="38"/>
      <c r="E5" s="38">
        <f>E4*E24</f>
        <v>9156.32325</v>
      </c>
      <c r="F5" s="38">
        <f>F4*F24</f>
        <v>6939.529200000001</v>
      </c>
      <c r="G5" s="38">
        <f>G4*G24</f>
        <v>18023.499450000003</v>
      </c>
      <c r="H5" s="82"/>
      <c r="I5" s="12"/>
    </row>
    <row r="6" spans="1:9" ht="12.75">
      <c r="A6" s="10"/>
      <c r="B6" s="13" t="s">
        <v>5</v>
      </c>
      <c r="C6" s="92"/>
      <c r="D6" s="92"/>
      <c r="E6" s="92">
        <f>E5/1000</f>
        <v>9.15632325</v>
      </c>
      <c r="F6" s="92">
        <f>F5/1000</f>
        <v>6.939529200000001</v>
      </c>
      <c r="G6" s="92">
        <f>G5/1000</f>
        <v>18.023499450000003</v>
      </c>
      <c r="H6" s="82"/>
      <c r="I6" s="12"/>
    </row>
    <row r="7" spans="1:9" ht="12.75">
      <c r="A7" s="10"/>
      <c r="B7" s="13" t="s">
        <v>4</v>
      </c>
      <c r="C7" s="83"/>
      <c r="D7" s="83"/>
      <c r="E7" s="83">
        <f>'December 2001'!E7</f>
        <v>6.18</v>
      </c>
      <c r="F7" s="83">
        <f>'December 2001'!F7</f>
        <v>9.28</v>
      </c>
      <c r="G7" s="83">
        <f>'December 2001'!G7</f>
        <v>32.87</v>
      </c>
      <c r="H7" s="82"/>
      <c r="I7" s="12"/>
    </row>
    <row r="8" spans="1:9" ht="12.75">
      <c r="A8" s="10"/>
      <c r="B8" s="21" t="s">
        <v>6</v>
      </c>
      <c r="C8" s="84"/>
      <c r="D8" s="84"/>
      <c r="E8" s="84">
        <f>E6*E7</f>
        <v>56.586077685</v>
      </c>
      <c r="F8" s="84">
        <f>F6*F7</f>
        <v>64.398830976</v>
      </c>
      <c r="G8" s="84">
        <f>G6*G7</f>
        <v>592.4324269215</v>
      </c>
      <c r="H8" s="85">
        <f>SUM(C8:G8)</f>
        <v>713.4173355825</v>
      </c>
      <c r="I8" s="12"/>
    </row>
    <row r="9" spans="1:9" ht="12.75">
      <c r="A9" s="10"/>
      <c r="B9" s="13"/>
      <c r="C9" s="46"/>
      <c r="D9" s="46"/>
      <c r="E9" s="46"/>
      <c r="F9" s="46"/>
      <c r="G9" s="46"/>
      <c r="H9" s="82"/>
      <c r="I9" s="12"/>
    </row>
    <row r="10" spans="1:9" ht="12.75">
      <c r="A10" s="10"/>
      <c r="B10" s="13"/>
      <c r="C10" s="46"/>
      <c r="D10" s="46"/>
      <c r="E10" s="46"/>
      <c r="F10" s="46"/>
      <c r="G10" s="46"/>
      <c r="H10" s="82"/>
      <c r="I10" s="12"/>
    </row>
    <row r="11" spans="1:9" ht="15.75">
      <c r="A11" s="10"/>
      <c r="B11" s="19" t="str">
        <f>'December 2001'!B11</f>
        <v>ELIP population</v>
      </c>
      <c r="C11" s="46"/>
      <c r="D11" s="46" t="str">
        <f>D3</f>
        <v>Total Arrears ($s)</v>
      </c>
      <c r="E11" s="46" t="str">
        <f>E3</f>
        <v>30-day Arrears</v>
      </c>
      <c r="F11" s="46" t="str">
        <f>F3</f>
        <v>60-day arrears</v>
      </c>
      <c r="G11" s="46" t="str">
        <f>G3</f>
        <v>90-day arrears</v>
      </c>
      <c r="H11" s="82"/>
      <c r="I11" s="12"/>
    </row>
    <row r="12" spans="1:9" ht="12.75">
      <c r="A12" s="10"/>
      <c r="B12" s="13" t="str">
        <f>B4</f>
        <v>Dollars</v>
      </c>
      <c r="C12" s="38"/>
      <c r="D12" s="38">
        <f>'Input Data'!K45*'Input Data'!G45*'Input Data'!C45</f>
        <v>12657.6</v>
      </c>
      <c r="E12" s="38">
        <f>$D$12*'Input Data'!B4</f>
        <v>3164.4</v>
      </c>
      <c r="F12" s="38">
        <f>$D$12*'Input Data'!C4</f>
        <v>2531.5200000000004</v>
      </c>
      <c r="G12" s="38">
        <f>$D$12*'Input Data'!D4</f>
        <v>6961.680000000001</v>
      </c>
      <c r="H12" s="82"/>
      <c r="I12" s="12"/>
    </row>
    <row r="13" spans="1:9" ht="12.75">
      <c r="A13" s="10"/>
      <c r="B13" s="13" t="str">
        <f>B5</f>
        <v>Dollars adjusted for charge-offs</v>
      </c>
      <c r="C13" s="38"/>
      <c r="D13" s="38"/>
      <c r="E13" s="38">
        <f>E12*E24</f>
        <v>3006.18</v>
      </c>
      <c r="F13" s="38">
        <f>F12*F24</f>
        <v>2278.3680000000004</v>
      </c>
      <c r="G13" s="38">
        <f>G12*G24</f>
        <v>5917.428000000001</v>
      </c>
      <c r="H13" s="82"/>
      <c r="I13" s="12"/>
    </row>
    <row r="14" spans="1:9" ht="12.75">
      <c r="A14" s="10"/>
      <c r="B14" s="13" t="str">
        <f>B6</f>
        <v>$1,000 increments</v>
      </c>
      <c r="C14" s="92"/>
      <c r="D14" s="92"/>
      <c r="E14" s="92">
        <f>E13/1000</f>
        <v>3.0061799999999996</v>
      </c>
      <c r="F14" s="92">
        <f>F13/1000</f>
        <v>2.2783680000000004</v>
      </c>
      <c r="G14" s="92">
        <f>G13/1000</f>
        <v>5.917428000000001</v>
      </c>
      <c r="H14" s="82"/>
      <c r="I14" s="12"/>
    </row>
    <row r="15" spans="1:9" ht="12.75">
      <c r="A15" s="10"/>
      <c r="B15" s="13" t="str">
        <f>B7</f>
        <v>Working capital per $1,000</v>
      </c>
      <c r="C15" s="83"/>
      <c r="D15" s="83"/>
      <c r="E15" s="83">
        <f>E7</f>
        <v>6.18</v>
      </c>
      <c r="F15" s="83">
        <f>F7</f>
        <v>9.28</v>
      </c>
      <c r="G15" s="83">
        <f>G7</f>
        <v>32.87</v>
      </c>
      <c r="H15" s="82"/>
      <c r="I15" s="12"/>
    </row>
    <row r="16" spans="1:9" ht="12.75">
      <c r="A16" s="10"/>
      <c r="B16" s="21" t="str">
        <f>B8</f>
        <v>Total working capital expense</v>
      </c>
      <c r="C16" s="84"/>
      <c r="D16" s="84"/>
      <c r="E16" s="84">
        <f>E14*E15</f>
        <v>18.578192399999995</v>
      </c>
      <c r="F16" s="84">
        <f>F14*F15</f>
        <v>21.143255040000003</v>
      </c>
      <c r="G16" s="84">
        <f>G14*G15</f>
        <v>194.50585836000002</v>
      </c>
      <c r="H16" s="85">
        <f>SUM(C16:G16)</f>
        <v>234.2273058</v>
      </c>
      <c r="I16" s="12"/>
    </row>
    <row r="17" spans="1:9" ht="13.5" thickBot="1">
      <c r="A17" s="10"/>
      <c r="B17" s="13"/>
      <c r="C17" s="46"/>
      <c r="D17" s="46"/>
      <c r="E17" s="46"/>
      <c r="F17" s="46"/>
      <c r="G17" s="46"/>
      <c r="H17" s="82"/>
      <c r="I17" s="12"/>
    </row>
    <row r="18" spans="1:9" ht="13.5" thickBot="1">
      <c r="A18" s="10"/>
      <c r="B18" s="22" t="s">
        <v>7</v>
      </c>
      <c r="C18" s="86"/>
      <c r="D18" s="86"/>
      <c r="E18" s="86">
        <f>E8-E16</f>
        <v>38.007885285</v>
      </c>
      <c r="F18" s="86">
        <f>F8-F16</f>
        <v>43.255575936</v>
      </c>
      <c r="G18" s="86">
        <f>G8-G16</f>
        <v>397.92656856149995</v>
      </c>
      <c r="H18" s="87">
        <f>SUM(C18:G18)</f>
        <v>479.19002978249995</v>
      </c>
      <c r="I18" s="12"/>
    </row>
    <row r="19" spans="1:9" ht="13.5" thickBot="1">
      <c r="A19" s="15"/>
      <c r="B19" s="17"/>
      <c r="C19" s="17"/>
      <c r="D19" s="17"/>
      <c r="E19" s="17"/>
      <c r="F19" s="17"/>
      <c r="G19" s="17"/>
      <c r="H19" s="17"/>
      <c r="I19" s="16"/>
    </row>
    <row r="20" ht="13.5" thickTop="1"/>
    <row r="21" ht="13.5" thickBot="1"/>
    <row r="22" spans="1:9" ht="18" thickBot="1" thickTop="1">
      <c r="A22" s="20"/>
      <c r="B22" s="8"/>
      <c r="C22" s="122" t="s">
        <v>52</v>
      </c>
      <c r="D22" s="122"/>
      <c r="E22" s="122"/>
      <c r="F22" s="122"/>
      <c r="G22" s="122"/>
      <c r="H22" s="122"/>
      <c r="I22" s="9"/>
    </row>
    <row r="23" spans="1:9" ht="15.75">
      <c r="A23" s="10"/>
      <c r="B23" s="19" t="str">
        <f aca="true" t="shared" si="0" ref="B23:H23">B3</f>
        <v>EA population</v>
      </c>
      <c r="C23" s="13"/>
      <c r="D23" s="46" t="s">
        <v>53</v>
      </c>
      <c r="E23" s="46" t="str">
        <f t="shared" si="0"/>
        <v>30-day Arrears</v>
      </c>
      <c r="F23" s="46" t="str">
        <f t="shared" si="0"/>
        <v>60-day arrears</v>
      </c>
      <c r="G23" s="46" t="str">
        <f t="shared" si="0"/>
        <v>90-day arrears</v>
      </c>
      <c r="H23" s="81" t="str">
        <f t="shared" si="0"/>
        <v>Total</v>
      </c>
      <c r="I23" s="12"/>
    </row>
    <row r="24" spans="1:9" ht="12.75">
      <c r="A24" s="10"/>
      <c r="B24" s="13" t="s">
        <v>11</v>
      </c>
      <c r="C24" s="26"/>
      <c r="D24" s="88"/>
      <c r="E24" s="88">
        <v>0.95</v>
      </c>
      <c r="F24" s="88">
        <v>0.9</v>
      </c>
      <c r="G24" s="88">
        <v>0.85</v>
      </c>
      <c r="H24" s="82"/>
      <c r="I24" s="12"/>
    </row>
    <row r="25" spans="1:9" ht="12.75">
      <c r="A25" s="10"/>
      <c r="B25" s="13" t="s">
        <v>12</v>
      </c>
      <c r="C25" s="26"/>
      <c r="D25" s="88"/>
      <c r="E25" s="88">
        <f>1-E24</f>
        <v>0.050000000000000044</v>
      </c>
      <c r="F25" s="88">
        <f>(1-F24)-E25</f>
        <v>0.04999999999999993</v>
      </c>
      <c r="G25" s="88">
        <f>(1-G24)-(E25+F25)</f>
        <v>0.050000000000000044</v>
      </c>
      <c r="H25" s="82"/>
      <c r="I25" s="12"/>
    </row>
    <row r="26" spans="1:9" ht="12.75">
      <c r="A26" s="10"/>
      <c r="B26" s="13" t="s">
        <v>13</v>
      </c>
      <c r="C26" s="27"/>
      <c r="D26" s="38">
        <f>SUM(E26:G26)</f>
        <v>1927.6470000000008</v>
      </c>
      <c r="E26" s="38">
        <f>E25*E4</f>
        <v>481.91175000000044</v>
      </c>
      <c r="F26" s="38">
        <f>F25*F4</f>
        <v>385.5293999999995</v>
      </c>
      <c r="G26" s="38">
        <f>G25*G4</f>
        <v>1060.205850000001</v>
      </c>
      <c r="H26" s="82"/>
      <c r="I26" s="12"/>
    </row>
    <row r="27" spans="1:9" ht="12.75">
      <c r="A27" s="10"/>
      <c r="B27" s="13" t="s">
        <v>5</v>
      </c>
      <c r="C27" s="25"/>
      <c r="D27" s="92"/>
      <c r="E27" s="92">
        <f>E26/1000</f>
        <v>0.4819117500000004</v>
      </c>
      <c r="F27" s="92">
        <f>F26/1000</f>
        <v>0.3855293999999995</v>
      </c>
      <c r="G27" s="92">
        <f>G26/1000</f>
        <v>1.060205850000001</v>
      </c>
      <c r="H27" s="82"/>
      <c r="I27" s="12"/>
    </row>
    <row r="28" spans="1:9" ht="12.75">
      <c r="A28" s="10"/>
      <c r="B28" s="13" t="s">
        <v>4</v>
      </c>
      <c r="C28" s="14"/>
      <c r="D28" s="83"/>
      <c r="E28" s="83">
        <f>'December 2001'!E28</f>
        <v>45.67868031566741</v>
      </c>
      <c r="F28" s="83">
        <f>'December 2001'!F28</f>
        <v>36.059797012539775</v>
      </c>
      <c r="G28" s="83">
        <f>'December 2001'!G28</f>
        <v>3.0851720988794114</v>
      </c>
      <c r="H28" s="82"/>
      <c r="I28" s="12"/>
    </row>
    <row r="29" spans="1:9" ht="12.75">
      <c r="A29" s="10"/>
      <c r="B29" s="21" t="s">
        <v>6</v>
      </c>
      <c r="C29" s="28"/>
      <c r="D29" s="89"/>
      <c r="E29" s="89">
        <f>E27*E28</f>
        <v>22.013092768613852</v>
      </c>
      <c r="F29" s="89">
        <f>F27*F28</f>
        <v>13.902111906366235</v>
      </c>
      <c r="G29" s="89">
        <f>G27*G28</f>
        <v>3.270917507488733</v>
      </c>
      <c r="H29" s="90">
        <f>SUM(C29:G29)</f>
        <v>39.18612218246882</v>
      </c>
      <c r="I29" s="12"/>
    </row>
    <row r="30" spans="1:9" ht="12.75">
      <c r="A30" s="10"/>
      <c r="B30" s="13"/>
      <c r="C30" s="13"/>
      <c r="D30" s="46"/>
      <c r="E30" s="46"/>
      <c r="F30" s="46"/>
      <c r="G30" s="46"/>
      <c r="H30" s="82"/>
      <c r="I30" s="12"/>
    </row>
    <row r="31" spans="1:9" ht="12.75">
      <c r="A31" s="10"/>
      <c r="B31" s="13"/>
      <c r="C31" s="13"/>
      <c r="D31" s="46"/>
      <c r="E31" s="46"/>
      <c r="F31" s="46"/>
      <c r="G31" s="46"/>
      <c r="H31" s="82"/>
      <c r="I31" s="12"/>
    </row>
    <row r="32" spans="1:9" ht="15.75">
      <c r="A32" s="10"/>
      <c r="B32" s="19" t="str">
        <f aca="true" t="shared" si="1" ref="B32:G32">B11</f>
        <v>ELIP population</v>
      </c>
      <c r="C32" s="13"/>
      <c r="D32" s="46" t="s">
        <v>53</v>
      </c>
      <c r="E32" s="46" t="str">
        <f t="shared" si="1"/>
        <v>30-day Arrears</v>
      </c>
      <c r="F32" s="46" t="str">
        <f t="shared" si="1"/>
        <v>60-day arrears</v>
      </c>
      <c r="G32" s="46" t="str">
        <f t="shared" si="1"/>
        <v>90-day arrears</v>
      </c>
      <c r="H32" s="82"/>
      <c r="I32" s="12"/>
    </row>
    <row r="33" spans="1:9" ht="12.75">
      <c r="A33" s="10"/>
      <c r="B33" s="13" t="str">
        <f aca="true" t="shared" si="2" ref="B33:B38">B24</f>
        <v>Collectability factor</v>
      </c>
      <c r="C33" s="26"/>
      <c r="D33" s="88"/>
      <c r="E33" s="88">
        <f>E24</f>
        <v>0.95</v>
      </c>
      <c r="F33" s="88">
        <f>F24</f>
        <v>0.9</v>
      </c>
      <c r="G33" s="88">
        <f>G24</f>
        <v>0.85</v>
      </c>
      <c r="H33" s="82"/>
      <c r="I33" s="12"/>
    </row>
    <row r="34" spans="1:9" ht="12.75">
      <c r="A34" s="10"/>
      <c r="B34" s="13" t="str">
        <f t="shared" si="2"/>
        <v>Uncollectable rate</v>
      </c>
      <c r="C34" s="26"/>
      <c r="D34" s="88"/>
      <c r="E34" s="88">
        <f>1-E33</f>
        <v>0.050000000000000044</v>
      </c>
      <c r="F34" s="88">
        <f>(1-F33)-E34</f>
        <v>0.04999999999999993</v>
      </c>
      <c r="G34" s="88">
        <f>(1-G33)-(E34+F34)</f>
        <v>0.050000000000000044</v>
      </c>
      <c r="H34" s="82"/>
      <c r="I34" s="12"/>
    </row>
    <row r="35" spans="1:9" ht="12.75">
      <c r="A35" s="10"/>
      <c r="B35" s="13" t="str">
        <f t="shared" si="2"/>
        <v>Uncollectable dollars</v>
      </c>
      <c r="C35" s="27"/>
      <c r="D35" s="38">
        <f>SUM(E35:G35)</f>
        <v>632.8800000000003</v>
      </c>
      <c r="E35" s="38">
        <f>E34*E12</f>
        <v>158.22000000000014</v>
      </c>
      <c r="F35" s="38">
        <f>F34*F12</f>
        <v>126.57599999999985</v>
      </c>
      <c r="G35" s="38">
        <f>G34*G12</f>
        <v>348.08400000000034</v>
      </c>
      <c r="H35" s="82"/>
      <c r="I35" s="12"/>
    </row>
    <row r="36" spans="1:9" ht="12.75">
      <c r="A36" s="10"/>
      <c r="B36" s="13" t="str">
        <f t="shared" si="2"/>
        <v>$1,000 increments</v>
      </c>
      <c r="C36" s="25"/>
      <c r="D36" s="92"/>
      <c r="E36" s="92">
        <f>E35/1000</f>
        <v>0.15822000000000014</v>
      </c>
      <c r="F36" s="92">
        <f>F35/1000</f>
        <v>0.12657599999999986</v>
      </c>
      <c r="G36" s="92">
        <f>G35/1000</f>
        <v>0.34808400000000034</v>
      </c>
      <c r="H36" s="82"/>
      <c r="I36" s="12"/>
    </row>
    <row r="37" spans="1:9" ht="12.75">
      <c r="A37" s="10"/>
      <c r="B37" s="13" t="str">
        <f t="shared" si="2"/>
        <v>Working capital per $1,000</v>
      </c>
      <c r="C37" s="14"/>
      <c r="D37" s="83"/>
      <c r="E37" s="83">
        <f>E28</f>
        <v>45.67868031566741</v>
      </c>
      <c r="F37" s="83">
        <f>F28</f>
        <v>36.059797012539775</v>
      </c>
      <c r="G37" s="83">
        <f>G28</f>
        <v>3.0851720988794114</v>
      </c>
      <c r="H37" s="82"/>
      <c r="I37" s="12"/>
    </row>
    <row r="38" spans="1:9" ht="12.75">
      <c r="A38" s="10"/>
      <c r="B38" s="21" t="str">
        <f t="shared" si="2"/>
        <v>Total working capital expense</v>
      </c>
      <c r="C38" s="28"/>
      <c r="D38" s="89"/>
      <c r="E38" s="89">
        <f>E36*E37</f>
        <v>7.2272807995449035</v>
      </c>
      <c r="F38" s="89">
        <f>F36*F37</f>
        <v>4.56430486665923</v>
      </c>
      <c r="G38" s="89">
        <f>G36*G37</f>
        <v>1.0738990448663421</v>
      </c>
      <c r="H38" s="90">
        <f>SUM(C38:G38)</f>
        <v>12.865484711070476</v>
      </c>
      <c r="I38" s="12"/>
    </row>
    <row r="39" spans="1:9" ht="13.5" thickBot="1">
      <c r="A39" s="10"/>
      <c r="B39" s="13"/>
      <c r="C39" s="13"/>
      <c r="D39" s="46"/>
      <c r="E39" s="46"/>
      <c r="F39" s="46"/>
      <c r="G39" s="46"/>
      <c r="H39" s="82"/>
      <c r="I39" s="12"/>
    </row>
    <row r="40" spans="1:9" ht="13.5" thickBot="1">
      <c r="A40" s="10"/>
      <c r="B40" s="22" t="s">
        <v>7</v>
      </c>
      <c r="C40" s="23"/>
      <c r="D40" s="86">
        <f>D26-D35</f>
        <v>1294.7670000000005</v>
      </c>
      <c r="E40" s="86">
        <f>E29-E38</f>
        <v>14.785811969068948</v>
      </c>
      <c r="F40" s="86">
        <f>F29-F38</f>
        <v>9.337807039707005</v>
      </c>
      <c r="G40" s="86">
        <f>G29-G38</f>
        <v>2.197018462622391</v>
      </c>
      <c r="H40" s="91">
        <f>SUM(E40:G40)</f>
        <v>26.320637471398346</v>
      </c>
      <c r="I40" s="12"/>
    </row>
    <row r="41" spans="1:9" ht="13.5" thickBot="1">
      <c r="A41" s="15"/>
      <c r="B41" s="17"/>
      <c r="C41" s="17"/>
      <c r="D41" s="17"/>
      <c r="E41" s="17"/>
      <c r="F41" s="17"/>
      <c r="G41" s="17"/>
      <c r="H41" s="17"/>
      <c r="I41" s="16"/>
    </row>
    <row r="42" ht="14.25" thickBot="1" thickTop="1"/>
    <row r="43" spans="1:9" ht="13.5" thickTop="1">
      <c r="A43" s="20"/>
      <c r="B43" s="123" t="str">
        <f>'January 2002'!B43</f>
        <v>Disconnection Savings</v>
      </c>
      <c r="C43" s="123"/>
      <c r="D43" s="9"/>
      <c r="F43" s="20"/>
      <c r="G43" s="123" t="str">
        <f>'January 2002'!G43</f>
        <v>Collection Savings</v>
      </c>
      <c r="H43" s="123"/>
      <c r="I43" s="9"/>
    </row>
    <row r="44" spans="1:9" ht="12.75">
      <c r="A44" s="10"/>
      <c r="B44" s="13" t="s">
        <v>80</v>
      </c>
      <c r="C44" s="13">
        <f>'Input Data'!B21</f>
        <v>0</v>
      </c>
      <c r="D44" s="12"/>
      <c r="F44" s="10"/>
      <c r="G44" s="13" t="s">
        <v>77</v>
      </c>
      <c r="H44" s="40">
        <f>'Input Data'!F45</f>
        <v>0.51</v>
      </c>
      <c r="I44" s="12"/>
    </row>
    <row r="45" spans="1:9" ht="12.75">
      <c r="A45" s="10"/>
      <c r="B45" s="13" t="s">
        <v>75</v>
      </c>
      <c r="C45" s="94">
        <f>'Input Data'!K45*'Input Data'!F45/100</f>
        <v>2.9886</v>
      </c>
      <c r="D45" s="12"/>
      <c r="F45" s="10"/>
      <c r="G45" s="13" t="s">
        <v>31</v>
      </c>
      <c r="H45" s="25">
        <f>H51</f>
        <v>586</v>
      </c>
      <c r="I45" s="12"/>
    </row>
    <row r="46" spans="1:9" ht="12.75">
      <c r="A46" s="10"/>
      <c r="B46" s="13" t="s">
        <v>26</v>
      </c>
      <c r="C46" s="93">
        <f>C45*C44</f>
        <v>0</v>
      </c>
      <c r="D46" s="12"/>
      <c r="F46" s="10"/>
      <c r="G46" s="13" t="s">
        <v>32</v>
      </c>
      <c r="H46" s="25">
        <f>H44*H45</f>
        <v>298.86</v>
      </c>
      <c r="I46" s="12"/>
    </row>
    <row r="47" spans="1:9" ht="12.75">
      <c r="A47" s="10"/>
      <c r="B47" s="13" t="s">
        <v>24</v>
      </c>
      <c r="C47" s="14">
        <f>'January 2002'!C47</f>
        <v>121.18</v>
      </c>
      <c r="D47" s="12"/>
      <c r="F47" s="10"/>
      <c r="G47" s="13" t="s">
        <v>33</v>
      </c>
      <c r="H47" s="14">
        <f>'December 2001'!H47</f>
        <v>12.94</v>
      </c>
      <c r="I47" s="12"/>
    </row>
    <row r="48" spans="1:9" ht="12.75">
      <c r="A48" s="10"/>
      <c r="B48" s="13" t="s">
        <v>25</v>
      </c>
      <c r="C48" s="11">
        <f>C47*C46</f>
        <v>0</v>
      </c>
      <c r="D48" s="12"/>
      <c r="F48" s="10"/>
      <c r="G48" s="13" t="s">
        <v>34</v>
      </c>
      <c r="H48" s="11">
        <f>H46*H47</f>
        <v>3867.2484</v>
      </c>
      <c r="I48" s="12"/>
    </row>
    <row r="49" spans="1:9" ht="12.75">
      <c r="A49" s="10"/>
      <c r="B49" s="13"/>
      <c r="C49" s="13"/>
      <c r="D49" s="12"/>
      <c r="F49" s="10"/>
      <c r="G49" s="13"/>
      <c r="H49" s="13"/>
      <c r="I49" s="12"/>
    </row>
    <row r="50" spans="1:9" ht="12.75">
      <c r="A50" s="10"/>
      <c r="B50" s="13" t="s">
        <v>81</v>
      </c>
      <c r="C50" s="13">
        <f>'Input Data'!C21</f>
        <v>0</v>
      </c>
      <c r="D50" s="12"/>
      <c r="F50" s="10"/>
      <c r="G50" s="13" t="s">
        <v>78</v>
      </c>
      <c r="H50" s="40">
        <f>'Input Data'!G45</f>
        <v>0.27</v>
      </c>
      <c r="I50" s="12"/>
    </row>
    <row r="51" spans="1:9" ht="12.75">
      <c r="A51" s="10"/>
      <c r="B51" s="13" t="s">
        <v>75</v>
      </c>
      <c r="C51" s="94">
        <f>'Input Data'!K45*'Input Data'!G45/100</f>
        <v>1.5822</v>
      </c>
      <c r="D51" s="12"/>
      <c r="F51" s="10"/>
      <c r="G51" s="13" t="s">
        <v>31</v>
      </c>
      <c r="H51" s="25">
        <f>'Input Data'!K45</f>
        <v>586</v>
      </c>
      <c r="I51" s="12"/>
    </row>
    <row r="52" spans="1:9" ht="12.75">
      <c r="A52" s="10"/>
      <c r="B52" s="13" t="s">
        <v>26</v>
      </c>
      <c r="C52" s="93">
        <f>C51*C50</f>
        <v>0</v>
      </c>
      <c r="D52" s="12"/>
      <c r="F52" s="10"/>
      <c r="G52" s="13" t="s">
        <v>32</v>
      </c>
      <c r="H52" s="25">
        <f>H50*H51</f>
        <v>158.22</v>
      </c>
      <c r="I52" s="12"/>
    </row>
    <row r="53" spans="1:9" ht="12.75">
      <c r="A53" s="10"/>
      <c r="B53" s="13" t="s">
        <v>24</v>
      </c>
      <c r="C53" s="14">
        <f>C47</f>
        <v>121.18</v>
      </c>
      <c r="D53" s="12"/>
      <c r="F53" s="10"/>
      <c r="G53" s="13" t="s">
        <v>33</v>
      </c>
      <c r="H53" s="14">
        <f>H47</f>
        <v>12.94</v>
      </c>
      <c r="I53" s="12"/>
    </row>
    <row r="54" spans="1:9" ht="12.75">
      <c r="A54" s="10"/>
      <c r="B54" s="13" t="s">
        <v>25</v>
      </c>
      <c r="C54" s="11">
        <f>C53*C52</f>
        <v>0</v>
      </c>
      <c r="D54" s="12"/>
      <c r="F54" s="10"/>
      <c r="G54" s="13" t="s">
        <v>34</v>
      </c>
      <c r="H54" s="11">
        <f>H52*H53</f>
        <v>2047.3668</v>
      </c>
      <c r="I54" s="12"/>
    </row>
    <row r="55" spans="1:9" ht="13.5" thickBot="1">
      <c r="A55" s="10"/>
      <c r="B55" s="13"/>
      <c r="C55" s="13"/>
      <c r="D55" s="12"/>
      <c r="F55" s="10"/>
      <c r="G55" s="13"/>
      <c r="H55" s="13"/>
      <c r="I55" s="12"/>
    </row>
    <row r="56" spans="1:9" ht="13.5" thickBot="1">
      <c r="A56" s="10"/>
      <c r="B56" s="22" t="s">
        <v>7</v>
      </c>
      <c r="C56" s="36">
        <f>C48-C54</f>
        <v>0</v>
      </c>
      <c r="D56" s="12"/>
      <c r="F56" s="10"/>
      <c r="G56" s="22" t="s">
        <v>7</v>
      </c>
      <c r="H56" s="36">
        <f>H48-H54</f>
        <v>1819.8816</v>
      </c>
      <c r="I56" s="12"/>
    </row>
    <row r="57" spans="1:9" ht="13.5" thickBot="1">
      <c r="A57" s="15"/>
      <c r="B57" s="17"/>
      <c r="C57" s="17"/>
      <c r="D57" s="16"/>
      <c r="F57" s="15"/>
      <c r="G57" s="17"/>
      <c r="H57" s="17"/>
      <c r="I57" s="16"/>
    </row>
    <row r="58" ht="13.5" thickTop="1"/>
  </sheetData>
  <mergeCells count="4">
    <mergeCell ref="C22:H22"/>
    <mergeCell ref="C2:H2"/>
    <mergeCell ref="G43:H43"/>
    <mergeCell ref="B43:C43"/>
  </mergeCells>
  <printOptions/>
  <pageMargins left="0.75" right="0.75" top="1" bottom="1" header="0.5" footer="0.5"/>
  <pageSetup fitToHeight="1" fitToWidth="1" horizontalDpi="600" verticalDpi="600" orientation="landscape" scale="62" r:id="rId1"/>
  <headerFooter alignWithMargins="0">
    <oddHeader>&amp;R&amp;"Arial,Bold"&amp;12Appendix A</oddHeader>
    <oddFooter>&amp;RPage &amp;P
&amp;F
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 topLeftCell="A1">
      <selection activeCell="B1" sqref="B1"/>
    </sheetView>
  </sheetViews>
  <sheetFormatPr defaultColWidth="9.140625" defaultRowHeight="12.75"/>
  <cols>
    <col min="2" max="2" width="39.421875" style="0" bestFit="1" customWidth="1"/>
    <col min="3" max="3" width="11.140625" style="0" bestFit="1" customWidth="1"/>
    <col min="4" max="4" width="15.28125" style="0" customWidth="1"/>
    <col min="5" max="5" width="13.140625" style="0" bestFit="1" customWidth="1"/>
    <col min="6" max="6" width="12.8515625" style="0" bestFit="1" customWidth="1"/>
    <col min="7" max="7" width="41.7109375" style="0" bestFit="1" customWidth="1"/>
  </cols>
  <sheetData>
    <row r="1" ht="18.75" thickBot="1">
      <c r="B1" s="100">
        <v>37622</v>
      </c>
    </row>
    <row r="2" spans="1:9" ht="19.5" thickBot="1" thickTop="1">
      <c r="A2" s="20"/>
      <c r="B2" s="18"/>
      <c r="C2" s="122" t="str">
        <f>'January 2002'!C2</f>
        <v>Monthly Arrears: Working Capital</v>
      </c>
      <c r="D2" s="122"/>
      <c r="E2" s="122"/>
      <c r="F2" s="122"/>
      <c r="G2" s="122"/>
      <c r="H2" s="122"/>
      <c r="I2" s="9"/>
    </row>
    <row r="3" spans="1:9" ht="15.75">
      <c r="A3" s="10"/>
      <c r="B3" s="19" t="str">
        <f>'December 2001'!B3</f>
        <v>EA population</v>
      </c>
      <c r="C3" s="46"/>
      <c r="D3" s="46" t="s">
        <v>20</v>
      </c>
      <c r="E3" s="46" t="s">
        <v>0</v>
      </c>
      <c r="F3" s="46" t="s">
        <v>1</v>
      </c>
      <c r="G3" s="46" t="s">
        <v>2</v>
      </c>
      <c r="H3" s="81" t="s">
        <v>8</v>
      </c>
      <c r="I3" s="12"/>
    </row>
    <row r="4" spans="1:9" ht="12.75">
      <c r="A4" s="10"/>
      <c r="B4" s="13" t="s">
        <v>3</v>
      </c>
      <c r="C4" s="38"/>
      <c r="D4" s="38">
        <f>'Input Data'!K46*'Input Data'!F46*'Input Data'!B46</f>
        <v>49021.92</v>
      </c>
      <c r="E4" s="38">
        <f>$D$4*'Input Data'!B4</f>
        <v>12255.48</v>
      </c>
      <c r="F4" s="38">
        <f>$D$4*'Input Data'!C4</f>
        <v>9804.384</v>
      </c>
      <c r="G4" s="38">
        <f>$D$4*'Input Data'!D4</f>
        <v>26962.056</v>
      </c>
      <c r="H4" s="82"/>
      <c r="I4" s="12"/>
    </row>
    <row r="5" spans="1:9" ht="12.75">
      <c r="A5" s="10"/>
      <c r="B5" s="13" t="s">
        <v>10</v>
      </c>
      <c r="C5" s="38"/>
      <c r="D5" s="38"/>
      <c r="E5" s="38">
        <f>E4*E24</f>
        <v>11642.705999999998</v>
      </c>
      <c r="F5" s="38">
        <f>F4*F24</f>
        <v>8823.945600000001</v>
      </c>
      <c r="G5" s="38">
        <f>G4*G24</f>
        <v>22917.7476</v>
      </c>
      <c r="H5" s="82"/>
      <c r="I5" s="12"/>
    </row>
    <row r="6" spans="1:9" ht="12.75">
      <c r="A6" s="10"/>
      <c r="B6" s="13" t="s">
        <v>5</v>
      </c>
      <c r="C6" s="92"/>
      <c r="D6" s="92"/>
      <c r="E6" s="92">
        <f>E5/1000</f>
        <v>11.642705999999999</v>
      </c>
      <c r="F6" s="92">
        <f>F5/1000</f>
        <v>8.8239456</v>
      </c>
      <c r="G6" s="92">
        <f>G5/1000</f>
        <v>22.9177476</v>
      </c>
      <c r="H6" s="82"/>
      <c r="I6" s="12"/>
    </row>
    <row r="7" spans="1:9" ht="12.75">
      <c r="A7" s="10"/>
      <c r="B7" s="13" t="s">
        <v>4</v>
      </c>
      <c r="C7" s="83"/>
      <c r="D7" s="83"/>
      <c r="E7" s="83">
        <f>'December 2001'!E7</f>
        <v>6.18</v>
      </c>
      <c r="F7" s="83">
        <f>'December 2001'!F7</f>
        <v>9.28</v>
      </c>
      <c r="G7" s="83">
        <f>'December 2001'!G7</f>
        <v>32.87</v>
      </c>
      <c r="H7" s="82"/>
      <c r="I7" s="12"/>
    </row>
    <row r="8" spans="1:9" ht="12.75">
      <c r="A8" s="10"/>
      <c r="B8" s="21" t="s">
        <v>6</v>
      </c>
      <c r="C8" s="84"/>
      <c r="D8" s="84"/>
      <c r="E8" s="84">
        <f>E6*E7</f>
        <v>71.95192307999999</v>
      </c>
      <c r="F8" s="84">
        <f>F6*F7</f>
        <v>81.88621516799999</v>
      </c>
      <c r="G8" s="84">
        <f>G6*G7</f>
        <v>753.3063636119999</v>
      </c>
      <c r="H8" s="85">
        <f>SUM(C8:G8)</f>
        <v>907.1445018599999</v>
      </c>
      <c r="I8" s="12"/>
    </row>
    <row r="9" spans="1:9" ht="12.75">
      <c r="A9" s="10"/>
      <c r="B9" s="13"/>
      <c r="C9" s="46"/>
      <c r="D9" s="46"/>
      <c r="E9" s="46"/>
      <c r="F9" s="46"/>
      <c r="G9" s="46"/>
      <c r="H9" s="82"/>
      <c r="I9" s="12"/>
    </row>
    <row r="10" spans="1:9" ht="12.75">
      <c r="A10" s="10"/>
      <c r="B10" s="13"/>
      <c r="C10" s="46"/>
      <c r="D10" s="46"/>
      <c r="E10" s="46"/>
      <c r="F10" s="46"/>
      <c r="G10" s="46"/>
      <c r="H10" s="82"/>
      <c r="I10" s="12"/>
    </row>
    <row r="11" spans="1:9" ht="15.75">
      <c r="A11" s="10"/>
      <c r="B11" s="19" t="str">
        <f>'December 2001'!B11</f>
        <v>ELIP population</v>
      </c>
      <c r="C11" s="46"/>
      <c r="D11" s="46" t="str">
        <f>D3</f>
        <v>Total Arrears ($s)</v>
      </c>
      <c r="E11" s="46" t="str">
        <f>E3</f>
        <v>30-day Arrears</v>
      </c>
      <c r="F11" s="46" t="str">
        <f>F3</f>
        <v>60-day arrears</v>
      </c>
      <c r="G11" s="46" t="str">
        <f>G3</f>
        <v>90-day arrears</v>
      </c>
      <c r="H11" s="82"/>
      <c r="I11" s="12"/>
    </row>
    <row r="12" spans="1:9" ht="12.75">
      <c r="A12" s="10"/>
      <c r="B12" s="13" t="str">
        <f>B4</f>
        <v>Dollars</v>
      </c>
      <c r="C12" s="38"/>
      <c r="D12" s="38">
        <f>'Input Data'!K46*'Input Data'!G46*'Input Data'!C46</f>
        <v>14332.68</v>
      </c>
      <c r="E12" s="38">
        <f>$D$12*'Input Data'!B4</f>
        <v>3583.17</v>
      </c>
      <c r="F12" s="38">
        <f>$D$12*'Input Data'!C4</f>
        <v>2866.536</v>
      </c>
      <c r="G12" s="38">
        <f>$D$12*'Input Data'!D4</f>
        <v>7882.974000000001</v>
      </c>
      <c r="H12" s="82"/>
      <c r="I12" s="12"/>
    </row>
    <row r="13" spans="1:9" ht="12.75">
      <c r="A13" s="10"/>
      <c r="B13" s="13" t="str">
        <f>B5</f>
        <v>Dollars adjusted for charge-offs</v>
      </c>
      <c r="C13" s="38"/>
      <c r="D13" s="38"/>
      <c r="E13" s="38">
        <f>E12*E24</f>
        <v>3404.0115</v>
      </c>
      <c r="F13" s="38">
        <f>F12*F24</f>
        <v>2579.8824</v>
      </c>
      <c r="G13" s="38">
        <f>G12*G24</f>
        <v>6700.527900000001</v>
      </c>
      <c r="H13" s="82"/>
      <c r="I13" s="12"/>
    </row>
    <row r="14" spans="1:9" ht="12.75">
      <c r="A14" s="10"/>
      <c r="B14" s="13" t="str">
        <f>B6</f>
        <v>$1,000 increments</v>
      </c>
      <c r="C14" s="92"/>
      <c r="D14" s="92"/>
      <c r="E14" s="92">
        <f>E13/1000</f>
        <v>3.4040115</v>
      </c>
      <c r="F14" s="92">
        <f>F13/1000</f>
        <v>2.5798824</v>
      </c>
      <c r="G14" s="92">
        <f>G13/1000</f>
        <v>6.700527900000001</v>
      </c>
      <c r="H14" s="82"/>
      <c r="I14" s="12"/>
    </row>
    <row r="15" spans="1:9" ht="12.75">
      <c r="A15" s="10"/>
      <c r="B15" s="13" t="str">
        <f>B7</f>
        <v>Working capital per $1,000</v>
      </c>
      <c r="C15" s="83"/>
      <c r="D15" s="83"/>
      <c r="E15" s="83">
        <f>E7</f>
        <v>6.18</v>
      </c>
      <c r="F15" s="83">
        <f>F7</f>
        <v>9.28</v>
      </c>
      <c r="G15" s="83">
        <f>G7</f>
        <v>32.87</v>
      </c>
      <c r="H15" s="82"/>
      <c r="I15" s="12"/>
    </row>
    <row r="16" spans="1:9" ht="12.75">
      <c r="A16" s="10"/>
      <c r="B16" s="21" t="str">
        <f>B8</f>
        <v>Total working capital expense</v>
      </c>
      <c r="C16" s="84"/>
      <c r="D16" s="84"/>
      <c r="E16" s="84">
        <f>E14*E15</f>
        <v>21.03679107</v>
      </c>
      <c r="F16" s="84">
        <f>F14*F15</f>
        <v>23.941308671999998</v>
      </c>
      <c r="G16" s="84">
        <f>G14*G15</f>
        <v>220.24635207300003</v>
      </c>
      <c r="H16" s="85">
        <f>SUM(C16:G16)</f>
        <v>265.224451815</v>
      </c>
      <c r="I16" s="12"/>
    </row>
    <row r="17" spans="1:9" ht="13.5" thickBot="1">
      <c r="A17" s="10"/>
      <c r="B17" s="13"/>
      <c r="C17" s="46"/>
      <c r="D17" s="46"/>
      <c r="E17" s="46"/>
      <c r="F17" s="46"/>
      <c r="G17" s="46"/>
      <c r="H17" s="82"/>
      <c r="I17" s="12"/>
    </row>
    <row r="18" spans="1:9" ht="13.5" thickBot="1">
      <c r="A18" s="10"/>
      <c r="B18" s="22" t="s">
        <v>7</v>
      </c>
      <c r="C18" s="86"/>
      <c r="D18" s="86"/>
      <c r="E18" s="86">
        <f>E8-E16</f>
        <v>50.91513200999999</v>
      </c>
      <c r="F18" s="86">
        <f>F8-F16</f>
        <v>57.944906495999994</v>
      </c>
      <c r="G18" s="86">
        <f>G8-G16</f>
        <v>533.0600115389999</v>
      </c>
      <c r="H18" s="87">
        <f>SUM(C18:G18)</f>
        <v>641.9200500449999</v>
      </c>
      <c r="I18" s="12"/>
    </row>
    <row r="19" spans="1:9" ht="13.5" thickBot="1">
      <c r="A19" s="15"/>
      <c r="B19" s="17"/>
      <c r="C19" s="17"/>
      <c r="D19" s="17"/>
      <c r="E19" s="17"/>
      <c r="F19" s="17"/>
      <c r="G19" s="17"/>
      <c r="H19" s="17"/>
      <c r="I19" s="16"/>
    </row>
    <row r="20" ht="13.5" thickTop="1"/>
    <row r="21" ht="13.5" thickBot="1"/>
    <row r="22" spans="1:9" ht="18" thickBot="1" thickTop="1">
      <c r="A22" s="20"/>
      <c r="B22" s="8"/>
      <c r="C22" s="122" t="s">
        <v>52</v>
      </c>
      <c r="D22" s="122"/>
      <c r="E22" s="122"/>
      <c r="F22" s="122"/>
      <c r="G22" s="122"/>
      <c r="H22" s="122"/>
      <c r="I22" s="9"/>
    </row>
    <row r="23" spans="1:9" ht="15.75">
      <c r="A23" s="10"/>
      <c r="B23" s="19" t="str">
        <f>B3</f>
        <v>EA population</v>
      </c>
      <c r="C23" s="13"/>
      <c r="D23" s="46" t="s">
        <v>53</v>
      </c>
      <c r="E23" s="46" t="str">
        <f>E3</f>
        <v>30-day Arrears</v>
      </c>
      <c r="F23" s="46" t="str">
        <f>F3</f>
        <v>60-day arrears</v>
      </c>
      <c r="G23" s="46" t="str">
        <f>G3</f>
        <v>90-day arrears</v>
      </c>
      <c r="H23" s="81" t="str">
        <f>H3</f>
        <v>Total</v>
      </c>
      <c r="I23" s="12"/>
    </row>
    <row r="24" spans="1:9" ht="12.75">
      <c r="A24" s="10"/>
      <c r="B24" s="13" t="s">
        <v>11</v>
      </c>
      <c r="C24" s="26"/>
      <c r="D24" s="88"/>
      <c r="E24" s="88">
        <v>0.95</v>
      </c>
      <c r="F24" s="88">
        <v>0.9</v>
      </c>
      <c r="G24" s="88">
        <v>0.85</v>
      </c>
      <c r="H24" s="82"/>
      <c r="I24" s="12"/>
    </row>
    <row r="25" spans="1:9" ht="12.75">
      <c r="A25" s="10"/>
      <c r="B25" s="13" t="s">
        <v>12</v>
      </c>
      <c r="C25" s="26"/>
      <c r="D25" s="88"/>
      <c r="E25" s="88">
        <f>1-E24</f>
        <v>0.050000000000000044</v>
      </c>
      <c r="F25" s="88">
        <f>(1-F24)-E25</f>
        <v>0.04999999999999993</v>
      </c>
      <c r="G25" s="88">
        <f>(1-G24)-(E25+F25)</f>
        <v>0.050000000000000044</v>
      </c>
      <c r="H25" s="82"/>
      <c r="I25" s="12"/>
    </row>
    <row r="26" spans="1:9" ht="12.75">
      <c r="A26" s="10"/>
      <c r="B26" s="13" t="s">
        <v>13</v>
      </c>
      <c r="C26" s="27"/>
      <c r="D26" s="38">
        <f>SUM(E26:G26)</f>
        <v>2451.0960000000014</v>
      </c>
      <c r="E26" s="38">
        <f>E25*E4</f>
        <v>612.7740000000006</v>
      </c>
      <c r="F26" s="38">
        <f>F25*F4</f>
        <v>490.2191999999994</v>
      </c>
      <c r="G26" s="38">
        <f>G25*G4</f>
        <v>1348.1028000000013</v>
      </c>
      <c r="H26" s="82"/>
      <c r="I26" s="12"/>
    </row>
    <row r="27" spans="1:9" ht="12.75">
      <c r="A27" s="10"/>
      <c r="B27" s="13" t="s">
        <v>5</v>
      </c>
      <c r="C27" s="25"/>
      <c r="D27" s="92"/>
      <c r="E27" s="92">
        <f>E26/1000</f>
        <v>0.6127740000000006</v>
      </c>
      <c r="F27" s="92">
        <f>F26/1000</f>
        <v>0.49021919999999936</v>
      </c>
      <c r="G27" s="92">
        <f>G26/1000</f>
        <v>1.3481028000000013</v>
      </c>
      <c r="H27" s="82"/>
      <c r="I27" s="12"/>
    </row>
    <row r="28" spans="1:9" ht="12.75">
      <c r="A28" s="10"/>
      <c r="B28" s="13" t="s">
        <v>4</v>
      </c>
      <c r="C28" s="14"/>
      <c r="D28" s="83"/>
      <c r="E28" s="83">
        <f>'December 2001'!E28</f>
        <v>45.67868031566741</v>
      </c>
      <c r="F28" s="83">
        <f>'December 2001'!F28</f>
        <v>36.059797012539775</v>
      </c>
      <c r="G28" s="83">
        <f>'December 2001'!G28</f>
        <v>3.0851720988794114</v>
      </c>
      <c r="H28" s="82"/>
      <c r="I28" s="12"/>
    </row>
    <row r="29" spans="1:9" ht="12.75">
      <c r="A29" s="10"/>
      <c r="B29" s="21" t="s">
        <v>6</v>
      </c>
      <c r="C29" s="28"/>
      <c r="D29" s="89"/>
      <c r="E29" s="89">
        <f>E27*E28</f>
        <v>27.990707651752807</v>
      </c>
      <c r="F29" s="89">
        <f>F27*F28</f>
        <v>17.677204843649616</v>
      </c>
      <c r="G29" s="89">
        <f>G27*G28</f>
        <v>4.1591291449812156</v>
      </c>
      <c r="H29" s="90">
        <f>SUM(C29:G29)</f>
        <v>49.827041640383634</v>
      </c>
      <c r="I29" s="12"/>
    </row>
    <row r="30" spans="1:9" ht="12.75">
      <c r="A30" s="10"/>
      <c r="B30" s="13"/>
      <c r="C30" s="13"/>
      <c r="D30" s="46"/>
      <c r="E30" s="46"/>
      <c r="F30" s="46"/>
      <c r="G30" s="46"/>
      <c r="H30" s="82"/>
      <c r="I30" s="12"/>
    </row>
    <row r="31" spans="1:9" ht="12.75">
      <c r="A31" s="10"/>
      <c r="B31" s="13"/>
      <c r="C31" s="13"/>
      <c r="D31" s="46"/>
      <c r="E31" s="46"/>
      <c r="F31" s="46"/>
      <c r="G31" s="46"/>
      <c r="H31" s="82"/>
      <c r="I31" s="12"/>
    </row>
    <row r="32" spans="1:9" ht="15.75">
      <c r="A32" s="10"/>
      <c r="B32" s="19" t="str">
        <f>B11</f>
        <v>ELIP population</v>
      </c>
      <c r="C32" s="13"/>
      <c r="D32" s="46" t="s">
        <v>53</v>
      </c>
      <c r="E32" s="46" t="str">
        <f>E11</f>
        <v>30-day Arrears</v>
      </c>
      <c r="F32" s="46" t="str">
        <f>F11</f>
        <v>60-day arrears</v>
      </c>
      <c r="G32" s="46" t="str">
        <f>G11</f>
        <v>90-day arrears</v>
      </c>
      <c r="H32" s="82"/>
      <c r="I32" s="12"/>
    </row>
    <row r="33" spans="1:9" ht="12.75">
      <c r="A33" s="10"/>
      <c r="B33" s="13" t="str">
        <f aca="true" t="shared" si="0" ref="B33:B38">B24</f>
        <v>Collectability factor</v>
      </c>
      <c r="C33" s="26"/>
      <c r="D33" s="88"/>
      <c r="E33" s="88">
        <f>E24</f>
        <v>0.95</v>
      </c>
      <c r="F33" s="88">
        <f>F24</f>
        <v>0.9</v>
      </c>
      <c r="G33" s="88">
        <f>G24</f>
        <v>0.85</v>
      </c>
      <c r="H33" s="82"/>
      <c r="I33" s="12"/>
    </row>
    <row r="34" spans="1:9" ht="12.75">
      <c r="A34" s="10"/>
      <c r="B34" s="13" t="str">
        <f t="shared" si="0"/>
        <v>Uncollectable rate</v>
      </c>
      <c r="C34" s="26"/>
      <c r="D34" s="88"/>
      <c r="E34" s="88">
        <f>1-E33</f>
        <v>0.050000000000000044</v>
      </c>
      <c r="F34" s="88">
        <f>(1-F33)-E34</f>
        <v>0.04999999999999993</v>
      </c>
      <c r="G34" s="88">
        <f>(1-G33)-(E34+F34)</f>
        <v>0.050000000000000044</v>
      </c>
      <c r="H34" s="82"/>
      <c r="I34" s="12"/>
    </row>
    <row r="35" spans="1:9" ht="12.75">
      <c r="A35" s="10"/>
      <c r="B35" s="13" t="str">
        <f t="shared" si="0"/>
        <v>Uncollectable dollars</v>
      </c>
      <c r="C35" s="27"/>
      <c r="D35" s="38">
        <f>SUM(E35:G35)</f>
        <v>716.6340000000005</v>
      </c>
      <c r="E35" s="38">
        <f>E34*E12</f>
        <v>179.15850000000017</v>
      </c>
      <c r="F35" s="38">
        <f>F34*F12</f>
        <v>143.32679999999982</v>
      </c>
      <c r="G35" s="38">
        <f>G34*G12</f>
        <v>394.1487000000004</v>
      </c>
      <c r="H35" s="82"/>
      <c r="I35" s="12"/>
    </row>
    <row r="36" spans="1:9" ht="12.75">
      <c r="A36" s="10"/>
      <c r="B36" s="13" t="str">
        <f t="shared" si="0"/>
        <v>$1,000 increments</v>
      </c>
      <c r="C36" s="25"/>
      <c r="D36" s="92"/>
      <c r="E36" s="92">
        <f>E35/1000</f>
        <v>0.17915850000000016</v>
      </c>
      <c r="F36" s="92">
        <f>F35/1000</f>
        <v>0.1433267999999998</v>
      </c>
      <c r="G36" s="92">
        <f>G35/1000</f>
        <v>0.3941487000000004</v>
      </c>
      <c r="H36" s="82"/>
      <c r="I36" s="12"/>
    </row>
    <row r="37" spans="1:9" ht="12.75">
      <c r="A37" s="10"/>
      <c r="B37" s="13" t="str">
        <f t="shared" si="0"/>
        <v>Working capital per $1,000</v>
      </c>
      <c r="C37" s="14"/>
      <c r="D37" s="83"/>
      <c r="E37" s="83">
        <f>E28</f>
        <v>45.67868031566741</v>
      </c>
      <c r="F37" s="83">
        <f>F28</f>
        <v>36.059797012539775</v>
      </c>
      <c r="G37" s="83">
        <f>G28</f>
        <v>3.0851720988794114</v>
      </c>
      <c r="H37" s="82"/>
      <c r="I37" s="12"/>
    </row>
    <row r="38" spans="1:9" ht="12.75">
      <c r="A38" s="10"/>
      <c r="B38" s="21" t="str">
        <f t="shared" si="0"/>
        <v>Total working capital expense</v>
      </c>
      <c r="C38" s="28"/>
      <c r="D38" s="89"/>
      <c r="E38" s="89">
        <f>E36*E37</f>
        <v>8.183723847334507</v>
      </c>
      <c r="F38" s="89">
        <f>F36*F37</f>
        <v>5.168335314456879</v>
      </c>
      <c r="G38" s="89">
        <f>G36*G37</f>
        <v>1.2160165720495928</v>
      </c>
      <c r="H38" s="90">
        <f>SUM(C38:G38)</f>
        <v>14.56807573384098</v>
      </c>
      <c r="I38" s="12"/>
    </row>
    <row r="39" spans="1:9" ht="13.5" thickBot="1">
      <c r="A39" s="10"/>
      <c r="B39" s="13"/>
      <c r="C39" s="13"/>
      <c r="D39" s="46"/>
      <c r="E39" s="46"/>
      <c r="F39" s="46"/>
      <c r="G39" s="46"/>
      <c r="H39" s="82"/>
      <c r="I39" s="12"/>
    </row>
    <row r="40" spans="1:9" ht="13.5" thickBot="1">
      <c r="A40" s="10"/>
      <c r="B40" s="22" t="s">
        <v>7</v>
      </c>
      <c r="C40" s="23"/>
      <c r="D40" s="86">
        <f>D26-D35</f>
        <v>1734.462000000001</v>
      </c>
      <c r="E40" s="86">
        <f>E29-E38</f>
        <v>19.8069838044183</v>
      </c>
      <c r="F40" s="86">
        <f>F29-F38</f>
        <v>12.508869529192737</v>
      </c>
      <c r="G40" s="86">
        <f>G29-G38</f>
        <v>2.9431125729316228</v>
      </c>
      <c r="H40" s="91">
        <f>SUM(E40:G40)</f>
        <v>35.25896590654266</v>
      </c>
      <c r="I40" s="12"/>
    </row>
    <row r="41" spans="1:9" ht="13.5" thickBot="1">
      <c r="A41" s="15"/>
      <c r="B41" s="17"/>
      <c r="C41" s="17"/>
      <c r="D41" s="17"/>
      <c r="E41" s="17"/>
      <c r="F41" s="17"/>
      <c r="G41" s="17"/>
      <c r="H41" s="17"/>
      <c r="I41" s="16"/>
    </row>
    <row r="42" ht="14.25" thickBot="1" thickTop="1"/>
    <row r="43" spans="1:9" ht="13.5" thickTop="1">
      <c r="A43" s="20"/>
      <c r="B43" s="123" t="str">
        <f>'January 2002'!B43</f>
        <v>Disconnection Savings</v>
      </c>
      <c r="C43" s="123"/>
      <c r="D43" s="9"/>
      <c r="F43" s="20"/>
      <c r="G43" s="123" t="str">
        <f>'January 2002'!G43</f>
        <v>Collection Savings</v>
      </c>
      <c r="H43" s="123"/>
      <c r="I43" s="9"/>
    </row>
    <row r="44" spans="1:9" ht="12.75">
      <c r="A44" s="10"/>
      <c r="B44" s="13" t="s">
        <v>80</v>
      </c>
      <c r="C44" s="13">
        <f>'Input Data'!B22</f>
        <v>0</v>
      </c>
      <c r="D44" s="12"/>
      <c r="F44" s="10"/>
      <c r="G44" s="13" t="s">
        <v>77</v>
      </c>
      <c r="H44" s="40">
        <f>'Input Data'!F46</f>
        <v>0.48</v>
      </c>
      <c r="I44" s="12"/>
    </row>
    <row r="45" spans="1:9" ht="12.75">
      <c r="A45" s="10"/>
      <c r="B45" s="13" t="s">
        <v>75</v>
      </c>
      <c r="C45" s="94">
        <f>'Input Data'!K46*'Input Data'!F47/100</f>
        <v>2.8273</v>
      </c>
      <c r="D45" s="12"/>
      <c r="F45" s="10"/>
      <c r="G45" s="13" t="s">
        <v>31</v>
      </c>
      <c r="H45" s="25">
        <f>H51</f>
        <v>577</v>
      </c>
      <c r="I45" s="12"/>
    </row>
    <row r="46" spans="1:9" ht="12.75">
      <c r="A46" s="10"/>
      <c r="B46" s="13" t="s">
        <v>26</v>
      </c>
      <c r="C46" s="93">
        <f>C45*C44</f>
        <v>0</v>
      </c>
      <c r="D46" s="12"/>
      <c r="F46" s="10"/>
      <c r="G46" s="13" t="s">
        <v>32</v>
      </c>
      <c r="H46" s="25">
        <f>H44*H45</f>
        <v>276.96</v>
      </c>
      <c r="I46" s="12"/>
    </row>
    <row r="47" spans="1:9" ht="12.75">
      <c r="A47" s="10"/>
      <c r="B47" s="13" t="s">
        <v>24</v>
      </c>
      <c r="C47" s="14">
        <f>'January 2002'!C47</f>
        <v>121.18</v>
      </c>
      <c r="D47" s="12"/>
      <c r="F47" s="10"/>
      <c r="G47" s="13" t="s">
        <v>33</v>
      </c>
      <c r="H47" s="14">
        <f>'December 2001'!H47</f>
        <v>12.94</v>
      </c>
      <c r="I47" s="12"/>
    </row>
    <row r="48" spans="1:9" ht="12.75">
      <c r="A48" s="10"/>
      <c r="B48" s="13" t="s">
        <v>25</v>
      </c>
      <c r="C48" s="11">
        <f>C47*C46</f>
        <v>0</v>
      </c>
      <c r="D48" s="12"/>
      <c r="F48" s="10"/>
      <c r="G48" s="13" t="s">
        <v>34</v>
      </c>
      <c r="H48" s="11">
        <f>H46*H47</f>
        <v>3583.8623999999995</v>
      </c>
      <c r="I48" s="12"/>
    </row>
    <row r="49" spans="1:9" ht="12.75">
      <c r="A49" s="10"/>
      <c r="B49" s="13"/>
      <c r="C49" s="13"/>
      <c r="D49" s="12"/>
      <c r="F49" s="10"/>
      <c r="G49" s="13"/>
      <c r="H49" s="13"/>
      <c r="I49" s="12"/>
    </row>
    <row r="50" spans="1:9" ht="12.75">
      <c r="A50" s="10"/>
      <c r="B50" s="13" t="s">
        <v>81</v>
      </c>
      <c r="C50" s="13">
        <f>'Input Data'!C22</f>
        <v>0</v>
      </c>
      <c r="D50" s="12"/>
      <c r="F50" s="10"/>
      <c r="G50" s="13" t="s">
        <v>78</v>
      </c>
      <c r="H50" s="40">
        <f>'Input Data'!G46</f>
        <v>0.23</v>
      </c>
      <c r="I50" s="12"/>
    </row>
    <row r="51" spans="1:9" ht="12.75">
      <c r="A51" s="10"/>
      <c r="B51" s="13" t="s">
        <v>75</v>
      </c>
      <c r="C51" s="94">
        <f>'Input Data'!K46*'Input Data'!G46/100</f>
        <v>1.3271000000000002</v>
      </c>
      <c r="D51" s="12"/>
      <c r="F51" s="10"/>
      <c r="G51" s="13" t="s">
        <v>31</v>
      </c>
      <c r="H51" s="25">
        <f>'Input Data'!K46</f>
        <v>577</v>
      </c>
      <c r="I51" s="12"/>
    </row>
    <row r="52" spans="1:9" ht="12.75">
      <c r="A52" s="10"/>
      <c r="B52" s="13" t="s">
        <v>26</v>
      </c>
      <c r="C52" s="93">
        <f>C51*C50</f>
        <v>0</v>
      </c>
      <c r="D52" s="12"/>
      <c r="F52" s="10"/>
      <c r="G52" s="13" t="s">
        <v>32</v>
      </c>
      <c r="H52" s="25">
        <f>H50*H51</f>
        <v>132.71</v>
      </c>
      <c r="I52" s="12"/>
    </row>
    <row r="53" spans="1:9" ht="12.75">
      <c r="A53" s="10"/>
      <c r="B53" s="13" t="s">
        <v>24</v>
      </c>
      <c r="C53" s="14">
        <f>C47</f>
        <v>121.18</v>
      </c>
      <c r="D53" s="12"/>
      <c r="F53" s="10"/>
      <c r="G53" s="13" t="s">
        <v>33</v>
      </c>
      <c r="H53" s="14">
        <f>H47</f>
        <v>12.94</v>
      </c>
      <c r="I53" s="12"/>
    </row>
    <row r="54" spans="1:9" ht="12.75">
      <c r="A54" s="10"/>
      <c r="B54" s="13" t="s">
        <v>25</v>
      </c>
      <c r="C54" s="11">
        <f>C53*C52</f>
        <v>0</v>
      </c>
      <c r="D54" s="12"/>
      <c r="F54" s="10"/>
      <c r="G54" s="13" t="s">
        <v>34</v>
      </c>
      <c r="H54" s="11">
        <f>H52*H53</f>
        <v>1717.2674</v>
      </c>
      <c r="I54" s="12"/>
    </row>
    <row r="55" spans="1:9" ht="13.5" thickBot="1">
      <c r="A55" s="10"/>
      <c r="B55" s="13"/>
      <c r="C55" s="13"/>
      <c r="D55" s="12"/>
      <c r="F55" s="10"/>
      <c r="G55" s="13"/>
      <c r="H55" s="13"/>
      <c r="I55" s="12"/>
    </row>
    <row r="56" spans="1:9" ht="13.5" thickBot="1">
      <c r="A56" s="10"/>
      <c r="B56" s="22" t="s">
        <v>7</v>
      </c>
      <c r="C56" s="36">
        <f>C48-C54</f>
        <v>0</v>
      </c>
      <c r="D56" s="12"/>
      <c r="F56" s="10"/>
      <c r="G56" s="22" t="s">
        <v>7</v>
      </c>
      <c r="H56" s="36">
        <f>H48-H54</f>
        <v>1866.5949999999996</v>
      </c>
      <c r="I56" s="12"/>
    </row>
    <row r="57" spans="1:9" ht="13.5" thickBot="1">
      <c r="A57" s="15"/>
      <c r="B57" s="17"/>
      <c r="C57" s="17"/>
      <c r="D57" s="16"/>
      <c r="F57" s="15"/>
      <c r="G57" s="17"/>
      <c r="H57" s="17"/>
      <c r="I57" s="16"/>
    </row>
    <row r="58" ht="13.5" thickTop="1"/>
  </sheetData>
  <mergeCells count="4">
    <mergeCell ref="C22:H22"/>
    <mergeCell ref="C2:H2"/>
    <mergeCell ref="G43:H43"/>
    <mergeCell ref="B43:C43"/>
  </mergeCells>
  <printOptions/>
  <pageMargins left="0.75" right="0.75" top="1" bottom="1" header="0.5" footer="0.5"/>
  <pageSetup fitToHeight="1" fitToWidth="1" horizontalDpi="600" verticalDpi="600" orientation="landscape" scale="62" r:id="rId1"/>
  <headerFooter alignWithMargins="0">
    <oddHeader>&amp;R&amp;"Arial,Bold"&amp;12Appendix A</oddHeader>
    <oddFooter>&amp;RPage &amp;P
&amp;F
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 topLeftCell="A1">
      <selection activeCell="E7" sqref="E7"/>
    </sheetView>
  </sheetViews>
  <sheetFormatPr defaultColWidth="9.140625" defaultRowHeight="12.75"/>
  <cols>
    <col min="2" max="2" width="39.421875" style="0" bestFit="1" customWidth="1"/>
    <col min="3" max="3" width="11.140625" style="0" bestFit="1" customWidth="1"/>
    <col min="4" max="4" width="15.28125" style="0" customWidth="1"/>
    <col min="5" max="5" width="13.140625" style="0" bestFit="1" customWidth="1"/>
    <col min="6" max="6" width="12.8515625" style="0" bestFit="1" customWidth="1"/>
    <col min="7" max="7" width="41.7109375" style="0" bestFit="1" customWidth="1"/>
  </cols>
  <sheetData>
    <row r="1" ht="18.75" thickBot="1">
      <c r="B1" s="100">
        <v>37653</v>
      </c>
    </row>
    <row r="2" spans="1:9" ht="19.5" thickBot="1" thickTop="1">
      <c r="A2" s="20"/>
      <c r="B2" s="18"/>
      <c r="C2" s="122" t="str">
        <f>'January 2002'!C2</f>
        <v>Monthly Arrears: Working Capital</v>
      </c>
      <c r="D2" s="122"/>
      <c r="E2" s="122"/>
      <c r="F2" s="122"/>
      <c r="G2" s="122"/>
      <c r="H2" s="122"/>
      <c r="I2" s="9"/>
    </row>
    <row r="3" spans="1:9" ht="15.75">
      <c r="A3" s="10"/>
      <c r="B3" s="19" t="str">
        <f>'December 2001'!B3</f>
        <v>EA population</v>
      </c>
      <c r="C3" s="46"/>
      <c r="D3" s="46" t="s">
        <v>20</v>
      </c>
      <c r="E3" s="46" t="s">
        <v>0</v>
      </c>
      <c r="F3" s="46" t="s">
        <v>1</v>
      </c>
      <c r="G3" s="46" t="s">
        <v>2</v>
      </c>
      <c r="H3" s="81" t="s">
        <v>8</v>
      </c>
      <c r="I3" s="12"/>
    </row>
    <row r="4" spans="1:9" ht="12.75">
      <c r="A4" s="10"/>
      <c r="B4" s="13" t="s">
        <v>3</v>
      </c>
      <c r="C4" s="38"/>
      <c r="D4" s="38">
        <f>'Input Data'!K47*'Input Data'!F47*'Input Data'!B47</f>
        <v>51661.67999999999</v>
      </c>
      <c r="E4" s="38">
        <f>$D$4*'Input Data'!B4</f>
        <v>12915.419999999998</v>
      </c>
      <c r="F4" s="38">
        <f>$D$4*'Input Data'!C4</f>
        <v>10332.336</v>
      </c>
      <c r="G4" s="38">
        <f>$D$4*'Input Data'!D4</f>
        <v>28413.924</v>
      </c>
      <c r="H4" s="82"/>
      <c r="I4" s="12"/>
    </row>
    <row r="5" spans="1:9" ht="12.75">
      <c r="A5" s="10"/>
      <c r="B5" s="13" t="s">
        <v>10</v>
      </c>
      <c r="C5" s="38"/>
      <c r="D5" s="38"/>
      <c r="E5" s="38">
        <f>E4*E24</f>
        <v>12269.648999999998</v>
      </c>
      <c r="F5" s="38">
        <f>F4*F24</f>
        <v>9299.1024</v>
      </c>
      <c r="G5" s="38">
        <f>G4*G24</f>
        <v>24151.8354</v>
      </c>
      <c r="H5" s="82"/>
      <c r="I5" s="12"/>
    </row>
    <row r="6" spans="1:9" ht="12.75">
      <c r="A6" s="10"/>
      <c r="B6" s="13" t="s">
        <v>5</v>
      </c>
      <c r="C6" s="92"/>
      <c r="D6" s="92"/>
      <c r="E6" s="92">
        <f>E5/1000</f>
        <v>12.269648999999998</v>
      </c>
      <c r="F6" s="92">
        <f>F5/1000</f>
        <v>9.299102399999999</v>
      </c>
      <c r="G6" s="92">
        <f>G5/1000</f>
        <v>24.1518354</v>
      </c>
      <c r="H6" s="82"/>
      <c r="I6" s="12"/>
    </row>
    <row r="7" spans="1:9" ht="12.75">
      <c r="A7" s="10"/>
      <c r="B7" s="13" t="s">
        <v>4</v>
      </c>
      <c r="C7" s="83"/>
      <c r="D7" s="83"/>
      <c r="E7" s="83">
        <f>'December 2001'!E7</f>
        <v>6.18</v>
      </c>
      <c r="F7" s="83">
        <f>'December 2001'!F7</f>
        <v>9.28</v>
      </c>
      <c r="G7" s="83">
        <f>'December 2001'!G7</f>
        <v>32.87</v>
      </c>
      <c r="H7" s="82"/>
      <c r="I7" s="12"/>
    </row>
    <row r="8" spans="1:9" ht="12.75">
      <c r="A8" s="10"/>
      <c r="B8" s="21" t="s">
        <v>6</v>
      </c>
      <c r="C8" s="84"/>
      <c r="D8" s="84"/>
      <c r="E8" s="84">
        <f>E6*E7</f>
        <v>75.82643081999998</v>
      </c>
      <c r="F8" s="84">
        <f>F6*F7</f>
        <v>86.29567027199998</v>
      </c>
      <c r="G8" s="84">
        <f>G6*G7</f>
        <v>793.8708295979999</v>
      </c>
      <c r="H8" s="85">
        <f>SUM(C8:G8)</f>
        <v>955.9929306899999</v>
      </c>
      <c r="I8" s="12"/>
    </row>
    <row r="9" spans="1:9" ht="12.75">
      <c r="A9" s="10"/>
      <c r="B9" s="13"/>
      <c r="C9" s="46"/>
      <c r="D9" s="46"/>
      <c r="E9" s="46"/>
      <c r="F9" s="46"/>
      <c r="G9" s="46"/>
      <c r="H9" s="82"/>
      <c r="I9" s="12"/>
    </row>
    <row r="10" spans="1:9" ht="12.75">
      <c r="A10" s="10"/>
      <c r="B10" s="13"/>
      <c r="C10" s="46"/>
      <c r="D10" s="46"/>
      <c r="E10" s="46"/>
      <c r="F10" s="46"/>
      <c r="G10" s="46"/>
      <c r="H10" s="82"/>
      <c r="I10" s="12"/>
    </row>
    <row r="11" spans="1:9" ht="15.75">
      <c r="A11" s="10"/>
      <c r="B11" s="19" t="str">
        <f>'December 2001'!B11</f>
        <v>ELIP population</v>
      </c>
      <c r="C11" s="46"/>
      <c r="D11" s="46" t="str">
        <f>D3</f>
        <v>Total Arrears ($s)</v>
      </c>
      <c r="E11" s="46" t="str">
        <f>E3</f>
        <v>30-day Arrears</v>
      </c>
      <c r="F11" s="46" t="str">
        <f>F3</f>
        <v>60-day arrears</v>
      </c>
      <c r="G11" s="46" t="str">
        <f>G3</f>
        <v>90-day arrears</v>
      </c>
      <c r="H11" s="82"/>
      <c r="I11" s="12"/>
    </row>
    <row r="12" spans="1:9" ht="12.75">
      <c r="A12" s="10"/>
      <c r="B12" s="13" t="str">
        <f>B4</f>
        <v>Dollars</v>
      </c>
      <c r="C12" s="38"/>
      <c r="D12" s="38">
        <f>'Input Data'!K47*'Input Data'!G47*'Input Data'!C47</f>
        <v>14892.269999999999</v>
      </c>
      <c r="E12" s="38">
        <f>$D$12*'Input Data'!B4</f>
        <v>3723.0674999999997</v>
      </c>
      <c r="F12" s="38">
        <f>$D$12*'Input Data'!C4</f>
        <v>2978.4539999999997</v>
      </c>
      <c r="G12" s="38">
        <f>$D$12*'Input Data'!D4</f>
        <v>8190.7485</v>
      </c>
      <c r="H12" s="82"/>
      <c r="I12" s="12"/>
    </row>
    <row r="13" spans="1:9" ht="12.75">
      <c r="A13" s="10"/>
      <c r="B13" s="13" t="str">
        <f>B5</f>
        <v>Dollars adjusted for charge-offs</v>
      </c>
      <c r="C13" s="38"/>
      <c r="D13" s="38"/>
      <c r="E13" s="38">
        <f>E12*E24</f>
        <v>3536.9141249999993</v>
      </c>
      <c r="F13" s="38">
        <f>F12*F24</f>
        <v>2680.6086</v>
      </c>
      <c r="G13" s="38">
        <f>G12*G24</f>
        <v>6962.136224999999</v>
      </c>
      <c r="H13" s="82"/>
      <c r="I13" s="12"/>
    </row>
    <row r="14" spans="1:9" ht="12.75">
      <c r="A14" s="10"/>
      <c r="B14" s="13" t="str">
        <f>B6</f>
        <v>$1,000 increments</v>
      </c>
      <c r="C14" s="92"/>
      <c r="D14" s="92"/>
      <c r="E14" s="92">
        <f>E13/1000</f>
        <v>3.536914124999999</v>
      </c>
      <c r="F14" s="92">
        <f>F13/1000</f>
        <v>2.6806086000000002</v>
      </c>
      <c r="G14" s="92">
        <f>G13/1000</f>
        <v>6.962136224999999</v>
      </c>
      <c r="H14" s="82"/>
      <c r="I14" s="12"/>
    </row>
    <row r="15" spans="1:9" ht="12.75">
      <c r="A15" s="10"/>
      <c r="B15" s="13" t="str">
        <f>B7</f>
        <v>Working capital per $1,000</v>
      </c>
      <c r="C15" s="83"/>
      <c r="D15" s="83"/>
      <c r="E15" s="83">
        <f>E7</f>
        <v>6.18</v>
      </c>
      <c r="F15" s="83">
        <f>F7</f>
        <v>9.28</v>
      </c>
      <c r="G15" s="83">
        <f>G7</f>
        <v>32.87</v>
      </c>
      <c r="H15" s="82"/>
      <c r="I15" s="12"/>
    </row>
    <row r="16" spans="1:9" ht="12.75">
      <c r="A16" s="10"/>
      <c r="B16" s="21" t="str">
        <f>B8</f>
        <v>Total working capital expense</v>
      </c>
      <c r="C16" s="84"/>
      <c r="D16" s="84"/>
      <c r="E16" s="84">
        <f>E14*E15</f>
        <v>21.858129292499992</v>
      </c>
      <c r="F16" s="84">
        <f>F14*F15</f>
        <v>24.876047808</v>
      </c>
      <c r="G16" s="84">
        <f>G14*G15</f>
        <v>228.84541771574996</v>
      </c>
      <c r="H16" s="85">
        <f>SUM(C16:G16)</f>
        <v>275.57959481624994</v>
      </c>
      <c r="I16" s="12"/>
    </row>
    <row r="17" spans="1:9" ht="13.5" thickBot="1">
      <c r="A17" s="10"/>
      <c r="B17" s="13"/>
      <c r="C17" s="46"/>
      <c r="D17" s="46"/>
      <c r="E17" s="46"/>
      <c r="F17" s="46"/>
      <c r="G17" s="46"/>
      <c r="H17" s="82"/>
      <c r="I17" s="12"/>
    </row>
    <row r="18" spans="1:9" ht="13.5" thickBot="1">
      <c r="A18" s="10"/>
      <c r="B18" s="22" t="s">
        <v>7</v>
      </c>
      <c r="C18" s="86"/>
      <c r="D18" s="86"/>
      <c r="E18" s="86">
        <f>E8-E16</f>
        <v>53.96830152749999</v>
      </c>
      <c r="F18" s="86">
        <f>F8-F16</f>
        <v>61.419622463999985</v>
      </c>
      <c r="G18" s="86">
        <f>G8-G16</f>
        <v>565.02541188225</v>
      </c>
      <c r="H18" s="87">
        <f>SUM(C18:G18)</f>
        <v>680.4133358737499</v>
      </c>
      <c r="I18" s="12"/>
    </row>
    <row r="19" spans="1:9" ht="13.5" thickBot="1">
      <c r="A19" s="15"/>
      <c r="B19" s="17"/>
      <c r="C19" s="17"/>
      <c r="D19" s="17"/>
      <c r="E19" s="17"/>
      <c r="F19" s="17"/>
      <c r="G19" s="17"/>
      <c r="H19" s="17"/>
      <c r="I19" s="16"/>
    </row>
    <row r="20" ht="13.5" thickTop="1"/>
    <row r="21" ht="13.5" thickBot="1"/>
    <row r="22" spans="1:9" ht="18" thickBot="1" thickTop="1">
      <c r="A22" s="20"/>
      <c r="B22" s="8"/>
      <c r="C22" s="122" t="s">
        <v>52</v>
      </c>
      <c r="D22" s="122"/>
      <c r="E22" s="122"/>
      <c r="F22" s="122"/>
      <c r="G22" s="122"/>
      <c r="H22" s="122"/>
      <c r="I22" s="9"/>
    </row>
    <row r="23" spans="1:9" ht="15.75">
      <c r="A23" s="10"/>
      <c r="B23" s="19" t="str">
        <f>B3</f>
        <v>EA population</v>
      </c>
      <c r="C23" s="13"/>
      <c r="D23" s="46" t="s">
        <v>53</v>
      </c>
      <c r="E23" s="46" t="str">
        <f>E3</f>
        <v>30-day Arrears</v>
      </c>
      <c r="F23" s="46" t="str">
        <f>F3</f>
        <v>60-day arrears</v>
      </c>
      <c r="G23" s="46" t="str">
        <f>G3</f>
        <v>90-day arrears</v>
      </c>
      <c r="H23" s="81" t="str">
        <f>H3</f>
        <v>Total</v>
      </c>
      <c r="I23" s="12"/>
    </row>
    <row r="24" spans="1:9" ht="12.75">
      <c r="A24" s="10"/>
      <c r="B24" s="13" t="s">
        <v>11</v>
      </c>
      <c r="C24" s="26"/>
      <c r="D24" s="88"/>
      <c r="E24" s="88">
        <v>0.95</v>
      </c>
      <c r="F24" s="88">
        <v>0.9</v>
      </c>
      <c r="G24" s="88">
        <v>0.85</v>
      </c>
      <c r="H24" s="82"/>
      <c r="I24" s="12"/>
    </row>
    <row r="25" spans="1:9" ht="12.75">
      <c r="A25" s="10"/>
      <c r="B25" s="13" t="s">
        <v>12</v>
      </c>
      <c r="C25" s="26"/>
      <c r="D25" s="88"/>
      <c r="E25" s="88">
        <f>1-E24</f>
        <v>0.050000000000000044</v>
      </c>
      <c r="F25" s="88">
        <f>(1-F24)-E25</f>
        <v>0.04999999999999993</v>
      </c>
      <c r="G25" s="88">
        <f>(1-G24)-(E25+F25)</f>
        <v>0.050000000000000044</v>
      </c>
      <c r="H25" s="82"/>
      <c r="I25" s="12"/>
    </row>
    <row r="26" spans="1:9" ht="12.75">
      <c r="A26" s="10"/>
      <c r="B26" s="13" t="s">
        <v>13</v>
      </c>
      <c r="C26" s="27"/>
      <c r="D26" s="38">
        <f>SUM(E26:G26)</f>
        <v>2583.084000000001</v>
      </c>
      <c r="E26" s="38">
        <f>E25*E4</f>
        <v>645.7710000000005</v>
      </c>
      <c r="F26" s="38">
        <f>F25*F4</f>
        <v>516.6167999999993</v>
      </c>
      <c r="G26" s="38">
        <f>G25*G4</f>
        <v>1420.6962000000012</v>
      </c>
      <c r="H26" s="82"/>
      <c r="I26" s="12"/>
    </row>
    <row r="27" spans="1:9" ht="12.75">
      <c r="A27" s="10"/>
      <c r="B27" s="13" t="s">
        <v>5</v>
      </c>
      <c r="C27" s="25"/>
      <c r="D27" s="92"/>
      <c r="E27" s="92">
        <f>E26/1000</f>
        <v>0.6457710000000005</v>
      </c>
      <c r="F27" s="92">
        <f>F26/1000</f>
        <v>0.5166167999999993</v>
      </c>
      <c r="G27" s="92">
        <f>G26/1000</f>
        <v>1.4206962000000012</v>
      </c>
      <c r="H27" s="82"/>
      <c r="I27" s="12"/>
    </row>
    <row r="28" spans="1:9" ht="12.75">
      <c r="A28" s="10"/>
      <c r="B28" s="13" t="s">
        <v>4</v>
      </c>
      <c r="C28" s="14"/>
      <c r="D28" s="83"/>
      <c r="E28" s="83">
        <f>'December 2001'!E28</f>
        <v>45.67868031566741</v>
      </c>
      <c r="F28" s="83">
        <f>'December 2001'!F28</f>
        <v>36.059797012539775</v>
      </c>
      <c r="G28" s="83">
        <f>'December 2001'!G28</f>
        <v>3.0851720988794114</v>
      </c>
      <c r="H28" s="82"/>
      <c r="I28" s="12"/>
    </row>
    <row r="29" spans="1:9" ht="12.75">
      <c r="A29" s="10"/>
      <c r="B29" s="21" t="s">
        <v>6</v>
      </c>
      <c r="C29" s="28"/>
      <c r="D29" s="89"/>
      <c r="E29" s="89">
        <f>E27*E28</f>
        <v>29.497967066128883</v>
      </c>
      <c r="F29" s="89">
        <f>F27*F28</f>
        <v>18.629096941267832</v>
      </c>
      <c r="G29" s="89">
        <f>G27*G28</f>
        <v>4.383092277224008</v>
      </c>
      <c r="H29" s="90">
        <f>SUM(C29:G29)</f>
        <v>52.51015628462072</v>
      </c>
      <c r="I29" s="12"/>
    </row>
    <row r="30" spans="1:9" ht="12.75">
      <c r="A30" s="10"/>
      <c r="B30" s="13"/>
      <c r="C30" s="13"/>
      <c r="D30" s="46"/>
      <c r="E30" s="46"/>
      <c r="F30" s="46"/>
      <c r="G30" s="46"/>
      <c r="H30" s="82"/>
      <c r="I30" s="12"/>
    </row>
    <row r="31" spans="1:9" ht="12.75">
      <c r="A31" s="10"/>
      <c r="B31" s="13"/>
      <c r="C31" s="13"/>
      <c r="D31" s="46"/>
      <c r="E31" s="46"/>
      <c r="F31" s="46"/>
      <c r="G31" s="46"/>
      <c r="H31" s="82"/>
      <c r="I31" s="12"/>
    </row>
    <row r="32" spans="1:9" ht="15.75">
      <c r="A32" s="10"/>
      <c r="B32" s="19" t="str">
        <f>B11</f>
        <v>ELIP population</v>
      </c>
      <c r="C32" s="13"/>
      <c r="D32" s="46" t="s">
        <v>53</v>
      </c>
      <c r="E32" s="46" t="str">
        <f>E11</f>
        <v>30-day Arrears</v>
      </c>
      <c r="F32" s="46" t="str">
        <f>F11</f>
        <v>60-day arrears</v>
      </c>
      <c r="G32" s="46" t="str">
        <f>G11</f>
        <v>90-day arrears</v>
      </c>
      <c r="H32" s="82"/>
      <c r="I32" s="12"/>
    </row>
    <row r="33" spans="1:9" ht="12.75">
      <c r="A33" s="10"/>
      <c r="B33" s="13" t="str">
        <f aca="true" t="shared" si="0" ref="B33:B38">B24</f>
        <v>Collectability factor</v>
      </c>
      <c r="C33" s="26"/>
      <c r="D33" s="88"/>
      <c r="E33" s="88">
        <f>E24</f>
        <v>0.95</v>
      </c>
      <c r="F33" s="88">
        <f>F24</f>
        <v>0.9</v>
      </c>
      <c r="G33" s="88">
        <f>G24</f>
        <v>0.85</v>
      </c>
      <c r="H33" s="82"/>
      <c r="I33" s="12"/>
    </row>
    <row r="34" spans="1:9" ht="12.75">
      <c r="A34" s="10"/>
      <c r="B34" s="13" t="str">
        <f t="shared" si="0"/>
        <v>Uncollectable rate</v>
      </c>
      <c r="C34" s="26"/>
      <c r="D34" s="88"/>
      <c r="E34" s="88">
        <f>1-E33</f>
        <v>0.050000000000000044</v>
      </c>
      <c r="F34" s="88">
        <f>(1-F33)-E34</f>
        <v>0.04999999999999993</v>
      </c>
      <c r="G34" s="88">
        <f>(1-G33)-(E34+F34)</f>
        <v>0.050000000000000044</v>
      </c>
      <c r="H34" s="82"/>
      <c r="I34" s="12"/>
    </row>
    <row r="35" spans="1:9" ht="12.75">
      <c r="A35" s="10"/>
      <c r="B35" s="13" t="str">
        <f t="shared" si="0"/>
        <v>Uncollectable dollars</v>
      </c>
      <c r="C35" s="27"/>
      <c r="D35" s="38">
        <f>SUM(E35:G35)</f>
        <v>744.6135000000003</v>
      </c>
      <c r="E35" s="38">
        <f>E34*E12</f>
        <v>186.15337500000015</v>
      </c>
      <c r="F35" s="38">
        <f>F34*F12</f>
        <v>148.9226999999998</v>
      </c>
      <c r="G35" s="38">
        <f>G34*G12</f>
        <v>409.5374250000003</v>
      </c>
      <c r="H35" s="82"/>
      <c r="I35" s="12"/>
    </row>
    <row r="36" spans="1:9" ht="12.75">
      <c r="A36" s="10"/>
      <c r="B36" s="13" t="str">
        <f t="shared" si="0"/>
        <v>$1,000 increments</v>
      </c>
      <c r="C36" s="25"/>
      <c r="D36" s="92"/>
      <c r="E36" s="92">
        <f>E35/1000</f>
        <v>0.18615337500000015</v>
      </c>
      <c r="F36" s="92">
        <f>F35/1000</f>
        <v>0.1489226999999998</v>
      </c>
      <c r="G36" s="92">
        <f>G35/1000</f>
        <v>0.40953742500000034</v>
      </c>
      <c r="H36" s="82"/>
      <c r="I36" s="12"/>
    </row>
    <row r="37" spans="1:9" ht="12.75">
      <c r="A37" s="10"/>
      <c r="B37" s="13" t="str">
        <f t="shared" si="0"/>
        <v>Working capital per $1,000</v>
      </c>
      <c r="C37" s="14"/>
      <c r="D37" s="83"/>
      <c r="E37" s="83">
        <f>E28</f>
        <v>45.67868031566741</v>
      </c>
      <c r="F37" s="83">
        <f>F28</f>
        <v>36.059797012539775</v>
      </c>
      <c r="G37" s="83">
        <f>G28</f>
        <v>3.0851720988794114</v>
      </c>
      <c r="H37" s="82"/>
      <c r="I37" s="12"/>
    </row>
    <row r="38" spans="1:9" ht="12.75">
      <c r="A38" s="10"/>
      <c r="B38" s="21" t="str">
        <f t="shared" si="0"/>
        <v>Total working capital expense</v>
      </c>
      <c r="C38" s="28"/>
      <c r="D38" s="89"/>
      <c r="E38" s="89">
        <f>E36*E37</f>
        <v>8.50324050630756</v>
      </c>
      <c r="F38" s="89">
        <f>F36*F37</f>
        <v>5.37012233255935</v>
      </c>
      <c r="G38" s="89">
        <f>G36*G37</f>
        <v>1.2634934370569206</v>
      </c>
      <c r="H38" s="90">
        <f>SUM(C38:G38)</f>
        <v>15.136856275923831</v>
      </c>
      <c r="I38" s="12"/>
    </row>
    <row r="39" spans="1:9" ht="13.5" thickBot="1">
      <c r="A39" s="10"/>
      <c r="B39" s="13"/>
      <c r="C39" s="13"/>
      <c r="D39" s="46"/>
      <c r="E39" s="46"/>
      <c r="F39" s="46"/>
      <c r="G39" s="46"/>
      <c r="H39" s="82"/>
      <c r="I39" s="12"/>
    </row>
    <row r="40" spans="1:9" ht="13.5" thickBot="1">
      <c r="A40" s="10"/>
      <c r="B40" s="22" t="s">
        <v>7</v>
      </c>
      <c r="C40" s="23"/>
      <c r="D40" s="86">
        <f>D26-D35</f>
        <v>1838.4705000000008</v>
      </c>
      <c r="E40" s="86">
        <f>E29-E38</f>
        <v>20.994726559821324</v>
      </c>
      <c r="F40" s="86">
        <f>F29-F38</f>
        <v>13.258974608708481</v>
      </c>
      <c r="G40" s="86">
        <f>G29-G38</f>
        <v>3.119598840167087</v>
      </c>
      <c r="H40" s="91">
        <f>SUM(E40:G40)</f>
        <v>37.37330000869689</v>
      </c>
      <c r="I40" s="12"/>
    </row>
    <row r="41" spans="1:9" ht="13.5" thickBot="1">
      <c r="A41" s="15"/>
      <c r="B41" s="17"/>
      <c r="C41" s="17"/>
      <c r="D41" s="17"/>
      <c r="E41" s="17"/>
      <c r="F41" s="17"/>
      <c r="G41" s="17"/>
      <c r="H41" s="17"/>
      <c r="I41" s="16"/>
    </row>
    <row r="42" ht="14.25" thickBot="1" thickTop="1"/>
    <row r="43" spans="1:9" ht="13.5" thickTop="1">
      <c r="A43" s="20"/>
      <c r="B43" s="123" t="str">
        <f>'January 2002'!B43</f>
        <v>Disconnection Savings</v>
      </c>
      <c r="C43" s="123"/>
      <c r="D43" s="9"/>
      <c r="F43" s="20"/>
      <c r="G43" s="123" t="str">
        <f>'January 2002'!G43</f>
        <v>Collection Savings</v>
      </c>
      <c r="H43" s="123"/>
      <c r="I43" s="9"/>
    </row>
    <row r="44" spans="1:9" ht="12.75">
      <c r="A44" s="10"/>
      <c r="B44" s="13" t="s">
        <v>80</v>
      </c>
      <c r="C44" s="13">
        <f>'Input Data'!B23</f>
        <v>4</v>
      </c>
      <c r="D44" s="12"/>
      <c r="F44" s="10"/>
      <c r="G44" s="13" t="s">
        <v>77</v>
      </c>
      <c r="H44" s="40">
        <f>'Input Data'!F47</f>
        <v>0.49</v>
      </c>
      <c r="I44" s="12"/>
    </row>
    <row r="45" spans="1:9" ht="12.75">
      <c r="A45" s="10"/>
      <c r="B45" s="13" t="s">
        <v>75</v>
      </c>
      <c r="C45" s="94">
        <f>'Input Data'!K47*'Input Data'!F47/100</f>
        <v>2.8076999999999996</v>
      </c>
      <c r="D45" s="12"/>
      <c r="F45" s="10"/>
      <c r="G45" s="13" t="s">
        <v>31</v>
      </c>
      <c r="H45" s="25">
        <f>H51</f>
        <v>573</v>
      </c>
      <c r="I45" s="12"/>
    </row>
    <row r="46" spans="1:9" ht="12.75">
      <c r="A46" s="10"/>
      <c r="B46" s="13" t="s">
        <v>26</v>
      </c>
      <c r="C46" s="93">
        <f>C45*C44</f>
        <v>11.230799999999999</v>
      </c>
      <c r="D46" s="12"/>
      <c r="F46" s="10"/>
      <c r="G46" s="13" t="s">
        <v>32</v>
      </c>
      <c r="H46" s="25">
        <f>H44*H45</f>
        <v>280.77</v>
      </c>
      <c r="I46" s="12"/>
    </row>
    <row r="47" spans="1:9" ht="12.75">
      <c r="A47" s="10"/>
      <c r="B47" s="13" t="s">
        <v>24</v>
      </c>
      <c r="C47" s="14">
        <f>'January 2002'!C47</f>
        <v>121.18</v>
      </c>
      <c r="D47" s="12"/>
      <c r="F47" s="10"/>
      <c r="G47" s="13" t="s">
        <v>33</v>
      </c>
      <c r="H47" s="14">
        <f>'December 2001'!H47</f>
        <v>12.94</v>
      </c>
      <c r="I47" s="12"/>
    </row>
    <row r="48" spans="1:9" ht="12.75">
      <c r="A48" s="10"/>
      <c r="B48" s="13" t="s">
        <v>25</v>
      </c>
      <c r="C48" s="11">
        <f>C47*C46</f>
        <v>1360.948344</v>
      </c>
      <c r="D48" s="12"/>
      <c r="F48" s="10"/>
      <c r="G48" s="13" t="s">
        <v>34</v>
      </c>
      <c r="H48" s="11">
        <f>H46*H47</f>
        <v>3633.1638</v>
      </c>
      <c r="I48" s="12"/>
    </row>
    <row r="49" spans="1:9" ht="12.75">
      <c r="A49" s="10"/>
      <c r="B49" s="13"/>
      <c r="C49" s="13"/>
      <c r="D49" s="12"/>
      <c r="F49" s="10"/>
      <c r="G49" s="13"/>
      <c r="H49" s="13"/>
      <c r="I49" s="12"/>
    </row>
    <row r="50" spans="1:9" ht="12.75">
      <c r="A50" s="10"/>
      <c r="B50" s="13" t="s">
        <v>81</v>
      </c>
      <c r="C50" s="13">
        <f>'Input Data'!C23</f>
        <v>0.5</v>
      </c>
      <c r="D50" s="12"/>
      <c r="F50" s="10"/>
      <c r="G50" s="13" t="s">
        <v>78</v>
      </c>
      <c r="H50" s="40">
        <f>'Input Data'!G47</f>
        <v>0.23</v>
      </c>
      <c r="I50" s="12"/>
    </row>
    <row r="51" spans="1:9" ht="12.75">
      <c r="A51" s="10"/>
      <c r="B51" s="13" t="s">
        <v>75</v>
      </c>
      <c r="C51" s="94">
        <f>'Input Data'!K47*'Input Data'!G47/100</f>
        <v>1.3178999999999998</v>
      </c>
      <c r="D51" s="12"/>
      <c r="F51" s="10"/>
      <c r="G51" s="13" t="s">
        <v>31</v>
      </c>
      <c r="H51" s="25">
        <f>'Input Data'!K47</f>
        <v>573</v>
      </c>
      <c r="I51" s="12"/>
    </row>
    <row r="52" spans="1:9" ht="12.75">
      <c r="A52" s="10"/>
      <c r="B52" s="13" t="s">
        <v>26</v>
      </c>
      <c r="C52" s="93">
        <f>C51*C50</f>
        <v>0.6589499999999999</v>
      </c>
      <c r="D52" s="12"/>
      <c r="F52" s="10"/>
      <c r="G52" s="13" t="s">
        <v>32</v>
      </c>
      <c r="H52" s="25">
        <f>H50*H51</f>
        <v>131.79</v>
      </c>
      <c r="I52" s="12"/>
    </row>
    <row r="53" spans="1:9" ht="12.75">
      <c r="A53" s="10"/>
      <c r="B53" s="13" t="s">
        <v>24</v>
      </c>
      <c r="C53" s="14">
        <f>C47</f>
        <v>121.18</v>
      </c>
      <c r="D53" s="12"/>
      <c r="F53" s="10"/>
      <c r="G53" s="13" t="s">
        <v>33</v>
      </c>
      <c r="H53" s="14">
        <f>H47</f>
        <v>12.94</v>
      </c>
      <c r="I53" s="12"/>
    </row>
    <row r="54" spans="1:9" ht="12.75">
      <c r="A54" s="10"/>
      <c r="B54" s="13" t="s">
        <v>25</v>
      </c>
      <c r="C54" s="11">
        <f>C53*C52</f>
        <v>79.85156099999999</v>
      </c>
      <c r="D54" s="12"/>
      <c r="F54" s="10"/>
      <c r="G54" s="13" t="s">
        <v>34</v>
      </c>
      <c r="H54" s="11">
        <f>H52*H53</f>
        <v>1705.3626</v>
      </c>
      <c r="I54" s="12"/>
    </row>
    <row r="55" spans="1:9" ht="13.5" thickBot="1">
      <c r="A55" s="10"/>
      <c r="B55" s="13"/>
      <c r="C55" s="13"/>
      <c r="D55" s="12"/>
      <c r="F55" s="10"/>
      <c r="G55" s="13"/>
      <c r="H55" s="13"/>
      <c r="I55" s="12"/>
    </row>
    <row r="56" spans="1:9" ht="13.5" thickBot="1">
      <c r="A56" s="10"/>
      <c r="B56" s="22" t="s">
        <v>7</v>
      </c>
      <c r="C56" s="36">
        <f>C48-C54</f>
        <v>1281.096783</v>
      </c>
      <c r="D56" s="12"/>
      <c r="F56" s="10"/>
      <c r="G56" s="22" t="s">
        <v>7</v>
      </c>
      <c r="H56" s="36">
        <f>H48-H54</f>
        <v>1927.8011999999999</v>
      </c>
      <c r="I56" s="12"/>
    </row>
    <row r="57" spans="1:9" ht="13.5" thickBot="1">
      <c r="A57" s="15"/>
      <c r="B57" s="17"/>
      <c r="C57" s="17"/>
      <c r="D57" s="16"/>
      <c r="F57" s="15"/>
      <c r="G57" s="17"/>
      <c r="H57" s="17"/>
      <c r="I57" s="16"/>
    </row>
    <row r="58" ht="13.5" thickTop="1"/>
  </sheetData>
  <mergeCells count="4">
    <mergeCell ref="C22:H22"/>
    <mergeCell ref="C2:H2"/>
    <mergeCell ref="G43:H43"/>
    <mergeCell ref="B43:C43"/>
  </mergeCells>
  <printOptions/>
  <pageMargins left="0.75" right="0.75" top="1" bottom="1" header="0.5" footer="0.5"/>
  <pageSetup fitToHeight="1" fitToWidth="1" horizontalDpi="600" verticalDpi="600" orientation="landscape" scale="62" r:id="rId1"/>
  <headerFooter alignWithMargins="0">
    <oddHeader>&amp;R&amp;"Arial,Bold"&amp;12Appendix A</oddHeader>
    <oddFooter>&amp;RPage &amp;P
&amp;F
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 topLeftCell="B14">
      <selection activeCell="B43" sqref="B43:C43"/>
    </sheetView>
  </sheetViews>
  <sheetFormatPr defaultColWidth="9.140625" defaultRowHeight="12.75"/>
  <cols>
    <col min="2" max="2" width="39.421875" style="0" bestFit="1" customWidth="1"/>
    <col min="3" max="3" width="11.140625" style="0" bestFit="1" customWidth="1"/>
    <col min="4" max="4" width="15.28125" style="0" customWidth="1"/>
    <col min="5" max="5" width="13.140625" style="0" bestFit="1" customWidth="1"/>
    <col min="6" max="6" width="12.8515625" style="0" bestFit="1" customWidth="1"/>
    <col min="7" max="7" width="41.7109375" style="0" bestFit="1" customWidth="1"/>
  </cols>
  <sheetData>
    <row r="1" ht="18.75" thickBot="1">
      <c r="B1" s="100">
        <v>37681</v>
      </c>
    </row>
    <row r="2" spans="1:9" ht="19.5" thickBot="1" thickTop="1">
      <c r="A2" s="20"/>
      <c r="B2" s="18"/>
      <c r="C2" s="122" t="str">
        <f>'January 2002'!C2</f>
        <v>Monthly Arrears: Working Capital</v>
      </c>
      <c r="D2" s="122"/>
      <c r="E2" s="122"/>
      <c r="F2" s="122"/>
      <c r="G2" s="122"/>
      <c r="H2" s="122"/>
      <c r="I2" s="9"/>
    </row>
    <row r="3" spans="1:9" ht="15.75">
      <c r="A3" s="10"/>
      <c r="B3" s="19" t="str">
        <f>'December 2001'!B3</f>
        <v>EA population</v>
      </c>
      <c r="C3" s="46"/>
      <c r="D3" s="46" t="s">
        <v>20</v>
      </c>
      <c r="E3" s="46" t="s">
        <v>0</v>
      </c>
      <c r="F3" s="46" t="s">
        <v>1</v>
      </c>
      <c r="G3" s="46" t="s">
        <v>2</v>
      </c>
      <c r="H3" s="81" t="s">
        <v>8</v>
      </c>
      <c r="I3" s="12"/>
    </row>
    <row r="4" spans="1:9" ht="12.75">
      <c r="A4" s="10"/>
      <c r="B4" s="13" t="s">
        <v>3</v>
      </c>
      <c r="C4" s="38"/>
      <c r="D4" s="38">
        <f>'Input Data'!K48*'Input Data'!F48*'Input Data'!B48</f>
        <v>56224.219999999994</v>
      </c>
      <c r="E4" s="38">
        <f>$D$4*'Input Data'!B4</f>
        <v>14056.054999999998</v>
      </c>
      <c r="F4" s="38">
        <f>$D$4*'Input Data'!C4</f>
        <v>11244.844</v>
      </c>
      <c r="G4" s="38">
        <f>$D$4*'Input Data'!D4</f>
        <v>30923.321</v>
      </c>
      <c r="H4" s="82"/>
      <c r="I4" s="12"/>
    </row>
    <row r="5" spans="1:9" ht="12.75">
      <c r="A5" s="10"/>
      <c r="B5" s="13" t="s">
        <v>10</v>
      </c>
      <c r="C5" s="38"/>
      <c r="D5" s="38"/>
      <c r="E5" s="38">
        <f>E4*E24</f>
        <v>13353.252249999998</v>
      </c>
      <c r="F5" s="38">
        <f>F4*F24</f>
        <v>10120.3596</v>
      </c>
      <c r="G5" s="38">
        <f>G4*G24</f>
        <v>26284.82285</v>
      </c>
      <c r="H5" s="82"/>
      <c r="I5" s="12"/>
    </row>
    <row r="6" spans="1:9" ht="12.75">
      <c r="A6" s="10"/>
      <c r="B6" s="13" t="s">
        <v>5</v>
      </c>
      <c r="C6" s="92"/>
      <c r="D6" s="92"/>
      <c r="E6" s="92">
        <f>E5/1000</f>
        <v>13.353252249999997</v>
      </c>
      <c r="F6" s="92">
        <f>F5/1000</f>
        <v>10.1203596</v>
      </c>
      <c r="G6" s="92">
        <f>G5/1000</f>
        <v>26.28482285</v>
      </c>
      <c r="H6" s="82"/>
      <c r="I6" s="12"/>
    </row>
    <row r="7" spans="1:9" ht="12.75">
      <c r="A7" s="10"/>
      <c r="B7" s="13" t="s">
        <v>4</v>
      </c>
      <c r="C7" s="83"/>
      <c r="D7" s="83"/>
      <c r="E7" s="83">
        <f>'December 2001'!E7</f>
        <v>6.18</v>
      </c>
      <c r="F7" s="83">
        <f>'December 2001'!F7</f>
        <v>9.28</v>
      </c>
      <c r="G7" s="83">
        <f>'December 2001'!G7</f>
        <v>32.87</v>
      </c>
      <c r="H7" s="82"/>
      <c r="I7" s="12"/>
    </row>
    <row r="8" spans="1:9" ht="12.75">
      <c r="A8" s="10"/>
      <c r="B8" s="21" t="s">
        <v>6</v>
      </c>
      <c r="C8" s="84"/>
      <c r="D8" s="84"/>
      <c r="E8" s="84">
        <f>E6*E7</f>
        <v>82.52309890499998</v>
      </c>
      <c r="F8" s="84">
        <f>F6*F7</f>
        <v>93.916937088</v>
      </c>
      <c r="G8" s="84">
        <f>G6*G7</f>
        <v>863.9821270795</v>
      </c>
      <c r="H8" s="85">
        <f>SUM(C8:G8)</f>
        <v>1040.4221630724999</v>
      </c>
      <c r="I8" s="12"/>
    </row>
    <row r="9" spans="1:9" ht="12.75">
      <c r="A9" s="10"/>
      <c r="B9" s="13"/>
      <c r="C9" s="46"/>
      <c r="D9" s="46"/>
      <c r="E9" s="46"/>
      <c r="F9" s="46"/>
      <c r="G9" s="46"/>
      <c r="H9" s="82"/>
      <c r="I9" s="12"/>
    </row>
    <row r="10" spans="1:9" ht="12.75">
      <c r="A10" s="10"/>
      <c r="B10" s="13"/>
      <c r="C10" s="46"/>
      <c r="D10" s="46"/>
      <c r="E10" s="46"/>
      <c r="F10" s="46"/>
      <c r="G10" s="46"/>
      <c r="H10" s="82"/>
      <c r="I10" s="12"/>
    </row>
    <row r="11" spans="1:9" ht="15.75">
      <c r="A11" s="10"/>
      <c r="B11" s="19" t="str">
        <f>'December 2001'!B11</f>
        <v>ELIP population</v>
      </c>
      <c r="C11" s="46"/>
      <c r="D11" s="46" t="str">
        <f>D3</f>
        <v>Total Arrears ($s)</v>
      </c>
      <c r="E11" s="46" t="str">
        <f>E3</f>
        <v>30-day Arrears</v>
      </c>
      <c r="F11" s="46" t="str">
        <f>F3</f>
        <v>60-day arrears</v>
      </c>
      <c r="G11" s="46" t="str">
        <f>G3</f>
        <v>90-day arrears</v>
      </c>
      <c r="H11" s="82"/>
      <c r="I11" s="12"/>
    </row>
    <row r="12" spans="1:9" ht="12.75">
      <c r="A12" s="10"/>
      <c r="B12" s="13" t="str">
        <f>B4</f>
        <v>Dollars</v>
      </c>
      <c r="C12" s="38"/>
      <c r="D12" s="38">
        <f>'Input Data'!K48*'Input Data'!G48*'Input Data'!C48</f>
        <v>16350.75</v>
      </c>
      <c r="E12" s="38">
        <f>$D$12*'Input Data'!B4</f>
        <v>4087.6875</v>
      </c>
      <c r="F12" s="38">
        <f>$D$12*'Input Data'!C4</f>
        <v>3270.15</v>
      </c>
      <c r="G12" s="38">
        <f>$D$12*'Input Data'!D4</f>
        <v>8992.9125</v>
      </c>
      <c r="H12" s="82"/>
      <c r="I12" s="12"/>
    </row>
    <row r="13" spans="1:9" ht="12.75">
      <c r="A13" s="10"/>
      <c r="B13" s="13" t="str">
        <f>B5</f>
        <v>Dollars adjusted for charge-offs</v>
      </c>
      <c r="C13" s="38"/>
      <c r="D13" s="38"/>
      <c r="E13" s="38">
        <f>E12*E24</f>
        <v>3883.303125</v>
      </c>
      <c r="F13" s="38">
        <f>F12*F24</f>
        <v>2943.135</v>
      </c>
      <c r="G13" s="38">
        <f>G12*G24</f>
        <v>7643.975625</v>
      </c>
      <c r="H13" s="82"/>
      <c r="I13" s="12"/>
    </row>
    <row r="14" spans="1:9" ht="12.75">
      <c r="A14" s="10"/>
      <c r="B14" s="13" t="str">
        <f>B6</f>
        <v>$1,000 increments</v>
      </c>
      <c r="C14" s="92"/>
      <c r="D14" s="92"/>
      <c r="E14" s="92">
        <f>E13/1000</f>
        <v>3.883303125</v>
      </c>
      <c r="F14" s="92">
        <f>F13/1000</f>
        <v>2.9431350000000003</v>
      </c>
      <c r="G14" s="92">
        <f>G13/1000</f>
        <v>7.643975625</v>
      </c>
      <c r="H14" s="82"/>
      <c r="I14" s="12"/>
    </row>
    <row r="15" spans="1:9" ht="12.75">
      <c r="A15" s="10"/>
      <c r="B15" s="13" t="str">
        <f>B7</f>
        <v>Working capital per $1,000</v>
      </c>
      <c r="C15" s="83"/>
      <c r="D15" s="83"/>
      <c r="E15" s="83">
        <f>E7</f>
        <v>6.18</v>
      </c>
      <c r="F15" s="83">
        <f>F7</f>
        <v>9.28</v>
      </c>
      <c r="G15" s="83">
        <f>G7</f>
        <v>32.87</v>
      </c>
      <c r="H15" s="82"/>
      <c r="I15" s="12"/>
    </row>
    <row r="16" spans="1:9" ht="12.75">
      <c r="A16" s="10"/>
      <c r="B16" s="21" t="str">
        <f>B8</f>
        <v>Total working capital expense</v>
      </c>
      <c r="C16" s="84"/>
      <c r="D16" s="84"/>
      <c r="E16" s="84">
        <f>E14*E15</f>
        <v>23.998813312499998</v>
      </c>
      <c r="F16" s="84">
        <f>F14*F15</f>
        <v>27.3122928</v>
      </c>
      <c r="G16" s="84">
        <f>G14*G15</f>
        <v>251.25747879374998</v>
      </c>
      <c r="H16" s="85">
        <f>SUM(C16:G16)</f>
        <v>302.56858490624995</v>
      </c>
      <c r="I16" s="12"/>
    </row>
    <row r="17" spans="1:9" ht="13.5" thickBot="1">
      <c r="A17" s="10"/>
      <c r="B17" s="13"/>
      <c r="C17" s="46"/>
      <c r="D17" s="46"/>
      <c r="E17" s="46"/>
      <c r="F17" s="46"/>
      <c r="G17" s="46"/>
      <c r="H17" s="82"/>
      <c r="I17" s="12"/>
    </row>
    <row r="18" spans="1:9" ht="13.5" thickBot="1">
      <c r="A18" s="10"/>
      <c r="B18" s="22" t="s">
        <v>7</v>
      </c>
      <c r="C18" s="86"/>
      <c r="D18" s="86"/>
      <c r="E18" s="86">
        <f>E8-E16</f>
        <v>58.524285592499986</v>
      </c>
      <c r="F18" s="86">
        <f>F8-F16</f>
        <v>66.604644288</v>
      </c>
      <c r="G18" s="86">
        <f>G8-G16</f>
        <v>612.7246482857499</v>
      </c>
      <c r="H18" s="87">
        <f>SUM(C18:G18)</f>
        <v>737.8535781662499</v>
      </c>
      <c r="I18" s="12"/>
    </row>
    <row r="19" spans="1:9" ht="13.5" thickBot="1">
      <c r="A19" s="15"/>
      <c r="B19" s="17"/>
      <c r="C19" s="17"/>
      <c r="D19" s="17"/>
      <c r="E19" s="17"/>
      <c r="F19" s="17"/>
      <c r="G19" s="17"/>
      <c r="H19" s="17"/>
      <c r="I19" s="16"/>
    </row>
    <row r="20" ht="13.5" thickTop="1"/>
    <row r="21" ht="13.5" thickBot="1"/>
    <row r="22" spans="1:9" ht="18" thickBot="1" thickTop="1">
      <c r="A22" s="20"/>
      <c r="B22" s="8"/>
      <c r="C22" s="122" t="s">
        <v>52</v>
      </c>
      <c r="D22" s="122"/>
      <c r="E22" s="122"/>
      <c r="F22" s="122"/>
      <c r="G22" s="122"/>
      <c r="H22" s="122"/>
      <c r="I22" s="9"/>
    </row>
    <row r="23" spans="1:9" ht="15.75">
      <c r="A23" s="10"/>
      <c r="B23" s="19" t="str">
        <f>B3</f>
        <v>EA population</v>
      </c>
      <c r="C23" s="13"/>
      <c r="D23" s="46" t="s">
        <v>53</v>
      </c>
      <c r="E23" s="46" t="str">
        <f>E3</f>
        <v>30-day Arrears</v>
      </c>
      <c r="F23" s="46" t="str">
        <f>F3</f>
        <v>60-day arrears</v>
      </c>
      <c r="G23" s="46" t="str">
        <f>G3</f>
        <v>90-day arrears</v>
      </c>
      <c r="H23" s="81" t="str">
        <f>H3</f>
        <v>Total</v>
      </c>
      <c r="I23" s="12"/>
    </row>
    <row r="24" spans="1:9" ht="12.75">
      <c r="A24" s="10"/>
      <c r="B24" s="13" t="s">
        <v>11</v>
      </c>
      <c r="C24" s="26"/>
      <c r="D24" s="88"/>
      <c r="E24" s="88">
        <v>0.95</v>
      </c>
      <c r="F24" s="88">
        <v>0.9</v>
      </c>
      <c r="G24" s="88">
        <v>0.85</v>
      </c>
      <c r="H24" s="82"/>
      <c r="I24" s="12"/>
    </row>
    <row r="25" spans="1:9" ht="12.75">
      <c r="A25" s="10"/>
      <c r="B25" s="13" t="s">
        <v>12</v>
      </c>
      <c r="C25" s="26"/>
      <c r="D25" s="88"/>
      <c r="E25" s="88">
        <f>1-E24</f>
        <v>0.050000000000000044</v>
      </c>
      <c r="F25" s="88">
        <f>(1-F24)-E25</f>
        <v>0.04999999999999993</v>
      </c>
      <c r="G25" s="88">
        <f>(1-G24)-(E25+F25)</f>
        <v>0.050000000000000044</v>
      </c>
      <c r="H25" s="82"/>
      <c r="I25" s="12"/>
    </row>
    <row r="26" spans="1:9" ht="12.75">
      <c r="A26" s="10"/>
      <c r="B26" s="13" t="s">
        <v>13</v>
      </c>
      <c r="C26" s="27"/>
      <c r="D26" s="38">
        <f>SUM(E26:G26)</f>
        <v>2811.211000000001</v>
      </c>
      <c r="E26" s="38">
        <f>E25*E4</f>
        <v>702.8027500000005</v>
      </c>
      <c r="F26" s="38">
        <f>F25*F4</f>
        <v>562.2421999999992</v>
      </c>
      <c r="G26" s="38">
        <f>G25*G4</f>
        <v>1546.1660500000014</v>
      </c>
      <c r="H26" s="82"/>
      <c r="I26" s="12"/>
    </row>
    <row r="27" spans="1:9" ht="12.75">
      <c r="A27" s="10"/>
      <c r="B27" s="13" t="s">
        <v>5</v>
      </c>
      <c r="C27" s="25"/>
      <c r="D27" s="92"/>
      <c r="E27" s="92">
        <f>E26/1000</f>
        <v>0.7028027500000005</v>
      </c>
      <c r="F27" s="92">
        <f>F26/1000</f>
        <v>0.5622421999999992</v>
      </c>
      <c r="G27" s="92">
        <f>G26/1000</f>
        <v>1.5461660500000014</v>
      </c>
      <c r="H27" s="82"/>
      <c r="I27" s="12"/>
    </row>
    <row r="28" spans="1:9" ht="12.75">
      <c r="A28" s="10"/>
      <c r="B28" s="13" t="s">
        <v>4</v>
      </c>
      <c r="C28" s="14"/>
      <c r="D28" s="83"/>
      <c r="E28" s="83">
        <f>'December 2001'!E28</f>
        <v>45.67868031566741</v>
      </c>
      <c r="F28" s="83">
        <f>'December 2001'!F28</f>
        <v>36.059797012539775</v>
      </c>
      <c r="G28" s="83">
        <f>'December 2001'!G28</f>
        <v>3.0851720988794114</v>
      </c>
      <c r="H28" s="82"/>
      <c r="I28" s="12"/>
    </row>
    <row r="29" spans="1:9" ht="12.75">
      <c r="A29" s="10"/>
      <c r="B29" s="21" t="s">
        <v>6</v>
      </c>
      <c r="C29" s="28"/>
      <c r="D29" s="89"/>
      <c r="E29" s="89">
        <f>E27*E28</f>
        <v>32.10310214222194</v>
      </c>
      <c r="F29" s="89">
        <f>F27*F28</f>
        <v>20.274339603883764</v>
      </c>
      <c r="G29" s="89">
        <f>G27*G28</f>
        <v>4.770188357694593</v>
      </c>
      <c r="H29" s="90">
        <f>SUM(C29:G29)</f>
        <v>57.147630103800296</v>
      </c>
      <c r="I29" s="12"/>
    </row>
    <row r="30" spans="1:9" ht="12.75">
      <c r="A30" s="10"/>
      <c r="B30" s="13"/>
      <c r="C30" s="13"/>
      <c r="D30" s="46"/>
      <c r="E30" s="46"/>
      <c r="F30" s="46"/>
      <c r="G30" s="46"/>
      <c r="H30" s="82"/>
      <c r="I30" s="12"/>
    </row>
    <row r="31" spans="1:9" ht="12.75">
      <c r="A31" s="10"/>
      <c r="B31" s="13"/>
      <c r="C31" s="13"/>
      <c r="D31" s="46"/>
      <c r="E31" s="46"/>
      <c r="F31" s="46"/>
      <c r="G31" s="46"/>
      <c r="H31" s="82"/>
      <c r="I31" s="12"/>
    </row>
    <row r="32" spans="1:9" ht="15.75">
      <c r="A32" s="10"/>
      <c r="B32" s="19" t="str">
        <f>B11</f>
        <v>ELIP population</v>
      </c>
      <c r="C32" s="13"/>
      <c r="D32" s="46" t="s">
        <v>53</v>
      </c>
      <c r="E32" s="46" t="str">
        <f>E11</f>
        <v>30-day Arrears</v>
      </c>
      <c r="F32" s="46" t="str">
        <f>F11</f>
        <v>60-day arrears</v>
      </c>
      <c r="G32" s="46" t="str">
        <f>G11</f>
        <v>90-day arrears</v>
      </c>
      <c r="H32" s="82"/>
      <c r="I32" s="12"/>
    </row>
    <row r="33" spans="1:9" ht="12.75">
      <c r="A33" s="10"/>
      <c r="B33" s="13" t="str">
        <f aca="true" t="shared" si="0" ref="B33:B38">B24</f>
        <v>Collectability factor</v>
      </c>
      <c r="C33" s="26"/>
      <c r="D33" s="88"/>
      <c r="E33" s="88">
        <f>E24</f>
        <v>0.95</v>
      </c>
      <c r="F33" s="88">
        <f>F24</f>
        <v>0.9</v>
      </c>
      <c r="G33" s="88">
        <f>G24</f>
        <v>0.85</v>
      </c>
      <c r="H33" s="82"/>
      <c r="I33" s="12"/>
    </row>
    <row r="34" spans="1:9" ht="12.75">
      <c r="A34" s="10"/>
      <c r="B34" s="13" t="str">
        <f t="shared" si="0"/>
        <v>Uncollectable rate</v>
      </c>
      <c r="C34" s="26"/>
      <c r="D34" s="88"/>
      <c r="E34" s="88">
        <f>1-E33</f>
        <v>0.050000000000000044</v>
      </c>
      <c r="F34" s="88">
        <f>(1-F33)-E34</f>
        <v>0.04999999999999993</v>
      </c>
      <c r="G34" s="88">
        <f>(1-G33)-(E34+F34)</f>
        <v>0.050000000000000044</v>
      </c>
      <c r="H34" s="82"/>
      <c r="I34" s="12"/>
    </row>
    <row r="35" spans="1:9" ht="12.75">
      <c r="A35" s="10"/>
      <c r="B35" s="13" t="str">
        <f t="shared" si="0"/>
        <v>Uncollectable dollars</v>
      </c>
      <c r="C35" s="27"/>
      <c r="D35" s="38">
        <f>SUM(E35:G35)</f>
        <v>817.5375000000004</v>
      </c>
      <c r="E35" s="38">
        <f>E34*E12</f>
        <v>204.38437500000018</v>
      </c>
      <c r="F35" s="38">
        <f>F34*F12</f>
        <v>163.5074999999998</v>
      </c>
      <c r="G35" s="38">
        <f>G34*G12</f>
        <v>449.6456250000004</v>
      </c>
      <c r="H35" s="82"/>
      <c r="I35" s="12"/>
    </row>
    <row r="36" spans="1:9" ht="12.75">
      <c r="A36" s="10"/>
      <c r="B36" s="13" t="str">
        <f t="shared" si="0"/>
        <v>$1,000 increments</v>
      </c>
      <c r="C36" s="25"/>
      <c r="D36" s="92"/>
      <c r="E36" s="92">
        <f>E35/1000</f>
        <v>0.20438437500000017</v>
      </c>
      <c r="F36" s="92">
        <f>F35/1000</f>
        <v>0.1635074999999998</v>
      </c>
      <c r="G36" s="92">
        <f>G35/1000</f>
        <v>0.4496456250000004</v>
      </c>
      <c r="H36" s="82"/>
      <c r="I36" s="12"/>
    </row>
    <row r="37" spans="1:9" ht="12.75">
      <c r="A37" s="10"/>
      <c r="B37" s="13" t="str">
        <f t="shared" si="0"/>
        <v>Working capital per $1,000</v>
      </c>
      <c r="C37" s="14"/>
      <c r="D37" s="83"/>
      <c r="E37" s="83">
        <f>E28</f>
        <v>45.67868031566741</v>
      </c>
      <c r="F37" s="83">
        <f>F28</f>
        <v>36.059797012539775</v>
      </c>
      <c r="G37" s="83">
        <f>G28</f>
        <v>3.0851720988794114</v>
      </c>
      <c r="H37" s="82"/>
      <c r="I37" s="12"/>
    </row>
    <row r="38" spans="1:9" ht="12.75">
      <c r="A38" s="10"/>
      <c r="B38" s="21" t="str">
        <f t="shared" si="0"/>
        <v>Total working capital expense</v>
      </c>
      <c r="C38" s="28"/>
      <c r="D38" s="89"/>
      <c r="E38" s="89">
        <f>E36*E37</f>
        <v>9.336008527142493</v>
      </c>
      <c r="F38" s="89">
        <f>F36*F37</f>
        <v>5.89604726002784</v>
      </c>
      <c r="G38" s="89">
        <f>G36*G37</f>
        <v>1.387234136633196</v>
      </c>
      <c r="H38" s="90">
        <f>SUM(C38:G38)</f>
        <v>16.619289923803528</v>
      </c>
      <c r="I38" s="12"/>
    </row>
    <row r="39" spans="1:9" ht="13.5" thickBot="1">
      <c r="A39" s="10"/>
      <c r="B39" s="13"/>
      <c r="C39" s="13"/>
      <c r="D39" s="46"/>
      <c r="E39" s="46"/>
      <c r="F39" s="46"/>
      <c r="G39" s="46"/>
      <c r="H39" s="82"/>
      <c r="I39" s="12"/>
    </row>
    <row r="40" spans="1:9" ht="13.5" thickBot="1">
      <c r="A40" s="10"/>
      <c r="B40" s="22" t="s">
        <v>7</v>
      </c>
      <c r="C40" s="23"/>
      <c r="D40" s="86">
        <f>D26-D35</f>
        <v>1993.6735000000008</v>
      </c>
      <c r="E40" s="86">
        <f>E29-E38</f>
        <v>22.76709361507945</v>
      </c>
      <c r="F40" s="86">
        <f>F29-F38</f>
        <v>14.378292343855923</v>
      </c>
      <c r="G40" s="86">
        <f>G29-G38</f>
        <v>3.3829542210613974</v>
      </c>
      <c r="H40" s="91">
        <f>SUM(E40:G40)</f>
        <v>40.52834017999677</v>
      </c>
      <c r="I40" s="12"/>
    </row>
    <row r="41" spans="1:9" ht="13.5" thickBot="1">
      <c r="A41" s="15"/>
      <c r="B41" s="17"/>
      <c r="C41" s="17"/>
      <c r="D41" s="17"/>
      <c r="E41" s="17"/>
      <c r="F41" s="17"/>
      <c r="G41" s="17"/>
      <c r="H41" s="17"/>
      <c r="I41" s="16"/>
    </row>
    <row r="42" ht="14.25" thickBot="1" thickTop="1"/>
    <row r="43" spans="1:9" ht="13.5" thickTop="1">
      <c r="A43" s="20"/>
      <c r="B43" s="123" t="str">
        <f>'January 2002'!B43</f>
        <v>Disconnection Savings</v>
      </c>
      <c r="C43" s="123"/>
      <c r="D43" s="9"/>
      <c r="F43" s="20"/>
      <c r="G43" s="123" t="str">
        <f>'January 2002'!G43</f>
        <v>Collection Savings</v>
      </c>
      <c r="H43" s="123"/>
      <c r="I43" s="9"/>
    </row>
    <row r="44" spans="1:9" ht="12.75">
      <c r="A44" s="10"/>
      <c r="B44" s="13" t="s">
        <v>80</v>
      </c>
      <c r="C44" s="13">
        <f>'Input Data'!B24</f>
        <v>6.9</v>
      </c>
      <c r="D44" s="12"/>
      <c r="F44" s="10"/>
      <c r="G44" s="13" t="s">
        <v>77</v>
      </c>
      <c r="H44" s="40">
        <f>'Input Data'!F48</f>
        <v>0.47</v>
      </c>
      <c r="I44" s="12"/>
    </row>
    <row r="45" spans="1:9" ht="12.75">
      <c r="A45" s="10"/>
      <c r="B45" s="13" t="s">
        <v>75</v>
      </c>
      <c r="C45" s="94">
        <f>'Input Data'!K48*'Input Data'!F48/100</f>
        <v>2.6272999999999995</v>
      </c>
      <c r="D45" s="12"/>
      <c r="F45" s="10"/>
      <c r="G45" s="13" t="s">
        <v>31</v>
      </c>
      <c r="H45" s="25">
        <f>H51</f>
        <v>559</v>
      </c>
      <c r="I45" s="12"/>
    </row>
    <row r="46" spans="1:9" ht="12.75">
      <c r="A46" s="10"/>
      <c r="B46" s="13" t="s">
        <v>26</v>
      </c>
      <c r="C46" s="93">
        <f>C45*C44</f>
        <v>18.128369999999997</v>
      </c>
      <c r="D46" s="12"/>
      <c r="F46" s="10"/>
      <c r="G46" s="13" t="s">
        <v>32</v>
      </c>
      <c r="H46" s="25">
        <f>H44*H45</f>
        <v>262.72999999999996</v>
      </c>
      <c r="I46" s="12"/>
    </row>
    <row r="47" spans="1:9" ht="12.75">
      <c r="A47" s="10"/>
      <c r="B47" s="13" t="s">
        <v>24</v>
      </c>
      <c r="C47" s="14">
        <f>'January 2002'!C47</f>
        <v>121.18</v>
      </c>
      <c r="D47" s="12"/>
      <c r="F47" s="10"/>
      <c r="G47" s="13" t="s">
        <v>33</v>
      </c>
      <c r="H47" s="14">
        <f>'December 2001'!H47</f>
        <v>12.94</v>
      </c>
      <c r="I47" s="12"/>
    </row>
    <row r="48" spans="1:9" ht="12.75">
      <c r="A48" s="10"/>
      <c r="B48" s="13" t="s">
        <v>25</v>
      </c>
      <c r="C48" s="11">
        <f>C47*C46</f>
        <v>2196.7958765999997</v>
      </c>
      <c r="D48" s="12"/>
      <c r="F48" s="10"/>
      <c r="G48" s="13" t="s">
        <v>34</v>
      </c>
      <c r="H48" s="11">
        <f>H46*H47</f>
        <v>3399.726199999999</v>
      </c>
      <c r="I48" s="12"/>
    </row>
    <row r="49" spans="1:9" ht="12.75">
      <c r="A49" s="10"/>
      <c r="B49" s="13"/>
      <c r="C49" s="13"/>
      <c r="D49" s="12"/>
      <c r="F49" s="10"/>
      <c r="G49" s="13"/>
      <c r="H49" s="13"/>
      <c r="I49" s="12"/>
    </row>
    <row r="50" spans="1:9" ht="12.75">
      <c r="A50" s="10"/>
      <c r="B50" s="13" t="s">
        <v>81</v>
      </c>
      <c r="C50" s="13">
        <f>'Input Data'!C24</f>
        <v>4.5</v>
      </c>
      <c r="D50" s="12"/>
      <c r="F50" s="10"/>
      <c r="G50" s="13" t="s">
        <v>78</v>
      </c>
      <c r="H50" s="40">
        <f>'Input Data'!G48</f>
        <v>0.25</v>
      </c>
      <c r="I50" s="12"/>
    </row>
    <row r="51" spans="1:9" ht="12.75">
      <c r="A51" s="10"/>
      <c r="B51" s="13" t="s">
        <v>75</v>
      </c>
      <c r="C51" s="94">
        <f>'Input Data'!K48*'Input Data'!G48/100</f>
        <v>1.3975</v>
      </c>
      <c r="D51" s="12"/>
      <c r="F51" s="10"/>
      <c r="G51" s="13" t="s">
        <v>31</v>
      </c>
      <c r="H51" s="25">
        <f>'Input Data'!K48</f>
        <v>559</v>
      </c>
      <c r="I51" s="12"/>
    </row>
    <row r="52" spans="1:9" ht="12.75">
      <c r="A52" s="10"/>
      <c r="B52" s="13" t="s">
        <v>26</v>
      </c>
      <c r="C52" s="93">
        <f>C51*C50</f>
        <v>6.28875</v>
      </c>
      <c r="D52" s="12"/>
      <c r="F52" s="10"/>
      <c r="G52" s="13" t="s">
        <v>32</v>
      </c>
      <c r="H52" s="25">
        <f>H50*H51</f>
        <v>139.75</v>
      </c>
      <c r="I52" s="12"/>
    </row>
    <row r="53" spans="1:9" ht="12.75">
      <c r="A53" s="10"/>
      <c r="B53" s="13" t="s">
        <v>24</v>
      </c>
      <c r="C53" s="14">
        <f>C47</f>
        <v>121.18</v>
      </c>
      <c r="D53" s="12"/>
      <c r="F53" s="10"/>
      <c r="G53" s="13" t="s">
        <v>33</v>
      </c>
      <c r="H53" s="14">
        <f>H47</f>
        <v>12.94</v>
      </c>
      <c r="I53" s="12"/>
    </row>
    <row r="54" spans="1:9" ht="12.75">
      <c r="A54" s="10"/>
      <c r="B54" s="13" t="s">
        <v>25</v>
      </c>
      <c r="C54" s="11">
        <f>C53*C52</f>
        <v>762.070725</v>
      </c>
      <c r="D54" s="12"/>
      <c r="F54" s="10"/>
      <c r="G54" s="13" t="s">
        <v>34</v>
      </c>
      <c r="H54" s="11">
        <f>H52*H53</f>
        <v>1808.365</v>
      </c>
      <c r="I54" s="12"/>
    </row>
    <row r="55" spans="1:9" ht="13.5" thickBot="1">
      <c r="A55" s="10"/>
      <c r="B55" s="13"/>
      <c r="C55" s="13"/>
      <c r="D55" s="12"/>
      <c r="F55" s="10"/>
      <c r="G55" s="13"/>
      <c r="H55" s="13"/>
      <c r="I55" s="12"/>
    </row>
    <row r="56" spans="1:9" ht="13.5" thickBot="1">
      <c r="A56" s="10"/>
      <c r="B56" s="22" t="s">
        <v>7</v>
      </c>
      <c r="C56" s="36">
        <f>C48-C54</f>
        <v>1434.7251515999997</v>
      </c>
      <c r="D56" s="12"/>
      <c r="F56" s="10"/>
      <c r="G56" s="22" t="s">
        <v>7</v>
      </c>
      <c r="H56" s="36">
        <f>H48-H54</f>
        <v>1591.3611999999991</v>
      </c>
      <c r="I56" s="12"/>
    </row>
    <row r="57" spans="1:9" ht="13.5" thickBot="1">
      <c r="A57" s="15"/>
      <c r="B57" s="17"/>
      <c r="C57" s="17"/>
      <c r="D57" s="16"/>
      <c r="F57" s="15"/>
      <c r="G57" s="17"/>
      <c r="H57" s="17"/>
      <c r="I57" s="16"/>
    </row>
    <row r="58" ht="13.5" thickTop="1"/>
  </sheetData>
  <mergeCells count="4">
    <mergeCell ref="C22:H22"/>
    <mergeCell ref="C2:H2"/>
    <mergeCell ref="G43:H43"/>
    <mergeCell ref="B43:C43"/>
  </mergeCells>
  <printOptions/>
  <pageMargins left="0.75" right="0.75" top="1" bottom="1" header="0.5" footer="0.5"/>
  <pageSetup fitToHeight="1" fitToWidth="1" horizontalDpi="600" verticalDpi="600" orientation="landscape" scale="62" r:id="rId1"/>
  <headerFooter alignWithMargins="0">
    <oddHeader>&amp;R&amp;"Arial,Bold"&amp;12Appendix A</oddHeader>
    <oddFooter>&amp;RPage &amp;P
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workbookViewId="0" topLeftCell="G1">
      <selection activeCell="O5" sqref="O5"/>
    </sheetView>
  </sheetViews>
  <sheetFormatPr defaultColWidth="9.140625" defaultRowHeight="12.75"/>
  <cols>
    <col min="1" max="1" width="15.28125" style="0" bestFit="1" customWidth="1"/>
    <col min="2" max="3" width="18.8515625" style="0" bestFit="1" customWidth="1"/>
    <col min="5" max="5" width="26.421875" style="0" bestFit="1" customWidth="1"/>
    <col min="6" max="6" width="25.7109375" style="0" customWidth="1"/>
    <col min="7" max="8" width="18.8515625" style="0" bestFit="1" customWidth="1"/>
    <col min="9" max="9" width="17.140625" style="0" bestFit="1" customWidth="1"/>
    <col min="10" max="10" width="12.00390625" style="0" bestFit="1" customWidth="1"/>
    <col min="11" max="11" width="13.421875" style="0" customWidth="1"/>
  </cols>
  <sheetData>
    <row r="1" ht="18">
      <c r="A1" s="6" t="s">
        <v>64</v>
      </c>
    </row>
    <row r="2" ht="13.5" thickBot="1"/>
    <row r="3" spans="1:15" ht="13.5" thickTop="1">
      <c r="A3" s="33" t="s">
        <v>19</v>
      </c>
      <c r="B3" s="47" t="s">
        <v>16</v>
      </c>
      <c r="C3" s="47" t="s">
        <v>17</v>
      </c>
      <c r="D3" s="48" t="s">
        <v>18</v>
      </c>
      <c r="F3" s="20"/>
      <c r="G3" s="67" t="s">
        <v>16</v>
      </c>
      <c r="H3" s="67" t="s">
        <v>17</v>
      </c>
      <c r="I3" s="68" t="s">
        <v>18</v>
      </c>
      <c r="K3" s="20" t="s">
        <v>54</v>
      </c>
      <c r="L3" s="8" t="s">
        <v>16</v>
      </c>
      <c r="M3" s="8" t="s">
        <v>17</v>
      </c>
      <c r="N3" s="8" t="s">
        <v>18</v>
      </c>
      <c r="O3" s="9" t="s">
        <v>8</v>
      </c>
    </row>
    <row r="4" spans="1:15" ht="13.5" thickBot="1">
      <c r="A4" s="35"/>
      <c r="B4" s="49">
        <v>0.25</v>
      </c>
      <c r="C4" s="49">
        <v>0.2</v>
      </c>
      <c r="D4" s="50">
        <v>0.55</v>
      </c>
      <c r="F4" s="10" t="s">
        <v>47</v>
      </c>
      <c r="G4" s="79">
        <v>0.95</v>
      </c>
      <c r="H4" s="79">
        <v>0.9</v>
      </c>
      <c r="I4" s="80">
        <v>0.85</v>
      </c>
      <c r="K4" s="10" t="s">
        <v>82</v>
      </c>
      <c r="L4" s="71">
        <f>B4*(1-G4)*F54</f>
        <v>0.006500000000000006</v>
      </c>
      <c r="M4" s="71">
        <f>C4*(1-H4)*F54</f>
        <v>0.0104</v>
      </c>
      <c r="N4" s="71">
        <f>D4*(1-I4)*F54</f>
        <v>0.04290000000000001</v>
      </c>
      <c r="O4" s="72">
        <f>SUM(L4:N4)</f>
        <v>0.05980000000000001</v>
      </c>
    </row>
    <row r="5" spans="6:15" ht="13.5" thickBot="1">
      <c r="F5" s="10" t="s">
        <v>12</v>
      </c>
      <c r="G5" s="79">
        <f>(1-G4)</f>
        <v>0.050000000000000044</v>
      </c>
      <c r="H5" s="79">
        <f>(1-H4)</f>
        <v>0.09999999999999998</v>
      </c>
      <c r="I5" s="80">
        <f>(1-I4)</f>
        <v>0.15000000000000002</v>
      </c>
      <c r="K5" s="15" t="s">
        <v>83</v>
      </c>
      <c r="L5" s="66">
        <f>B4*(1-G4)*G54</f>
        <v>0.0033562500000000038</v>
      </c>
      <c r="M5" s="66">
        <f>C4*(1-G4)*G54</f>
        <v>0.002685000000000003</v>
      </c>
      <c r="N5" s="66">
        <f>D4*(1-I4)*G54</f>
        <v>0.02215125000000001</v>
      </c>
      <c r="O5" s="96">
        <f>SUM(L5:N5)</f>
        <v>0.028192500000000016</v>
      </c>
    </row>
    <row r="6" spans="6:9" ht="14.25" thickBot="1" thickTop="1">
      <c r="F6" s="15" t="s">
        <v>60</v>
      </c>
      <c r="G6" s="69">
        <f>G5</f>
        <v>0.050000000000000044</v>
      </c>
      <c r="H6" s="69">
        <f>H5-G6</f>
        <v>0.04999999999999993</v>
      </c>
      <c r="I6" s="70">
        <f>I5-(G6+H6)</f>
        <v>0.050000000000000044</v>
      </c>
    </row>
    <row r="7" spans="1:8" ht="13.5" thickTop="1">
      <c r="A7" s="20" t="s">
        <v>63</v>
      </c>
      <c r="B7" s="8"/>
      <c r="C7" s="9"/>
      <c r="F7" s="13"/>
      <c r="G7" s="13"/>
      <c r="H7" s="13"/>
    </row>
    <row r="8" spans="1:8" ht="12.75">
      <c r="A8" s="10"/>
      <c r="B8" s="46" t="s">
        <v>71</v>
      </c>
      <c r="C8" s="73" t="s">
        <v>72</v>
      </c>
      <c r="F8" s="13"/>
      <c r="G8" s="46"/>
      <c r="H8" s="46"/>
    </row>
    <row r="9" spans="1:8" ht="12.75">
      <c r="A9" s="97">
        <v>37226</v>
      </c>
      <c r="B9" s="46">
        <v>0</v>
      </c>
      <c r="C9" s="73">
        <v>0.7</v>
      </c>
      <c r="F9" s="13"/>
      <c r="G9" s="46"/>
      <c r="H9" s="46"/>
    </row>
    <row r="10" spans="1:8" ht="12.75">
      <c r="A10" s="97">
        <v>37257</v>
      </c>
      <c r="B10" s="46">
        <v>0.6</v>
      </c>
      <c r="C10" s="73">
        <v>0</v>
      </c>
      <c r="F10" s="13"/>
      <c r="G10" s="51"/>
      <c r="H10" s="52"/>
    </row>
    <row r="11" spans="1:8" ht="12.75">
      <c r="A11" s="97">
        <v>37288</v>
      </c>
      <c r="B11" s="46">
        <v>0.3</v>
      </c>
      <c r="C11" s="73">
        <v>0.3</v>
      </c>
      <c r="F11" s="13"/>
      <c r="G11" s="51"/>
      <c r="H11" s="52"/>
    </row>
    <row r="12" spans="1:8" ht="12.75">
      <c r="A12" s="97">
        <v>37316</v>
      </c>
      <c r="B12" s="46">
        <v>2.3</v>
      </c>
      <c r="C12" s="73">
        <v>0</v>
      </c>
      <c r="F12" s="13"/>
      <c r="G12" s="51"/>
      <c r="H12" s="52"/>
    </row>
    <row r="13" spans="1:8" ht="12.75">
      <c r="A13" s="97">
        <v>37347</v>
      </c>
      <c r="B13" s="46">
        <v>2.3</v>
      </c>
      <c r="C13" s="73">
        <v>0.5</v>
      </c>
      <c r="F13" s="13"/>
      <c r="G13" s="51"/>
      <c r="H13" s="52"/>
    </row>
    <row r="14" spans="1:8" ht="12.75">
      <c r="A14" s="97">
        <v>37377</v>
      </c>
      <c r="B14" s="46">
        <v>1.8</v>
      </c>
      <c r="C14" s="73">
        <v>0.6</v>
      </c>
      <c r="F14" s="13"/>
      <c r="G14" s="51"/>
      <c r="H14" s="52"/>
    </row>
    <row r="15" spans="1:8" ht="12.75">
      <c r="A15" s="97">
        <v>37408</v>
      </c>
      <c r="B15" s="46">
        <v>18.6</v>
      </c>
      <c r="C15" s="73">
        <v>4.2</v>
      </c>
      <c r="F15" s="13"/>
      <c r="G15" s="51"/>
      <c r="H15" s="52"/>
    </row>
    <row r="16" spans="1:8" ht="12.75">
      <c r="A16" s="97">
        <v>37438</v>
      </c>
      <c r="B16" s="46">
        <v>18.8</v>
      </c>
      <c r="C16" s="73">
        <v>1.9</v>
      </c>
      <c r="F16" s="13"/>
      <c r="G16" s="51"/>
      <c r="H16" s="52"/>
    </row>
    <row r="17" spans="1:8" ht="12.75">
      <c r="A17" s="97">
        <v>37469</v>
      </c>
      <c r="B17" s="46">
        <v>9.7</v>
      </c>
      <c r="C17" s="73">
        <v>5</v>
      </c>
      <c r="F17" s="13"/>
      <c r="G17" s="51"/>
      <c r="H17" s="52"/>
    </row>
    <row r="18" spans="1:8" ht="12.75">
      <c r="A18" s="97">
        <v>37500</v>
      </c>
      <c r="B18" s="46">
        <v>8.4</v>
      </c>
      <c r="C18" s="73">
        <v>4</v>
      </c>
      <c r="F18" s="13"/>
      <c r="G18" s="51"/>
      <c r="H18" s="52"/>
    </row>
    <row r="19" spans="1:8" ht="12.75">
      <c r="A19" s="97">
        <v>37530</v>
      </c>
      <c r="B19" s="46">
        <v>0</v>
      </c>
      <c r="C19" s="73">
        <v>1.2</v>
      </c>
      <c r="F19" s="13"/>
      <c r="G19" s="51"/>
      <c r="H19" s="52"/>
    </row>
    <row r="20" spans="1:8" ht="12.75">
      <c r="A20" s="97">
        <v>37561</v>
      </c>
      <c r="B20" s="46">
        <v>12.2</v>
      </c>
      <c r="C20" s="73">
        <v>3.2</v>
      </c>
      <c r="F20" s="13"/>
      <c r="G20" s="51"/>
      <c r="H20" s="52"/>
    </row>
    <row r="21" spans="1:8" ht="12.75">
      <c r="A21" s="97">
        <v>37591</v>
      </c>
      <c r="B21" s="46">
        <v>0</v>
      </c>
      <c r="C21" s="73">
        <v>0</v>
      </c>
      <c r="F21" s="13"/>
      <c r="G21" s="51"/>
      <c r="H21" s="52"/>
    </row>
    <row r="22" spans="1:8" ht="12.75">
      <c r="A22" s="97">
        <v>37622</v>
      </c>
      <c r="B22" s="46">
        <v>0</v>
      </c>
      <c r="C22" s="73">
        <v>0</v>
      </c>
      <c r="F22" s="13"/>
      <c r="G22" s="51"/>
      <c r="H22" s="52"/>
    </row>
    <row r="23" spans="1:8" ht="12.75">
      <c r="A23" s="97">
        <v>37653</v>
      </c>
      <c r="B23" s="46">
        <v>4</v>
      </c>
      <c r="C23" s="73">
        <v>0.5</v>
      </c>
      <c r="F23" s="13"/>
      <c r="G23" s="51"/>
      <c r="H23" s="52"/>
    </row>
    <row r="24" spans="1:8" ht="12.75">
      <c r="A24" s="97">
        <v>37681</v>
      </c>
      <c r="B24" s="46">
        <v>6.9</v>
      </c>
      <c r="C24" s="73">
        <v>4.5</v>
      </c>
      <c r="F24" s="13"/>
      <c r="G24" s="51"/>
      <c r="H24" s="52"/>
    </row>
    <row r="25" spans="1:8" ht="12.75">
      <c r="A25" s="97">
        <v>37712</v>
      </c>
      <c r="B25" s="46">
        <v>3.4</v>
      </c>
      <c r="C25" s="73">
        <v>4.2</v>
      </c>
      <c r="F25" s="13"/>
      <c r="G25" s="51"/>
      <c r="H25" s="52"/>
    </row>
    <row r="26" spans="1:8" ht="12.75">
      <c r="A26" s="97">
        <v>37742</v>
      </c>
      <c r="B26" s="46">
        <v>5.7</v>
      </c>
      <c r="C26" s="73">
        <v>3</v>
      </c>
      <c r="F26" s="13"/>
      <c r="G26" s="51"/>
      <c r="H26" s="52"/>
    </row>
    <row r="27" spans="1:8" ht="12.75">
      <c r="A27" s="97">
        <v>37773</v>
      </c>
      <c r="B27" s="46">
        <v>7.6</v>
      </c>
      <c r="C27" s="73">
        <v>2.3</v>
      </c>
      <c r="F27" s="13"/>
      <c r="G27" s="51"/>
      <c r="H27" s="52"/>
    </row>
    <row r="28" spans="1:8" ht="12.75">
      <c r="A28" s="97">
        <v>37803</v>
      </c>
      <c r="B28" s="46">
        <v>5.5</v>
      </c>
      <c r="C28" s="73">
        <v>2.6</v>
      </c>
      <c r="F28" s="13"/>
      <c r="G28" s="51"/>
      <c r="H28" s="52"/>
    </row>
    <row r="29" spans="1:8" ht="13.5" thickBot="1">
      <c r="A29" s="98">
        <v>37834</v>
      </c>
      <c r="B29" s="74">
        <v>0.8</v>
      </c>
      <c r="C29" s="75">
        <v>3.9</v>
      </c>
      <c r="F29" s="13"/>
      <c r="G29" s="51"/>
      <c r="H29" s="52"/>
    </row>
    <row r="30" spans="6:8" ht="14.25" thickBot="1" thickTop="1">
      <c r="F30" s="13"/>
      <c r="G30" s="53"/>
      <c r="H30" s="53"/>
    </row>
    <row r="31" spans="1:11" ht="13.5" thickTop="1">
      <c r="A31" s="20" t="s">
        <v>62</v>
      </c>
      <c r="B31" s="8"/>
      <c r="C31" s="9"/>
      <c r="E31" s="20" t="s">
        <v>61</v>
      </c>
      <c r="F31" s="8"/>
      <c r="G31" s="9"/>
      <c r="I31" s="20" t="s">
        <v>76</v>
      </c>
      <c r="J31" s="8"/>
      <c r="K31" s="9"/>
    </row>
    <row r="32" spans="1:11" ht="12.75">
      <c r="A32" s="10"/>
      <c r="B32" s="46" t="str">
        <f>B8</f>
        <v>EA Accounts</v>
      </c>
      <c r="C32" s="73" t="str">
        <f>C8</f>
        <v>ELIP Accounts</v>
      </c>
      <c r="E32" s="10"/>
      <c r="F32" s="46" t="str">
        <f>B8</f>
        <v>EA Accounts</v>
      </c>
      <c r="G32" s="73" t="str">
        <f>C8</f>
        <v>ELIP Accounts</v>
      </c>
      <c r="I32" s="10"/>
      <c r="J32" s="46" t="s">
        <v>71</v>
      </c>
      <c r="K32" s="73" t="s">
        <v>72</v>
      </c>
    </row>
    <row r="33" spans="1:11" ht="12.75">
      <c r="A33" s="97">
        <v>37226</v>
      </c>
      <c r="B33" s="114">
        <v>181</v>
      </c>
      <c r="C33" s="113">
        <v>104</v>
      </c>
      <c r="E33" s="97">
        <v>37226</v>
      </c>
      <c r="F33" s="79">
        <v>0.57</v>
      </c>
      <c r="G33" s="80">
        <v>0.38</v>
      </c>
      <c r="I33" s="102">
        <v>37226</v>
      </c>
      <c r="J33" s="109">
        <v>642</v>
      </c>
      <c r="K33" s="111">
        <v>632</v>
      </c>
    </row>
    <row r="34" spans="1:11" ht="12.75">
      <c r="A34" s="97">
        <v>37257</v>
      </c>
      <c r="B34" s="38">
        <v>188</v>
      </c>
      <c r="C34" s="76">
        <v>101</v>
      </c>
      <c r="E34" s="97">
        <v>37257</v>
      </c>
      <c r="F34" s="79">
        <v>0.51</v>
      </c>
      <c r="G34" s="80">
        <v>0.23</v>
      </c>
      <c r="I34" s="102">
        <v>37257</v>
      </c>
      <c r="J34" s="110">
        <v>657</v>
      </c>
      <c r="K34" s="112">
        <v>654</v>
      </c>
    </row>
    <row r="35" spans="1:11" ht="12.75">
      <c r="A35" s="97">
        <v>37288</v>
      </c>
      <c r="B35" s="38">
        <v>198</v>
      </c>
      <c r="C35" s="76">
        <v>110</v>
      </c>
      <c r="E35" s="97">
        <v>37288</v>
      </c>
      <c r="F35" s="79">
        <v>0.52</v>
      </c>
      <c r="G35" s="80">
        <v>0.29</v>
      </c>
      <c r="I35" s="102">
        <v>37288</v>
      </c>
      <c r="J35" s="110">
        <v>674</v>
      </c>
      <c r="K35" s="112">
        <v>671</v>
      </c>
    </row>
    <row r="36" spans="1:11" ht="12.75">
      <c r="A36" s="97">
        <v>37316</v>
      </c>
      <c r="B36" s="38">
        <v>210</v>
      </c>
      <c r="C36" s="76">
        <v>121</v>
      </c>
      <c r="E36" s="97">
        <v>37316</v>
      </c>
      <c r="F36" s="79">
        <v>0.5</v>
      </c>
      <c r="G36" s="80">
        <v>0.28</v>
      </c>
      <c r="I36" s="102">
        <v>37316</v>
      </c>
      <c r="J36" s="110">
        <v>689</v>
      </c>
      <c r="K36" s="112">
        <v>682</v>
      </c>
    </row>
    <row r="37" spans="1:11" ht="12.75">
      <c r="A37" s="97">
        <v>37347</v>
      </c>
      <c r="B37" s="38">
        <v>203</v>
      </c>
      <c r="C37" s="76">
        <v>138</v>
      </c>
      <c r="E37" s="97">
        <v>37347</v>
      </c>
      <c r="F37" s="79">
        <v>0.49</v>
      </c>
      <c r="G37" s="80">
        <v>0.32</v>
      </c>
      <c r="I37" s="102">
        <v>37347</v>
      </c>
      <c r="J37" s="110">
        <v>699</v>
      </c>
      <c r="K37" s="112">
        <v>687</v>
      </c>
    </row>
    <row r="38" spans="1:11" ht="12.75">
      <c r="A38" s="97">
        <v>37377</v>
      </c>
      <c r="B38" s="38">
        <v>193</v>
      </c>
      <c r="C38" s="76">
        <v>136</v>
      </c>
      <c r="E38" s="97">
        <v>37377</v>
      </c>
      <c r="F38" s="79">
        <v>0.55</v>
      </c>
      <c r="G38" s="80">
        <v>0.29</v>
      </c>
      <c r="I38" s="102">
        <v>37377</v>
      </c>
      <c r="J38" s="110">
        <v>701</v>
      </c>
      <c r="K38" s="112">
        <v>694</v>
      </c>
    </row>
    <row r="39" spans="1:11" ht="12.75">
      <c r="A39" s="97">
        <v>37408</v>
      </c>
      <c r="B39" s="38">
        <v>182</v>
      </c>
      <c r="C39" s="76">
        <v>125</v>
      </c>
      <c r="E39" s="97">
        <v>37408</v>
      </c>
      <c r="F39" s="79">
        <v>0.56</v>
      </c>
      <c r="G39" s="80">
        <v>0.24</v>
      </c>
      <c r="I39" s="102">
        <v>37408</v>
      </c>
      <c r="J39" s="110">
        <v>705</v>
      </c>
      <c r="K39" s="112">
        <v>706</v>
      </c>
    </row>
    <row r="40" spans="1:11" ht="12.75">
      <c r="A40" s="97">
        <v>37438</v>
      </c>
      <c r="B40" s="38">
        <v>183</v>
      </c>
      <c r="C40" s="76">
        <v>127</v>
      </c>
      <c r="E40" s="97">
        <v>37438</v>
      </c>
      <c r="F40" s="79">
        <v>0.55</v>
      </c>
      <c r="G40" s="80">
        <v>0.25</v>
      </c>
      <c r="I40" s="102">
        <v>37438</v>
      </c>
      <c r="J40" s="110">
        <v>701</v>
      </c>
      <c r="K40" s="112">
        <v>698</v>
      </c>
    </row>
    <row r="41" spans="1:11" ht="12.75">
      <c r="A41" s="97">
        <v>37469</v>
      </c>
      <c r="B41" s="38">
        <v>145</v>
      </c>
      <c r="C41" s="76">
        <v>104</v>
      </c>
      <c r="E41" s="97">
        <v>37469</v>
      </c>
      <c r="F41" s="79">
        <v>0.54</v>
      </c>
      <c r="G41" s="80">
        <v>0.3</v>
      </c>
      <c r="I41" s="102">
        <v>37469</v>
      </c>
      <c r="J41" s="110">
        <v>651</v>
      </c>
      <c r="K41" s="112">
        <v>662</v>
      </c>
    </row>
    <row r="42" spans="1:11" ht="12.75">
      <c r="A42" s="97">
        <v>37500</v>
      </c>
      <c r="B42" s="38">
        <v>139</v>
      </c>
      <c r="C42" s="76">
        <v>85</v>
      </c>
      <c r="E42" s="97">
        <v>37500</v>
      </c>
      <c r="F42" s="79">
        <v>0.55</v>
      </c>
      <c r="G42" s="80">
        <v>0.26</v>
      </c>
      <c r="I42" s="102">
        <v>37500</v>
      </c>
      <c r="J42" s="110">
        <v>837</v>
      </c>
      <c r="K42" s="112">
        <v>637</v>
      </c>
    </row>
    <row r="43" spans="1:11" ht="12.75">
      <c r="A43" s="97">
        <v>37530</v>
      </c>
      <c r="B43" s="38">
        <v>113</v>
      </c>
      <c r="C43" s="76">
        <v>73</v>
      </c>
      <c r="E43" s="97">
        <v>37530</v>
      </c>
      <c r="F43" s="79">
        <v>0.53</v>
      </c>
      <c r="G43" s="80">
        <v>0.25</v>
      </c>
      <c r="I43" s="102">
        <v>37530</v>
      </c>
      <c r="J43" s="110">
        <v>798</v>
      </c>
      <c r="K43" s="112">
        <v>610</v>
      </c>
    </row>
    <row r="44" spans="1:11" ht="12.75">
      <c r="A44" s="97">
        <v>37561</v>
      </c>
      <c r="B44" s="38">
        <v>89</v>
      </c>
      <c r="C44" s="76">
        <v>66</v>
      </c>
      <c r="E44" s="97">
        <v>37561</v>
      </c>
      <c r="F44" s="79">
        <v>0.51</v>
      </c>
      <c r="G44" s="80">
        <v>0.28</v>
      </c>
      <c r="I44" s="102">
        <v>37561</v>
      </c>
      <c r="J44" s="110">
        <v>97</v>
      </c>
      <c r="K44" s="112">
        <v>601</v>
      </c>
    </row>
    <row r="45" spans="1:11" ht="12.75">
      <c r="A45" s="97">
        <v>37591</v>
      </c>
      <c r="B45" s="38">
        <v>129</v>
      </c>
      <c r="C45" s="76">
        <v>80</v>
      </c>
      <c r="E45" s="97">
        <v>37591</v>
      </c>
      <c r="F45" s="79">
        <v>0.51</v>
      </c>
      <c r="G45" s="80">
        <v>0.27</v>
      </c>
      <c r="I45" s="102">
        <v>37591</v>
      </c>
      <c r="J45" s="110">
        <v>579</v>
      </c>
      <c r="K45" s="112">
        <v>586</v>
      </c>
    </row>
    <row r="46" spans="1:11" ht="12.75">
      <c r="A46" s="97">
        <v>37622</v>
      </c>
      <c r="B46" s="38">
        <v>177</v>
      </c>
      <c r="C46" s="76">
        <v>108</v>
      </c>
      <c r="E46" s="97">
        <v>37622</v>
      </c>
      <c r="F46" s="79">
        <v>0.48</v>
      </c>
      <c r="G46" s="80">
        <v>0.23</v>
      </c>
      <c r="I46" s="102">
        <v>37622</v>
      </c>
      <c r="J46" s="110">
        <v>577</v>
      </c>
      <c r="K46" s="112">
        <v>577</v>
      </c>
    </row>
    <row r="47" spans="1:11" ht="12.75">
      <c r="A47" s="97">
        <v>37653</v>
      </c>
      <c r="B47" s="38">
        <v>184</v>
      </c>
      <c r="C47" s="76">
        <v>113</v>
      </c>
      <c r="E47" s="97">
        <v>37653</v>
      </c>
      <c r="F47" s="79">
        <v>0.49</v>
      </c>
      <c r="G47" s="80">
        <v>0.23</v>
      </c>
      <c r="I47" s="102">
        <v>37653</v>
      </c>
      <c r="J47" s="110">
        <v>565</v>
      </c>
      <c r="K47" s="112">
        <v>573</v>
      </c>
    </row>
    <row r="48" spans="1:11" ht="12.75">
      <c r="A48" s="97">
        <v>37681</v>
      </c>
      <c r="B48" s="38">
        <v>214</v>
      </c>
      <c r="C48" s="76">
        <v>117</v>
      </c>
      <c r="E48" s="97">
        <v>37681</v>
      </c>
      <c r="F48" s="79">
        <v>0.47</v>
      </c>
      <c r="G48" s="80">
        <v>0.25</v>
      </c>
      <c r="I48" s="102">
        <v>37681</v>
      </c>
      <c r="J48" s="110">
        <v>552</v>
      </c>
      <c r="K48" s="112">
        <v>559</v>
      </c>
    </row>
    <row r="49" spans="1:11" ht="12.75">
      <c r="A49" s="97">
        <v>37712</v>
      </c>
      <c r="B49" s="38">
        <v>204</v>
      </c>
      <c r="C49" s="76">
        <v>120</v>
      </c>
      <c r="E49" s="97">
        <v>37712</v>
      </c>
      <c r="F49" s="79">
        <v>0.5</v>
      </c>
      <c r="G49" s="80">
        <v>0.23</v>
      </c>
      <c r="I49" s="102">
        <v>37712</v>
      </c>
      <c r="J49" s="110">
        <v>534</v>
      </c>
      <c r="K49" s="112">
        <v>547</v>
      </c>
    </row>
    <row r="50" spans="1:11" ht="12.75">
      <c r="A50" s="97">
        <v>37742</v>
      </c>
      <c r="B50" s="38">
        <v>184</v>
      </c>
      <c r="C50" s="76">
        <v>95</v>
      </c>
      <c r="E50" s="97">
        <v>37742</v>
      </c>
      <c r="F50" s="79">
        <v>0.52</v>
      </c>
      <c r="G50" s="80">
        <v>0.25</v>
      </c>
      <c r="I50" s="102">
        <v>37742</v>
      </c>
      <c r="J50" s="110">
        <v>505</v>
      </c>
      <c r="K50" s="112">
        <v>534</v>
      </c>
    </row>
    <row r="51" spans="1:11" ht="12.75">
      <c r="A51" s="97">
        <v>37773</v>
      </c>
      <c r="B51" s="38">
        <v>188</v>
      </c>
      <c r="C51" s="76">
        <v>90</v>
      </c>
      <c r="E51" s="97">
        <v>37773</v>
      </c>
      <c r="F51" s="79">
        <v>0.55</v>
      </c>
      <c r="G51" s="80">
        <v>0.28</v>
      </c>
      <c r="I51" s="102">
        <v>37773</v>
      </c>
      <c r="J51" s="110">
        <v>496</v>
      </c>
      <c r="K51" s="112">
        <v>511</v>
      </c>
    </row>
    <row r="52" spans="1:11" ht="12.75">
      <c r="A52" s="97">
        <v>37803</v>
      </c>
      <c r="B52" s="38">
        <v>184</v>
      </c>
      <c r="C52" s="76">
        <v>85</v>
      </c>
      <c r="E52" s="97">
        <v>37803</v>
      </c>
      <c r="F52" s="79">
        <v>0.54</v>
      </c>
      <c r="G52" s="80">
        <v>0.32</v>
      </c>
      <c r="I52" s="102">
        <v>37803</v>
      </c>
      <c r="J52" s="110">
        <v>472</v>
      </c>
      <c r="K52" s="112">
        <v>496</v>
      </c>
    </row>
    <row r="53" spans="1:11" ht="13.5" thickBot="1">
      <c r="A53" s="98">
        <v>37834</v>
      </c>
      <c r="B53" s="77">
        <v>153</v>
      </c>
      <c r="C53" s="78">
        <v>84</v>
      </c>
      <c r="E53" s="98">
        <v>37834</v>
      </c>
      <c r="F53" s="79">
        <v>0.53</v>
      </c>
      <c r="G53" s="80">
        <v>0.32</v>
      </c>
      <c r="I53" s="102">
        <v>37834</v>
      </c>
      <c r="J53" s="110">
        <v>455</v>
      </c>
      <c r="K53" s="112">
        <v>484</v>
      </c>
    </row>
    <row r="54" spans="5:11" ht="14.25" thickBot="1" thickTop="1">
      <c r="E54" s="106" t="s">
        <v>55</v>
      </c>
      <c r="F54" s="107">
        <f>AVERAGE(F34:F53)</f>
        <v>0.52</v>
      </c>
      <c r="G54" s="107">
        <f>AVERAGE(G34:G53)</f>
        <v>0.26850000000000007</v>
      </c>
      <c r="I54" s="103" t="s">
        <v>79</v>
      </c>
      <c r="J54" s="116">
        <f>AVERAGE(J33:J53)</f>
        <v>599.3333333333334</v>
      </c>
      <c r="K54" s="117">
        <f>AVERAGE(K33:K53)</f>
        <v>609.5714285714286</v>
      </c>
    </row>
    <row r="55" ht="13.5" thickTop="1"/>
  </sheetData>
  <printOptions/>
  <pageMargins left="0.75" right="0.75" top="1" bottom="1" header="0.5" footer="0.5"/>
  <pageSetup fitToHeight="1" fitToWidth="1" horizontalDpi="600" verticalDpi="600" orientation="landscape" scale="53" r:id="rId1"/>
  <headerFooter alignWithMargins="0">
    <oddHeader>&amp;R&amp;"Arial,Bold"&amp;12Appendix A</oddHeader>
    <oddFooter>&amp;RPage &amp;P
&amp;F
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 topLeftCell="C20">
      <selection activeCell="D49" sqref="D49"/>
    </sheetView>
  </sheetViews>
  <sheetFormatPr defaultColWidth="9.140625" defaultRowHeight="12.75"/>
  <cols>
    <col min="2" max="2" width="39.421875" style="0" bestFit="1" customWidth="1"/>
    <col min="3" max="3" width="11.140625" style="0" bestFit="1" customWidth="1"/>
    <col min="4" max="4" width="15.28125" style="0" customWidth="1"/>
    <col min="5" max="5" width="13.140625" style="0" bestFit="1" customWidth="1"/>
    <col min="6" max="6" width="12.8515625" style="0" bestFit="1" customWidth="1"/>
    <col min="7" max="7" width="41.7109375" style="0" bestFit="1" customWidth="1"/>
  </cols>
  <sheetData>
    <row r="1" ht="18.75" thickBot="1">
      <c r="B1" s="100">
        <v>37712</v>
      </c>
    </row>
    <row r="2" spans="1:9" ht="19.5" thickBot="1" thickTop="1">
      <c r="A2" s="20"/>
      <c r="B2" s="18"/>
      <c r="C2" s="122" t="str">
        <f>'January 2002'!C2</f>
        <v>Monthly Arrears: Working Capital</v>
      </c>
      <c r="D2" s="122"/>
      <c r="E2" s="122"/>
      <c r="F2" s="122"/>
      <c r="G2" s="122"/>
      <c r="H2" s="122"/>
      <c r="I2" s="9"/>
    </row>
    <row r="3" spans="1:9" ht="15.75">
      <c r="A3" s="10"/>
      <c r="B3" s="19" t="str">
        <f>'December 2001'!B3</f>
        <v>EA population</v>
      </c>
      <c r="C3" s="46"/>
      <c r="D3" s="46" t="s">
        <v>20</v>
      </c>
      <c r="E3" s="46" t="s">
        <v>0</v>
      </c>
      <c r="F3" s="46" t="s">
        <v>1</v>
      </c>
      <c r="G3" s="46" t="s">
        <v>2</v>
      </c>
      <c r="H3" s="81" t="s">
        <v>8</v>
      </c>
      <c r="I3" s="12"/>
    </row>
    <row r="4" spans="1:9" ht="12.75">
      <c r="A4" s="10"/>
      <c r="B4" s="13" t="s">
        <v>3</v>
      </c>
      <c r="C4" s="38"/>
      <c r="D4" s="38">
        <f>'Input Data'!K49*'Input Data'!F49*'Input Data'!B49</f>
        <v>55794</v>
      </c>
      <c r="E4" s="38">
        <f>$D$4*'Input Data'!B4</f>
        <v>13948.5</v>
      </c>
      <c r="F4" s="38">
        <f>$D$4*'Input Data'!C4</f>
        <v>11158.800000000001</v>
      </c>
      <c r="G4" s="38">
        <f>$D$4*'Input Data'!D4</f>
        <v>30686.7</v>
      </c>
      <c r="H4" s="82"/>
      <c r="I4" s="12"/>
    </row>
    <row r="5" spans="1:9" ht="12.75">
      <c r="A5" s="10"/>
      <c r="B5" s="13" t="s">
        <v>10</v>
      </c>
      <c r="C5" s="38"/>
      <c r="D5" s="38"/>
      <c r="E5" s="38">
        <f>E4*E24</f>
        <v>13251.074999999999</v>
      </c>
      <c r="F5" s="38">
        <f>F4*F24</f>
        <v>10042.920000000002</v>
      </c>
      <c r="G5" s="38">
        <f>G4*G24</f>
        <v>26083.695</v>
      </c>
      <c r="H5" s="82"/>
      <c r="I5" s="12"/>
    </row>
    <row r="6" spans="1:9" ht="12.75">
      <c r="A6" s="10"/>
      <c r="B6" s="13" t="s">
        <v>5</v>
      </c>
      <c r="C6" s="92"/>
      <c r="D6" s="92"/>
      <c r="E6" s="92">
        <f>E5/1000</f>
        <v>13.251074999999998</v>
      </c>
      <c r="F6" s="92">
        <f>F5/1000</f>
        <v>10.042920000000002</v>
      </c>
      <c r="G6" s="92">
        <f>G5/1000</f>
        <v>26.083695</v>
      </c>
      <c r="H6" s="82"/>
      <c r="I6" s="12"/>
    </row>
    <row r="7" spans="1:9" ht="12.75">
      <c r="A7" s="10"/>
      <c r="B7" s="13" t="s">
        <v>4</v>
      </c>
      <c r="C7" s="83"/>
      <c r="D7" s="83"/>
      <c r="E7" s="83">
        <f>'December 2001'!E7</f>
        <v>6.18</v>
      </c>
      <c r="F7" s="83">
        <f>'December 2001'!F7</f>
        <v>9.28</v>
      </c>
      <c r="G7" s="83">
        <f>'December 2001'!G7</f>
        <v>32.87</v>
      </c>
      <c r="H7" s="82"/>
      <c r="I7" s="12"/>
    </row>
    <row r="8" spans="1:9" ht="12.75">
      <c r="A8" s="10"/>
      <c r="B8" s="21" t="s">
        <v>6</v>
      </c>
      <c r="C8" s="84"/>
      <c r="D8" s="84"/>
      <c r="E8" s="84">
        <f>E6*E7</f>
        <v>81.89164349999999</v>
      </c>
      <c r="F8" s="84">
        <f>F6*F7</f>
        <v>93.19829760000002</v>
      </c>
      <c r="G8" s="84">
        <f>G6*G7</f>
        <v>857.3710546499999</v>
      </c>
      <c r="H8" s="85">
        <f>SUM(C8:G8)</f>
        <v>1032.46099575</v>
      </c>
      <c r="I8" s="12"/>
    </row>
    <row r="9" spans="1:9" ht="12.75">
      <c r="A9" s="10"/>
      <c r="B9" s="13"/>
      <c r="C9" s="46"/>
      <c r="D9" s="46"/>
      <c r="E9" s="46"/>
      <c r="F9" s="46"/>
      <c r="G9" s="46"/>
      <c r="H9" s="82"/>
      <c r="I9" s="12"/>
    </row>
    <row r="10" spans="1:9" ht="12.75">
      <c r="A10" s="10"/>
      <c r="B10" s="13"/>
      <c r="C10" s="46"/>
      <c r="D10" s="46"/>
      <c r="E10" s="46"/>
      <c r="F10" s="46"/>
      <c r="G10" s="46"/>
      <c r="H10" s="82"/>
      <c r="I10" s="12"/>
    </row>
    <row r="11" spans="1:9" ht="15.75">
      <c r="A11" s="10"/>
      <c r="B11" s="19" t="str">
        <f>'December 2001'!B11</f>
        <v>ELIP population</v>
      </c>
      <c r="C11" s="46"/>
      <c r="D11" s="46" t="str">
        <f>D3</f>
        <v>Total Arrears ($s)</v>
      </c>
      <c r="E11" s="46" t="str">
        <f>E3</f>
        <v>30-day Arrears</v>
      </c>
      <c r="F11" s="46" t="str">
        <f>F3</f>
        <v>60-day arrears</v>
      </c>
      <c r="G11" s="46" t="str">
        <f>G3</f>
        <v>90-day arrears</v>
      </c>
      <c r="H11" s="82"/>
      <c r="I11" s="12"/>
    </row>
    <row r="12" spans="1:9" ht="12.75">
      <c r="A12" s="10"/>
      <c r="B12" s="13" t="str">
        <f>B4</f>
        <v>Dollars</v>
      </c>
      <c r="C12" s="38"/>
      <c r="D12" s="38">
        <f>'Input Data'!K49*'Input Data'!G49*'Input Data'!C49</f>
        <v>15097.2</v>
      </c>
      <c r="E12" s="38">
        <f>$D$12*'Input Data'!B4</f>
        <v>3774.3</v>
      </c>
      <c r="F12" s="38">
        <f>$D$12*'Input Data'!C4</f>
        <v>3019.4400000000005</v>
      </c>
      <c r="G12" s="38">
        <f>$D$12*'Input Data'!D4</f>
        <v>8303.460000000001</v>
      </c>
      <c r="H12" s="82"/>
      <c r="I12" s="12"/>
    </row>
    <row r="13" spans="1:9" ht="12.75">
      <c r="A13" s="10"/>
      <c r="B13" s="13" t="str">
        <f>B5</f>
        <v>Dollars adjusted for charge-offs</v>
      </c>
      <c r="C13" s="38"/>
      <c r="D13" s="38"/>
      <c r="E13" s="38">
        <f>E12*E24</f>
        <v>3585.585</v>
      </c>
      <c r="F13" s="38">
        <f>F12*F24</f>
        <v>2717.4960000000005</v>
      </c>
      <c r="G13" s="38">
        <f>G12*G24</f>
        <v>7057.941000000001</v>
      </c>
      <c r="H13" s="82"/>
      <c r="I13" s="12"/>
    </row>
    <row r="14" spans="1:9" ht="12.75">
      <c r="A14" s="10"/>
      <c r="B14" s="13" t="str">
        <f>B6</f>
        <v>$1,000 increments</v>
      </c>
      <c r="C14" s="92"/>
      <c r="D14" s="92"/>
      <c r="E14" s="92">
        <f>E13/1000</f>
        <v>3.585585</v>
      </c>
      <c r="F14" s="92">
        <f>F13/1000</f>
        <v>2.7174960000000006</v>
      </c>
      <c r="G14" s="92">
        <f>G13/1000</f>
        <v>7.0579410000000005</v>
      </c>
      <c r="H14" s="82"/>
      <c r="I14" s="12"/>
    </row>
    <row r="15" spans="1:9" ht="12.75">
      <c r="A15" s="10"/>
      <c r="B15" s="13" t="str">
        <f>B7</f>
        <v>Working capital per $1,000</v>
      </c>
      <c r="C15" s="83"/>
      <c r="D15" s="83"/>
      <c r="E15" s="83">
        <f>E7</f>
        <v>6.18</v>
      </c>
      <c r="F15" s="83">
        <f>F7</f>
        <v>9.28</v>
      </c>
      <c r="G15" s="83">
        <f>G7</f>
        <v>32.87</v>
      </c>
      <c r="H15" s="82"/>
      <c r="I15" s="12"/>
    </row>
    <row r="16" spans="1:9" ht="12.75">
      <c r="A16" s="10"/>
      <c r="B16" s="21" t="str">
        <f>B8</f>
        <v>Total working capital expense</v>
      </c>
      <c r="C16" s="84"/>
      <c r="D16" s="84"/>
      <c r="E16" s="84">
        <f>E14*E15</f>
        <v>22.1589153</v>
      </c>
      <c r="F16" s="84">
        <f>F14*F15</f>
        <v>25.218362880000004</v>
      </c>
      <c r="G16" s="84">
        <f>G14*G15</f>
        <v>231.99452066999999</v>
      </c>
      <c r="H16" s="85">
        <f>SUM(C16:G16)</f>
        <v>279.37179885</v>
      </c>
      <c r="I16" s="12"/>
    </row>
    <row r="17" spans="1:9" ht="13.5" thickBot="1">
      <c r="A17" s="10"/>
      <c r="B17" s="13"/>
      <c r="C17" s="46"/>
      <c r="D17" s="46"/>
      <c r="E17" s="46"/>
      <c r="F17" s="46"/>
      <c r="G17" s="46"/>
      <c r="H17" s="82"/>
      <c r="I17" s="12"/>
    </row>
    <row r="18" spans="1:9" ht="13.5" thickBot="1">
      <c r="A18" s="10"/>
      <c r="B18" s="22" t="s">
        <v>7</v>
      </c>
      <c r="C18" s="86"/>
      <c r="D18" s="86"/>
      <c r="E18" s="86">
        <f>E8-E16</f>
        <v>59.73272819999998</v>
      </c>
      <c r="F18" s="86">
        <f>F8-F16</f>
        <v>67.97993472000002</v>
      </c>
      <c r="G18" s="86">
        <f>G8-G16</f>
        <v>625.37653398</v>
      </c>
      <c r="H18" s="87">
        <f>SUM(C18:G18)</f>
        <v>753.0891968999999</v>
      </c>
      <c r="I18" s="12"/>
    </row>
    <row r="19" spans="1:9" ht="13.5" thickBot="1">
      <c r="A19" s="15"/>
      <c r="B19" s="17"/>
      <c r="C19" s="17"/>
      <c r="D19" s="17"/>
      <c r="E19" s="17"/>
      <c r="F19" s="17"/>
      <c r="G19" s="17"/>
      <c r="H19" s="17"/>
      <c r="I19" s="16"/>
    </row>
    <row r="20" ht="13.5" thickTop="1"/>
    <row r="21" ht="13.5" thickBot="1"/>
    <row r="22" spans="1:9" ht="18" thickBot="1" thickTop="1">
      <c r="A22" s="20"/>
      <c r="B22" s="8"/>
      <c r="C22" s="122" t="s">
        <v>52</v>
      </c>
      <c r="D22" s="122"/>
      <c r="E22" s="122"/>
      <c r="F22" s="122"/>
      <c r="G22" s="122"/>
      <c r="H22" s="122"/>
      <c r="I22" s="9"/>
    </row>
    <row r="23" spans="1:9" ht="15.75">
      <c r="A23" s="10"/>
      <c r="B23" s="19" t="str">
        <f>B3</f>
        <v>EA population</v>
      </c>
      <c r="C23" s="13"/>
      <c r="D23" s="46" t="s">
        <v>53</v>
      </c>
      <c r="E23" s="46" t="str">
        <f>E3</f>
        <v>30-day Arrears</v>
      </c>
      <c r="F23" s="46" t="str">
        <f>F3</f>
        <v>60-day arrears</v>
      </c>
      <c r="G23" s="46" t="str">
        <f>G3</f>
        <v>90-day arrears</v>
      </c>
      <c r="H23" s="81" t="str">
        <f>H3</f>
        <v>Total</v>
      </c>
      <c r="I23" s="12"/>
    </row>
    <row r="24" spans="1:9" ht="12.75">
      <c r="A24" s="10"/>
      <c r="B24" s="13" t="s">
        <v>11</v>
      </c>
      <c r="C24" s="26"/>
      <c r="D24" s="88"/>
      <c r="E24" s="88">
        <v>0.95</v>
      </c>
      <c r="F24" s="88">
        <v>0.9</v>
      </c>
      <c r="G24" s="88">
        <v>0.85</v>
      </c>
      <c r="H24" s="82"/>
      <c r="I24" s="12"/>
    </row>
    <row r="25" spans="1:9" ht="12.75">
      <c r="A25" s="10"/>
      <c r="B25" s="13" t="s">
        <v>12</v>
      </c>
      <c r="C25" s="26"/>
      <c r="D25" s="88"/>
      <c r="E25" s="88">
        <f>1-E24</f>
        <v>0.050000000000000044</v>
      </c>
      <c r="F25" s="88">
        <f>(1-F24)-E25</f>
        <v>0.04999999999999993</v>
      </c>
      <c r="G25" s="88">
        <f>(1-G24)-(E25+F25)</f>
        <v>0.050000000000000044</v>
      </c>
      <c r="H25" s="82"/>
      <c r="I25" s="12"/>
    </row>
    <row r="26" spans="1:9" ht="12.75">
      <c r="A26" s="10"/>
      <c r="B26" s="13" t="s">
        <v>13</v>
      </c>
      <c r="C26" s="27"/>
      <c r="D26" s="38">
        <f>SUM(E26:G26)</f>
        <v>2789.700000000001</v>
      </c>
      <c r="E26" s="38">
        <f>E25*E4</f>
        <v>697.4250000000006</v>
      </c>
      <c r="F26" s="38">
        <f>F25*F4</f>
        <v>557.9399999999993</v>
      </c>
      <c r="G26" s="38">
        <f>G25*G4</f>
        <v>1534.3350000000014</v>
      </c>
      <c r="H26" s="82"/>
      <c r="I26" s="12"/>
    </row>
    <row r="27" spans="1:9" ht="12.75">
      <c r="A27" s="10"/>
      <c r="B27" s="13" t="s">
        <v>5</v>
      </c>
      <c r="C27" s="25"/>
      <c r="D27" s="92"/>
      <c r="E27" s="92">
        <f>E26/1000</f>
        <v>0.6974250000000006</v>
      </c>
      <c r="F27" s="92">
        <f>F26/1000</f>
        <v>0.5579399999999992</v>
      </c>
      <c r="G27" s="92">
        <f>G26/1000</f>
        <v>1.5343350000000013</v>
      </c>
      <c r="H27" s="82"/>
      <c r="I27" s="12"/>
    </row>
    <row r="28" spans="1:9" ht="12.75">
      <c r="A28" s="10"/>
      <c r="B28" s="13" t="s">
        <v>4</v>
      </c>
      <c r="C28" s="14"/>
      <c r="D28" s="83"/>
      <c r="E28" s="83">
        <f>'December 2001'!E28</f>
        <v>45.67868031566741</v>
      </c>
      <c r="F28" s="83">
        <f>'December 2001'!F28</f>
        <v>36.059797012539775</v>
      </c>
      <c r="G28" s="83">
        <f>'December 2001'!G28</f>
        <v>3.0851720988794114</v>
      </c>
      <c r="H28" s="82"/>
      <c r="I28" s="12"/>
    </row>
    <row r="29" spans="1:9" ht="12.75">
      <c r="A29" s="10"/>
      <c r="B29" s="21" t="s">
        <v>6</v>
      </c>
      <c r="C29" s="28"/>
      <c r="D29" s="89"/>
      <c r="E29" s="89">
        <f>E27*E28</f>
        <v>31.85745361915437</v>
      </c>
      <c r="F29" s="89">
        <f>F27*F28</f>
        <v>20.119203145176414</v>
      </c>
      <c r="G29" s="89">
        <f>G27*G28</f>
        <v>4.733687532334145</v>
      </c>
      <c r="H29" s="90">
        <f>SUM(C29:G29)</f>
        <v>56.71034429666493</v>
      </c>
      <c r="I29" s="12"/>
    </row>
    <row r="30" spans="1:9" ht="12.75">
      <c r="A30" s="10"/>
      <c r="B30" s="13"/>
      <c r="C30" s="13"/>
      <c r="D30" s="46"/>
      <c r="E30" s="46"/>
      <c r="F30" s="46"/>
      <c r="G30" s="46"/>
      <c r="H30" s="82"/>
      <c r="I30" s="12"/>
    </row>
    <row r="31" spans="1:9" ht="12.75">
      <c r="A31" s="10"/>
      <c r="B31" s="13"/>
      <c r="C31" s="13"/>
      <c r="D31" s="46"/>
      <c r="E31" s="46"/>
      <c r="F31" s="46"/>
      <c r="G31" s="46"/>
      <c r="H31" s="82"/>
      <c r="I31" s="12"/>
    </row>
    <row r="32" spans="1:9" ht="15.75">
      <c r="A32" s="10"/>
      <c r="B32" s="19" t="str">
        <f>B11</f>
        <v>ELIP population</v>
      </c>
      <c r="C32" s="13"/>
      <c r="D32" s="46" t="s">
        <v>53</v>
      </c>
      <c r="E32" s="46" t="str">
        <f>E11</f>
        <v>30-day Arrears</v>
      </c>
      <c r="F32" s="46" t="str">
        <f>F11</f>
        <v>60-day arrears</v>
      </c>
      <c r="G32" s="46" t="str">
        <f>G11</f>
        <v>90-day arrears</v>
      </c>
      <c r="H32" s="82"/>
      <c r="I32" s="12"/>
    </row>
    <row r="33" spans="1:9" ht="12.75">
      <c r="A33" s="10"/>
      <c r="B33" s="13" t="str">
        <f aca="true" t="shared" si="0" ref="B33:B38">B24</f>
        <v>Collectability factor</v>
      </c>
      <c r="C33" s="26"/>
      <c r="D33" s="88"/>
      <c r="E33" s="88">
        <f>E24</f>
        <v>0.95</v>
      </c>
      <c r="F33" s="88">
        <f>F24</f>
        <v>0.9</v>
      </c>
      <c r="G33" s="88">
        <f>G24</f>
        <v>0.85</v>
      </c>
      <c r="H33" s="82"/>
      <c r="I33" s="12"/>
    </row>
    <row r="34" spans="1:9" ht="12.75">
      <c r="A34" s="10"/>
      <c r="B34" s="13" t="str">
        <f t="shared" si="0"/>
        <v>Uncollectable rate</v>
      </c>
      <c r="C34" s="26"/>
      <c r="D34" s="88"/>
      <c r="E34" s="88">
        <f>1-E33</f>
        <v>0.050000000000000044</v>
      </c>
      <c r="F34" s="88">
        <f>(1-F33)-E34</f>
        <v>0.04999999999999993</v>
      </c>
      <c r="G34" s="88">
        <f>(1-G33)-(E34+F34)</f>
        <v>0.050000000000000044</v>
      </c>
      <c r="H34" s="82"/>
      <c r="I34" s="12"/>
    </row>
    <row r="35" spans="1:9" ht="12.75">
      <c r="A35" s="10"/>
      <c r="B35" s="13" t="str">
        <f t="shared" si="0"/>
        <v>Uncollectable dollars</v>
      </c>
      <c r="C35" s="27"/>
      <c r="D35" s="38">
        <f>SUM(E35:G35)</f>
        <v>754.8600000000004</v>
      </c>
      <c r="E35" s="38">
        <f>E34*E12</f>
        <v>188.71500000000017</v>
      </c>
      <c r="F35" s="38">
        <f>F34*F12</f>
        <v>150.97199999999984</v>
      </c>
      <c r="G35" s="38">
        <f>G34*G12</f>
        <v>415.1730000000004</v>
      </c>
      <c r="H35" s="82"/>
      <c r="I35" s="12"/>
    </row>
    <row r="36" spans="1:9" ht="12.75">
      <c r="A36" s="10"/>
      <c r="B36" s="13" t="str">
        <f t="shared" si="0"/>
        <v>$1,000 increments</v>
      </c>
      <c r="C36" s="25"/>
      <c r="D36" s="92"/>
      <c r="E36" s="92">
        <f>E35/1000</f>
        <v>0.18871500000000016</v>
      </c>
      <c r="F36" s="92">
        <f>F35/1000</f>
        <v>0.15097199999999983</v>
      </c>
      <c r="G36" s="92">
        <f>G35/1000</f>
        <v>0.4151730000000004</v>
      </c>
      <c r="H36" s="82"/>
      <c r="I36" s="12"/>
    </row>
    <row r="37" spans="1:9" ht="12.75">
      <c r="A37" s="10"/>
      <c r="B37" s="13" t="str">
        <f t="shared" si="0"/>
        <v>Working capital per $1,000</v>
      </c>
      <c r="C37" s="14"/>
      <c r="D37" s="83"/>
      <c r="E37" s="83">
        <f>E28</f>
        <v>45.67868031566741</v>
      </c>
      <c r="F37" s="83">
        <f>F28</f>
        <v>36.059797012539775</v>
      </c>
      <c r="G37" s="83">
        <f>G28</f>
        <v>3.0851720988794114</v>
      </c>
      <c r="H37" s="82"/>
      <c r="I37" s="12"/>
    </row>
    <row r="38" spans="1:9" ht="12.75">
      <c r="A38" s="10"/>
      <c r="B38" s="21" t="str">
        <f t="shared" si="0"/>
        <v>Total working capital expense</v>
      </c>
      <c r="C38" s="28"/>
      <c r="D38" s="89"/>
      <c r="E38" s="89">
        <f>E36*E37</f>
        <v>8.620252155771182</v>
      </c>
      <c r="F38" s="89">
        <f>F36*F37</f>
        <v>5.444019674577149</v>
      </c>
      <c r="G38" s="89">
        <f>G36*G37</f>
        <v>1.2808801558080631</v>
      </c>
      <c r="H38" s="90">
        <f>SUM(C38:G38)</f>
        <v>15.345151986156393</v>
      </c>
      <c r="I38" s="12"/>
    </row>
    <row r="39" spans="1:9" ht="13.5" thickBot="1">
      <c r="A39" s="10"/>
      <c r="B39" s="13"/>
      <c r="C39" s="13"/>
      <c r="D39" s="46"/>
      <c r="E39" s="46"/>
      <c r="F39" s="46"/>
      <c r="G39" s="46"/>
      <c r="H39" s="82"/>
      <c r="I39" s="12"/>
    </row>
    <row r="40" spans="1:9" ht="13.5" thickBot="1">
      <c r="A40" s="10"/>
      <c r="B40" s="22" t="s">
        <v>7</v>
      </c>
      <c r="C40" s="23"/>
      <c r="D40" s="86">
        <f>D26-D35</f>
        <v>2034.8400000000008</v>
      </c>
      <c r="E40" s="86">
        <f>E29-E38</f>
        <v>23.237201463383187</v>
      </c>
      <c r="F40" s="86">
        <f>F29-F38</f>
        <v>14.675183470599265</v>
      </c>
      <c r="G40" s="86">
        <f>G29-G38</f>
        <v>3.4528073765260823</v>
      </c>
      <c r="H40" s="91">
        <f>SUM(E40:G40)</f>
        <v>41.36519231050853</v>
      </c>
      <c r="I40" s="12"/>
    </row>
    <row r="41" spans="1:9" ht="13.5" thickBot="1">
      <c r="A41" s="15"/>
      <c r="B41" s="17"/>
      <c r="C41" s="17"/>
      <c r="D41" s="17"/>
      <c r="E41" s="17"/>
      <c r="F41" s="17"/>
      <c r="G41" s="17"/>
      <c r="H41" s="17"/>
      <c r="I41" s="16"/>
    </row>
    <row r="42" ht="14.25" thickBot="1" thickTop="1"/>
    <row r="43" spans="1:9" ht="13.5" thickTop="1">
      <c r="A43" s="20"/>
      <c r="B43" s="123" t="str">
        <f>'January 2002'!B43</f>
        <v>Disconnection Savings</v>
      </c>
      <c r="C43" s="123"/>
      <c r="D43" s="9"/>
      <c r="F43" s="20"/>
      <c r="G43" s="123" t="str">
        <f>'January 2002'!G43</f>
        <v>Collection Savings</v>
      </c>
      <c r="H43" s="123"/>
      <c r="I43" s="9"/>
    </row>
    <row r="44" spans="1:9" ht="12.75">
      <c r="A44" s="10"/>
      <c r="B44" s="13" t="s">
        <v>80</v>
      </c>
      <c r="C44" s="13">
        <f>'Input Data'!B25</f>
        <v>3.4</v>
      </c>
      <c r="D44" s="12"/>
      <c r="F44" s="10"/>
      <c r="G44" s="13" t="s">
        <v>77</v>
      </c>
      <c r="H44" s="40">
        <f>'Input Data'!F49</f>
        <v>0.5</v>
      </c>
      <c r="I44" s="12"/>
    </row>
    <row r="45" spans="1:9" ht="12.75">
      <c r="A45" s="10"/>
      <c r="B45" s="13" t="s">
        <v>75</v>
      </c>
      <c r="C45" s="94">
        <f>'Input Data'!K49*'Input Data'!F49/100</f>
        <v>2.735</v>
      </c>
      <c r="D45" s="12"/>
      <c r="F45" s="10"/>
      <c r="G45" s="13" t="s">
        <v>31</v>
      </c>
      <c r="H45" s="25">
        <f>H51</f>
        <v>547</v>
      </c>
      <c r="I45" s="12"/>
    </row>
    <row r="46" spans="1:9" ht="12.75">
      <c r="A46" s="10"/>
      <c r="B46" s="13" t="s">
        <v>26</v>
      </c>
      <c r="C46" s="93">
        <f>C45*C44</f>
        <v>9.299</v>
      </c>
      <c r="D46" s="12"/>
      <c r="F46" s="10"/>
      <c r="G46" s="13" t="s">
        <v>32</v>
      </c>
      <c r="H46" s="25">
        <f>H44*H45</f>
        <v>273.5</v>
      </c>
      <c r="I46" s="12"/>
    </row>
    <row r="47" spans="1:9" ht="12.75">
      <c r="A47" s="10"/>
      <c r="B47" s="13" t="s">
        <v>24</v>
      </c>
      <c r="C47" s="14">
        <f>'January 2002'!C47</f>
        <v>121.18</v>
      </c>
      <c r="D47" s="12"/>
      <c r="F47" s="10"/>
      <c r="G47" s="13" t="s">
        <v>33</v>
      </c>
      <c r="H47" s="14">
        <f>'December 2001'!H47</f>
        <v>12.94</v>
      </c>
      <c r="I47" s="12"/>
    </row>
    <row r="48" spans="1:9" ht="12.75">
      <c r="A48" s="10"/>
      <c r="B48" s="13" t="s">
        <v>25</v>
      </c>
      <c r="C48" s="11">
        <f>C47*C46</f>
        <v>1126.85282</v>
      </c>
      <c r="D48" s="12"/>
      <c r="F48" s="10"/>
      <c r="G48" s="13" t="s">
        <v>34</v>
      </c>
      <c r="H48" s="11">
        <f>H46*H47</f>
        <v>3539.0899999999997</v>
      </c>
      <c r="I48" s="12"/>
    </row>
    <row r="49" spans="1:9" ht="12.75">
      <c r="A49" s="10"/>
      <c r="B49" s="13"/>
      <c r="C49" s="13"/>
      <c r="D49" s="12"/>
      <c r="F49" s="10"/>
      <c r="G49" s="13"/>
      <c r="H49" s="13"/>
      <c r="I49" s="12"/>
    </row>
    <row r="50" spans="1:9" ht="12.75">
      <c r="A50" s="10"/>
      <c r="B50" s="13" t="s">
        <v>81</v>
      </c>
      <c r="C50" s="13">
        <f>'Input Data'!C25</f>
        <v>4.2</v>
      </c>
      <c r="D50" s="12"/>
      <c r="F50" s="10"/>
      <c r="G50" s="13" t="s">
        <v>78</v>
      </c>
      <c r="H50" s="40">
        <f>'Input Data'!G49</f>
        <v>0.23</v>
      </c>
      <c r="I50" s="12"/>
    </row>
    <row r="51" spans="1:9" ht="12.75">
      <c r="A51" s="10"/>
      <c r="B51" s="13" t="s">
        <v>75</v>
      </c>
      <c r="C51" s="94">
        <f>'Input Data'!K49*'Input Data'!G49/100</f>
        <v>1.2581</v>
      </c>
      <c r="D51" s="12"/>
      <c r="F51" s="10"/>
      <c r="G51" s="13" t="s">
        <v>31</v>
      </c>
      <c r="H51" s="25">
        <f>'Input Data'!K49</f>
        <v>547</v>
      </c>
      <c r="I51" s="12"/>
    </row>
    <row r="52" spans="1:9" ht="12.75">
      <c r="A52" s="10"/>
      <c r="B52" s="13" t="s">
        <v>26</v>
      </c>
      <c r="C52" s="93">
        <f>C51*C50</f>
        <v>5.28402</v>
      </c>
      <c r="D52" s="12"/>
      <c r="F52" s="10"/>
      <c r="G52" s="13" t="s">
        <v>32</v>
      </c>
      <c r="H52" s="25">
        <f>H50*H51</f>
        <v>125.81</v>
      </c>
      <c r="I52" s="12"/>
    </row>
    <row r="53" spans="1:9" ht="12.75">
      <c r="A53" s="10"/>
      <c r="B53" s="13" t="s">
        <v>24</v>
      </c>
      <c r="C53" s="14">
        <f>C47</f>
        <v>121.18</v>
      </c>
      <c r="D53" s="12"/>
      <c r="F53" s="10"/>
      <c r="G53" s="13" t="s">
        <v>33</v>
      </c>
      <c r="H53" s="14">
        <f>H47</f>
        <v>12.94</v>
      </c>
      <c r="I53" s="12"/>
    </row>
    <row r="54" spans="1:9" ht="12.75">
      <c r="A54" s="10"/>
      <c r="B54" s="13" t="s">
        <v>25</v>
      </c>
      <c r="C54" s="11">
        <f>C53*C52</f>
        <v>640.3175436</v>
      </c>
      <c r="D54" s="12"/>
      <c r="F54" s="10"/>
      <c r="G54" s="13" t="s">
        <v>34</v>
      </c>
      <c r="H54" s="11">
        <f>H52*H53</f>
        <v>1627.9814</v>
      </c>
      <c r="I54" s="12"/>
    </row>
    <row r="55" spans="1:9" ht="13.5" thickBot="1">
      <c r="A55" s="10"/>
      <c r="B55" s="13"/>
      <c r="C55" s="13"/>
      <c r="D55" s="12"/>
      <c r="F55" s="10"/>
      <c r="G55" s="13"/>
      <c r="H55" s="13"/>
      <c r="I55" s="12"/>
    </row>
    <row r="56" spans="1:9" ht="13.5" thickBot="1">
      <c r="A56" s="10"/>
      <c r="B56" s="22" t="s">
        <v>7</v>
      </c>
      <c r="C56" s="36">
        <f>C48-C54</f>
        <v>486.53527640000004</v>
      </c>
      <c r="D56" s="12"/>
      <c r="F56" s="10"/>
      <c r="G56" s="22" t="s">
        <v>7</v>
      </c>
      <c r="H56" s="36">
        <f>H48-H54</f>
        <v>1911.1085999999998</v>
      </c>
      <c r="I56" s="12"/>
    </row>
    <row r="57" spans="1:9" ht="13.5" thickBot="1">
      <c r="A57" s="15"/>
      <c r="B57" s="17"/>
      <c r="C57" s="17"/>
      <c r="D57" s="16"/>
      <c r="F57" s="15"/>
      <c r="G57" s="17"/>
      <c r="H57" s="17"/>
      <c r="I57" s="16"/>
    </row>
    <row r="58" ht="13.5" thickTop="1"/>
  </sheetData>
  <mergeCells count="4">
    <mergeCell ref="C22:H22"/>
    <mergeCell ref="C2:H2"/>
    <mergeCell ref="G43:H43"/>
    <mergeCell ref="B43:C43"/>
  </mergeCells>
  <printOptions/>
  <pageMargins left="0.75" right="0.75" top="1" bottom="1" header="0.5" footer="0.5"/>
  <pageSetup fitToHeight="1" fitToWidth="1" horizontalDpi="600" verticalDpi="600" orientation="landscape" scale="62" r:id="rId1"/>
  <headerFooter alignWithMargins="0">
    <oddHeader>&amp;R&amp;"Arial,Bold"&amp;12Appendix A</oddHeader>
    <oddFooter>&amp;RPage &amp;P
&amp;F
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 topLeftCell="C14">
      <selection activeCell="E43" sqref="E43"/>
    </sheetView>
  </sheetViews>
  <sheetFormatPr defaultColWidth="9.140625" defaultRowHeight="12.75"/>
  <cols>
    <col min="2" max="2" width="39.421875" style="0" bestFit="1" customWidth="1"/>
    <col min="3" max="3" width="11.140625" style="0" bestFit="1" customWidth="1"/>
    <col min="4" max="4" width="15.28125" style="0" customWidth="1"/>
    <col min="5" max="5" width="13.140625" style="0" bestFit="1" customWidth="1"/>
    <col min="6" max="6" width="12.8515625" style="0" bestFit="1" customWidth="1"/>
    <col min="7" max="7" width="41.7109375" style="0" bestFit="1" customWidth="1"/>
  </cols>
  <sheetData>
    <row r="1" ht="18.75" thickBot="1">
      <c r="B1" s="100">
        <v>37742</v>
      </c>
    </row>
    <row r="2" spans="1:9" ht="19.5" thickBot="1" thickTop="1">
      <c r="A2" s="20"/>
      <c r="B2" s="18"/>
      <c r="C2" s="122" t="str">
        <f>'January 2002'!C2</f>
        <v>Monthly Arrears: Working Capital</v>
      </c>
      <c r="D2" s="122"/>
      <c r="E2" s="122"/>
      <c r="F2" s="122"/>
      <c r="G2" s="122"/>
      <c r="H2" s="122"/>
      <c r="I2" s="9"/>
    </row>
    <row r="3" spans="1:9" ht="15.75">
      <c r="A3" s="10"/>
      <c r="B3" s="19" t="str">
        <f>'December 2001'!B3</f>
        <v>EA population</v>
      </c>
      <c r="C3" s="46"/>
      <c r="D3" s="46" t="s">
        <v>20</v>
      </c>
      <c r="E3" s="46" t="s">
        <v>0</v>
      </c>
      <c r="F3" s="46" t="s">
        <v>1</v>
      </c>
      <c r="G3" s="46" t="s">
        <v>2</v>
      </c>
      <c r="H3" s="81" t="s">
        <v>8</v>
      </c>
      <c r="I3" s="12"/>
    </row>
    <row r="4" spans="1:9" ht="12.75">
      <c r="A4" s="10"/>
      <c r="B4" s="13" t="s">
        <v>3</v>
      </c>
      <c r="C4" s="38"/>
      <c r="D4" s="38">
        <f>'Input Data'!K50*'Input Data'!F50*'Input Data'!B50</f>
        <v>51093.12</v>
      </c>
      <c r="E4" s="38">
        <f>$D$4*'Input Data'!B4</f>
        <v>12773.28</v>
      </c>
      <c r="F4" s="38">
        <f>$D$4*'Input Data'!C4</f>
        <v>10218.624000000002</v>
      </c>
      <c r="G4" s="38">
        <f>$D$4*'Input Data'!D4</f>
        <v>28101.216000000004</v>
      </c>
      <c r="H4" s="82"/>
      <c r="I4" s="12"/>
    </row>
    <row r="5" spans="1:9" ht="12.75">
      <c r="A5" s="10"/>
      <c r="B5" s="13" t="s">
        <v>10</v>
      </c>
      <c r="C5" s="38"/>
      <c r="D5" s="38"/>
      <c r="E5" s="38">
        <f>E4*E24</f>
        <v>12134.616</v>
      </c>
      <c r="F5" s="38">
        <f>F4*F24</f>
        <v>9196.761600000002</v>
      </c>
      <c r="G5" s="38">
        <f>G4*G24</f>
        <v>23886.033600000002</v>
      </c>
      <c r="H5" s="82"/>
      <c r="I5" s="12"/>
    </row>
    <row r="6" spans="1:9" ht="12.75">
      <c r="A6" s="10"/>
      <c r="B6" s="13" t="s">
        <v>5</v>
      </c>
      <c r="C6" s="92"/>
      <c r="D6" s="92"/>
      <c r="E6" s="92">
        <f>E5/1000</f>
        <v>12.134616</v>
      </c>
      <c r="F6" s="92">
        <f>F5/1000</f>
        <v>9.196761600000002</v>
      </c>
      <c r="G6" s="92">
        <f>G5/1000</f>
        <v>23.8860336</v>
      </c>
      <c r="H6" s="82"/>
      <c r="I6" s="12"/>
    </row>
    <row r="7" spans="1:9" ht="12.75">
      <c r="A7" s="10"/>
      <c r="B7" s="13" t="s">
        <v>4</v>
      </c>
      <c r="C7" s="83"/>
      <c r="D7" s="83"/>
      <c r="E7" s="83">
        <f>'December 2001'!E7</f>
        <v>6.18</v>
      </c>
      <c r="F7" s="83">
        <f>'December 2001'!F7</f>
        <v>9.28</v>
      </c>
      <c r="G7" s="83">
        <f>'December 2001'!G7</f>
        <v>32.87</v>
      </c>
      <c r="H7" s="82"/>
      <c r="I7" s="12"/>
    </row>
    <row r="8" spans="1:9" ht="12.75">
      <c r="A8" s="10"/>
      <c r="B8" s="21" t="s">
        <v>6</v>
      </c>
      <c r="C8" s="84"/>
      <c r="D8" s="84"/>
      <c r="E8" s="84">
        <f>E6*E7</f>
        <v>74.99192688</v>
      </c>
      <c r="F8" s="84">
        <f>F6*F7</f>
        <v>85.34594764800002</v>
      </c>
      <c r="G8" s="84">
        <f>G6*G7</f>
        <v>785.133924432</v>
      </c>
      <c r="H8" s="85">
        <f>SUM(C8:G8)</f>
        <v>945.47179896</v>
      </c>
      <c r="I8" s="12"/>
    </row>
    <row r="9" spans="1:9" ht="12.75">
      <c r="A9" s="10"/>
      <c r="B9" s="13"/>
      <c r="C9" s="46"/>
      <c r="D9" s="46"/>
      <c r="E9" s="46"/>
      <c r="F9" s="46"/>
      <c r="G9" s="46"/>
      <c r="H9" s="82"/>
      <c r="I9" s="12"/>
    </row>
    <row r="10" spans="1:9" ht="12.75">
      <c r="A10" s="10"/>
      <c r="B10" s="13"/>
      <c r="C10" s="46"/>
      <c r="D10" s="46"/>
      <c r="E10" s="46"/>
      <c r="F10" s="46"/>
      <c r="G10" s="46"/>
      <c r="H10" s="82"/>
      <c r="I10" s="12"/>
    </row>
    <row r="11" spans="1:9" ht="15.75">
      <c r="A11" s="10"/>
      <c r="B11" s="19" t="str">
        <f>'December 2001'!B11</f>
        <v>ELIP population</v>
      </c>
      <c r="C11" s="46"/>
      <c r="D11" s="46" t="str">
        <f>D3</f>
        <v>Total Arrears ($s)</v>
      </c>
      <c r="E11" s="46" t="str">
        <f>E3</f>
        <v>30-day Arrears</v>
      </c>
      <c r="F11" s="46" t="str">
        <f>F3</f>
        <v>60-day arrears</v>
      </c>
      <c r="G11" s="46" t="str">
        <f>G3</f>
        <v>90-day arrears</v>
      </c>
      <c r="H11" s="82"/>
      <c r="I11" s="12"/>
    </row>
    <row r="12" spans="1:9" ht="12.75">
      <c r="A12" s="10"/>
      <c r="B12" s="13" t="str">
        <f>B4</f>
        <v>Dollars</v>
      </c>
      <c r="C12" s="38"/>
      <c r="D12" s="38">
        <f>'Input Data'!K50*'Input Data'!G50*'Input Data'!C50</f>
        <v>12682.5</v>
      </c>
      <c r="E12" s="38">
        <f>$D$12*'Input Data'!B4</f>
        <v>3170.625</v>
      </c>
      <c r="F12" s="38">
        <f>$D$12*'Input Data'!C4</f>
        <v>2536.5</v>
      </c>
      <c r="G12" s="38">
        <f>$D$12*'Input Data'!D4</f>
        <v>6975.375000000001</v>
      </c>
      <c r="H12" s="82"/>
      <c r="I12" s="12"/>
    </row>
    <row r="13" spans="1:9" ht="12.75">
      <c r="A13" s="10"/>
      <c r="B13" s="13" t="str">
        <f>B5</f>
        <v>Dollars adjusted for charge-offs</v>
      </c>
      <c r="C13" s="38"/>
      <c r="D13" s="38"/>
      <c r="E13" s="38">
        <f>E12*E24</f>
        <v>3012.09375</v>
      </c>
      <c r="F13" s="38">
        <f>F12*F24</f>
        <v>2282.85</v>
      </c>
      <c r="G13" s="38">
        <f>G12*G24</f>
        <v>5929.06875</v>
      </c>
      <c r="H13" s="82"/>
      <c r="I13" s="12"/>
    </row>
    <row r="14" spans="1:9" ht="12.75">
      <c r="A14" s="10"/>
      <c r="B14" s="13" t="str">
        <f>B6</f>
        <v>$1,000 increments</v>
      </c>
      <c r="C14" s="92"/>
      <c r="D14" s="92"/>
      <c r="E14" s="92">
        <f>E13/1000</f>
        <v>3.01209375</v>
      </c>
      <c r="F14" s="92">
        <f>F13/1000</f>
        <v>2.28285</v>
      </c>
      <c r="G14" s="92">
        <f>G13/1000</f>
        <v>5.929068750000001</v>
      </c>
      <c r="H14" s="82"/>
      <c r="I14" s="12"/>
    </row>
    <row r="15" spans="1:9" ht="12.75">
      <c r="A15" s="10"/>
      <c r="B15" s="13" t="str">
        <f>B7</f>
        <v>Working capital per $1,000</v>
      </c>
      <c r="C15" s="83"/>
      <c r="D15" s="83"/>
      <c r="E15" s="83">
        <f>E7</f>
        <v>6.18</v>
      </c>
      <c r="F15" s="83">
        <f>F7</f>
        <v>9.28</v>
      </c>
      <c r="G15" s="83">
        <f>G7</f>
        <v>32.87</v>
      </c>
      <c r="H15" s="82"/>
      <c r="I15" s="12"/>
    </row>
    <row r="16" spans="1:9" ht="12.75">
      <c r="A16" s="10"/>
      <c r="B16" s="21" t="str">
        <f>B8</f>
        <v>Total working capital expense</v>
      </c>
      <c r="C16" s="84"/>
      <c r="D16" s="84"/>
      <c r="E16" s="84">
        <f>E14*E15</f>
        <v>18.614739375</v>
      </c>
      <c r="F16" s="84">
        <f>F14*F15</f>
        <v>21.184847999999995</v>
      </c>
      <c r="G16" s="84">
        <f>G14*G15</f>
        <v>194.8884898125</v>
      </c>
      <c r="H16" s="85">
        <f>SUM(C16:G16)</f>
        <v>234.6880771875</v>
      </c>
      <c r="I16" s="12"/>
    </row>
    <row r="17" spans="1:9" ht="13.5" thickBot="1">
      <c r="A17" s="10"/>
      <c r="B17" s="13"/>
      <c r="C17" s="46"/>
      <c r="D17" s="46"/>
      <c r="E17" s="46"/>
      <c r="F17" s="46"/>
      <c r="G17" s="46"/>
      <c r="H17" s="82"/>
      <c r="I17" s="12"/>
    </row>
    <row r="18" spans="1:9" ht="13.5" thickBot="1">
      <c r="A18" s="10"/>
      <c r="B18" s="22" t="s">
        <v>7</v>
      </c>
      <c r="C18" s="86"/>
      <c r="D18" s="86"/>
      <c r="E18" s="86">
        <f>E8-E16</f>
        <v>56.377187504999995</v>
      </c>
      <c r="F18" s="86">
        <f>F8-F16</f>
        <v>64.16109964800003</v>
      </c>
      <c r="G18" s="86">
        <f>G8-G16</f>
        <v>590.2454346195</v>
      </c>
      <c r="H18" s="87">
        <f>SUM(C18:G18)</f>
        <v>710.7837217725</v>
      </c>
      <c r="I18" s="12"/>
    </row>
    <row r="19" spans="1:9" ht="13.5" thickBot="1">
      <c r="A19" s="15"/>
      <c r="B19" s="17"/>
      <c r="C19" s="17"/>
      <c r="D19" s="17"/>
      <c r="E19" s="17"/>
      <c r="F19" s="17"/>
      <c r="G19" s="17"/>
      <c r="H19" s="17"/>
      <c r="I19" s="16"/>
    </row>
    <row r="20" ht="13.5" thickTop="1"/>
    <row r="21" ht="13.5" thickBot="1"/>
    <row r="22" spans="1:9" ht="18" thickBot="1" thickTop="1">
      <c r="A22" s="20"/>
      <c r="B22" s="8"/>
      <c r="C22" s="122" t="s">
        <v>52</v>
      </c>
      <c r="D22" s="122"/>
      <c r="E22" s="122"/>
      <c r="F22" s="122"/>
      <c r="G22" s="122"/>
      <c r="H22" s="122"/>
      <c r="I22" s="9"/>
    </row>
    <row r="23" spans="1:9" ht="15.75">
      <c r="A23" s="10"/>
      <c r="B23" s="19" t="str">
        <f>B3</f>
        <v>EA population</v>
      </c>
      <c r="C23" s="13"/>
      <c r="D23" s="46" t="s">
        <v>53</v>
      </c>
      <c r="E23" s="46" t="str">
        <f>E3</f>
        <v>30-day Arrears</v>
      </c>
      <c r="F23" s="46" t="str">
        <f>F3</f>
        <v>60-day arrears</v>
      </c>
      <c r="G23" s="46" t="str">
        <f>G3</f>
        <v>90-day arrears</v>
      </c>
      <c r="H23" s="81" t="str">
        <f>H3</f>
        <v>Total</v>
      </c>
      <c r="I23" s="12"/>
    </row>
    <row r="24" spans="1:9" ht="12.75">
      <c r="A24" s="10"/>
      <c r="B24" s="13" t="s">
        <v>11</v>
      </c>
      <c r="C24" s="26"/>
      <c r="D24" s="88"/>
      <c r="E24" s="88">
        <v>0.95</v>
      </c>
      <c r="F24" s="88">
        <v>0.9</v>
      </c>
      <c r="G24" s="88">
        <v>0.85</v>
      </c>
      <c r="H24" s="82"/>
      <c r="I24" s="12"/>
    </row>
    <row r="25" spans="1:9" ht="12.75">
      <c r="A25" s="10"/>
      <c r="B25" s="13" t="s">
        <v>12</v>
      </c>
      <c r="C25" s="26"/>
      <c r="D25" s="88"/>
      <c r="E25" s="88">
        <f>1-E24</f>
        <v>0.050000000000000044</v>
      </c>
      <c r="F25" s="88">
        <f>(1-F24)-E25</f>
        <v>0.04999999999999993</v>
      </c>
      <c r="G25" s="88">
        <f>(1-G24)-(E25+F25)</f>
        <v>0.050000000000000044</v>
      </c>
      <c r="H25" s="82"/>
      <c r="I25" s="12"/>
    </row>
    <row r="26" spans="1:9" ht="12.75">
      <c r="A26" s="10"/>
      <c r="B26" s="13" t="s">
        <v>13</v>
      </c>
      <c r="C26" s="27"/>
      <c r="D26" s="38">
        <f>SUM(E26:G26)</f>
        <v>2554.6560000000013</v>
      </c>
      <c r="E26" s="38">
        <f>E25*E4</f>
        <v>638.6640000000006</v>
      </c>
      <c r="F26" s="38">
        <f>F25*F4</f>
        <v>510.9311999999994</v>
      </c>
      <c r="G26" s="38">
        <f>G25*G4</f>
        <v>1405.0608000000013</v>
      </c>
      <c r="H26" s="82"/>
      <c r="I26" s="12"/>
    </row>
    <row r="27" spans="1:9" ht="12.75">
      <c r="A27" s="10"/>
      <c r="B27" s="13" t="s">
        <v>5</v>
      </c>
      <c r="C27" s="25"/>
      <c r="D27" s="92"/>
      <c r="E27" s="92">
        <f>E26/1000</f>
        <v>0.6386640000000006</v>
      </c>
      <c r="F27" s="92">
        <f>F26/1000</f>
        <v>0.5109311999999995</v>
      </c>
      <c r="G27" s="92">
        <f>G26/1000</f>
        <v>1.4050608000000013</v>
      </c>
      <c r="H27" s="82"/>
      <c r="I27" s="12"/>
    </row>
    <row r="28" spans="1:9" ht="12.75">
      <c r="A28" s="10"/>
      <c r="B28" s="13" t="s">
        <v>4</v>
      </c>
      <c r="C28" s="14"/>
      <c r="D28" s="83"/>
      <c r="E28" s="83">
        <f>'December 2001'!E28</f>
        <v>45.67868031566741</v>
      </c>
      <c r="F28" s="83">
        <f>'December 2001'!F28</f>
        <v>36.059797012539775</v>
      </c>
      <c r="G28" s="83">
        <f>'December 2001'!G28</f>
        <v>3.0851720988794114</v>
      </c>
      <c r="H28" s="82"/>
      <c r="I28" s="12"/>
    </row>
    <row r="29" spans="1:9" ht="12.75">
      <c r="A29" s="10"/>
      <c r="B29" s="21" t="s">
        <v>6</v>
      </c>
      <c r="C29" s="28"/>
      <c r="D29" s="89"/>
      <c r="E29" s="89">
        <f>E27*E28</f>
        <v>29.173328685125433</v>
      </c>
      <c r="F29" s="89">
        <f>F27*F28</f>
        <v>18.424075359373344</v>
      </c>
      <c r="G29" s="89">
        <f>G27*G28</f>
        <v>4.334854377389189</v>
      </c>
      <c r="H29" s="90">
        <f>SUM(C29:G29)</f>
        <v>51.932258421887965</v>
      </c>
      <c r="I29" s="12"/>
    </row>
    <row r="30" spans="1:9" ht="12.75">
      <c r="A30" s="10"/>
      <c r="B30" s="13"/>
      <c r="C30" s="13"/>
      <c r="D30" s="46"/>
      <c r="E30" s="46"/>
      <c r="F30" s="46"/>
      <c r="G30" s="46"/>
      <c r="H30" s="82"/>
      <c r="I30" s="12"/>
    </row>
    <row r="31" spans="1:9" ht="12.75">
      <c r="A31" s="10"/>
      <c r="B31" s="13"/>
      <c r="C31" s="13"/>
      <c r="D31" s="46"/>
      <c r="E31" s="46"/>
      <c r="F31" s="46"/>
      <c r="G31" s="46"/>
      <c r="H31" s="82"/>
      <c r="I31" s="12"/>
    </row>
    <row r="32" spans="1:9" ht="15.75">
      <c r="A32" s="10"/>
      <c r="B32" s="19" t="str">
        <f>B11</f>
        <v>ELIP population</v>
      </c>
      <c r="C32" s="13"/>
      <c r="D32" s="46" t="s">
        <v>53</v>
      </c>
      <c r="E32" s="46" t="str">
        <f>E11</f>
        <v>30-day Arrears</v>
      </c>
      <c r="F32" s="46" t="str">
        <f>F11</f>
        <v>60-day arrears</v>
      </c>
      <c r="G32" s="46" t="str">
        <f>G11</f>
        <v>90-day arrears</v>
      </c>
      <c r="H32" s="82"/>
      <c r="I32" s="12"/>
    </row>
    <row r="33" spans="1:9" ht="12.75">
      <c r="A33" s="10"/>
      <c r="B33" s="13" t="str">
        <f aca="true" t="shared" si="0" ref="B33:B38">B24</f>
        <v>Collectability factor</v>
      </c>
      <c r="C33" s="26"/>
      <c r="D33" s="88"/>
      <c r="E33" s="88">
        <f>E24</f>
        <v>0.95</v>
      </c>
      <c r="F33" s="88">
        <f>F24</f>
        <v>0.9</v>
      </c>
      <c r="G33" s="88">
        <f>G24</f>
        <v>0.85</v>
      </c>
      <c r="H33" s="82"/>
      <c r="I33" s="12"/>
    </row>
    <row r="34" spans="1:9" ht="12.75">
      <c r="A34" s="10"/>
      <c r="B34" s="13" t="str">
        <f t="shared" si="0"/>
        <v>Uncollectable rate</v>
      </c>
      <c r="C34" s="26"/>
      <c r="D34" s="88"/>
      <c r="E34" s="88">
        <f>1-E33</f>
        <v>0.050000000000000044</v>
      </c>
      <c r="F34" s="88">
        <f>(1-F33)-E34</f>
        <v>0.04999999999999993</v>
      </c>
      <c r="G34" s="88">
        <f>(1-G33)-(E34+F34)</f>
        <v>0.050000000000000044</v>
      </c>
      <c r="H34" s="82"/>
      <c r="I34" s="12"/>
    </row>
    <row r="35" spans="1:9" ht="12.75">
      <c r="A35" s="10"/>
      <c r="B35" s="13" t="str">
        <f t="shared" si="0"/>
        <v>Uncollectable dollars</v>
      </c>
      <c r="C35" s="27"/>
      <c r="D35" s="38">
        <f>SUM(E35:G35)</f>
        <v>634.1250000000003</v>
      </c>
      <c r="E35" s="38">
        <f>E34*E12</f>
        <v>158.53125000000014</v>
      </c>
      <c r="F35" s="38">
        <f>F34*F12</f>
        <v>126.82499999999983</v>
      </c>
      <c r="G35" s="38">
        <f>G34*G12</f>
        <v>348.76875000000035</v>
      </c>
      <c r="H35" s="82"/>
      <c r="I35" s="12"/>
    </row>
    <row r="36" spans="1:9" ht="12.75">
      <c r="A36" s="10"/>
      <c r="B36" s="13" t="str">
        <f t="shared" si="0"/>
        <v>$1,000 increments</v>
      </c>
      <c r="C36" s="25"/>
      <c r="D36" s="92"/>
      <c r="E36" s="92">
        <f>E35/1000</f>
        <v>0.15853125000000015</v>
      </c>
      <c r="F36" s="92">
        <f>F35/1000</f>
        <v>0.12682499999999983</v>
      </c>
      <c r="G36" s="92">
        <f>G35/1000</f>
        <v>0.34876875000000035</v>
      </c>
      <c r="H36" s="82"/>
      <c r="I36" s="12"/>
    </row>
    <row r="37" spans="1:9" ht="12.75">
      <c r="A37" s="10"/>
      <c r="B37" s="13" t="str">
        <f t="shared" si="0"/>
        <v>Working capital per $1,000</v>
      </c>
      <c r="C37" s="14"/>
      <c r="D37" s="83"/>
      <c r="E37" s="83">
        <f>E28</f>
        <v>45.67868031566741</v>
      </c>
      <c r="F37" s="83">
        <f>F28</f>
        <v>36.059797012539775</v>
      </c>
      <c r="G37" s="83">
        <f>G28</f>
        <v>3.0851720988794114</v>
      </c>
      <c r="H37" s="82"/>
      <c r="I37" s="12"/>
    </row>
    <row r="38" spans="1:9" ht="12.75">
      <c r="A38" s="10"/>
      <c r="B38" s="21" t="str">
        <f t="shared" si="0"/>
        <v>Total working capital expense</v>
      </c>
      <c r="C38" s="28"/>
      <c r="D38" s="89"/>
      <c r="E38" s="89">
        <f>E36*E37</f>
        <v>7.241498288793156</v>
      </c>
      <c r="F38" s="89">
        <f>F36*F37</f>
        <v>4.573283756115351</v>
      </c>
      <c r="G38" s="89">
        <f>G36*G37</f>
        <v>1.0760116164610498</v>
      </c>
      <c r="H38" s="90">
        <f>SUM(C38:G38)</f>
        <v>12.890793661369557</v>
      </c>
      <c r="I38" s="12"/>
    </row>
    <row r="39" spans="1:9" ht="13.5" thickBot="1">
      <c r="A39" s="10"/>
      <c r="B39" s="13"/>
      <c r="C39" s="13"/>
      <c r="D39" s="46"/>
      <c r="E39" s="46"/>
      <c r="F39" s="46"/>
      <c r="G39" s="46"/>
      <c r="H39" s="82"/>
      <c r="I39" s="12"/>
    </row>
    <row r="40" spans="1:9" ht="13.5" thickBot="1">
      <c r="A40" s="10"/>
      <c r="B40" s="22" t="s">
        <v>7</v>
      </c>
      <c r="C40" s="23"/>
      <c r="D40" s="86">
        <f>D26-D35</f>
        <v>1920.5310000000009</v>
      </c>
      <c r="E40" s="86">
        <f>E29-E38</f>
        <v>21.931830396332277</v>
      </c>
      <c r="F40" s="86">
        <f>F29-F38</f>
        <v>13.850791603257992</v>
      </c>
      <c r="G40" s="86">
        <f>G29-G38</f>
        <v>3.2588427609281396</v>
      </c>
      <c r="H40" s="91">
        <f>SUM(E40:G40)</f>
        <v>39.04146476051841</v>
      </c>
      <c r="I40" s="12"/>
    </row>
    <row r="41" spans="1:9" ht="13.5" thickBot="1">
      <c r="A41" s="15"/>
      <c r="B41" s="17"/>
      <c r="C41" s="17"/>
      <c r="D41" s="17"/>
      <c r="E41" s="17"/>
      <c r="F41" s="17"/>
      <c r="G41" s="17"/>
      <c r="H41" s="17"/>
      <c r="I41" s="16"/>
    </row>
    <row r="42" ht="14.25" thickBot="1" thickTop="1"/>
    <row r="43" spans="1:9" ht="13.5" thickTop="1">
      <c r="A43" s="20"/>
      <c r="B43" s="123" t="str">
        <f>'January 2002'!B43</f>
        <v>Disconnection Savings</v>
      </c>
      <c r="C43" s="123"/>
      <c r="D43" s="9"/>
      <c r="F43" s="20"/>
      <c r="G43" s="123" t="str">
        <f>'January 2002'!G43</f>
        <v>Collection Savings</v>
      </c>
      <c r="H43" s="123"/>
      <c r="I43" s="9"/>
    </row>
    <row r="44" spans="1:9" ht="12.75">
      <c r="A44" s="10"/>
      <c r="B44" s="13" t="s">
        <v>80</v>
      </c>
      <c r="C44" s="13">
        <f>'Input Data'!B26</f>
        <v>5.7</v>
      </c>
      <c r="D44" s="12"/>
      <c r="F44" s="10"/>
      <c r="G44" s="13" t="s">
        <v>77</v>
      </c>
      <c r="H44" s="40">
        <f>'Input Data'!F50</f>
        <v>0.52</v>
      </c>
      <c r="I44" s="12"/>
    </row>
    <row r="45" spans="1:9" ht="12.75">
      <c r="A45" s="10"/>
      <c r="B45" s="13" t="s">
        <v>75</v>
      </c>
      <c r="C45" s="94">
        <f>'Input Data'!K50*'Input Data'!F50/100</f>
        <v>2.7768</v>
      </c>
      <c r="D45" s="12"/>
      <c r="F45" s="10"/>
      <c r="G45" s="13" t="s">
        <v>31</v>
      </c>
      <c r="H45" s="25">
        <f>H51</f>
        <v>534</v>
      </c>
      <c r="I45" s="12"/>
    </row>
    <row r="46" spans="1:9" ht="12.75">
      <c r="A46" s="10"/>
      <c r="B46" s="13" t="s">
        <v>26</v>
      </c>
      <c r="C46" s="93">
        <f>C45*C44</f>
        <v>15.827760000000001</v>
      </c>
      <c r="D46" s="12"/>
      <c r="F46" s="10"/>
      <c r="G46" s="13" t="s">
        <v>32</v>
      </c>
      <c r="H46" s="25">
        <f>H44*H45</f>
        <v>277.68</v>
      </c>
      <c r="I46" s="12"/>
    </row>
    <row r="47" spans="1:9" ht="12.75">
      <c r="A47" s="10"/>
      <c r="B47" s="13" t="s">
        <v>24</v>
      </c>
      <c r="C47" s="14">
        <f>'January 2002'!C47</f>
        <v>121.18</v>
      </c>
      <c r="D47" s="12"/>
      <c r="F47" s="10"/>
      <c r="G47" s="13" t="s">
        <v>33</v>
      </c>
      <c r="H47" s="14">
        <f>'December 2001'!H47</f>
        <v>12.94</v>
      </c>
      <c r="I47" s="12"/>
    </row>
    <row r="48" spans="1:9" ht="12.75">
      <c r="A48" s="10"/>
      <c r="B48" s="13" t="s">
        <v>25</v>
      </c>
      <c r="C48" s="11">
        <f>C47*C46</f>
        <v>1918.0079568000003</v>
      </c>
      <c r="D48" s="12"/>
      <c r="F48" s="10"/>
      <c r="G48" s="13" t="s">
        <v>34</v>
      </c>
      <c r="H48" s="11">
        <f>H46*H47</f>
        <v>3593.1792</v>
      </c>
      <c r="I48" s="12"/>
    </row>
    <row r="49" spans="1:9" ht="12.75">
      <c r="A49" s="10"/>
      <c r="B49" s="13"/>
      <c r="C49" s="13"/>
      <c r="D49" s="12"/>
      <c r="F49" s="10"/>
      <c r="G49" s="13"/>
      <c r="H49" s="13"/>
      <c r="I49" s="12"/>
    </row>
    <row r="50" spans="1:9" ht="12.75">
      <c r="A50" s="10"/>
      <c r="B50" s="13" t="s">
        <v>81</v>
      </c>
      <c r="C50" s="13">
        <f>'Input Data'!C26</f>
        <v>3</v>
      </c>
      <c r="D50" s="12"/>
      <c r="F50" s="10"/>
      <c r="G50" s="13" t="s">
        <v>78</v>
      </c>
      <c r="H50" s="40">
        <f>'Input Data'!G50</f>
        <v>0.25</v>
      </c>
      <c r="I50" s="12"/>
    </row>
    <row r="51" spans="1:9" ht="12.75">
      <c r="A51" s="10"/>
      <c r="B51" s="13" t="s">
        <v>75</v>
      </c>
      <c r="C51" s="94">
        <f>'Input Data'!K50*'Input Data'!G50/100</f>
        <v>1.335</v>
      </c>
      <c r="D51" s="12"/>
      <c r="F51" s="10"/>
      <c r="G51" s="13" t="s">
        <v>31</v>
      </c>
      <c r="H51" s="25">
        <f>'Input Data'!K50</f>
        <v>534</v>
      </c>
      <c r="I51" s="12"/>
    </row>
    <row r="52" spans="1:9" ht="12.75">
      <c r="A52" s="10"/>
      <c r="B52" s="13" t="s">
        <v>26</v>
      </c>
      <c r="C52" s="93">
        <f>C51*C50</f>
        <v>4.005</v>
      </c>
      <c r="D52" s="12"/>
      <c r="F52" s="10"/>
      <c r="G52" s="13" t="s">
        <v>32</v>
      </c>
      <c r="H52" s="25">
        <f>H50*H51</f>
        <v>133.5</v>
      </c>
      <c r="I52" s="12"/>
    </row>
    <row r="53" spans="1:9" ht="12.75">
      <c r="A53" s="10"/>
      <c r="B53" s="13" t="s">
        <v>24</v>
      </c>
      <c r="C53" s="14">
        <f>C47</f>
        <v>121.18</v>
      </c>
      <c r="D53" s="12"/>
      <c r="F53" s="10"/>
      <c r="G53" s="13" t="s">
        <v>33</v>
      </c>
      <c r="H53" s="14">
        <f>H47</f>
        <v>12.94</v>
      </c>
      <c r="I53" s="12"/>
    </row>
    <row r="54" spans="1:9" ht="12.75">
      <c r="A54" s="10"/>
      <c r="B54" s="13" t="s">
        <v>25</v>
      </c>
      <c r="C54" s="11">
        <f>C53*C52</f>
        <v>485.3259</v>
      </c>
      <c r="D54" s="12"/>
      <c r="F54" s="10"/>
      <c r="G54" s="13" t="s">
        <v>34</v>
      </c>
      <c r="H54" s="11">
        <f>H52*H53</f>
        <v>1727.49</v>
      </c>
      <c r="I54" s="12"/>
    </row>
    <row r="55" spans="1:9" ht="13.5" thickBot="1">
      <c r="A55" s="10"/>
      <c r="B55" s="13"/>
      <c r="C55" s="13"/>
      <c r="D55" s="12"/>
      <c r="F55" s="10"/>
      <c r="G55" s="13"/>
      <c r="H55" s="13"/>
      <c r="I55" s="12"/>
    </row>
    <row r="56" spans="1:9" ht="13.5" thickBot="1">
      <c r="A56" s="10"/>
      <c r="B56" s="22" t="s">
        <v>7</v>
      </c>
      <c r="C56" s="36">
        <f>C48-C54</f>
        <v>1432.6820568000003</v>
      </c>
      <c r="D56" s="12"/>
      <c r="F56" s="10"/>
      <c r="G56" s="22" t="s">
        <v>7</v>
      </c>
      <c r="H56" s="36">
        <f>H48-H54</f>
        <v>1865.6892</v>
      </c>
      <c r="I56" s="12"/>
    </row>
    <row r="57" spans="1:9" ht="13.5" thickBot="1">
      <c r="A57" s="15"/>
      <c r="B57" s="17"/>
      <c r="C57" s="17"/>
      <c r="D57" s="16"/>
      <c r="F57" s="15"/>
      <c r="G57" s="17"/>
      <c r="H57" s="17"/>
      <c r="I57" s="16"/>
    </row>
    <row r="58" ht="13.5" thickTop="1"/>
  </sheetData>
  <mergeCells count="4">
    <mergeCell ref="C22:H22"/>
    <mergeCell ref="C2:H2"/>
    <mergeCell ref="G43:H43"/>
    <mergeCell ref="B43:C43"/>
  </mergeCells>
  <printOptions/>
  <pageMargins left="0.75" right="0.75" top="1" bottom="1" header="0.5" footer="0.5"/>
  <pageSetup fitToHeight="1" fitToWidth="1" horizontalDpi="600" verticalDpi="600" orientation="landscape" scale="62" r:id="rId1"/>
  <headerFooter alignWithMargins="0">
    <oddHeader>&amp;R&amp;"Arial,Bold"&amp;12Appendix A</oddHeader>
    <oddFooter>&amp;RPage &amp;P
&amp;F
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 topLeftCell="B13">
      <selection activeCell="B42" sqref="B42"/>
    </sheetView>
  </sheetViews>
  <sheetFormatPr defaultColWidth="9.140625" defaultRowHeight="12.75"/>
  <cols>
    <col min="2" max="2" width="39.421875" style="0" bestFit="1" customWidth="1"/>
    <col min="3" max="3" width="11.140625" style="0" bestFit="1" customWidth="1"/>
    <col min="4" max="4" width="15.28125" style="0" customWidth="1"/>
    <col min="5" max="5" width="13.140625" style="0" bestFit="1" customWidth="1"/>
    <col min="6" max="6" width="12.8515625" style="0" bestFit="1" customWidth="1"/>
    <col min="7" max="7" width="41.7109375" style="0" bestFit="1" customWidth="1"/>
  </cols>
  <sheetData>
    <row r="1" ht="18.75" thickBot="1">
      <c r="B1" s="100">
        <v>37773</v>
      </c>
    </row>
    <row r="2" spans="1:9" ht="19.5" thickBot="1" thickTop="1">
      <c r="A2" s="20"/>
      <c r="B2" s="18"/>
      <c r="C2" s="122" t="str">
        <f>'January 2002'!C2</f>
        <v>Monthly Arrears: Working Capital</v>
      </c>
      <c r="D2" s="122"/>
      <c r="E2" s="122"/>
      <c r="F2" s="122"/>
      <c r="G2" s="122"/>
      <c r="H2" s="122"/>
      <c r="I2" s="9"/>
    </row>
    <row r="3" spans="1:9" ht="15.75">
      <c r="A3" s="10"/>
      <c r="B3" s="19" t="str">
        <f>'December 2001'!B3</f>
        <v>EA population</v>
      </c>
      <c r="C3" s="46"/>
      <c r="D3" s="46" t="s">
        <v>20</v>
      </c>
      <c r="E3" s="46" t="s">
        <v>0</v>
      </c>
      <c r="F3" s="46" t="s">
        <v>1</v>
      </c>
      <c r="G3" s="46" t="s">
        <v>2</v>
      </c>
      <c r="H3" s="81" t="s">
        <v>8</v>
      </c>
      <c r="I3" s="12"/>
    </row>
    <row r="4" spans="1:9" ht="12.75">
      <c r="A4" s="10"/>
      <c r="B4" s="13" t="s">
        <v>3</v>
      </c>
      <c r="C4" s="38"/>
      <c r="D4" s="38">
        <f>'Input Data'!K51*'Input Data'!F51*'Input Data'!B51</f>
        <v>52837.4</v>
      </c>
      <c r="E4" s="38">
        <f>$D$4*'Input Data'!B4</f>
        <v>13209.35</v>
      </c>
      <c r="F4" s="38">
        <f>$D$4*'Input Data'!C4</f>
        <v>10567.480000000001</v>
      </c>
      <c r="G4" s="38">
        <f>$D$4*'Input Data'!D4</f>
        <v>29060.570000000003</v>
      </c>
      <c r="H4" s="82"/>
      <c r="I4" s="12"/>
    </row>
    <row r="5" spans="1:9" ht="12.75">
      <c r="A5" s="10"/>
      <c r="B5" s="13" t="s">
        <v>10</v>
      </c>
      <c r="C5" s="38"/>
      <c r="D5" s="38"/>
      <c r="E5" s="38">
        <f>E4*E24</f>
        <v>12548.8825</v>
      </c>
      <c r="F5" s="38">
        <f>F4*F24</f>
        <v>9510.732000000002</v>
      </c>
      <c r="G5" s="38">
        <f>G4*G24</f>
        <v>24701.484500000002</v>
      </c>
      <c r="H5" s="82"/>
      <c r="I5" s="12"/>
    </row>
    <row r="6" spans="1:9" ht="12.75">
      <c r="A6" s="10"/>
      <c r="B6" s="13" t="s">
        <v>5</v>
      </c>
      <c r="C6" s="92"/>
      <c r="D6" s="92"/>
      <c r="E6" s="92">
        <f>E5/1000</f>
        <v>12.5488825</v>
      </c>
      <c r="F6" s="92">
        <f>F5/1000</f>
        <v>9.510732000000003</v>
      </c>
      <c r="G6" s="92">
        <f>G5/1000</f>
        <v>24.701484500000003</v>
      </c>
      <c r="H6" s="82"/>
      <c r="I6" s="12"/>
    </row>
    <row r="7" spans="1:9" ht="12.75">
      <c r="A7" s="10"/>
      <c r="B7" s="13" t="s">
        <v>4</v>
      </c>
      <c r="C7" s="83"/>
      <c r="D7" s="83"/>
      <c r="E7" s="83">
        <f>'December 2001'!E7</f>
        <v>6.18</v>
      </c>
      <c r="F7" s="83">
        <f>'December 2001'!F7</f>
        <v>9.28</v>
      </c>
      <c r="G7" s="83">
        <f>'December 2001'!G7</f>
        <v>32.87</v>
      </c>
      <c r="H7" s="82"/>
      <c r="I7" s="12"/>
    </row>
    <row r="8" spans="1:9" ht="12.75">
      <c r="A8" s="10"/>
      <c r="B8" s="21" t="s">
        <v>6</v>
      </c>
      <c r="C8" s="84"/>
      <c r="D8" s="84"/>
      <c r="E8" s="84">
        <f>E6*E7</f>
        <v>77.55209384999999</v>
      </c>
      <c r="F8" s="84">
        <f>F6*F7</f>
        <v>88.25959296000002</v>
      </c>
      <c r="G8" s="84">
        <f>G6*G7</f>
        <v>811.9377955150001</v>
      </c>
      <c r="H8" s="85">
        <f>SUM(C8:G8)</f>
        <v>977.7494823250001</v>
      </c>
      <c r="I8" s="12"/>
    </row>
    <row r="9" spans="1:9" ht="12.75">
      <c r="A9" s="10"/>
      <c r="B9" s="13"/>
      <c r="C9" s="46"/>
      <c r="D9" s="46"/>
      <c r="E9" s="46"/>
      <c r="F9" s="46"/>
      <c r="G9" s="46"/>
      <c r="H9" s="82"/>
      <c r="I9" s="12"/>
    </row>
    <row r="10" spans="1:9" ht="12.75">
      <c r="A10" s="10"/>
      <c r="B10" s="13"/>
      <c r="C10" s="46"/>
      <c r="D10" s="46"/>
      <c r="E10" s="46"/>
      <c r="F10" s="46"/>
      <c r="G10" s="46"/>
      <c r="H10" s="82"/>
      <c r="I10" s="12"/>
    </row>
    <row r="11" spans="1:9" ht="15.75">
      <c r="A11" s="10"/>
      <c r="B11" s="19" t="str">
        <f>'December 2001'!B11</f>
        <v>ELIP population</v>
      </c>
      <c r="C11" s="46"/>
      <c r="D11" s="46" t="str">
        <f>D3</f>
        <v>Total Arrears ($s)</v>
      </c>
      <c r="E11" s="46" t="str">
        <f>E3</f>
        <v>30-day Arrears</v>
      </c>
      <c r="F11" s="46" t="str">
        <f>F3</f>
        <v>60-day arrears</v>
      </c>
      <c r="G11" s="46" t="str">
        <f>G3</f>
        <v>90-day arrears</v>
      </c>
      <c r="H11" s="82"/>
      <c r="I11" s="12"/>
    </row>
    <row r="12" spans="1:9" ht="12.75">
      <c r="A12" s="10"/>
      <c r="B12" s="13" t="str">
        <f>B4</f>
        <v>Dollars</v>
      </c>
      <c r="C12" s="38"/>
      <c r="D12" s="38">
        <f>'Input Data'!K51*'Input Data'!G51*'Input Data'!C51</f>
        <v>12877.2</v>
      </c>
      <c r="E12" s="38">
        <f>$D$12*'Input Data'!B4</f>
        <v>3219.3</v>
      </c>
      <c r="F12" s="38">
        <f>$D$12*'Input Data'!C4</f>
        <v>2575.4400000000005</v>
      </c>
      <c r="G12" s="38">
        <f>$D$12*'Input Data'!D4</f>
        <v>7082.460000000001</v>
      </c>
      <c r="H12" s="82"/>
      <c r="I12" s="12"/>
    </row>
    <row r="13" spans="1:9" ht="12.75">
      <c r="A13" s="10"/>
      <c r="B13" s="13" t="str">
        <f>B5</f>
        <v>Dollars adjusted for charge-offs</v>
      </c>
      <c r="C13" s="38"/>
      <c r="D13" s="38"/>
      <c r="E13" s="38">
        <f>E12*E24</f>
        <v>3058.335</v>
      </c>
      <c r="F13" s="38">
        <f>F12*F24</f>
        <v>2317.8960000000006</v>
      </c>
      <c r="G13" s="38">
        <f>G12*G24</f>
        <v>6020.091</v>
      </c>
      <c r="H13" s="82"/>
      <c r="I13" s="12"/>
    </row>
    <row r="14" spans="1:9" ht="12.75">
      <c r="A14" s="10"/>
      <c r="B14" s="13" t="str">
        <f>B6</f>
        <v>$1,000 increments</v>
      </c>
      <c r="C14" s="92"/>
      <c r="D14" s="92"/>
      <c r="E14" s="92">
        <f>E13/1000</f>
        <v>3.058335</v>
      </c>
      <c r="F14" s="92">
        <f>F13/1000</f>
        <v>2.3178960000000006</v>
      </c>
      <c r="G14" s="92">
        <f>G13/1000</f>
        <v>6.020091000000001</v>
      </c>
      <c r="H14" s="82"/>
      <c r="I14" s="12"/>
    </row>
    <row r="15" spans="1:9" ht="12.75">
      <c r="A15" s="10"/>
      <c r="B15" s="13" t="str">
        <f>B7</f>
        <v>Working capital per $1,000</v>
      </c>
      <c r="C15" s="83"/>
      <c r="D15" s="83"/>
      <c r="E15" s="83">
        <f>E7</f>
        <v>6.18</v>
      </c>
      <c r="F15" s="83">
        <f>F7</f>
        <v>9.28</v>
      </c>
      <c r="G15" s="83">
        <f>G7</f>
        <v>32.87</v>
      </c>
      <c r="H15" s="82"/>
      <c r="I15" s="12"/>
    </row>
    <row r="16" spans="1:9" ht="12.75">
      <c r="A16" s="10"/>
      <c r="B16" s="21" t="str">
        <f>B8</f>
        <v>Total working capital expense</v>
      </c>
      <c r="C16" s="84"/>
      <c r="D16" s="84"/>
      <c r="E16" s="84">
        <f>E14*E15</f>
        <v>18.9005103</v>
      </c>
      <c r="F16" s="84">
        <f>F14*F15</f>
        <v>21.510074880000005</v>
      </c>
      <c r="G16" s="84">
        <f>G14*G15</f>
        <v>197.88039117</v>
      </c>
      <c r="H16" s="85">
        <f>SUM(C16:G16)</f>
        <v>238.29097635</v>
      </c>
      <c r="I16" s="12"/>
    </row>
    <row r="17" spans="1:9" ht="13.5" thickBot="1">
      <c r="A17" s="10"/>
      <c r="B17" s="13"/>
      <c r="C17" s="46"/>
      <c r="D17" s="46"/>
      <c r="E17" s="46"/>
      <c r="F17" s="46"/>
      <c r="G17" s="46"/>
      <c r="H17" s="82"/>
      <c r="I17" s="12"/>
    </row>
    <row r="18" spans="1:9" ht="13.5" thickBot="1">
      <c r="A18" s="10"/>
      <c r="B18" s="22" t="s">
        <v>7</v>
      </c>
      <c r="C18" s="86"/>
      <c r="D18" s="86"/>
      <c r="E18" s="86">
        <f>E8-E16</f>
        <v>58.65158354999999</v>
      </c>
      <c r="F18" s="86">
        <f>F8-F16</f>
        <v>66.74951808000002</v>
      </c>
      <c r="G18" s="86">
        <f>G8-G16</f>
        <v>614.0574043450001</v>
      </c>
      <c r="H18" s="87">
        <f>SUM(C18:G18)</f>
        <v>739.4585059750001</v>
      </c>
      <c r="I18" s="12"/>
    </row>
    <row r="19" spans="1:9" ht="13.5" thickBot="1">
      <c r="A19" s="15"/>
      <c r="B19" s="17"/>
      <c r="C19" s="17"/>
      <c r="D19" s="17"/>
      <c r="E19" s="17"/>
      <c r="F19" s="17"/>
      <c r="G19" s="17"/>
      <c r="H19" s="17"/>
      <c r="I19" s="16"/>
    </row>
    <row r="20" ht="13.5" thickTop="1"/>
    <row r="21" ht="13.5" thickBot="1"/>
    <row r="22" spans="1:9" ht="18" thickBot="1" thickTop="1">
      <c r="A22" s="20"/>
      <c r="B22" s="8"/>
      <c r="C22" s="122" t="s">
        <v>52</v>
      </c>
      <c r="D22" s="122"/>
      <c r="E22" s="122"/>
      <c r="F22" s="122"/>
      <c r="G22" s="122"/>
      <c r="H22" s="122"/>
      <c r="I22" s="9"/>
    </row>
    <row r="23" spans="1:9" ht="15.75">
      <c r="A23" s="10"/>
      <c r="B23" s="19" t="str">
        <f>B3</f>
        <v>EA population</v>
      </c>
      <c r="C23" s="13"/>
      <c r="D23" s="46" t="s">
        <v>53</v>
      </c>
      <c r="E23" s="46" t="str">
        <f>E3</f>
        <v>30-day Arrears</v>
      </c>
      <c r="F23" s="46" t="str">
        <f>F3</f>
        <v>60-day arrears</v>
      </c>
      <c r="G23" s="46" t="str">
        <f>G3</f>
        <v>90-day arrears</v>
      </c>
      <c r="H23" s="81" t="str">
        <f>H3</f>
        <v>Total</v>
      </c>
      <c r="I23" s="12"/>
    </row>
    <row r="24" spans="1:9" ht="12.75">
      <c r="A24" s="10"/>
      <c r="B24" s="13" t="s">
        <v>11</v>
      </c>
      <c r="C24" s="26"/>
      <c r="D24" s="88"/>
      <c r="E24" s="88">
        <v>0.95</v>
      </c>
      <c r="F24" s="88">
        <v>0.9</v>
      </c>
      <c r="G24" s="88">
        <v>0.85</v>
      </c>
      <c r="H24" s="82"/>
      <c r="I24" s="12"/>
    </row>
    <row r="25" spans="1:9" ht="12.75">
      <c r="A25" s="10"/>
      <c r="B25" s="13" t="s">
        <v>12</v>
      </c>
      <c r="C25" s="26"/>
      <c r="D25" s="88"/>
      <c r="E25" s="88">
        <f>1-E24</f>
        <v>0.050000000000000044</v>
      </c>
      <c r="F25" s="88">
        <f>(1-F24)-E25</f>
        <v>0.04999999999999993</v>
      </c>
      <c r="G25" s="88">
        <f>(1-G24)-(E25+F25)</f>
        <v>0.050000000000000044</v>
      </c>
      <c r="H25" s="82"/>
      <c r="I25" s="12"/>
    </row>
    <row r="26" spans="1:9" ht="12.75">
      <c r="A26" s="10"/>
      <c r="B26" s="13" t="s">
        <v>13</v>
      </c>
      <c r="C26" s="27"/>
      <c r="D26" s="38">
        <f>SUM(E26:G26)</f>
        <v>2641.8700000000017</v>
      </c>
      <c r="E26" s="38">
        <f>E25*E4</f>
        <v>660.4675000000007</v>
      </c>
      <c r="F26" s="38">
        <f>F25*F4</f>
        <v>528.3739999999993</v>
      </c>
      <c r="G26" s="38">
        <f>G25*G4</f>
        <v>1453.0285000000015</v>
      </c>
      <c r="H26" s="82"/>
      <c r="I26" s="12"/>
    </row>
    <row r="27" spans="1:9" ht="12.75">
      <c r="A27" s="10"/>
      <c r="B27" s="13" t="s">
        <v>5</v>
      </c>
      <c r="C27" s="25"/>
      <c r="D27" s="92"/>
      <c r="E27" s="92">
        <f>E26/1000</f>
        <v>0.6604675000000007</v>
      </c>
      <c r="F27" s="92">
        <f>F26/1000</f>
        <v>0.5283739999999993</v>
      </c>
      <c r="G27" s="92">
        <f>G26/1000</f>
        <v>1.4530285000000014</v>
      </c>
      <c r="H27" s="82"/>
      <c r="I27" s="12"/>
    </row>
    <row r="28" spans="1:9" ht="12.75">
      <c r="A28" s="10"/>
      <c r="B28" s="13" t="s">
        <v>4</v>
      </c>
      <c r="C28" s="14"/>
      <c r="D28" s="83"/>
      <c r="E28" s="83">
        <f>'December 2001'!E28</f>
        <v>45.67868031566741</v>
      </c>
      <c r="F28" s="83">
        <f>'December 2001'!F28</f>
        <v>36.059797012539775</v>
      </c>
      <c r="G28" s="83">
        <f>'December 2001'!G28</f>
        <v>3.0851720988794114</v>
      </c>
      <c r="H28" s="82"/>
      <c r="I28" s="12"/>
    </row>
    <row r="29" spans="1:9" ht="12.75">
      <c r="A29" s="10"/>
      <c r="B29" s="21" t="s">
        <v>6</v>
      </c>
      <c r="C29" s="28"/>
      <c r="D29" s="89"/>
      <c r="E29" s="89">
        <f>E27*E28</f>
        <v>30.169283791388093</v>
      </c>
      <c r="F29" s="89">
        <f>F27*F28</f>
        <v>19.053059186703667</v>
      </c>
      <c r="G29" s="89">
        <f>G27*G28</f>
        <v>4.482842987076607</v>
      </c>
      <c r="H29" s="90">
        <f>SUM(C29:G29)</f>
        <v>53.70518596516837</v>
      </c>
      <c r="I29" s="12"/>
    </row>
    <row r="30" spans="1:9" ht="12.75">
      <c r="A30" s="10"/>
      <c r="B30" s="13"/>
      <c r="C30" s="13"/>
      <c r="D30" s="46"/>
      <c r="E30" s="46"/>
      <c r="F30" s="46"/>
      <c r="G30" s="46"/>
      <c r="H30" s="82"/>
      <c r="I30" s="12"/>
    </row>
    <row r="31" spans="1:9" ht="12.75">
      <c r="A31" s="10"/>
      <c r="B31" s="13"/>
      <c r="C31" s="13"/>
      <c r="D31" s="46"/>
      <c r="E31" s="46"/>
      <c r="F31" s="46"/>
      <c r="G31" s="46"/>
      <c r="H31" s="82"/>
      <c r="I31" s="12"/>
    </row>
    <row r="32" spans="1:9" ht="15.75">
      <c r="A32" s="10"/>
      <c r="B32" s="19" t="str">
        <f>B11</f>
        <v>ELIP population</v>
      </c>
      <c r="C32" s="13"/>
      <c r="D32" s="46" t="s">
        <v>53</v>
      </c>
      <c r="E32" s="46" t="str">
        <f>E11</f>
        <v>30-day Arrears</v>
      </c>
      <c r="F32" s="46" t="str">
        <f>F11</f>
        <v>60-day arrears</v>
      </c>
      <c r="G32" s="46" t="str">
        <f>G11</f>
        <v>90-day arrears</v>
      </c>
      <c r="H32" s="82"/>
      <c r="I32" s="12"/>
    </row>
    <row r="33" spans="1:9" ht="12.75">
      <c r="A33" s="10"/>
      <c r="B33" s="13" t="str">
        <f aca="true" t="shared" si="0" ref="B33:B38">B24</f>
        <v>Collectability factor</v>
      </c>
      <c r="C33" s="26"/>
      <c r="D33" s="88"/>
      <c r="E33" s="88">
        <f>E24</f>
        <v>0.95</v>
      </c>
      <c r="F33" s="88">
        <f>F24</f>
        <v>0.9</v>
      </c>
      <c r="G33" s="88">
        <f>G24</f>
        <v>0.85</v>
      </c>
      <c r="H33" s="82"/>
      <c r="I33" s="12"/>
    </row>
    <row r="34" spans="1:9" ht="12.75">
      <c r="A34" s="10"/>
      <c r="B34" s="13" t="str">
        <f t="shared" si="0"/>
        <v>Uncollectable rate</v>
      </c>
      <c r="C34" s="26"/>
      <c r="D34" s="88"/>
      <c r="E34" s="88">
        <f>1-E33</f>
        <v>0.050000000000000044</v>
      </c>
      <c r="F34" s="88">
        <f>(1-F33)-E34</f>
        <v>0.04999999999999993</v>
      </c>
      <c r="G34" s="88">
        <f>(1-G33)-(E34+F34)</f>
        <v>0.050000000000000044</v>
      </c>
      <c r="H34" s="82"/>
      <c r="I34" s="12"/>
    </row>
    <row r="35" spans="1:9" ht="12.75">
      <c r="A35" s="10"/>
      <c r="B35" s="13" t="str">
        <f t="shared" si="0"/>
        <v>Uncollectable dollars</v>
      </c>
      <c r="C35" s="27"/>
      <c r="D35" s="38">
        <f>SUM(E35:G35)</f>
        <v>643.8600000000004</v>
      </c>
      <c r="E35" s="38">
        <f>E34*E12</f>
        <v>160.96500000000015</v>
      </c>
      <c r="F35" s="38">
        <f>F34*F12</f>
        <v>128.77199999999985</v>
      </c>
      <c r="G35" s="38">
        <f>G34*G12</f>
        <v>354.1230000000004</v>
      </c>
      <c r="H35" s="82"/>
      <c r="I35" s="12"/>
    </row>
    <row r="36" spans="1:9" ht="12.75">
      <c r="A36" s="10"/>
      <c r="B36" s="13" t="str">
        <f t="shared" si="0"/>
        <v>$1,000 increments</v>
      </c>
      <c r="C36" s="25"/>
      <c r="D36" s="92"/>
      <c r="E36" s="92">
        <f>E35/1000</f>
        <v>0.16096500000000014</v>
      </c>
      <c r="F36" s="92">
        <f>F35/1000</f>
        <v>0.12877199999999986</v>
      </c>
      <c r="G36" s="92">
        <f>G35/1000</f>
        <v>0.3541230000000004</v>
      </c>
      <c r="H36" s="82"/>
      <c r="I36" s="12"/>
    </row>
    <row r="37" spans="1:9" ht="12.75">
      <c r="A37" s="10"/>
      <c r="B37" s="13" t="str">
        <f t="shared" si="0"/>
        <v>Working capital per $1,000</v>
      </c>
      <c r="C37" s="14"/>
      <c r="D37" s="83"/>
      <c r="E37" s="83">
        <f>E28</f>
        <v>45.67868031566741</v>
      </c>
      <c r="F37" s="83">
        <f>F28</f>
        <v>36.059797012539775</v>
      </c>
      <c r="G37" s="83">
        <f>G28</f>
        <v>3.0851720988794114</v>
      </c>
      <c r="H37" s="82"/>
      <c r="I37" s="12"/>
    </row>
    <row r="38" spans="1:9" ht="12.75">
      <c r="A38" s="10"/>
      <c r="B38" s="21" t="str">
        <f t="shared" si="0"/>
        <v>Total working capital expense</v>
      </c>
      <c r="C38" s="28"/>
      <c r="D38" s="89"/>
      <c r="E38" s="89">
        <f>E36*E37</f>
        <v>7.35266877701141</v>
      </c>
      <c r="F38" s="89">
        <f>F36*F37</f>
        <v>4.643492180898767</v>
      </c>
      <c r="G38" s="89">
        <f>G36*G37</f>
        <v>1.092530399171475</v>
      </c>
      <c r="H38" s="90">
        <f>SUM(C38:G38)</f>
        <v>13.088691357081652</v>
      </c>
      <c r="I38" s="12"/>
    </row>
    <row r="39" spans="1:9" ht="13.5" thickBot="1">
      <c r="A39" s="10"/>
      <c r="B39" s="13"/>
      <c r="C39" s="13"/>
      <c r="D39" s="46"/>
      <c r="E39" s="46"/>
      <c r="F39" s="46"/>
      <c r="G39" s="46"/>
      <c r="H39" s="82"/>
      <c r="I39" s="12"/>
    </row>
    <row r="40" spans="1:9" ht="13.5" thickBot="1">
      <c r="A40" s="10"/>
      <c r="B40" s="22" t="s">
        <v>7</v>
      </c>
      <c r="C40" s="23"/>
      <c r="D40" s="86">
        <f>D26-D35</f>
        <v>1998.0100000000014</v>
      </c>
      <c r="E40" s="86">
        <f>E29-E38</f>
        <v>22.816615014376683</v>
      </c>
      <c r="F40" s="86">
        <f>F29-F38</f>
        <v>14.409567005804899</v>
      </c>
      <c r="G40" s="86">
        <f>G29-G38</f>
        <v>3.390312587905132</v>
      </c>
      <c r="H40" s="91">
        <f>SUM(E40:G40)</f>
        <v>40.61649460808671</v>
      </c>
      <c r="I40" s="12"/>
    </row>
    <row r="41" spans="1:9" ht="13.5" thickBot="1">
      <c r="A41" s="15"/>
      <c r="B41" s="17"/>
      <c r="C41" s="17"/>
      <c r="D41" s="17"/>
      <c r="E41" s="17"/>
      <c r="F41" s="17"/>
      <c r="G41" s="17"/>
      <c r="H41" s="17"/>
      <c r="I41" s="16"/>
    </row>
    <row r="42" ht="14.25" thickBot="1" thickTop="1"/>
    <row r="43" spans="1:9" ht="13.5" thickTop="1">
      <c r="A43" s="20"/>
      <c r="B43" s="123" t="str">
        <f>'January 2002'!B43</f>
        <v>Disconnection Savings</v>
      </c>
      <c r="C43" s="123"/>
      <c r="D43" s="9"/>
      <c r="F43" s="20"/>
      <c r="G43" s="123" t="str">
        <f>'January 2002'!G43</f>
        <v>Collection Savings</v>
      </c>
      <c r="H43" s="123"/>
      <c r="I43" s="9"/>
    </row>
    <row r="44" spans="1:9" ht="12.75">
      <c r="A44" s="10"/>
      <c r="B44" s="13" t="s">
        <v>80</v>
      </c>
      <c r="C44" s="13">
        <f>'Input Data'!B27</f>
        <v>7.6</v>
      </c>
      <c r="D44" s="12"/>
      <c r="F44" s="10"/>
      <c r="G44" s="13" t="s">
        <v>77</v>
      </c>
      <c r="H44" s="40">
        <f>'Input Data'!F51</f>
        <v>0.55</v>
      </c>
      <c r="I44" s="12"/>
    </row>
    <row r="45" spans="1:9" ht="12.75">
      <c r="A45" s="10"/>
      <c r="B45" s="13" t="s">
        <v>75</v>
      </c>
      <c r="C45" s="94">
        <f>'Input Data'!K51*'Input Data'!F51/100</f>
        <v>2.8105</v>
      </c>
      <c r="D45" s="12"/>
      <c r="F45" s="10"/>
      <c r="G45" s="13" t="s">
        <v>31</v>
      </c>
      <c r="H45" s="25">
        <f>H51</f>
        <v>511</v>
      </c>
      <c r="I45" s="12"/>
    </row>
    <row r="46" spans="1:9" ht="12.75">
      <c r="A46" s="10"/>
      <c r="B46" s="13" t="s">
        <v>26</v>
      </c>
      <c r="C46" s="93">
        <f>C45*C44</f>
        <v>21.3598</v>
      </c>
      <c r="D46" s="12"/>
      <c r="F46" s="10"/>
      <c r="G46" s="13" t="s">
        <v>32</v>
      </c>
      <c r="H46" s="25">
        <f>H44*H45</f>
        <v>281.05</v>
      </c>
      <c r="I46" s="12"/>
    </row>
    <row r="47" spans="1:9" ht="12.75">
      <c r="A47" s="10"/>
      <c r="B47" s="13" t="s">
        <v>24</v>
      </c>
      <c r="C47" s="14">
        <f>'January 2002'!C47</f>
        <v>121.18</v>
      </c>
      <c r="D47" s="12"/>
      <c r="F47" s="10"/>
      <c r="G47" s="13" t="s">
        <v>33</v>
      </c>
      <c r="H47" s="14">
        <f>'December 2001'!H47</f>
        <v>12.94</v>
      </c>
      <c r="I47" s="12"/>
    </row>
    <row r="48" spans="1:9" ht="12.75">
      <c r="A48" s="10"/>
      <c r="B48" s="13" t="s">
        <v>25</v>
      </c>
      <c r="C48" s="11">
        <f>C47*C46</f>
        <v>2588.380564</v>
      </c>
      <c r="D48" s="12"/>
      <c r="F48" s="10"/>
      <c r="G48" s="13" t="s">
        <v>34</v>
      </c>
      <c r="H48" s="11">
        <f>H46*H47</f>
        <v>3636.787</v>
      </c>
      <c r="I48" s="12"/>
    </row>
    <row r="49" spans="1:9" ht="12.75">
      <c r="A49" s="10"/>
      <c r="B49" s="13"/>
      <c r="C49" s="13"/>
      <c r="D49" s="12"/>
      <c r="F49" s="10"/>
      <c r="G49" s="13"/>
      <c r="H49" s="13"/>
      <c r="I49" s="12"/>
    </row>
    <row r="50" spans="1:9" ht="12.75">
      <c r="A50" s="10"/>
      <c r="B50" s="13" t="s">
        <v>81</v>
      </c>
      <c r="C50" s="13">
        <f>'Input Data'!C27</f>
        <v>2.3</v>
      </c>
      <c r="D50" s="12"/>
      <c r="F50" s="10"/>
      <c r="G50" s="13" t="s">
        <v>78</v>
      </c>
      <c r="H50" s="40">
        <f>'Input Data'!G51</f>
        <v>0.28</v>
      </c>
      <c r="I50" s="12"/>
    </row>
    <row r="51" spans="1:9" ht="12.75">
      <c r="A51" s="10"/>
      <c r="B51" s="13" t="s">
        <v>75</v>
      </c>
      <c r="C51" s="94">
        <f>'Input Data'!K51*'Input Data'!G51/100</f>
        <v>1.4308</v>
      </c>
      <c r="D51" s="12"/>
      <c r="F51" s="10"/>
      <c r="G51" s="13" t="s">
        <v>31</v>
      </c>
      <c r="H51" s="25">
        <f>'Input Data'!K51</f>
        <v>511</v>
      </c>
      <c r="I51" s="12"/>
    </row>
    <row r="52" spans="1:9" ht="12.75">
      <c r="A52" s="10"/>
      <c r="B52" s="13" t="s">
        <v>26</v>
      </c>
      <c r="C52" s="93">
        <f>C51*C50</f>
        <v>3.2908399999999998</v>
      </c>
      <c r="D52" s="12"/>
      <c r="F52" s="10"/>
      <c r="G52" s="13" t="s">
        <v>32</v>
      </c>
      <c r="H52" s="25">
        <f>H50*H51</f>
        <v>143.08</v>
      </c>
      <c r="I52" s="12"/>
    </row>
    <row r="53" spans="1:9" ht="12.75">
      <c r="A53" s="10"/>
      <c r="B53" s="13" t="s">
        <v>24</v>
      </c>
      <c r="C53" s="14">
        <f>C47</f>
        <v>121.18</v>
      </c>
      <c r="D53" s="12"/>
      <c r="F53" s="10"/>
      <c r="G53" s="13" t="s">
        <v>33</v>
      </c>
      <c r="H53" s="14">
        <f>H47</f>
        <v>12.94</v>
      </c>
      <c r="I53" s="12"/>
    </row>
    <row r="54" spans="1:9" ht="12.75">
      <c r="A54" s="10"/>
      <c r="B54" s="13" t="s">
        <v>25</v>
      </c>
      <c r="C54" s="11">
        <f>C53*C52</f>
        <v>398.7839912</v>
      </c>
      <c r="D54" s="12"/>
      <c r="F54" s="10"/>
      <c r="G54" s="13" t="s">
        <v>34</v>
      </c>
      <c r="H54" s="11">
        <f>H52*H53</f>
        <v>1851.4552</v>
      </c>
      <c r="I54" s="12"/>
    </row>
    <row r="55" spans="1:9" ht="13.5" thickBot="1">
      <c r="A55" s="10"/>
      <c r="B55" s="13"/>
      <c r="C55" s="13"/>
      <c r="D55" s="12"/>
      <c r="F55" s="10"/>
      <c r="G55" s="13"/>
      <c r="H55" s="13"/>
      <c r="I55" s="12"/>
    </row>
    <row r="56" spans="1:9" ht="13.5" thickBot="1">
      <c r="A56" s="10"/>
      <c r="B56" s="22" t="s">
        <v>7</v>
      </c>
      <c r="C56" s="36">
        <f>C48-C54</f>
        <v>2189.5965728</v>
      </c>
      <c r="D56" s="12"/>
      <c r="F56" s="10"/>
      <c r="G56" s="22" t="s">
        <v>7</v>
      </c>
      <c r="H56" s="36">
        <f>H48-H54</f>
        <v>1785.3317999999997</v>
      </c>
      <c r="I56" s="12"/>
    </row>
    <row r="57" spans="1:9" ht="13.5" thickBot="1">
      <c r="A57" s="15"/>
      <c r="B57" s="17"/>
      <c r="C57" s="17"/>
      <c r="D57" s="16"/>
      <c r="F57" s="15"/>
      <c r="G57" s="17"/>
      <c r="H57" s="17"/>
      <c r="I57" s="16"/>
    </row>
    <row r="58" ht="13.5" thickTop="1"/>
  </sheetData>
  <mergeCells count="4">
    <mergeCell ref="C22:H22"/>
    <mergeCell ref="C2:H2"/>
    <mergeCell ref="G43:H43"/>
    <mergeCell ref="B43:C43"/>
  </mergeCells>
  <printOptions/>
  <pageMargins left="0.75" right="0.75" top="1" bottom="1" header="0.5" footer="0.5"/>
  <pageSetup fitToHeight="1" fitToWidth="1" horizontalDpi="600" verticalDpi="600" orientation="landscape" scale="62" r:id="rId1"/>
  <headerFooter alignWithMargins="0">
    <oddHeader>&amp;R&amp;"Arial,Bold"&amp;12Appendix A</oddHeader>
    <oddFooter>&amp;RPage &amp;P
&amp;F
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 topLeftCell="C23">
      <selection activeCell="E52" sqref="E52"/>
    </sheetView>
  </sheetViews>
  <sheetFormatPr defaultColWidth="9.140625" defaultRowHeight="12.75"/>
  <cols>
    <col min="2" max="2" width="39.421875" style="0" bestFit="1" customWidth="1"/>
    <col min="3" max="3" width="11.140625" style="0" bestFit="1" customWidth="1"/>
    <col min="4" max="4" width="15.28125" style="0" customWidth="1"/>
    <col min="5" max="5" width="13.140625" style="0" bestFit="1" customWidth="1"/>
    <col min="6" max="6" width="12.8515625" style="0" bestFit="1" customWidth="1"/>
    <col min="7" max="7" width="41.7109375" style="0" bestFit="1" customWidth="1"/>
  </cols>
  <sheetData>
    <row r="1" ht="18.75" thickBot="1">
      <c r="B1" s="100">
        <v>37803</v>
      </c>
    </row>
    <row r="2" spans="1:9" ht="19.5" thickBot="1" thickTop="1">
      <c r="A2" s="20"/>
      <c r="B2" s="18"/>
      <c r="C2" s="122" t="str">
        <f>'January 2002'!C2</f>
        <v>Monthly Arrears: Working Capital</v>
      </c>
      <c r="D2" s="122"/>
      <c r="E2" s="122"/>
      <c r="F2" s="122"/>
      <c r="G2" s="122"/>
      <c r="H2" s="122"/>
      <c r="I2" s="9"/>
    </row>
    <row r="3" spans="1:9" ht="15.75">
      <c r="A3" s="10"/>
      <c r="B3" s="19" t="str">
        <f>'December 2001'!B3</f>
        <v>EA population</v>
      </c>
      <c r="C3" s="46"/>
      <c r="D3" s="46" t="s">
        <v>20</v>
      </c>
      <c r="E3" s="46" t="s">
        <v>0</v>
      </c>
      <c r="F3" s="46" t="s">
        <v>1</v>
      </c>
      <c r="G3" s="46" t="s">
        <v>2</v>
      </c>
      <c r="H3" s="81" t="s">
        <v>8</v>
      </c>
      <c r="I3" s="12"/>
    </row>
    <row r="4" spans="1:9" ht="12.75">
      <c r="A4" s="10"/>
      <c r="B4" s="13" t="s">
        <v>3</v>
      </c>
      <c r="C4" s="38"/>
      <c r="D4" s="38">
        <f>'Input Data'!K52*'Input Data'!F52*'Input Data'!B52</f>
        <v>49282.560000000005</v>
      </c>
      <c r="E4" s="38">
        <f>$D$4*'Input Data'!B4</f>
        <v>12320.640000000001</v>
      </c>
      <c r="F4" s="38">
        <f>$D$4*'Input Data'!C4</f>
        <v>9856.512000000002</v>
      </c>
      <c r="G4" s="38">
        <f>$D$4*'Input Data'!D4</f>
        <v>27105.408000000007</v>
      </c>
      <c r="H4" s="82"/>
      <c r="I4" s="12"/>
    </row>
    <row r="5" spans="1:9" ht="12.75">
      <c r="A5" s="10"/>
      <c r="B5" s="13" t="s">
        <v>10</v>
      </c>
      <c r="C5" s="38"/>
      <c r="D5" s="38"/>
      <c r="E5" s="38">
        <f>E4*E24</f>
        <v>11704.608</v>
      </c>
      <c r="F5" s="38">
        <f>F4*F24</f>
        <v>8870.860800000002</v>
      </c>
      <c r="G5" s="38">
        <f>G4*G24</f>
        <v>23039.596800000007</v>
      </c>
      <c r="H5" s="82"/>
      <c r="I5" s="12"/>
    </row>
    <row r="6" spans="1:9" ht="12.75">
      <c r="A6" s="10"/>
      <c r="B6" s="13" t="s">
        <v>5</v>
      </c>
      <c r="C6" s="92"/>
      <c r="D6" s="92"/>
      <c r="E6" s="92">
        <f>E5/1000</f>
        <v>11.704608</v>
      </c>
      <c r="F6" s="92">
        <f>F5/1000</f>
        <v>8.870860800000003</v>
      </c>
      <c r="G6" s="92">
        <f>G5/1000</f>
        <v>23.039596800000005</v>
      </c>
      <c r="H6" s="82"/>
      <c r="I6" s="12"/>
    </row>
    <row r="7" spans="1:9" ht="12.75">
      <c r="A7" s="10"/>
      <c r="B7" s="13" t="s">
        <v>4</v>
      </c>
      <c r="C7" s="83"/>
      <c r="D7" s="83"/>
      <c r="E7" s="83">
        <f>'December 2001'!E7</f>
        <v>6.18</v>
      </c>
      <c r="F7" s="83">
        <f>'December 2001'!F7</f>
        <v>9.28</v>
      </c>
      <c r="G7" s="83">
        <f>'December 2001'!G7</f>
        <v>32.87</v>
      </c>
      <c r="H7" s="82"/>
      <c r="I7" s="12"/>
    </row>
    <row r="8" spans="1:9" ht="12.75">
      <c r="A8" s="10"/>
      <c r="B8" s="21" t="s">
        <v>6</v>
      </c>
      <c r="C8" s="84"/>
      <c r="D8" s="84"/>
      <c r="E8" s="84">
        <f>E6*E7</f>
        <v>72.33447744</v>
      </c>
      <c r="F8" s="84">
        <f>F6*F7</f>
        <v>82.32158822400002</v>
      </c>
      <c r="G8" s="84">
        <f>G6*G7</f>
        <v>757.3115468160001</v>
      </c>
      <c r="H8" s="85">
        <f>SUM(C8:G8)</f>
        <v>911.9676124800002</v>
      </c>
      <c r="I8" s="12"/>
    </row>
    <row r="9" spans="1:9" ht="12.75">
      <c r="A9" s="10"/>
      <c r="B9" s="13"/>
      <c r="C9" s="46"/>
      <c r="D9" s="46"/>
      <c r="E9" s="46"/>
      <c r="F9" s="46"/>
      <c r="G9" s="46"/>
      <c r="H9" s="82"/>
      <c r="I9" s="12"/>
    </row>
    <row r="10" spans="1:9" ht="12.75">
      <c r="A10" s="10"/>
      <c r="B10" s="13"/>
      <c r="C10" s="46"/>
      <c r="D10" s="46"/>
      <c r="E10" s="46"/>
      <c r="F10" s="46"/>
      <c r="G10" s="46"/>
      <c r="H10" s="82"/>
      <c r="I10" s="12"/>
    </row>
    <row r="11" spans="1:9" ht="15.75">
      <c r="A11" s="10"/>
      <c r="B11" s="19" t="str">
        <f>'December 2001'!B11</f>
        <v>ELIP population</v>
      </c>
      <c r="C11" s="46"/>
      <c r="D11" s="46" t="str">
        <f>D3</f>
        <v>Total Arrears ($s)</v>
      </c>
      <c r="E11" s="46" t="str">
        <f>E3</f>
        <v>30-day Arrears</v>
      </c>
      <c r="F11" s="46" t="str">
        <f>F3</f>
        <v>60-day arrears</v>
      </c>
      <c r="G11" s="46" t="str">
        <f>G3</f>
        <v>90-day arrears</v>
      </c>
      <c r="H11" s="82"/>
      <c r="I11" s="12"/>
    </row>
    <row r="12" spans="1:9" ht="12.75">
      <c r="A12" s="10"/>
      <c r="B12" s="13" t="str">
        <f>B4</f>
        <v>Dollars</v>
      </c>
      <c r="C12" s="38"/>
      <c r="D12" s="38">
        <f>'Input Data'!K52*'Input Data'!G52*'Input Data'!C52</f>
        <v>13491.2</v>
      </c>
      <c r="E12" s="38">
        <f>$D$12*'Input Data'!B4</f>
        <v>3372.8</v>
      </c>
      <c r="F12" s="38">
        <f>$D$12*'Input Data'!C4</f>
        <v>2698.2400000000002</v>
      </c>
      <c r="G12" s="38">
        <f>$D$12*'Input Data'!D4</f>
        <v>7420.160000000001</v>
      </c>
      <c r="H12" s="82"/>
      <c r="I12" s="12"/>
    </row>
    <row r="13" spans="1:9" ht="12.75">
      <c r="A13" s="10"/>
      <c r="B13" s="13" t="str">
        <f>B5</f>
        <v>Dollars adjusted for charge-offs</v>
      </c>
      <c r="C13" s="38"/>
      <c r="D13" s="38"/>
      <c r="E13" s="38">
        <f>E12*E24</f>
        <v>3204.16</v>
      </c>
      <c r="F13" s="38">
        <f>F12*F24</f>
        <v>2428.416</v>
      </c>
      <c r="G13" s="38">
        <f>G12*G24</f>
        <v>6307.136</v>
      </c>
      <c r="H13" s="82"/>
      <c r="I13" s="12"/>
    </row>
    <row r="14" spans="1:9" ht="12.75">
      <c r="A14" s="10"/>
      <c r="B14" s="13" t="str">
        <f>B6</f>
        <v>$1,000 increments</v>
      </c>
      <c r="C14" s="92"/>
      <c r="D14" s="92"/>
      <c r="E14" s="92">
        <f>E13/1000</f>
        <v>3.20416</v>
      </c>
      <c r="F14" s="92">
        <f>F13/1000</f>
        <v>2.4284160000000004</v>
      </c>
      <c r="G14" s="92">
        <f>G13/1000</f>
        <v>6.307136000000001</v>
      </c>
      <c r="H14" s="82"/>
      <c r="I14" s="12"/>
    </row>
    <row r="15" spans="1:9" ht="12.75">
      <c r="A15" s="10"/>
      <c r="B15" s="13" t="str">
        <f>B7</f>
        <v>Working capital per $1,000</v>
      </c>
      <c r="C15" s="83"/>
      <c r="D15" s="83"/>
      <c r="E15" s="83">
        <f>E7</f>
        <v>6.18</v>
      </c>
      <c r="F15" s="83">
        <f>F7</f>
        <v>9.28</v>
      </c>
      <c r="G15" s="83">
        <f>G7</f>
        <v>32.87</v>
      </c>
      <c r="H15" s="82"/>
      <c r="I15" s="12"/>
    </row>
    <row r="16" spans="1:9" ht="12.75">
      <c r="A16" s="10"/>
      <c r="B16" s="21" t="str">
        <f>B8</f>
        <v>Total working capital expense</v>
      </c>
      <c r="C16" s="84"/>
      <c r="D16" s="84"/>
      <c r="E16" s="84">
        <f>E14*E15</f>
        <v>19.8017088</v>
      </c>
      <c r="F16" s="84">
        <f>F14*F15</f>
        <v>22.535700480000003</v>
      </c>
      <c r="G16" s="84">
        <f>G14*G15</f>
        <v>207.31556032</v>
      </c>
      <c r="H16" s="85">
        <f>SUM(C16:G16)</f>
        <v>249.6529696</v>
      </c>
      <c r="I16" s="12"/>
    </row>
    <row r="17" spans="1:9" ht="13.5" thickBot="1">
      <c r="A17" s="10"/>
      <c r="B17" s="13"/>
      <c r="C17" s="46"/>
      <c r="D17" s="46"/>
      <c r="E17" s="46"/>
      <c r="F17" s="46"/>
      <c r="G17" s="46"/>
      <c r="H17" s="82"/>
      <c r="I17" s="12"/>
    </row>
    <row r="18" spans="1:9" ht="13.5" thickBot="1">
      <c r="A18" s="10"/>
      <c r="B18" s="22" t="s">
        <v>7</v>
      </c>
      <c r="C18" s="86"/>
      <c r="D18" s="86"/>
      <c r="E18" s="86">
        <f>E8-E16</f>
        <v>52.53276864</v>
      </c>
      <c r="F18" s="86">
        <f>F8-F16</f>
        <v>59.78588774400002</v>
      </c>
      <c r="G18" s="86">
        <f>G8-G16</f>
        <v>549.9959864960001</v>
      </c>
      <c r="H18" s="87">
        <f>SUM(C18:G18)</f>
        <v>662.3146428800002</v>
      </c>
      <c r="I18" s="12"/>
    </row>
    <row r="19" spans="1:9" ht="13.5" thickBot="1">
      <c r="A19" s="15"/>
      <c r="B19" s="17"/>
      <c r="C19" s="17"/>
      <c r="D19" s="17"/>
      <c r="E19" s="17"/>
      <c r="F19" s="17"/>
      <c r="G19" s="17"/>
      <c r="H19" s="17"/>
      <c r="I19" s="16"/>
    </row>
    <row r="20" ht="13.5" thickTop="1"/>
    <row r="21" ht="13.5" thickBot="1"/>
    <row r="22" spans="1:9" ht="18" thickBot="1" thickTop="1">
      <c r="A22" s="20"/>
      <c r="B22" s="8"/>
      <c r="C22" s="122" t="s">
        <v>52</v>
      </c>
      <c r="D22" s="122"/>
      <c r="E22" s="122"/>
      <c r="F22" s="122"/>
      <c r="G22" s="122"/>
      <c r="H22" s="122"/>
      <c r="I22" s="9"/>
    </row>
    <row r="23" spans="1:9" ht="15.75">
      <c r="A23" s="10"/>
      <c r="B23" s="19" t="str">
        <f>B3</f>
        <v>EA population</v>
      </c>
      <c r="C23" s="13"/>
      <c r="D23" s="46" t="s">
        <v>53</v>
      </c>
      <c r="E23" s="46" t="str">
        <f>E3</f>
        <v>30-day Arrears</v>
      </c>
      <c r="F23" s="46" t="str">
        <f>F3</f>
        <v>60-day arrears</v>
      </c>
      <c r="G23" s="46" t="str">
        <f>G3</f>
        <v>90-day arrears</v>
      </c>
      <c r="H23" s="81" t="str">
        <f>H3</f>
        <v>Total</v>
      </c>
      <c r="I23" s="12"/>
    </row>
    <row r="24" spans="1:9" ht="12.75">
      <c r="A24" s="10"/>
      <c r="B24" s="13" t="s">
        <v>11</v>
      </c>
      <c r="C24" s="26"/>
      <c r="D24" s="88"/>
      <c r="E24" s="88">
        <v>0.95</v>
      </c>
      <c r="F24" s="88">
        <v>0.9</v>
      </c>
      <c r="G24" s="88">
        <v>0.85</v>
      </c>
      <c r="H24" s="82"/>
      <c r="I24" s="12"/>
    </row>
    <row r="25" spans="1:9" ht="12.75">
      <c r="A25" s="10"/>
      <c r="B25" s="13" t="s">
        <v>12</v>
      </c>
      <c r="C25" s="26"/>
      <c r="D25" s="88"/>
      <c r="E25" s="88">
        <f>1-E24</f>
        <v>0.050000000000000044</v>
      </c>
      <c r="F25" s="88">
        <f>(1-F24)-E25</f>
        <v>0.04999999999999993</v>
      </c>
      <c r="G25" s="88">
        <f>(1-G24)-(E25+F25)</f>
        <v>0.050000000000000044</v>
      </c>
      <c r="H25" s="82"/>
      <c r="I25" s="12"/>
    </row>
    <row r="26" spans="1:9" ht="12.75">
      <c r="A26" s="10"/>
      <c r="B26" s="13" t="s">
        <v>13</v>
      </c>
      <c r="C26" s="27"/>
      <c r="D26" s="38">
        <f>SUM(E26:G26)</f>
        <v>2464.1280000000015</v>
      </c>
      <c r="E26" s="38">
        <f>E25*E4</f>
        <v>616.0320000000006</v>
      </c>
      <c r="F26" s="38">
        <f>F25*F4</f>
        <v>492.82559999999944</v>
      </c>
      <c r="G26" s="38">
        <f>G25*G4</f>
        <v>1355.2704000000015</v>
      </c>
      <c r="H26" s="82"/>
      <c r="I26" s="12"/>
    </row>
    <row r="27" spans="1:9" ht="12.75">
      <c r="A27" s="10"/>
      <c r="B27" s="13" t="s">
        <v>5</v>
      </c>
      <c r="C27" s="25"/>
      <c r="D27" s="92"/>
      <c r="E27" s="92">
        <f>E26/1000</f>
        <v>0.6160320000000006</v>
      </c>
      <c r="F27" s="92">
        <f>F26/1000</f>
        <v>0.4928255999999994</v>
      </c>
      <c r="G27" s="92">
        <f>G26/1000</f>
        <v>1.3552704000000015</v>
      </c>
      <c r="H27" s="82"/>
      <c r="I27" s="12"/>
    </row>
    <row r="28" spans="1:9" ht="12.75">
      <c r="A28" s="10"/>
      <c r="B28" s="13" t="s">
        <v>4</v>
      </c>
      <c r="C28" s="14"/>
      <c r="D28" s="83"/>
      <c r="E28" s="83">
        <f>'December 2001'!E28</f>
        <v>45.67868031566741</v>
      </c>
      <c r="F28" s="83">
        <f>'December 2001'!F28</f>
        <v>36.059797012539775</v>
      </c>
      <c r="G28" s="83">
        <f>'December 2001'!G28</f>
        <v>3.0851720988794114</v>
      </c>
      <c r="H28" s="82"/>
      <c r="I28" s="12"/>
    </row>
    <row r="29" spans="1:9" ht="12.75">
      <c r="A29" s="10"/>
      <c r="B29" s="21" t="s">
        <v>6</v>
      </c>
      <c r="C29" s="28"/>
      <c r="D29" s="89"/>
      <c r="E29" s="89">
        <f>E27*E28</f>
        <v>28.13952879222125</v>
      </c>
      <c r="F29" s="89">
        <f>F27*F28</f>
        <v>17.771191098583103</v>
      </c>
      <c r="G29" s="89">
        <f>G27*G28</f>
        <v>4.181242424517144</v>
      </c>
      <c r="H29" s="90">
        <f>SUM(C29:G29)</f>
        <v>50.091962315321496</v>
      </c>
      <c r="I29" s="12"/>
    </row>
    <row r="30" spans="1:9" ht="12.75">
      <c r="A30" s="10"/>
      <c r="B30" s="13"/>
      <c r="C30" s="13"/>
      <c r="D30" s="46"/>
      <c r="E30" s="46"/>
      <c r="F30" s="46"/>
      <c r="G30" s="46"/>
      <c r="H30" s="82"/>
      <c r="I30" s="12"/>
    </row>
    <row r="31" spans="1:9" ht="12.75">
      <c r="A31" s="10"/>
      <c r="B31" s="13"/>
      <c r="C31" s="13"/>
      <c r="D31" s="46"/>
      <c r="E31" s="46"/>
      <c r="F31" s="46"/>
      <c r="G31" s="46"/>
      <c r="H31" s="82"/>
      <c r="I31" s="12"/>
    </row>
    <row r="32" spans="1:9" ht="15.75">
      <c r="A32" s="10"/>
      <c r="B32" s="19" t="str">
        <f>B11</f>
        <v>ELIP population</v>
      </c>
      <c r="C32" s="13"/>
      <c r="D32" s="46" t="s">
        <v>53</v>
      </c>
      <c r="E32" s="46" t="str">
        <f>E11</f>
        <v>30-day Arrears</v>
      </c>
      <c r="F32" s="46" t="str">
        <f>F11</f>
        <v>60-day arrears</v>
      </c>
      <c r="G32" s="46" t="str">
        <f>G11</f>
        <v>90-day arrears</v>
      </c>
      <c r="H32" s="82"/>
      <c r="I32" s="12"/>
    </row>
    <row r="33" spans="1:9" ht="12.75">
      <c r="A33" s="10"/>
      <c r="B33" s="13" t="str">
        <f aca="true" t="shared" si="0" ref="B33:B38">B24</f>
        <v>Collectability factor</v>
      </c>
      <c r="C33" s="26"/>
      <c r="D33" s="88"/>
      <c r="E33" s="88">
        <f>E24</f>
        <v>0.95</v>
      </c>
      <c r="F33" s="88">
        <f>F24</f>
        <v>0.9</v>
      </c>
      <c r="G33" s="88">
        <f>G24</f>
        <v>0.85</v>
      </c>
      <c r="H33" s="82"/>
      <c r="I33" s="12"/>
    </row>
    <row r="34" spans="1:9" ht="12.75">
      <c r="A34" s="10"/>
      <c r="B34" s="13" t="str">
        <f t="shared" si="0"/>
        <v>Uncollectable rate</v>
      </c>
      <c r="C34" s="26"/>
      <c r="D34" s="88"/>
      <c r="E34" s="88">
        <f>1-E33</f>
        <v>0.050000000000000044</v>
      </c>
      <c r="F34" s="88">
        <f>(1-F33)-E34</f>
        <v>0.04999999999999993</v>
      </c>
      <c r="G34" s="88">
        <f>(1-G33)-(E34+F34)</f>
        <v>0.050000000000000044</v>
      </c>
      <c r="H34" s="82"/>
      <c r="I34" s="12"/>
    </row>
    <row r="35" spans="1:9" ht="12.75">
      <c r="A35" s="10"/>
      <c r="B35" s="13" t="str">
        <f t="shared" si="0"/>
        <v>Uncollectable dollars</v>
      </c>
      <c r="C35" s="27"/>
      <c r="D35" s="38">
        <f>SUM(E35:G35)</f>
        <v>674.5600000000004</v>
      </c>
      <c r="E35" s="38">
        <f>E34*E12</f>
        <v>168.64000000000016</v>
      </c>
      <c r="F35" s="38">
        <f>F34*F12</f>
        <v>134.91199999999984</v>
      </c>
      <c r="G35" s="38">
        <f>G34*G12</f>
        <v>371.0080000000004</v>
      </c>
      <c r="H35" s="82"/>
      <c r="I35" s="12"/>
    </row>
    <row r="36" spans="1:9" ht="12.75">
      <c r="A36" s="10"/>
      <c r="B36" s="13" t="str">
        <f t="shared" si="0"/>
        <v>$1,000 increments</v>
      </c>
      <c r="C36" s="25"/>
      <c r="D36" s="92"/>
      <c r="E36" s="92">
        <f>E35/1000</f>
        <v>0.16864000000000015</v>
      </c>
      <c r="F36" s="92">
        <f>F35/1000</f>
        <v>0.13491199999999984</v>
      </c>
      <c r="G36" s="92">
        <f>G35/1000</f>
        <v>0.3710080000000004</v>
      </c>
      <c r="H36" s="82"/>
      <c r="I36" s="12"/>
    </row>
    <row r="37" spans="1:9" ht="12.75">
      <c r="A37" s="10"/>
      <c r="B37" s="13" t="str">
        <f t="shared" si="0"/>
        <v>Working capital per $1,000</v>
      </c>
      <c r="C37" s="14"/>
      <c r="D37" s="83"/>
      <c r="E37" s="83">
        <f>E28</f>
        <v>45.67868031566741</v>
      </c>
      <c r="F37" s="83">
        <f>F28</f>
        <v>36.059797012539775</v>
      </c>
      <c r="G37" s="83">
        <f>G28</f>
        <v>3.0851720988794114</v>
      </c>
      <c r="H37" s="82"/>
      <c r="I37" s="12"/>
    </row>
    <row r="38" spans="1:9" ht="12.75">
      <c r="A38" s="10"/>
      <c r="B38" s="21" t="str">
        <f t="shared" si="0"/>
        <v>Total working capital expense</v>
      </c>
      <c r="C38" s="28"/>
      <c r="D38" s="89"/>
      <c r="E38" s="89">
        <f>E36*E37</f>
        <v>7.703252648434159</v>
      </c>
      <c r="F38" s="89">
        <f>F36*F37</f>
        <v>4.86489933455576</v>
      </c>
      <c r="G38" s="89">
        <f>G36*G37</f>
        <v>1.1446235300610539</v>
      </c>
      <c r="H38" s="90">
        <f>SUM(C38:G38)</f>
        <v>13.712775513050973</v>
      </c>
      <c r="I38" s="12"/>
    </row>
    <row r="39" spans="1:9" ht="13.5" thickBot="1">
      <c r="A39" s="10"/>
      <c r="B39" s="13"/>
      <c r="C39" s="13"/>
      <c r="D39" s="46"/>
      <c r="E39" s="46"/>
      <c r="F39" s="46"/>
      <c r="G39" s="46"/>
      <c r="H39" s="82"/>
      <c r="I39" s="12"/>
    </row>
    <row r="40" spans="1:9" ht="13.5" thickBot="1">
      <c r="A40" s="10"/>
      <c r="B40" s="22" t="s">
        <v>7</v>
      </c>
      <c r="C40" s="23"/>
      <c r="D40" s="86">
        <f>D26-D35</f>
        <v>1789.5680000000011</v>
      </c>
      <c r="E40" s="86">
        <f>E29-E38</f>
        <v>20.43627614378709</v>
      </c>
      <c r="F40" s="86">
        <f>F29-F38</f>
        <v>12.906291764027342</v>
      </c>
      <c r="G40" s="86">
        <f>G29-G38</f>
        <v>3.0366188944560903</v>
      </c>
      <c r="H40" s="91">
        <f>SUM(E40:G40)</f>
        <v>36.379186802270524</v>
      </c>
      <c r="I40" s="12"/>
    </row>
    <row r="41" spans="1:9" ht="13.5" thickBot="1">
      <c r="A41" s="15"/>
      <c r="B41" s="17"/>
      <c r="C41" s="17"/>
      <c r="D41" s="17"/>
      <c r="E41" s="17"/>
      <c r="F41" s="17"/>
      <c r="G41" s="17"/>
      <c r="H41" s="17"/>
      <c r="I41" s="16"/>
    </row>
    <row r="42" ht="14.25" thickBot="1" thickTop="1"/>
    <row r="43" spans="1:9" ht="13.5" thickTop="1">
      <c r="A43" s="20"/>
      <c r="B43" s="123" t="str">
        <f>'January 2002'!B43</f>
        <v>Disconnection Savings</v>
      </c>
      <c r="C43" s="123"/>
      <c r="D43" s="9"/>
      <c r="F43" s="20"/>
      <c r="G43" s="123" t="str">
        <f>'January 2002'!G43</f>
        <v>Collection Savings</v>
      </c>
      <c r="H43" s="123"/>
      <c r="I43" s="9"/>
    </row>
    <row r="44" spans="1:9" ht="12.75">
      <c r="A44" s="10"/>
      <c r="B44" s="13" t="s">
        <v>80</v>
      </c>
      <c r="C44" s="13">
        <f>'Input Data'!B28</f>
        <v>5.5</v>
      </c>
      <c r="D44" s="12"/>
      <c r="F44" s="10"/>
      <c r="G44" s="13" t="s">
        <v>77</v>
      </c>
      <c r="H44" s="40">
        <f>'Input Data'!F52</f>
        <v>0.54</v>
      </c>
      <c r="I44" s="12"/>
    </row>
    <row r="45" spans="1:9" ht="12.75">
      <c r="A45" s="10"/>
      <c r="B45" s="13" t="s">
        <v>75</v>
      </c>
      <c r="C45" s="94">
        <f>'Input Data'!K52*'Input Data'!F52/100</f>
        <v>2.6784000000000003</v>
      </c>
      <c r="D45" s="12"/>
      <c r="F45" s="10"/>
      <c r="G45" s="13" t="s">
        <v>31</v>
      </c>
      <c r="H45" s="25">
        <f>H51</f>
        <v>496</v>
      </c>
      <c r="I45" s="12"/>
    </row>
    <row r="46" spans="1:9" ht="12.75">
      <c r="A46" s="10"/>
      <c r="B46" s="13" t="s">
        <v>26</v>
      </c>
      <c r="C46" s="93">
        <f>C45*C44</f>
        <v>14.731200000000001</v>
      </c>
      <c r="D46" s="12"/>
      <c r="F46" s="10"/>
      <c r="G46" s="13" t="s">
        <v>32</v>
      </c>
      <c r="H46" s="25">
        <f>H44*H45</f>
        <v>267.84000000000003</v>
      </c>
      <c r="I46" s="12"/>
    </row>
    <row r="47" spans="1:9" ht="12.75">
      <c r="A47" s="10"/>
      <c r="B47" s="13" t="s">
        <v>24</v>
      </c>
      <c r="C47" s="14">
        <f>'January 2002'!C47</f>
        <v>121.18</v>
      </c>
      <c r="D47" s="12"/>
      <c r="F47" s="10"/>
      <c r="G47" s="13" t="s">
        <v>33</v>
      </c>
      <c r="H47" s="14">
        <f>'December 2001'!H47</f>
        <v>12.94</v>
      </c>
      <c r="I47" s="12"/>
    </row>
    <row r="48" spans="1:9" ht="12.75">
      <c r="A48" s="10"/>
      <c r="B48" s="13" t="s">
        <v>25</v>
      </c>
      <c r="C48" s="11">
        <f>C47*C46</f>
        <v>1785.1268160000002</v>
      </c>
      <c r="D48" s="12"/>
      <c r="F48" s="10"/>
      <c r="G48" s="13" t="s">
        <v>34</v>
      </c>
      <c r="H48" s="11">
        <f>H46*H47</f>
        <v>3465.8496000000005</v>
      </c>
      <c r="I48" s="12"/>
    </row>
    <row r="49" spans="1:9" ht="12.75">
      <c r="A49" s="10"/>
      <c r="B49" s="13"/>
      <c r="C49" s="13"/>
      <c r="D49" s="12"/>
      <c r="F49" s="10"/>
      <c r="G49" s="13"/>
      <c r="H49" s="13"/>
      <c r="I49" s="12"/>
    </row>
    <row r="50" spans="1:9" ht="12.75">
      <c r="A50" s="10"/>
      <c r="B50" s="13" t="s">
        <v>81</v>
      </c>
      <c r="C50" s="13">
        <f>'Input Data'!C28</f>
        <v>2.6</v>
      </c>
      <c r="D50" s="12"/>
      <c r="F50" s="10"/>
      <c r="G50" s="13" t="s">
        <v>78</v>
      </c>
      <c r="H50" s="40">
        <f>'Input Data'!G52</f>
        <v>0.32</v>
      </c>
      <c r="I50" s="12"/>
    </row>
    <row r="51" spans="1:9" ht="12.75">
      <c r="A51" s="10"/>
      <c r="B51" s="13" t="s">
        <v>75</v>
      </c>
      <c r="C51" s="94">
        <f>'Input Data'!K52*'Input Data'!G52/100</f>
        <v>1.5872</v>
      </c>
      <c r="D51" s="12"/>
      <c r="F51" s="10"/>
      <c r="G51" s="13" t="s">
        <v>31</v>
      </c>
      <c r="H51" s="25">
        <f>'Input Data'!K52</f>
        <v>496</v>
      </c>
      <c r="I51" s="12"/>
    </row>
    <row r="52" spans="1:9" ht="12.75">
      <c r="A52" s="10"/>
      <c r="B52" s="13" t="s">
        <v>26</v>
      </c>
      <c r="C52" s="93">
        <f>C51*C50</f>
        <v>4.12672</v>
      </c>
      <c r="D52" s="12"/>
      <c r="F52" s="10"/>
      <c r="G52" s="13" t="s">
        <v>32</v>
      </c>
      <c r="H52" s="25">
        <f>H50*H51</f>
        <v>158.72</v>
      </c>
      <c r="I52" s="12"/>
    </row>
    <row r="53" spans="1:9" ht="12.75">
      <c r="A53" s="10"/>
      <c r="B53" s="13" t="s">
        <v>24</v>
      </c>
      <c r="C53" s="14">
        <f>C47</f>
        <v>121.18</v>
      </c>
      <c r="D53" s="12"/>
      <c r="F53" s="10"/>
      <c r="G53" s="13" t="s">
        <v>33</v>
      </c>
      <c r="H53" s="14">
        <f>H47</f>
        <v>12.94</v>
      </c>
      <c r="I53" s="12"/>
    </row>
    <row r="54" spans="1:9" ht="12.75">
      <c r="A54" s="10"/>
      <c r="B54" s="13" t="s">
        <v>25</v>
      </c>
      <c r="C54" s="11">
        <f>C53*C52</f>
        <v>500.0759296</v>
      </c>
      <c r="D54" s="12"/>
      <c r="F54" s="10"/>
      <c r="G54" s="13" t="s">
        <v>34</v>
      </c>
      <c r="H54" s="11">
        <f>H52*H53</f>
        <v>2053.8368</v>
      </c>
      <c r="I54" s="12"/>
    </row>
    <row r="55" spans="1:9" ht="13.5" thickBot="1">
      <c r="A55" s="10"/>
      <c r="B55" s="13"/>
      <c r="C55" s="13"/>
      <c r="D55" s="12"/>
      <c r="F55" s="10"/>
      <c r="G55" s="13"/>
      <c r="H55" s="13"/>
      <c r="I55" s="12"/>
    </row>
    <row r="56" spans="1:9" ht="13.5" thickBot="1">
      <c r="A56" s="10"/>
      <c r="B56" s="22" t="s">
        <v>7</v>
      </c>
      <c r="C56" s="36">
        <f>C48-C54</f>
        <v>1285.0508864000003</v>
      </c>
      <c r="D56" s="12"/>
      <c r="F56" s="10"/>
      <c r="G56" s="22" t="s">
        <v>7</v>
      </c>
      <c r="H56" s="36">
        <f>H48-H54</f>
        <v>1412.0128000000004</v>
      </c>
      <c r="I56" s="12"/>
    </row>
    <row r="57" spans="1:9" ht="13.5" thickBot="1">
      <c r="A57" s="15"/>
      <c r="B57" s="17"/>
      <c r="C57" s="17"/>
      <c r="D57" s="16"/>
      <c r="F57" s="15"/>
      <c r="G57" s="17"/>
      <c r="H57" s="17"/>
      <c r="I57" s="16"/>
    </row>
    <row r="58" ht="13.5" thickTop="1"/>
  </sheetData>
  <mergeCells count="4">
    <mergeCell ref="C22:H22"/>
    <mergeCell ref="C2:H2"/>
    <mergeCell ref="G43:H43"/>
    <mergeCell ref="B43:C43"/>
  </mergeCells>
  <printOptions/>
  <pageMargins left="0.75" right="0.75" top="1" bottom="1" header="0.5" footer="0.5"/>
  <pageSetup fitToHeight="1" fitToWidth="1" horizontalDpi="600" verticalDpi="600" orientation="landscape" scale="62" r:id="rId1"/>
  <headerFooter alignWithMargins="0">
    <oddHeader>&amp;R&amp;"Arial,Bold"&amp;12Appendix A</oddHeader>
    <oddFooter>&amp;RPage &amp;P
&amp;F
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 topLeftCell="C30">
      <selection activeCell="D59" sqref="D59"/>
    </sheetView>
  </sheetViews>
  <sheetFormatPr defaultColWidth="9.140625" defaultRowHeight="12.75"/>
  <cols>
    <col min="2" max="2" width="39.421875" style="0" bestFit="1" customWidth="1"/>
    <col min="3" max="3" width="11.140625" style="0" bestFit="1" customWidth="1"/>
    <col min="4" max="4" width="15.28125" style="0" customWidth="1"/>
    <col min="5" max="5" width="13.140625" style="0" bestFit="1" customWidth="1"/>
    <col min="6" max="6" width="12.8515625" style="0" bestFit="1" customWidth="1"/>
    <col min="7" max="7" width="41.7109375" style="0" bestFit="1" customWidth="1"/>
  </cols>
  <sheetData>
    <row r="1" ht="18.75" thickBot="1">
      <c r="B1" s="100">
        <v>37834</v>
      </c>
    </row>
    <row r="2" spans="1:9" ht="19.5" thickBot="1" thickTop="1">
      <c r="A2" s="20"/>
      <c r="B2" s="18"/>
      <c r="C2" s="122" t="str">
        <f>'January 2002'!C2</f>
        <v>Monthly Arrears: Working Capital</v>
      </c>
      <c r="D2" s="122"/>
      <c r="E2" s="122"/>
      <c r="F2" s="122"/>
      <c r="G2" s="122"/>
      <c r="H2" s="122"/>
      <c r="I2" s="9"/>
    </row>
    <row r="3" spans="1:9" ht="15.75">
      <c r="A3" s="10"/>
      <c r="B3" s="19" t="str">
        <f>'December 2001'!B3</f>
        <v>EA population</v>
      </c>
      <c r="C3" s="46"/>
      <c r="D3" s="46" t="s">
        <v>20</v>
      </c>
      <c r="E3" s="46" t="s">
        <v>0</v>
      </c>
      <c r="F3" s="46" t="s">
        <v>1</v>
      </c>
      <c r="G3" s="46" t="s">
        <v>2</v>
      </c>
      <c r="H3" s="81" t="s">
        <v>8</v>
      </c>
      <c r="I3" s="12"/>
    </row>
    <row r="4" spans="1:9" ht="12.75">
      <c r="A4" s="10"/>
      <c r="B4" s="13" t="s">
        <v>3</v>
      </c>
      <c r="C4" s="38"/>
      <c r="D4" s="38">
        <f>'Input Data'!K53*'Input Data'!F53*'Input Data'!B53</f>
        <v>39247.560000000005</v>
      </c>
      <c r="E4" s="38">
        <f>$D$4*'Input Data'!B4</f>
        <v>9811.890000000001</v>
      </c>
      <c r="F4" s="38">
        <f>$D$4*'Input Data'!C4</f>
        <v>7849.5120000000015</v>
      </c>
      <c r="G4" s="38">
        <f>$D$4*'Input Data'!D4</f>
        <v>21586.158000000003</v>
      </c>
      <c r="H4" s="82"/>
      <c r="I4" s="12"/>
    </row>
    <row r="5" spans="1:9" ht="12.75">
      <c r="A5" s="10"/>
      <c r="B5" s="13" t="s">
        <v>10</v>
      </c>
      <c r="C5" s="38"/>
      <c r="D5" s="38"/>
      <c r="E5" s="38">
        <f>E4*E24</f>
        <v>9321.2955</v>
      </c>
      <c r="F5" s="38">
        <f>F4*F24</f>
        <v>7064.560800000001</v>
      </c>
      <c r="G5" s="38">
        <f>G4*G24</f>
        <v>18348.234300000004</v>
      </c>
      <c r="H5" s="82"/>
      <c r="I5" s="12"/>
    </row>
    <row r="6" spans="1:9" ht="12.75">
      <c r="A6" s="10"/>
      <c r="B6" s="13" t="s">
        <v>5</v>
      </c>
      <c r="C6" s="92"/>
      <c r="D6" s="92"/>
      <c r="E6" s="92">
        <f>E5/1000</f>
        <v>9.3212955</v>
      </c>
      <c r="F6" s="92">
        <f>F5/1000</f>
        <v>7.0645608000000015</v>
      </c>
      <c r="G6" s="92">
        <f>G5/1000</f>
        <v>18.348234300000005</v>
      </c>
      <c r="H6" s="82"/>
      <c r="I6" s="12"/>
    </row>
    <row r="7" spans="1:9" ht="12.75">
      <c r="A7" s="10"/>
      <c r="B7" s="13" t="s">
        <v>4</v>
      </c>
      <c r="C7" s="83"/>
      <c r="D7" s="83"/>
      <c r="E7" s="83">
        <f>'December 2001'!E7</f>
        <v>6.18</v>
      </c>
      <c r="F7" s="83">
        <f>'December 2001'!F7</f>
        <v>9.28</v>
      </c>
      <c r="G7" s="83">
        <f>'December 2001'!G7</f>
        <v>32.87</v>
      </c>
      <c r="H7" s="82"/>
      <c r="I7" s="12"/>
    </row>
    <row r="8" spans="1:9" ht="12.75">
      <c r="A8" s="10"/>
      <c r="B8" s="21" t="s">
        <v>6</v>
      </c>
      <c r="C8" s="84"/>
      <c r="D8" s="84"/>
      <c r="E8" s="84">
        <f>E6*E7</f>
        <v>57.605606189999996</v>
      </c>
      <c r="F8" s="84">
        <f>F6*F7</f>
        <v>65.55912422400002</v>
      </c>
      <c r="G8" s="84">
        <f>G6*G7</f>
        <v>603.1064614410001</v>
      </c>
      <c r="H8" s="85">
        <f>SUM(C8:G8)</f>
        <v>726.2711918550001</v>
      </c>
      <c r="I8" s="12"/>
    </row>
    <row r="9" spans="1:9" ht="12.75">
      <c r="A9" s="10"/>
      <c r="B9" s="13"/>
      <c r="C9" s="46"/>
      <c r="D9" s="46"/>
      <c r="E9" s="46"/>
      <c r="F9" s="46"/>
      <c r="G9" s="46"/>
      <c r="H9" s="82"/>
      <c r="I9" s="12"/>
    </row>
    <row r="10" spans="1:9" ht="12.75">
      <c r="A10" s="10"/>
      <c r="B10" s="13"/>
      <c r="C10" s="46"/>
      <c r="D10" s="46"/>
      <c r="E10" s="46"/>
      <c r="F10" s="46"/>
      <c r="G10" s="46"/>
      <c r="H10" s="82"/>
      <c r="I10" s="12"/>
    </row>
    <row r="11" spans="1:9" ht="15.75">
      <c r="A11" s="10"/>
      <c r="B11" s="19" t="str">
        <f>'December 2001'!B11</f>
        <v>ELIP population</v>
      </c>
      <c r="C11" s="46"/>
      <c r="D11" s="46" t="str">
        <f>D3</f>
        <v>Total Arrears ($s)</v>
      </c>
      <c r="E11" s="46" t="str">
        <f>E3</f>
        <v>30-day Arrears</v>
      </c>
      <c r="F11" s="46" t="str">
        <f>F3</f>
        <v>60-day arrears</v>
      </c>
      <c r="G11" s="46" t="str">
        <f>G3</f>
        <v>90-day arrears</v>
      </c>
      <c r="H11" s="82"/>
      <c r="I11" s="12"/>
    </row>
    <row r="12" spans="1:9" ht="12.75">
      <c r="A12" s="10"/>
      <c r="B12" s="13" t="str">
        <f>B4</f>
        <v>Dollars</v>
      </c>
      <c r="C12" s="38"/>
      <c r="D12" s="38">
        <f>'Input Data'!K53*'Input Data'!G53*'Input Data'!C53</f>
        <v>13009.92</v>
      </c>
      <c r="E12" s="38">
        <f>$D$12*'Input Data'!B4</f>
        <v>3252.48</v>
      </c>
      <c r="F12" s="38">
        <f>$D$12*'Input Data'!C4</f>
        <v>2601.9840000000004</v>
      </c>
      <c r="G12" s="38">
        <f>$D$12*'Input Data'!D4</f>
        <v>7155.456000000001</v>
      </c>
      <c r="H12" s="82"/>
      <c r="I12" s="12"/>
    </row>
    <row r="13" spans="1:9" ht="12.75">
      <c r="A13" s="10"/>
      <c r="B13" s="13" t="str">
        <f>B5</f>
        <v>Dollars adjusted for charge-offs</v>
      </c>
      <c r="C13" s="38"/>
      <c r="D13" s="38"/>
      <c r="E13" s="38">
        <f>E12*E24</f>
        <v>3089.8559999999998</v>
      </c>
      <c r="F13" s="38">
        <f>F12*F24</f>
        <v>2341.7856000000006</v>
      </c>
      <c r="G13" s="38">
        <f>G12*G24</f>
        <v>6082.137600000001</v>
      </c>
      <c r="H13" s="82"/>
      <c r="I13" s="12"/>
    </row>
    <row r="14" spans="1:9" ht="12.75">
      <c r="A14" s="10"/>
      <c r="B14" s="13" t="str">
        <f>B6</f>
        <v>$1,000 increments</v>
      </c>
      <c r="C14" s="92"/>
      <c r="D14" s="92"/>
      <c r="E14" s="92">
        <f>E13/1000</f>
        <v>3.0898559999999997</v>
      </c>
      <c r="F14" s="92">
        <f>F13/1000</f>
        <v>2.3417856000000006</v>
      </c>
      <c r="G14" s="92">
        <f>G13/1000</f>
        <v>6.082137600000001</v>
      </c>
      <c r="H14" s="82"/>
      <c r="I14" s="12"/>
    </row>
    <row r="15" spans="1:9" ht="12.75">
      <c r="A15" s="10"/>
      <c r="B15" s="13" t="str">
        <f>B7</f>
        <v>Working capital per $1,000</v>
      </c>
      <c r="C15" s="83"/>
      <c r="D15" s="83"/>
      <c r="E15" s="83">
        <f>E7</f>
        <v>6.18</v>
      </c>
      <c r="F15" s="83">
        <f>F7</f>
        <v>9.28</v>
      </c>
      <c r="G15" s="83">
        <f>G7</f>
        <v>32.87</v>
      </c>
      <c r="H15" s="82"/>
      <c r="I15" s="12"/>
    </row>
    <row r="16" spans="1:9" ht="12.75">
      <c r="A16" s="10"/>
      <c r="B16" s="21" t="str">
        <f>B8</f>
        <v>Total working capital expense</v>
      </c>
      <c r="C16" s="84"/>
      <c r="D16" s="84"/>
      <c r="E16" s="84">
        <f>E14*E15</f>
        <v>19.095310079999997</v>
      </c>
      <c r="F16" s="84">
        <f>F14*F15</f>
        <v>21.731770368000003</v>
      </c>
      <c r="G16" s="84">
        <f>G14*G15</f>
        <v>199.919862912</v>
      </c>
      <c r="H16" s="85">
        <f>SUM(C16:G16)</f>
        <v>240.74694336000002</v>
      </c>
      <c r="I16" s="12"/>
    </row>
    <row r="17" spans="1:9" ht="13.5" thickBot="1">
      <c r="A17" s="10"/>
      <c r="B17" s="13"/>
      <c r="C17" s="46"/>
      <c r="D17" s="46"/>
      <c r="E17" s="46"/>
      <c r="F17" s="46"/>
      <c r="G17" s="46"/>
      <c r="H17" s="82"/>
      <c r="I17" s="12"/>
    </row>
    <row r="18" spans="1:9" ht="13.5" thickBot="1">
      <c r="A18" s="10"/>
      <c r="B18" s="22" t="s">
        <v>7</v>
      </c>
      <c r="C18" s="86"/>
      <c r="D18" s="86"/>
      <c r="E18" s="86">
        <f>E8-E16</f>
        <v>38.51029611</v>
      </c>
      <c r="F18" s="86">
        <f>F8-F16</f>
        <v>43.827353856000016</v>
      </c>
      <c r="G18" s="86">
        <f>G8-G16</f>
        <v>403.1865985290001</v>
      </c>
      <c r="H18" s="87">
        <f>SUM(C18:G18)</f>
        <v>485.5242484950001</v>
      </c>
      <c r="I18" s="12"/>
    </row>
    <row r="19" spans="1:9" ht="13.5" thickBot="1">
      <c r="A19" s="15"/>
      <c r="B19" s="17"/>
      <c r="C19" s="17"/>
      <c r="D19" s="17"/>
      <c r="E19" s="17"/>
      <c r="F19" s="17"/>
      <c r="G19" s="17"/>
      <c r="H19" s="17"/>
      <c r="I19" s="16"/>
    </row>
    <row r="20" ht="13.5" thickTop="1"/>
    <row r="21" ht="13.5" thickBot="1"/>
    <row r="22" spans="1:9" ht="18" thickBot="1" thickTop="1">
      <c r="A22" s="20"/>
      <c r="B22" s="8"/>
      <c r="C22" s="122" t="s">
        <v>52</v>
      </c>
      <c r="D22" s="122"/>
      <c r="E22" s="122"/>
      <c r="F22" s="122"/>
      <c r="G22" s="122"/>
      <c r="H22" s="122"/>
      <c r="I22" s="9"/>
    </row>
    <row r="23" spans="1:9" ht="15.75">
      <c r="A23" s="10"/>
      <c r="B23" s="19" t="str">
        <f>B3</f>
        <v>EA population</v>
      </c>
      <c r="C23" s="13"/>
      <c r="D23" s="46" t="s">
        <v>53</v>
      </c>
      <c r="E23" s="46" t="str">
        <f>E3</f>
        <v>30-day Arrears</v>
      </c>
      <c r="F23" s="46" t="str">
        <f>F3</f>
        <v>60-day arrears</v>
      </c>
      <c r="G23" s="46" t="str">
        <f>G3</f>
        <v>90-day arrears</v>
      </c>
      <c r="H23" s="81" t="str">
        <f>H3</f>
        <v>Total</v>
      </c>
      <c r="I23" s="12"/>
    </row>
    <row r="24" spans="1:9" ht="12.75">
      <c r="A24" s="10"/>
      <c r="B24" s="13" t="s">
        <v>11</v>
      </c>
      <c r="C24" s="26"/>
      <c r="D24" s="88"/>
      <c r="E24" s="88">
        <v>0.95</v>
      </c>
      <c r="F24" s="88">
        <v>0.9</v>
      </c>
      <c r="G24" s="88">
        <v>0.85</v>
      </c>
      <c r="H24" s="82"/>
      <c r="I24" s="12"/>
    </row>
    <row r="25" spans="1:9" ht="12.75">
      <c r="A25" s="10"/>
      <c r="B25" s="13" t="s">
        <v>12</v>
      </c>
      <c r="C25" s="26"/>
      <c r="D25" s="88"/>
      <c r="E25" s="88">
        <f>1-E24</f>
        <v>0.050000000000000044</v>
      </c>
      <c r="F25" s="88">
        <f>(1-F24)-E25</f>
        <v>0.04999999999999993</v>
      </c>
      <c r="G25" s="88">
        <f>(1-G24)-(E25+F25)</f>
        <v>0.050000000000000044</v>
      </c>
      <c r="H25" s="82"/>
      <c r="I25" s="12"/>
    </row>
    <row r="26" spans="1:9" ht="12.75">
      <c r="A26" s="10"/>
      <c r="B26" s="13" t="s">
        <v>13</v>
      </c>
      <c r="C26" s="27"/>
      <c r="D26" s="38">
        <f>SUM(E26:G26)</f>
        <v>1962.378000000001</v>
      </c>
      <c r="E26" s="38">
        <f>E25*E4</f>
        <v>490.5945000000005</v>
      </c>
      <c r="F26" s="38">
        <f>F25*F4</f>
        <v>392.47559999999953</v>
      </c>
      <c r="G26" s="38">
        <f>G25*G4</f>
        <v>1079.3079000000012</v>
      </c>
      <c r="H26" s="82"/>
      <c r="I26" s="12"/>
    </row>
    <row r="27" spans="1:9" ht="12.75">
      <c r="A27" s="10"/>
      <c r="B27" s="13" t="s">
        <v>5</v>
      </c>
      <c r="C27" s="25"/>
      <c r="D27" s="92"/>
      <c r="E27" s="92">
        <f>E26/1000</f>
        <v>0.4905945000000005</v>
      </c>
      <c r="F27" s="92">
        <f>F26/1000</f>
        <v>0.39247559999999954</v>
      </c>
      <c r="G27" s="92">
        <f>G26/1000</f>
        <v>1.0793079000000012</v>
      </c>
      <c r="H27" s="82"/>
      <c r="I27" s="12"/>
    </row>
    <row r="28" spans="1:9" ht="12.75">
      <c r="A28" s="10"/>
      <c r="B28" s="13" t="s">
        <v>4</v>
      </c>
      <c r="C28" s="14"/>
      <c r="D28" s="83"/>
      <c r="E28" s="83">
        <f>'December 2001'!E28</f>
        <v>45.67868031566741</v>
      </c>
      <c r="F28" s="83">
        <f>'December 2001'!F28</f>
        <v>36.059797012539775</v>
      </c>
      <c r="G28" s="83">
        <f>'December 2001'!G28</f>
        <v>3.0851720988794114</v>
      </c>
      <c r="H28" s="82"/>
      <c r="I28" s="12"/>
    </row>
    <row r="29" spans="1:9" ht="12.75">
      <c r="A29" s="10"/>
      <c r="B29" s="21" t="s">
        <v>6</v>
      </c>
      <c r="C29" s="28"/>
      <c r="D29" s="89"/>
      <c r="E29" s="89">
        <f>E27*E28</f>
        <v>22.409709330124716</v>
      </c>
      <c r="F29" s="89">
        <f>F27*F28</f>
        <v>14.15259046837474</v>
      </c>
      <c r="G29" s="89">
        <f>G27*G28</f>
        <v>3.3298506191801334</v>
      </c>
      <c r="H29" s="90">
        <f>SUM(C29:G29)</f>
        <v>39.89215041767959</v>
      </c>
      <c r="I29" s="12"/>
    </row>
    <row r="30" spans="1:9" ht="12.75">
      <c r="A30" s="10"/>
      <c r="B30" s="13"/>
      <c r="C30" s="13"/>
      <c r="D30" s="46"/>
      <c r="E30" s="46"/>
      <c r="F30" s="46"/>
      <c r="G30" s="46"/>
      <c r="H30" s="82"/>
      <c r="I30" s="12"/>
    </row>
    <row r="31" spans="1:9" ht="12.75">
      <c r="A31" s="10"/>
      <c r="B31" s="13"/>
      <c r="C31" s="13"/>
      <c r="D31" s="46"/>
      <c r="E31" s="46"/>
      <c r="F31" s="46"/>
      <c r="G31" s="46"/>
      <c r="H31" s="82"/>
      <c r="I31" s="12"/>
    </row>
    <row r="32" spans="1:9" ht="15.75">
      <c r="A32" s="10"/>
      <c r="B32" s="19" t="str">
        <f>B11</f>
        <v>ELIP population</v>
      </c>
      <c r="C32" s="13"/>
      <c r="D32" s="46" t="s">
        <v>53</v>
      </c>
      <c r="E32" s="46" t="str">
        <f>E11</f>
        <v>30-day Arrears</v>
      </c>
      <c r="F32" s="46" t="str">
        <f>F11</f>
        <v>60-day arrears</v>
      </c>
      <c r="G32" s="46" t="str">
        <f>G11</f>
        <v>90-day arrears</v>
      </c>
      <c r="H32" s="82"/>
      <c r="I32" s="12"/>
    </row>
    <row r="33" spans="1:9" ht="12.75">
      <c r="A33" s="10"/>
      <c r="B33" s="13" t="str">
        <f aca="true" t="shared" si="0" ref="B33:B38">B24</f>
        <v>Collectability factor</v>
      </c>
      <c r="C33" s="26"/>
      <c r="D33" s="88"/>
      <c r="E33" s="88">
        <f>E24</f>
        <v>0.95</v>
      </c>
      <c r="F33" s="88">
        <f>F24</f>
        <v>0.9</v>
      </c>
      <c r="G33" s="88">
        <f>G24</f>
        <v>0.85</v>
      </c>
      <c r="H33" s="82"/>
      <c r="I33" s="12"/>
    </row>
    <row r="34" spans="1:9" ht="12.75">
      <c r="A34" s="10"/>
      <c r="B34" s="13" t="str">
        <f t="shared" si="0"/>
        <v>Uncollectable rate</v>
      </c>
      <c r="C34" s="26"/>
      <c r="D34" s="88"/>
      <c r="E34" s="88">
        <f>1-E33</f>
        <v>0.050000000000000044</v>
      </c>
      <c r="F34" s="88">
        <f>(1-F33)-E34</f>
        <v>0.04999999999999993</v>
      </c>
      <c r="G34" s="88">
        <f>(1-G33)-(E34+F34)</f>
        <v>0.050000000000000044</v>
      </c>
      <c r="H34" s="82"/>
      <c r="I34" s="12"/>
    </row>
    <row r="35" spans="1:9" ht="12.75">
      <c r="A35" s="10"/>
      <c r="B35" s="13" t="str">
        <f t="shared" si="0"/>
        <v>Uncollectable dollars</v>
      </c>
      <c r="C35" s="27"/>
      <c r="D35" s="38">
        <f>SUM(E35:G35)</f>
        <v>650.4960000000003</v>
      </c>
      <c r="E35" s="38">
        <f>E34*E12</f>
        <v>162.62400000000014</v>
      </c>
      <c r="F35" s="38">
        <f>F34*F12</f>
        <v>130.09919999999985</v>
      </c>
      <c r="G35" s="38">
        <f>G34*G12</f>
        <v>357.77280000000036</v>
      </c>
      <c r="H35" s="82"/>
      <c r="I35" s="12"/>
    </row>
    <row r="36" spans="1:9" ht="12.75">
      <c r="A36" s="10"/>
      <c r="B36" s="13" t="str">
        <f t="shared" si="0"/>
        <v>$1,000 increments</v>
      </c>
      <c r="C36" s="25"/>
      <c r="D36" s="92"/>
      <c r="E36" s="92">
        <f>E35/1000</f>
        <v>0.16262400000000013</v>
      </c>
      <c r="F36" s="92">
        <f>F35/1000</f>
        <v>0.13009919999999986</v>
      </c>
      <c r="G36" s="92">
        <f>G35/1000</f>
        <v>0.35777280000000033</v>
      </c>
      <c r="H36" s="82"/>
      <c r="I36" s="12"/>
    </row>
    <row r="37" spans="1:9" ht="12.75">
      <c r="A37" s="10"/>
      <c r="B37" s="13" t="str">
        <f t="shared" si="0"/>
        <v>Working capital per $1,000</v>
      </c>
      <c r="C37" s="14"/>
      <c r="D37" s="83"/>
      <c r="E37" s="83">
        <f>E28</f>
        <v>45.67868031566741</v>
      </c>
      <c r="F37" s="83">
        <f>F28</f>
        <v>36.059797012539775</v>
      </c>
      <c r="G37" s="83">
        <f>G28</f>
        <v>3.0851720988794114</v>
      </c>
      <c r="H37" s="82"/>
      <c r="I37" s="12"/>
    </row>
    <row r="38" spans="1:9" ht="12.75">
      <c r="A38" s="10"/>
      <c r="B38" s="21" t="str">
        <f t="shared" si="0"/>
        <v>Total working capital expense</v>
      </c>
      <c r="C38" s="28"/>
      <c r="D38" s="89"/>
      <c r="E38" s="89">
        <f>E36*E37</f>
        <v>7.428449707655102</v>
      </c>
      <c r="F38" s="89">
        <f>F36*F37</f>
        <v>4.6913507434938095</v>
      </c>
      <c r="G38" s="89">
        <f>G36*G37</f>
        <v>1.1037906602979648</v>
      </c>
      <c r="H38" s="90">
        <f>SUM(C38:G38)</f>
        <v>13.223591111446876</v>
      </c>
      <c r="I38" s="12"/>
    </row>
    <row r="39" spans="1:9" ht="13.5" thickBot="1">
      <c r="A39" s="10"/>
      <c r="B39" s="13"/>
      <c r="C39" s="13"/>
      <c r="D39" s="46"/>
      <c r="E39" s="46"/>
      <c r="F39" s="46"/>
      <c r="G39" s="46"/>
      <c r="H39" s="82"/>
      <c r="I39" s="12"/>
    </row>
    <row r="40" spans="1:9" ht="13.5" thickBot="1">
      <c r="A40" s="10"/>
      <c r="B40" s="22" t="s">
        <v>7</v>
      </c>
      <c r="C40" s="23"/>
      <c r="D40" s="86">
        <f>D26-D35</f>
        <v>1311.8820000000007</v>
      </c>
      <c r="E40" s="86">
        <f>E29-E38</f>
        <v>14.981259622469615</v>
      </c>
      <c r="F40" s="86">
        <f>F29-F38</f>
        <v>9.46123972488093</v>
      </c>
      <c r="G40" s="86">
        <f>G29-G38</f>
        <v>2.2260599588821686</v>
      </c>
      <c r="H40" s="91">
        <f>SUM(E40:G40)</f>
        <v>26.668559306232712</v>
      </c>
      <c r="I40" s="12"/>
    </row>
    <row r="41" spans="1:9" ht="13.5" thickBot="1">
      <c r="A41" s="15"/>
      <c r="B41" s="17"/>
      <c r="C41" s="17"/>
      <c r="D41" s="17"/>
      <c r="E41" s="17"/>
      <c r="F41" s="17"/>
      <c r="G41" s="17"/>
      <c r="H41" s="17"/>
      <c r="I41" s="16"/>
    </row>
    <row r="42" ht="14.25" thickBot="1" thickTop="1"/>
    <row r="43" spans="1:9" ht="13.5" thickTop="1">
      <c r="A43" s="20"/>
      <c r="B43" s="123" t="str">
        <f>'January 2002'!B43</f>
        <v>Disconnection Savings</v>
      </c>
      <c r="C43" s="123"/>
      <c r="D43" s="9"/>
      <c r="F43" s="20"/>
      <c r="G43" s="123" t="str">
        <f>'January 2002'!G43</f>
        <v>Collection Savings</v>
      </c>
      <c r="H43" s="123"/>
      <c r="I43" s="9"/>
    </row>
    <row r="44" spans="1:9" ht="12.75">
      <c r="A44" s="10"/>
      <c r="B44" s="13" t="s">
        <v>80</v>
      </c>
      <c r="C44" s="13">
        <f>'Input Data'!B29</f>
        <v>0.8</v>
      </c>
      <c r="D44" s="12"/>
      <c r="F44" s="10"/>
      <c r="G44" s="13" t="s">
        <v>77</v>
      </c>
      <c r="H44" s="40">
        <f>'Input Data'!F53</f>
        <v>0.53</v>
      </c>
      <c r="I44" s="12"/>
    </row>
    <row r="45" spans="1:9" ht="12.75">
      <c r="A45" s="10"/>
      <c r="B45" s="13" t="s">
        <v>75</v>
      </c>
      <c r="C45" s="94">
        <f>'Input Data'!K53*'Input Data'!F53/100</f>
        <v>2.5652000000000004</v>
      </c>
      <c r="D45" s="12"/>
      <c r="F45" s="10"/>
      <c r="G45" s="13" t="s">
        <v>31</v>
      </c>
      <c r="H45" s="25">
        <f>H51</f>
        <v>484</v>
      </c>
      <c r="I45" s="12"/>
    </row>
    <row r="46" spans="1:9" ht="12.75">
      <c r="A46" s="10"/>
      <c r="B46" s="13" t="s">
        <v>26</v>
      </c>
      <c r="C46" s="93">
        <f>C45*C44</f>
        <v>2.05216</v>
      </c>
      <c r="D46" s="12"/>
      <c r="F46" s="10"/>
      <c r="G46" s="13" t="s">
        <v>32</v>
      </c>
      <c r="H46" s="25">
        <f>H44*H45</f>
        <v>256.52000000000004</v>
      </c>
      <c r="I46" s="12"/>
    </row>
    <row r="47" spans="1:9" ht="12.75">
      <c r="A47" s="10"/>
      <c r="B47" s="13" t="s">
        <v>24</v>
      </c>
      <c r="C47" s="14">
        <f>'January 2002'!C47</f>
        <v>121.18</v>
      </c>
      <c r="D47" s="12"/>
      <c r="F47" s="10"/>
      <c r="G47" s="13" t="s">
        <v>33</v>
      </c>
      <c r="H47" s="14">
        <f>'December 2001'!H47</f>
        <v>12.94</v>
      </c>
      <c r="I47" s="12"/>
    </row>
    <row r="48" spans="1:9" ht="12.75">
      <c r="A48" s="10"/>
      <c r="B48" s="13" t="s">
        <v>25</v>
      </c>
      <c r="C48" s="11">
        <f>C47*C46</f>
        <v>248.68074880000003</v>
      </c>
      <c r="D48" s="12"/>
      <c r="F48" s="10"/>
      <c r="G48" s="13" t="s">
        <v>34</v>
      </c>
      <c r="H48" s="11">
        <f>H46*H47</f>
        <v>3319.3688</v>
      </c>
      <c r="I48" s="12"/>
    </row>
    <row r="49" spans="1:9" ht="12.75">
      <c r="A49" s="10"/>
      <c r="B49" s="13"/>
      <c r="C49" s="13"/>
      <c r="D49" s="12"/>
      <c r="F49" s="10"/>
      <c r="G49" s="13"/>
      <c r="H49" s="13"/>
      <c r="I49" s="12"/>
    </row>
    <row r="50" spans="1:9" ht="12.75">
      <c r="A50" s="10"/>
      <c r="B50" s="13" t="s">
        <v>81</v>
      </c>
      <c r="C50" s="13">
        <f>'Input Data'!C29</f>
        <v>3.9</v>
      </c>
      <c r="D50" s="12"/>
      <c r="F50" s="10"/>
      <c r="G50" s="13" t="s">
        <v>78</v>
      </c>
      <c r="H50" s="40">
        <f>'Input Data'!G53</f>
        <v>0.32</v>
      </c>
      <c r="I50" s="12"/>
    </row>
    <row r="51" spans="1:9" ht="12.75">
      <c r="A51" s="10"/>
      <c r="B51" s="13" t="s">
        <v>75</v>
      </c>
      <c r="C51" s="94">
        <f>'Input Data'!K53*'Input Data'!G53/100</f>
        <v>1.5488</v>
      </c>
      <c r="D51" s="12"/>
      <c r="F51" s="10"/>
      <c r="G51" s="13" t="s">
        <v>31</v>
      </c>
      <c r="H51" s="25">
        <f>'Input Data'!K53</f>
        <v>484</v>
      </c>
      <c r="I51" s="12"/>
    </row>
    <row r="52" spans="1:9" ht="12.75">
      <c r="A52" s="10"/>
      <c r="B52" s="13" t="s">
        <v>26</v>
      </c>
      <c r="C52" s="93">
        <f>C51*C50</f>
        <v>6.0403199999999995</v>
      </c>
      <c r="D52" s="12"/>
      <c r="F52" s="10"/>
      <c r="G52" s="13" t="s">
        <v>32</v>
      </c>
      <c r="H52" s="25">
        <f>H50*H51</f>
        <v>154.88</v>
      </c>
      <c r="I52" s="12"/>
    </row>
    <row r="53" spans="1:9" ht="12.75">
      <c r="A53" s="10"/>
      <c r="B53" s="13" t="s">
        <v>24</v>
      </c>
      <c r="C53" s="14">
        <f>C47</f>
        <v>121.18</v>
      </c>
      <c r="D53" s="12"/>
      <c r="F53" s="10"/>
      <c r="G53" s="13" t="s">
        <v>33</v>
      </c>
      <c r="H53" s="14">
        <f>H47</f>
        <v>12.94</v>
      </c>
      <c r="I53" s="12"/>
    </row>
    <row r="54" spans="1:9" ht="12.75">
      <c r="A54" s="10"/>
      <c r="B54" s="13" t="s">
        <v>25</v>
      </c>
      <c r="C54" s="11">
        <f>C53*C52</f>
        <v>731.9659776</v>
      </c>
      <c r="D54" s="12"/>
      <c r="F54" s="10"/>
      <c r="G54" s="13" t="s">
        <v>34</v>
      </c>
      <c r="H54" s="11">
        <f>H52*H53</f>
        <v>2004.1471999999999</v>
      </c>
      <c r="I54" s="12"/>
    </row>
    <row r="55" spans="1:9" ht="13.5" thickBot="1">
      <c r="A55" s="10"/>
      <c r="B55" s="13"/>
      <c r="C55" s="13"/>
      <c r="D55" s="12"/>
      <c r="F55" s="10"/>
      <c r="G55" s="13"/>
      <c r="H55" s="13"/>
      <c r="I55" s="12"/>
    </row>
    <row r="56" spans="1:9" ht="13.5" thickBot="1">
      <c r="A56" s="10"/>
      <c r="B56" s="22" t="s">
        <v>7</v>
      </c>
      <c r="C56" s="36">
        <f>C48-C54</f>
        <v>-483.2852287999999</v>
      </c>
      <c r="D56" s="12"/>
      <c r="F56" s="10"/>
      <c r="G56" s="22" t="s">
        <v>7</v>
      </c>
      <c r="H56" s="36">
        <f>H48-H54</f>
        <v>1315.2216000000003</v>
      </c>
      <c r="I56" s="12"/>
    </row>
    <row r="57" spans="1:9" ht="13.5" thickBot="1">
      <c r="A57" s="15"/>
      <c r="B57" s="17"/>
      <c r="C57" s="17"/>
      <c r="D57" s="16"/>
      <c r="F57" s="15"/>
      <c r="G57" s="17"/>
      <c r="H57" s="17"/>
      <c r="I57" s="16"/>
    </row>
    <row r="58" ht="13.5" thickTop="1"/>
  </sheetData>
  <mergeCells count="4">
    <mergeCell ref="C22:H22"/>
    <mergeCell ref="C2:H2"/>
    <mergeCell ref="G43:H43"/>
    <mergeCell ref="B43:C43"/>
  </mergeCells>
  <printOptions/>
  <pageMargins left="0.75" right="0.75" top="1" bottom="1" header="0.5" footer="0.5"/>
  <pageSetup fitToHeight="1" fitToWidth="1" horizontalDpi="600" verticalDpi="600" orientation="landscape" scale="62" r:id="rId1"/>
  <headerFooter alignWithMargins="0">
    <oddHeader>&amp;R&amp;"Arial,Bold"&amp;12Appendix A</oddHeader>
    <oddFooter>&amp;RPage &amp;P
&amp;F
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L16">
      <selection activeCell="Y45" sqref="Y45"/>
    </sheetView>
  </sheetViews>
  <sheetFormatPr defaultColWidth="9.140625" defaultRowHeight="12.75"/>
  <cols>
    <col min="2" max="2" width="36.00390625" style="0" bestFit="1" customWidth="1"/>
    <col min="3" max="3" width="11.57421875" style="0" bestFit="1" customWidth="1"/>
    <col min="4" max="4" width="11.57421875" style="0" customWidth="1"/>
    <col min="6" max="6" width="40.140625" style="0" bestFit="1" customWidth="1"/>
    <col min="7" max="7" width="19.7109375" style="0" customWidth="1"/>
    <col min="8" max="10" width="12.8515625" style="0" bestFit="1" customWidth="1"/>
  </cols>
  <sheetData>
    <row r="1" spans="1:12" ht="18.75" thickTop="1">
      <c r="A1" s="6"/>
      <c r="B1" s="6" t="s">
        <v>9</v>
      </c>
      <c r="E1" s="20"/>
      <c r="F1" s="18" t="s">
        <v>9</v>
      </c>
      <c r="G1" s="8"/>
      <c r="H1" s="8"/>
      <c r="I1" s="8"/>
      <c r="J1" s="8"/>
      <c r="K1" s="8"/>
      <c r="L1" s="9"/>
    </row>
    <row r="2" spans="2:12" ht="18.75" thickBot="1">
      <c r="B2" s="6"/>
      <c r="E2" s="10"/>
      <c r="F2" s="13"/>
      <c r="G2" s="13"/>
      <c r="H2" s="121" t="s">
        <v>42</v>
      </c>
      <c r="I2" s="121"/>
      <c r="J2" s="121"/>
      <c r="K2" s="13"/>
      <c r="L2" s="12"/>
    </row>
    <row r="3" spans="2:12" ht="15.75">
      <c r="B3" s="57" t="s">
        <v>73</v>
      </c>
      <c r="C3" s="58" t="s">
        <v>22</v>
      </c>
      <c r="E3" s="10"/>
      <c r="F3" s="19" t="s">
        <v>69</v>
      </c>
      <c r="G3" s="46" t="s">
        <v>8</v>
      </c>
      <c r="H3" s="13" t="s">
        <v>41</v>
      </c>
      <c r="I3" s="13" t="s">
        <v>1</v>
      </c>
      <c r="J3" s="13" t="s">
        <v>2</v>
      </c>
      <c r="K3" s="1" t="s">
        <v>8</v>
      </c>
      <c r="L3" s="12"/>
    </row>
    <row r="4" spans="2:12" ht="12.75">
      <c r="B4" s="59" t="s">
        <v>35</v>
      </c>
      <c r="C4" s="60">
        <f>'Input Data'!J33</f>
        <v>642</v>
      </c>
      <c r="D4" s="42"/>
      <c r="E4" s="10"/>
      <c r="F4" s="13" t="s">
        <v>43</v>
      </c>
      <c r="G4" s="11">
        <f>C6*C8</f>
        <v>66235.13999999998</v>
      </c>
      <c r="H4" s="11">
        <f>$G$4*'Input Data'!B4</f>
        <v>16558.784999999996</v>
      </c>
      <c r="I4" s="11">
        <f>$G$4*'Input Data'!C4</f>
        <v>13247.027999999998</v>
      </c>
      <c r="J4" s="11">
        <f>$G$4*'Input Data'!D4</f>
        <v>36429.327</v>
      </c>
      <c r="K4" s="2"/>
      <c r="L4" s="12"/>
    </row>
    <row r="5" spans="2:12" ht="12.75">
      <c r="B5" s="59" t="s">
        <v>36</v>
      </c>
      <c r="C5" s="61">
        <f>'Input Data'!F33</f>
        <v>0.57</v>
      </c>
      <c r="D5" s="39"/>
      <c r="E5" s="10"/>
      <c r="F5" s="13" t="s">
        <v>48</v>
      </c>
      <c r="G5" s="11"/>
      <c r="H5" s="40">
        <f>'Input Data'!G4</f>
        <v>0.95</v>
      </c>
      <c r="I5" s="40">
        <f>'Input Data'!H4</f>
        <v>0.9</v>
      </c>
      <c r="J5" s="40">
        <f>'Input Data'!I4</f>
        <v>0.85</v>
      </c>
      <c r="K5" s="2"/>
      <c r="L5" s="12"/>
    </row>
    <row r="6" spans="2:12" ht="12.75">
      <c r="B6" s="59" t="s">
        <v>37</v>
      </c>
      <c r="C6" s="60">
        <f>C4*C5</f>
        <v>365.93999999999994</v>
      </c>
      <c r="D6" s="42"/>
      <c r="E6" s="10"/>
      <c r="F6" s="13" t="s">
        <v>44</v>
      </c>
      <c r="G6" s="11">
        <f>SUM(H6:J6)</f>
        <v>7617.0411</v>
      </c>
      <c r="H6" s="11">
        <f>H4*(1-H5)</f>
        <v>827.9392500000006</v>
      </c>
      <c r="I6" s="11">
        <f>I4*(1-I5)</f>
        <v>1324.7027999999996</v>
      </c>
      <c r="J6" s="11">
        <f>J4*(1-J5)</f>
        <v>5464.39905</v>
      </c>
      <c r="K6" s="2"/>
      <c r="L6" s="12"/>
    </row>
    <row r="7" spans="2:12" ht="12.75">
      <c r="B7" s="59"/>
      <c r="C7" s="62"/>
      <c r="D7" s="43"/>
      <c r="E7" s="10"/>
      <c r="F7" s="13" t="s">
        <v>45</v>
      </c>
      <c r="G7" s="13"/>
      <c r="H7" s="14">
        <v>45.68</v>
      </c>
      <c r="I7" s="14">
        <v>36.06</v>
      </c>
      <c r="J7" s="14">
        <v>3.09</v>
      </c>
      <c r="K7" s="2"/>
      <c r="L7" s="12"/>
    </row>
    <row r="8" spans="2:12" ht="12.75">
      <c r="B8" s="63" t="s">
        <v>38</v>
      </c>
      <c r="C8" s="64">
        <f>'Input Data'!B33</f>
        <v>181</v>
      </c>
      <c r="D8" s="4"/>
      <c r="E8" s="10"/>
      <c r="F8" s="13" t="s">
        <v>46</v>
      </c>
      <c r="G8" s="13"/>
      <c r="H8" s="14">
        <f>(H6/1000)*H7</f>
        <v>37.82026494000002</v>
      </c>
      <c r="I8" s="14">
        <f>(I6/1000)*I7</f>
        <v>47.76878296799999</v>
      </c>
      <c r="J8" s="14">
        <f>(J6/1000)*J7</f>
        <v>16.884993064499998</v>
      </c>
      <c r="K8" s="118">
        <f>SUM(H8:J8)</f>
        <v>102.4740409725</v>
      </c>
      <c r="L8" s="12"/>
    </row>
    <row r="9" spans="3:12" ht="12.75">
      <c r="C9" s="4"/>
      <c r="D9" s="4"/>
      <c r="E9" s="10"/>
      <c r="F9" s="13"/>
      <c r="G9" s="13"/>
      <c r="H9" s="13"/>
      <c r="I9" s="13"/>
      <c r="J9" s="13"/>
      <c r="K9" s="5"/>
      <c r="L9" s="12"/>
    </row>
    <row r="10" spans="3:12" ht="12.75">
      <c r="C10" s="4"/>
      <c r="D10" s="4"/>
      <c r="E10" s="10"/>
      <c r="F10" s="13"/>
      <c r="G10" s="13"/>
      <c r="H10" s="13"/>
      <c r="I10" s="13"/>
      <c r="J10" s="13"/>
      <c r="K10" s="5"/>
      <c r="L10" s="12"/>
    </row>
    <row r="11" spans="2:12" ht="15.75">
      <c r="B11" s="7"/>
      <c r="E11" s="10"/>
      <c r="F11" s="13"/>
      <c r="G11" s="13"/>
      <c r="H11" s="121" t="s">
        <v>42</v>
      </c>
      <c r="I11" s="121"/>
      <c r="J11" s="121"/>
      <c r="K11" s="5"/>
      <c r="L11" s="12"/>
    </row>
    <row r="12" spans="3:12" ht="15.75">
      <c r="C12" s="42"/>
      <c r="D12" s="42"/>
      <c r="E12" s="10"/>
      <c r="F12" s="19" t="s">
        <v>70</v>
      </c>
      <c r="G12" s="46" t="s">
        <v>8</v>
      </c>
      <c r="H12" s="13" t="s">
        <v>41</v>
      </c>
      <c r="I12" s="13" t="s">
        <v>1</v>
      </c>
      <c r="J12" s="13" t="s">
        <v>2</v>
      </c>
      <c r="K12" s="5" t="s">
        <v>8</v>
      </c>
      <c r="L12" s="12"/>
    </row>
    <row r="13" spans="3:12" ht="12.75">
      <c r="C13" s="39"/>
      <c r="D13" s="39"/>
      <c r="E13" s="10"/>
      <c r="F13" s="13" t="s">
        <v>43</v>
      </c>
      <c r="G13" s="11">
        <f>G4</f>
        <v>66235.13999999998</v>
      </c>
      <c r="H13" s="11">
        <f>H4</f>
        <v>16558.784999999996</v>
      </c>
      <c r="I13" s="11">
        <f>I4</f>
        <v>13247.027999999998</v>
      </c>
      <c r="J13" s="11">
        <f>J4</f>
        <v>36429.327</v>
      </c>
      <c r="K13" s="5"/>
      <c r="L13" s="12"/>
    </row>
    <row r="14" spans="3:12" ht="12.75">
      <c r="C14" s="42"/>
      <c r="D14" s="42"/>
      <c r="E14" s="10"/>
      <c r="F14" s="13" t="s">
        <v>48</v>
      </c>
      <c r="G14" s="11"/>
      <c r="H14" s="40">
        <v>0.98</v>
      </c>
      <c r="I14" s="40">
        <f>H5</f>
        <v>0.95</v>
      </c>
      <c r="J14" s="40">
        <f>I5</f>
        <v>0.9</v>
      </c>
      <c r="K14" s="5"/>
      <c r="L14" s="12"/>
    </row>
    <row r="15" spans="3:12" ht="12.75">
      <c r="C15" s="43"/>
      <c r="D15" s="43"/>
      <c r="E15" s="10"/>
      <c r="F15" s="13" t="s">
        <v>44</v>
      </c>
      <c r="G15" s="11">
        <f>SUM(H15:J15)</f>
        <v>4636.4598</v>
      </c>
      <c r="H15" s="11">
        <f>H13*(1-H14)</f>
        <v>331.17570000000023</v>
      </c>
      <c r="I15" s="11">
        <f>I13*(1-I14)</f>
        <v>662.3514000000005</v>
      </c>
      <c r="J15" s="11">
        <f>J13*(1-J14)</f>
        <v>3642.932699999999</v>
      </c>
      <c r="K15" s="5"/>
      <c r="L15" s="12"/>
    </row>
    <row r="16" spans="3:12" ht="12.75">
      <c r="C16" s="4"/>
      <c r="D16" s="4"/>
      <c r="E16" s="10"/>
      <c r="F16" s="13" t="s">
        <v>45</v>
      </c>
      <c r="G16" s="13"/>
      <c r="H16" s="14">
        <f>H7</f>
        <v>45.68</v>
      </c>
      <c r="I16" s="14">
        <f>I7</f>
        <v>36.06</v>
      </c>
      <c r="J16" s="14">
        <f>J7</f>
        <v>3.09</v>
      </c>
      <c r="K16" s="5"/>
      <c r="L16" s="12"/>
    </row>
    <row r="17" spans="3:12" ht="12.75">
      <c r="C17" s="4"/>
      <c r="D17" s="4"/>
      <c r="E17" s="10"/>
      <c r="F17" s="13" t="s">
        <v>46</v>
      </c>
      <c r="G17" s="13"/>
      <c r="H17" s="14">
        <f>(H15/1000)*H16</f>
        <v>15.128105976000011</v>
      </c>
      <c r="I17" s="14">
        <f>(I15/1000)*I16</f>
        <v>23.88439148400002</v>
      </c>
      <c r="J17" s="14">
        <f>(J15/1000)*J16</f>
        <v>11.256662042999997</v>
      </c>
      <c r="K17" s="5">
        <f>SUM(H17:J17)</f>
        <v>50.26915950300003</v>
      </c>
      <c r="L17" s="12"/>
    </row>
    <row r="18" spans="5:12" ht="13.5" thickBot="1">
      <c r="E18" s="10"/>
      <c r="F18" s="13"/>
      <c r="G18" s="13"/>
      <c r="H18" s="13"/>
      <c r="I18" s="13"/>
      <c r="J18" s="13"/>
      <c r="K18" s="5"/>
      <c r="L18" s="12"/>
    </row>
    <row r="19" spans="3:12" ht="16.5" thickBot="1">
      <c r="C19" s="3"/>
      <c r="D19" s="3"/>
      <c r="E19" s="10"/>
      <c r="F19" s="54" t="s">
        <v>49</v>
      </c>
      <c r="G19" s="55"/>
      <c r="H19" s="55"/>
      <c r="I19" s="55"/>
      <c r="J19" s="55"/>
      <c r="K19" s="24">
        <f>K8-K17</f>
        <v>52.20488146949997</v>
      </c>
      <c r="L19" s="12"/>
    </row>
    <row r="20" spans="3:12" ht="16.5" thickBot="1">
      <c r="C20" s="3"/>
      <c r="D20" s="3"/>
      <c r="E20" s="10"/>
      <c r="F20" s="19"/>
      <c r="G20" s="13"/>
      <c r="H20" s="13"/>
      <c r="I20" s="13"/>
      <c r="J20" s="13"/>
      <c r="K20" s="5"/>
      <c r="L20" s="12"/>
    </row>
    <row r="21" spans="5:12" ht="16.5" thickBot="1">
      <c r="E21" s="10"/>
      <c r="F21" s="54" t="s">
        <v>50</v>
      </c>
      <c r="G21" s="23">
        <f>G6-G15</f>
        <v>2980.5813000000007</v>
      </c>
      <c r="H21" s="23">
        <f>H6-H15</f>
        <v>496.76355000000035</v>
      </c>
      <c r="I21" s="23">
        <f>I6-I15</f>
        <v>662.3513999999991</v>
      </c>
      <c r="J21" s="23">
        <f>J6-J15</f>
        <v>1821.466350000001</v>
      </c>
      <c r="K21" s="24">
        <f>SUM(H21:J21)</f>
        <v>2980.5813000000007</v>
      </c>
      <c r="L21" s="12"/>
    </row>
    <row r="22" spans="5:12" ht="13.5" thickBot="1">
      <c r="E22" s="15"/>
      <c r="F22" s="17"/>
      <c r="G22" s="17"/>
      <c r="H22" s="17"/>
      <c r="I22" s="17"/>
      <c r="J22" s="17"/>
      <c r="K22" s="17"/>
      <c r="L22" s="16"/>
    </row>
    <row r="23" ht="13.5" thickTop="1"/>
  </sheetData>
  <mergeCells count="2">
    <mergeCell ref="H2:J2"/>
    <mergeCell ref="H11:J11"/>
  </mergeCells>
  <printOptions/>
  <pageMargins left="0.75" right="0.75" top="1" bottom="1" header="0.5" footer="0.5"/>
  <pageSetup fitToHeight="1" fitToWidth="1" horizontalDpi="600" verticalDpi="600" orientation="landscape" scale="63" r:id="rId1"/>
  <headerFooter alignWithMargins="0">
    <oddHeader>&amp;R&amp;"Arial,Bold"&amp;12Appendix A</oddHeader>
    <oddFooter>&amp;RPage &amp;P
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 topLeftCell="C31">
      <selection activeCell="H60" sqref="H60"/>
    </sheetView>
  </sheetViews>
  <sheetFormatPr defaultColWidth="9.140625" defaultRowHeight="12.75"/>
  <cols>
    <col min="2" max="2" width="39.421875" style="0" bestFit="1" customWidth="1"/>
    <col min="3" max="3" width="12.57421875" style="0" bestFit="1" customWidth="1"/>
    <col min="4" max="4" width="15.28125" style="0" customWidth="1"/>
    <col min="5" max="5" width="13.140625" style="0" bestFit="1" customWidth="1"/>
    <col min="6" max="6" width="12.8515625" style="0" bestFit="1" customWidth="1"/>
    <col min="7" max="7" width="41.7109375" style="0" bestFit="1" customWidth="1"/>
  </cols>
  <sheetData>
    <row r="1" ht="18.75" thickBot="1">
      <c r="B1" s="100">
        <f>'Summary Data'!A3</f>
        <v>37226</v>
      </c>
    </row>
    <row r="2" spans="1:9" ht="19.5" thickBot="1" thickTop="1">
      <c r="A2" s="20"/>
      <c r="B2" s="18"/>
      <c r="C2" s="122" t="s">
        <v>58</v>
      </c>
      <c r="D2" s="122"/>
      <c r="E2" s="122"/>
      <c r="F2" s="122"/>
      <c r="G2" s="122"/>
      <c r="H2" s="122"/>
      <c r="I2" s="9"/>
    </row>
    <row r="3" spans="1:9" ht="15.75">
      <c r="A3" s="10"/>
      <c r="B3" s="19" t="s">
        <v>73</v>
      </c>
      <c r="C3" s="46"/>
      <c r="D3" s="46" t="s">
        <v>20</v>
      </c>
      <c r="E3" s="46" t="s">
        <v>0</v>
      </c>
      <c r="F3" s="46" t="s">
        <v>1</v>
      </c>
      <c r="G3" s="46" t="s">
        <v>2</v>
      </c>
      <c r="H3" s="81" t="s">
        <v>8</v>
      </c>
      <c r="I3" s="12"/>
    </row>
    <row r="4" spans="1:9" ht="12.75">
      <c r="A4" s="10"/>
      <c r="B4" s="13" t="s">
        <v>3</v>
      </c>
      <c r="C4" s="38"/>
      <c r="D4" s="38">
        <f>'Input Data'!K33*'Input Data'!F33*'Input Data'!B33</f>
        <v>65203.43999999999</v>
      </c>
      <c r="E4" s="38">
        <f>$D$4*'Input Data'!B4</f>
        <v>16300.859999999997</v>
      </c>
      <c r="F4" s="38">
        <f>$D$4*'Input Data'!C4</f>
        <v>13040.687999999998</v>
      </c>
      <c r="G4" s="38">
        <f>$D$4*'Input Data'!D4</f>
        <v>35861.89199999999</v>
      </c>
      <c r="H4" s="82"/>
      <c r="I4" s="12"/>
    </row>
    <row r="5" spans="1:9" ht="12.75">
      <c r="A5" s="10"/>
      <c r="B5" s="13" t="s">
        <v>10</v>
      </c>
      <c r="C5" s="38"/>
      <c r="D5" s="38"/>
      <c r="E5" s="38">
        <f>E4*E24</f>
        <v>15485.816999999997</v>
      </c>
      <c r="F5" s="38">
        <f>F4*F24</f>
        <v>11736.6192</v>
      </c>
      <c r="G5" s="38">
        <f>G4*G24</f>
        <v>30482.60819999999</v>
      </c>
      <c r="H5" s="82"/>
      <c r="I5" s="12"/>
    </row>
    <row r="6" spans="1:9" ht="12.75">
      <c r="A6" s="10"/>
      <c r="B6" s="13" t="s">
        <v>5</v>
      </c>
      <c r="C6" s="92"/>
      <c r="D6" s="92"/>
      <c r="E6" s="92">
        <f>E5/1000</f>
        <v>15.485816999999997</v>
      </c>
      <c r="F6" s="92">
        <f>F5/1000</f>
        <v>11.7366192</v>
      </c>
      <c r="G6" s="92">
        <f>G5/1000</f>
        <v>30.48260819999999</v>
      </c>
      <c r="H6" s="82"/>
      <c r="I6" s="12"/>
    </row>
    <row r="7" spans="1:9" ht="12.75">
      <c r="A7" s="10"/>
      <c r="B7" s="13" t="s">
        <v>4</v>
      </c>
      <c r="C7" s="83"/>
      <c r="D7" s="83"/>
      <c r="E7" s="83">
        <v>6.18</v>
      </c>
      <c r="F7" s="83">
        <v>9.28</v>
      </c>
      <c r="G7" s="83">
        <v>32.87</v>
      </c>
      <c r="H7" s="82"/>
      <c r="I7" s="12"/>
    </row>
    <row r="8" spans="1:9" ht="12.75">
      <c r="A8" s="10"/>
      <c r="B8" s="21" t="s">
        <v>6</v>
      </c>
      <c r="C8" s="84"/>
      <c r="D8" s="84"/>
      <c r="E8" s="84">
        <f>E6*E7</f>
        <v>95.70234905999997</v>
      </c>
      <c r="F8" s="84">
        <f>F6*F7</f>
        <v>108.915826176</v>
      </c>
      <c r="G8" s="84">
        <f>G6*G7</f>
        <v>1001.9633315339996</v>
      </c>
      <c r="H8" s="85">
        <f>SUM(C8:G8)</f>
        <v>1206.5815067699996</v>
      </c>
      <c r="I8" s="12"/>
    </row>
    <row r="9" spans="1:9" ht="12.75">
      <c r="A9" s="10"/>
      <c r="B9" s="13"/>
      <c r="C9" s="46"/>
      <c r="D9" s="46"/>
      <c r="E9" s="46"/>
      <c r="F9" s="46"/>
      <c r="G9" s="46"/>
      <c r="H9" s="82"/>
      <c r="I9" s="12"/>
    </row>
    <row r="10" spans="1:9" ht="12.75">
      <c r="A10" s="10"/>
      <c r="B10" s="13"/>
      <c r="C10" s="46"/>
      <c r="D10" s="46"/>
      <c r="E10" s="46"/>
      <c r="F10" s="46"/>
      <c r="G10" s="46"/>
      <c r="H10" s="82"/>
      <c r="I10" s="12"/>
    </row>
    <row r="11" spans="1:9" ht="15.75">
      <c r="A11" s="10"/>
      <c r="B11" s="19" t="s">
        <v>74</v>
      </c>
      <c r="C11" s="46"/>
      <c r="D11" s="46" t="str">
        <f>D3</f>
        <v>Total Arrears ($s)</v>
      </c>
      <c r="E11" s="46" t="str">
        <f>E3</f>
        <v>30-day Arrears</v>
      </c>
      <c r="F11" s="46" t="str">
        <f>F3</f>
        <v>60-day arrears</v>
      </c>
      <c r="G11" s="46" t="str">
        <f>G3</f>
        <v>90-day arrears</v>
      </c>
      <c r="H11" s="82"/>
      <c r="I11" s="12"/>
    </row>
    <row r="12" spans="1:9" ht="12.75">
      <c r="A12" s="10"/>
      <c r="B12" s="13" t="str">
        <f>B4</f>
        <v>Dollars</v>
      </c>
      <c r="C12" s="38"/>
      <c r="D12" s="38">
        <f>'Input Data'!K33*'Input Data'!G33*'Input Data'!C33</f>
        <v>24976.64</v>
      </c>
      <c r="E12" s="38">
        <f>$D$12*'Input Data'!B4</f>
        <v>6244.16</v>
      </c>
      <c r="F12" s="38">
        <f>$D$12*'Input Data'!C4</f>
        <v>4995.328</v>
      </c>
      <c r="G12" s="38">
        <f>$D$12*'Input Data'!D4</f>
        <v>13737.152</v>
      </c>
      <c r="H12" s="82"/>
      <c r="I12" s="12"/>
    </row>
    <row r="13" spans="1:9" ht="12.75">
      <c r="A13" s="10"/>
      <c r="B13" s="13" t="str">
        <f>B5</f>
        <v>Dollars adjusted for charge-offs</v>
      </c>
      <c r="C13" s="38"/>
      <c r="D13" s="38"/>
      <c r="E13" s="38">
        <f>E12*E24</f>
        <v>5931.951999999999</v>
      </c>
      <c r="F13" s="38">
        <f>F12*F24</f>
        <v>4495.7952000000005</v>
      </c>
      <c r="G13" s="38">
        <f>G12*G24</f>
        <v>11676.5792</v>
      </c>
      <c r="H13" s="82"/>
      <c r="I13" s="12"/>
    </row>
    <row r="14" spans="1:9" ht="12.75">
      <c r="A14" s="10"/>
      <c r="B14" s="13" t="str">
        <f>B6</f>
        <v>$1,000 increments</v>
      </c>
      <c r="C14" s="92"/>
      <c r="D14" s="92"/>
      <c r="E14" s="92">
        <f>E13/1000</f>
        <v>5.931951999999999</v>
      </c>
      <c r="F14" s="92">
        <f>F13/1000</f>
        <v>4.495795200000001</v>
      </c>
      <c r="G14" s="92">
        <f>G13/1000</f>
        <v>11.6765792</v>
      </c>
      <c r="H14" s="82"/>
      <c r="I14" s="12"/>
    </row>
    <row r="15" spans="1:9" ht="12.75">
      <c r="A15" s="10"/>
      <c r="B15" s="13" t="str">
        <f>B7</f>
        <v>Working capital per $1,000</v>
      </c>
      <c r="C15" s="83"/>
      <c r="D15" s="83"/>
      <c r="E15" s="83">
        <f>E7</f>
        <v>6.18</v>
      </c>
      <c r="F15" s="83">
        <f>F7</f>
        <v>9.28</v>
      </c>
      <c r="G15" s="83">
        <f>G7</f>
        <v>32.87</v>
      </c>
      <c r="H15" s="82"/>
      <c r="I15" s="12"/>
    </row>
    <row r="16" spans="1:9" ht="12.75">
      <c r="A16" s="10"/>
      <c r="B16" s="21" t="str">
        <f>B8</f>
        <v>Total working capital expense</v>
      </c>
      <c r="C16" s="84"/>
      <c r="D16" s="84"/>
      <c r="E16" s="84">
        <f>E14*E15</f>
        <v>36.65946335999999</v>
      </c>
      <c r="F16" s="84">
        <f>F14*F15</f>
        <v>41.720979456</v>
      </c>
      <c r="G16" s="84">
        <f>G14*G15</f>
        <v>383.809158304</v>
      </c>
      <c r="H16" s="85">
        <f>SUM(C16:G16)</f>
        <v>462.18960112</v>
      </c>
      <c r="I16" s="12"/>
    </row>
    <row r="17" spans="1:9" ht="13.5" thickBot="1">
      <c r="A17" s="10"/>
      <c r="B17" s="13"/>
      <c r="C17" s="46"/>
      <c r="D17" s="46"/>
      <c r="E17" s="46"/>
      <c r="F17" s="46"/>
      <c r="G17" s="46"/>
      <c r="H17" s="82"/>
      <c r="I17" s="12"/>
    </row>
    <row r="18" spans="1:9" ht="13.5" thickBot="1">
      <c r="A18" s="10"/>
      <c r="B18" s="22" t="s">
        <v>7</v>
      </c>
      <c r="C18" s="86"/>
      <c r="D18" s="86"/>
      <c r="E18" s="86">
        <f>E8-E16</f>
        <v>59.042885699999985</v>
      </c>
      <c r="F18" s="86">
        <f>F8-F16</f>
        <v>67.19484671999999</v>
      </c>
      <c r="G18" s="86">
        <f>G8-G16</f>
        <v>618.1541732299996</v>
      </c>
      <c r="H18" s="91">
        <f>SUM(E18:G18)</f>
        <v>744.3919056499996</v>
      </c>
      <c r="I18" s="12"/>
    </row>
    <row r="19" spans="1:9" ht="13.5" thickBot="1">
      <c r="A19" s="15"/>
      <c r="B19" s="17"/>
      <c r="C19" s="17"/>
      <c r="D19" s="17"/>
      <c r="E19" s="17"/>
      <c r="F19" s="17"/>
      <c r="G19" s="17"/>
      <c r="H19" s="17"/>
      <c r="I19" s="16"/>
    </row>
    <row r="20" ht="13.5" thickTop="1"/>
    <row r="21" ht="13.5" thickBot="1"/>
    <row r="22" spans="1:9" ht="18" thickBot="1" thickTop="1">
      <c r="A22" s="20"/>
      <c r="B22" s="8"/>
      <c r="C22" s="122" t="s">
        <v>52</v>
      </c>
      <c r="D22" s="122"/>
      <c r="E22" s="122"/>
      <c r="F22" s="122"/>
      <c r="G22" s="122"/>
      <c r="H22" s="122"/>
      <c r="I22" s="9"/>
    </row>
    <row r="23" spans="1:9" ht="15.75">
      <c r="A23" s="10"/>
      <c r="B23" s="19" t="str">
        <f>B3</f>
        <v>EA population</v>
      </c>
      <c r="C23" s="13"/>
      <c r="D23" s="46" t="s">
        <v>53</v>
      </c>
      <c r="E23" s="46" t="str">
        <f>E3</f>
        <v>30-day Arrears</v>
      </c>
      <c r="F23" s="46" t="str">
        <f>F3</f>
        <v>60-day arrears</v>
      </c>
      <c r="G23" s="46" t="str">
        <f>G3</f>
        <v>90-day arrears</v>
      </c>
      <c r="H23" s="81" t="str">
        <f>H3</f>
        <v>Total</v>
      </c>
      <c r="I23" s="12"/>
    </row>
    <row r="24" spans="1:9" ht="12.75">
      <c r="A24" s="10"/>
      <c r="B24" s="13" t="s">
        <v>11</v>
      </c>
      <c r="C24" s="26"/>
      <c r="D24" s="88"/>
      <c r="E24" s="88">
        <v>0.95</v>
      </c>
      <c r="F24" s="88">
        <v>0.9</v>
      </c>
      <c r="G24" s="88">
        <v>0.85</v>
      </c>
      <c r="H24" s="82"/>
      <c r="I24" s="12"/>
    </row>
    <row r="25" spans="1:9" ht="12.75">
      <c r="A25" s="10"/>
      <c r="B25" s="13" t="s">
        <v>60</v>
      </c>
      <c r="C25" s="26"/>
      <c r="D25" s="88"/>
      <c r="E25" s="88">
        <f>'Input Data'!G6</f>
        <v>0.050000000000000044</v>
      </c>
      <c r="F25" s="88">
        <f>'Input Data'!H6</f>
        <v>0.04999999999999993</v>
      </c>
      <c r="G25" s="88">
        <f>'Input Data'!I6</f>
        <v>0.050000000000000044</v>
      </c>
      <c r="H25" s="82"/>
      <c r="I25" s="12"/>
    </row>
    <row r="26" spans="1:9" ht="12.75">
      <c r="A26" s="10"/>
      <c r="B26" s="13" t="s">
        <v>13</v>
      </c>
      <c r="C26" s="27"/>
      <c r="D26" s="38">
        <f>SUM(E26:G26)</f>
        <v>3260.172000000001</v>
      </c>
      <c r="E26" s="38">
        <f>E25*E4</f>
        <v>815.0430000000006</v>
      </c>
      <c r="F26" s="38">
        <f>F25*F4</f>
        <v>652.0343999999991</v>
      </c>
      <c r="G26" s="38">
        <f>G25*G4</f>
        <v>1793.0946000000013</v>
      </c>
      <c r="H26" s="82"/>
      <c r="I26" s="12"/>
    </row>
    <row r="27" spans="1:9" ht="12.75">
      <c r="A27" s="10"/>
      <c r="B27" s="13" t="s">
        <v>5</v>
      </c>
      <c r="C27" s="25"/>
      <c r="D27" s="92"/>
      <c r="E27" s="92">
        <f>E26/1000</f>
        <v>0.8150430000000006</v>
      </c>
      <c r="F27" s="92">
        <f>F26/1000</f>
        <v>0.6520343999999991</v>
      </c>
      <c r="G27" s="92">
        <f>G26/1000</f>
        <v>1.7930946000000012</v>
      </c>
      <c r="H27" s="82"/>
      <c r="I27" s="12"/>
    </row>
    <row r="28" spans="1:9" ht="12.75">
      <c r="A28" s="10"/>
      <c r="B28" s="13" t="s">
        <v>4</v>
      </c>
      <c r="C28" s="14"/>
      <c r="D28" s="83"/>
      <c r="E28" s="83">
        <f>'[1]Working Capital'!$C$26</f>
        <v>45.67868031566741</v>
      </c>
      <c r="F28" s="83">
        <f>'[1]Working Capital'!$D$26</f>
        <v>36.059797012539775</v>
      </c>
      <c r="G28" s="83">
        <f>'[1]Working Capital'!$E$26</f>
        <v>3.0851720988794114</v>
      </c>
      <c r="H28" s="82"/>
      <c r="I28" s="12"/>
    </row>
    <row r="29" spans="1:9" ht="12.75">
      <c r="A29" s="10"/>
      <c r="B29" s="21" t="s">
        <v>6</v>
      </c>
      <c r="C29" s="28"/>
      <c r="D29" s="89"/>
      <c r="E29" s="89">
        <f>E27*E28</f>
        <v>37.23008864052254</v>
      </c>
      <c r="F29" s="89">
        <f>F27*F28</f>
        <v>23.512228109193135</v>
      </c>
      <c r="G29" s="89">
        <f>G27*G28</f>
        <v>5.532005430571342</v>
      </c>
      <c r="H29" s="90">
        <f>SUM(C29:G29)</f>
        <v>66.27432218028702</v>
      </c>
      <c r="I29" s="12"/>
    </row>
    <row r="30" spans="1:9" ht="12.75">
      <c r="A30" s="10"/>
      <c r="B30" s="13"/>
      <c r="C30" s="13"/>
      <c r="D30" s="13"/>
      <c r="E30" s="13"/>
      <c r="F30" s="13"/>
      <c r="G30" s="13"/>
      <c r="H30" s="2"/>
      <c r="I30" s="12"/>
    </row>
    <row r="31" spans="1:9" ht="12.75">
      <c r="A31" s="10"/>
      <c r="B31" s="13"/>
      <c r="C31" s="13"/>
      <c r="D31" s="13"/>
      <c r="E31" s="13"/>
      <c r="F31" s="13"/>
      <c r="G31" s="13"/>
      <c r="H31" s="2"/>
      <c r="I31" s="12"/>
    </row>
    <row r="32" spans="1:9" ht="15.75">
      <c r="A32" s="10"/>
      <c r="B32" s="19" t="str">
        <f>B11</f>
        <v>ELIP population</v>
      </c>
      <c r="C32" s="13"/>
      <c r="D32" s="46" t="s">
        <v>53</v>
      </c>
      <c r="E32" s="46" t="str">
        <f>E11</f>
        <v>30-day Arrears</v>
      </c>
      <c r="F32" s="46" t="str">
        <f>F11</f>
        <v>60-day arrears</v>
      </c>
      <c r="G32" s="46" t="str">
        <f>G11</f>
        <v>90-day arrears</v>
      </c>
      <c r="H32" s="82"/>
      <c r="I32" s="12"/>
    </row>
    <row r="33" spans="1:9" ht="12.75">
      <c r="A33" s="10"/>
      <c r="B33" s="13" t="str">
        <f aca="true" t="shared" si="0" ref="B33:B38">B24</f>
        <v>Collectability factor</v>
      </c>
      <c r="C33" s="26"/>
      <c r="D33" s="88"/>
      <c r="E33" s="88">
        <f>E24</f>
        <v>0.95</v>
      </c>
      <c r="F33" s="88">
        <f>F24</f>
        <v>0.9</v>
      </c>
      <c r="G33" s="88">
        <f>G24</f>
        <v>0.85</v>
      </c>
      <c r="H33" s="82"/>
      <c r="I33" s="12"/>
    </row>
    <row r="34" spans="1:9" ht="12.75">
      <c r="A34" s="10"/>
      <c r="B34" s="13" t="str">
        <f t="shared" si="0"/>
        <v>Incremental uncollectable rate</v>
      </c>
      <c r="C34" s="26"/>
      <c r="D34" s="88"/>
      <c r="E34" s="88">
        <f>'Input Data'!G6</f>
        <v>0.050000000000000044</v>
      </c>
      <c r="F34" s="88">
        <f>'Input Data'!H6</f>
        <v>0.04999999999999993</v>
      </c>
      <c r="G34" s="88">
        <f>'Input Data'!I6</f>
        <v>0.050000000000000044</v>
      </c>
      <c r="H34" s="82"/>
      <c r="I34" s="12"/>
    </row>
    <row r="35" spans="1:9" ht="12.75">
      <c r="A35" s="10"/>
      <c r="B35" s="13" t="str">
        <f t="shared" si="0"/>
        <v>Uncollectable dollars</v>
      </c>
      <c r="C35" s="27"/>
      <c r="D35" s="38">
        <f>SUM(E35:G35)</f>
        <v>1248.8320000000006</v>
      </c>
      <c r="E35" s="38">
        <f>E34*E12</f>
        <v>312.20800000000025</v>
      </c>
      <c r="F35" s="38">
        <f>F34*F12</f>
        <v>249.7663999999997</v>
      </c>
      <c r="G35" s="38">
        <f>G34*G12</f>
        <v>686.8576000000006</v>
      </c>
      <c r="H35" s="82"/>
      <c r="I35" s="12"/>
    </row>
    <row r="36" spans="1:9" ht="12.75">
      <c r="A36" s="10"/>
      <c r="B36" s="13" t="str">
        <f t="shared" si="0"/>
        <v>$1,000 increments</v>
      </c>
      <c r="C36" s="25"/>
      <c r="D36" s="92"/>
      <c r="E36" s="92">
        <f>E35/1000</f>
        <v>0.31220800000000026</v>
      </c>
      <c r="F36" s="92">
        <f>F35/1000</f>
        <v>0.2497663999999997</v>
      </c>
      <c r="G36" s="92">
        <f>G35/1000</f>
        <v>0.6868576000000006</v>
      </c>
      <c r="H36" s="82"/>
      <c r="I36" s="12"/>
    </row>
    <row r="37" spans="1:9" ht="12.75">
      <c r="A37" s="10"/>
      <c r="B37" s="13" t="str">
        <f t="shared" si="0"/>
        <v>Working capital per $1,000</v>
      </c>
      <c r="C37" s="14"/>
      <c r="D37" s="83"/>
      <c r="E37" s="83">
        <f>E28</f>
        <v>45.67868031566741</v>
      </c>
      <c r="F37" s="83">
        <f>F28</f>
        <v>36.059797012539775</v>
      </c>
      <c r="G37" s="83">
        <f>G28</f>
        <v>3.0851720988794114</v>
      </c>
      <c r="H37" s="82"/>
      <c r="I37" s="12"/>
    </row>
    <row r="38" spans="1:9" ht="12.75">
      <c r="A38" s="10"/>
      <c r="B38" s="21" t="str">
        <f t="shared" si="0"/>
        <v>Total working capital expense</v>
      </c>
      <c r="C38" s="28"/>
      <c r="D38" s="89"/>
      <c r="E38" s="89">
        <f>E36*E37</f>
        <v>14.261249423993902</v>
      </c>
      <c r="F38" s="89">
        <f>F36*F37</f>
        <v>9.006525684552804</v>
      </c>
      <c r="G38" s="89">
        <f>G36*G37</f>
        <v>2.1190739034232773</v>
      </c>
      <c r="H38" s="90">
        <f>SUM(C38:G38)</f>
        <v>25.386849011969986</v>
      </c>
      <c r="I38" s="12"/>
    </row>
    <row r="39" spans="1:9" ht="13.5" thickBot="1">
      <c r="A39" s="10"/>
      <c r="B39" s="13"/>
      <c r="C39" s="13"/>
      <c r="D39" s="46"/>
      <c r="E39" s="46"/>
      <c r="F39" s="46"/>
      <c r="G39" s="46"/>
      <c r="H39" s="82"/>
      <c r="I39" s="12"/>
    </row>
    <row r="40" spans="1:9" ht="13.5" thickBot="1">
      <c r="A40" s="10"/>
      <c r="B40" s="22" t="s">
        <v>7</v>
      </c>
      <c r="C40" s="23"/>
      <c r="D40" s="86">
        <f>D26-D35</f>
        <v>2011.3400000000004</v>
      </c>
      <c r="E40" s="86">
        <f>E29-E38</f>
        <v>22.968839216528636</v>
      </c>
      <c r="F40" s="86">
        <f>F29-F38</f>
        <v>14.505702424640331</v>
      </c>
      <c r="G40" s="86">
        <f>G29-G38</f>
        <v>3.4129315271480647</v>
      </c>
      <c r="H40" s="91">
        <f>SUM(E40:G40)</f>
        <v>40.88747316831704</v>
      </c>
      <c r="I40" s="12"/>
    </row>
    <row r="41" spans="1:9" ht="13.5" thickBot="1">
      <c r="A41" s="15"/>
      <c r="B41" s="17"/>
      <c r="C41" s="17"/>
      <c r="D41" s="17"/>
      <c r="E41" s="17"/>
      <c r="F41" s="17"/>
      <c r="G41" s="17"/>
      <c r="H41" s="17"/>
      <c r="I41" s="16"/>
    </row>
    <row r="42" ht="14.25" thickBot="1" thickTop="1"/>
    <row r="43" spans="1:9" ht="13.5" thickTop="1">
      <c r="A43" s="20"/>
      <c r="B43" s="123" t="s">
        <v>57</v>
      </c>
      <c r="C43" s="123"/>
      <c r="D43" s="9"/>
      <c r="F43" s="20"/>
      <c r="G43" s="123" t="s">
        <v>56</v>
      </c>
      <c r="H43" s="123"/>
      <c r="I43" s="9"/>
    </row>
    <row r="44" spans="1:9" ht="12.75">
      <c r="A44" s="10"/>
      <c r="B44" s="13" t="s">
        <v>80</v>
      </c>
      <c r="C44" s="41">
        <f>'Input Data'!B9</f>
        <v>0</v>
      </c>
      <c r="D44" s="12"/>
      <c r="F44" s="10"/>
      <c r="G44" s="13" t="s">
        <v>77</v>
      </c>
      <c r="H44" s="40">
        <f>'Input Data'!F33</f>
        <v>0.57</v>
      </c>
      <c r="I44" s="12"/>
    </row>
    <row r="45" spans="1:9" ht="12.75">
      <c r="A45" s="10"/>
      <c r="B45" s="13" t="s">
        <v>75</v>
      </c>
      <c r="C45" s="94">
        <f>'Input Data'!K33*'Input Data'!F33/100</f>
        <v>3.6023999999999994</v>
      </c>
      <c r="D45" s="12"/>
      <c r="F45" s="10"/>
      <c r="G45" s="13" t="s">
        <v>31</v>
      </c>
      <c r="H45" s="25">
        <f>H51</f>
        <v>632</v>
      </c>
      <c r="I45" s="12"/>
    </row>
    <row r="46" spans="1:9" ht="12.75">
      <c r="A46" s="10"/>
      <c r="B46" s="13" t="s">
        <v>26</v>
      </c>
      <c r="C46" s="93">
        <f>C45*C44</f>
        <v>0</v>
      </c>
      <c r="D46" s="12"/>
      <c r="F46" s="10"/>
      <c r="G46" s="13" t="s">
        <v>32</v>
      </c>
      <c r="H46" s="25">
        <f>H44*H45</f>
        <v>360.23999999999995</v>
      </c>
      <c r="I46" s="12"/>
    </row>
    <row r="47" spans="1:9" ht="12.75">
      <c r="A47" s="10"/>
      <c r="B47" s="13" t="s">
        <v>24</v>
      </c>
      <c r="C47" s="14">
        <v>121.18</v>
      </c>
      <c r="D47" s="12"/>
      <c r="F47" s="10"/>
      <c r="G47" s="13" t="s">
        <v>33</v>
      </c>
      <c r="H47" s="14">
        <v>12.94</v>
      </c>
      <c r="I47" s="12"/>
    </row>
    <row r="48" spans="1:9" ht="12.75">
      <c r="A48" s="10"/>
      <c r="B48" s="13" t="s">
        <v>25</v>
      </c>
      <c r="C48" s="11">
        <f>C46*C47</f>
        <v>0</v>
      </c>
      <c r="D48" s="12"/>
      <c r="F48" s="10"/>
      <c r="G48" s="13" t="s">
        <v>34</v>
      </c>
      <c r="H48" s="11">
        <f>H46*H47</f>
        <v>4661.5055999999995</v>
      </c>
      <c r="I48" s="12"/>
    </row>
    <row r="49" spans="1:9" ht="12.75">
      <c r="A49" s="10"/>
      <c r="B49" s="13"/>
      <c r="C49" s="13"/>
      <c r="D49" s="12"/>
      <c r="F49" s="10"/>
      <c r="G49" s="13"/>
      <c r="H49" s="13"/>
      <c r="I49" s="12"/>
    </row>
    <row r="50" spans="1:9" ht="12.75">
      <c r="A50" s="10"/>
      <c r="B50" s="13" t="s">
        <v>81</v>
      </c>
      <c r="C50" s="13">
        <f>'Input Data'!C9</f>
        <v>0.7</v>
      </c>
      <c r="D50" s="12"/>
      <c r="F50" s="10"/>
      <c r="G50" s="13" t="s">
        <v>78</v>
      </c>
      <c r="H50" s="40">
        <f>'Input Data'!G33</f>
        <v>0.38</v>
      </c>
      <c r="I50" s="12"/>
    </row>
    <row r="51" spans="1:9" ht="12.75">
      <c r="A51" s="10"/>
      <c r="B51" s="13" t="s">
        <v>75</v>
      </c>
      <c r="C51" s="94">
        <f>'Input Data'!K33*'Input Data'!G33/100</f>
        <v>2.4016</v>
      </c>
      <c r="D51" s="12"/>
      <c r="F51" s="10"/>
      <c r="G51" s="13" t="s">
        <v>31</v>
      </c>
      <c r="H51" s="25">
        <f>'Input Data'!K33</f>
        <v>632</v>
      </c>
      <c r="I51" s="12"/>
    </row>
    <row r="52" spans="1:9" ht="12.75">
      <c r="A52" s="10"/>
      <c r="B52" s="13" t="s">
        <v>26</v>
      </c>
      <c r="C52" s="93">
        <f>C51*C50</f>
        <v>1.68112</v>
      </c>
      <c r="D52" s="12"/>
      <c r="F52" s="10"/>
      <c r="G52" s="13" t="s">
        <v>32</v>
      </c>
      <c r="H52" s="25">
        <f>H50*H51</f>
        <v>240.16</v>
      </c>
      <c r="I52" s="12"/>
    </row>
    <row r="53" spans="1:9" ht="12.75">
      <c r="A53" s="10"/>
      <c r="B53" s="13" t="s">
        <v>24</v>
      </c>
      <c r="C53" s="14">
        <f>C47</f>
        <v>121.18</v>
      </c>
      <c r="D53" s="12"/>
      <c r="F53" s="10"/>
      <c r="G53" s="13" t="s">
        <v>33</v>
      </c>
      <c r="H53" s="14">
        <f>H47</f>
        <v>12.94</v>
      </c>
      <c r="I53" s="12"/>
    </row>
    <row r="54" spans="1:9" ht="12.75">
      <c r="A54" s="10"/>
      <c r="B54" s="13" t="s">
        <v>25</v>
      </c>
      <c r="C54" s="11">
        <f>C52*C53</f>
        <v>203.71812160000002</v>
      </c>
      <c r="D54" s="12"/>
      <c r="F54" s="10"/>
      <c r="G54" s="13" t="s">
        <v>34</v>
      </c>
      <c r="H54" s="11">
        <f>H52*H53</f>
        <v>3107.6704</v>
      </c>
      <c r="I54" s="12"/>
    </row>
    <row r="55" spans="1:9" ht="13.5" thickBot="1">
      <c r="A55" s="10"/>
      <c r="B55" s="13"/>
      <c r="C55" s="13"/>
      <c r="D55" s="12"/>
      <c r="F55" s="10"/>
      <c r="G55" s="13"/>
      <c r="H55" s="13"/>
      <c r="I55" s="12"/>
    </row>
    <row r="56" spans="1:9" ht="13.5" thickBot="1">
      <c r="A56" s="10"/>
      <c r="B56" s="22" t="s">
        <v>7</v>
      </c>
      <c r="C56" s="36">
        <f>C48-C54</f>
        <v>-203.71812160000002</v>
      </c>
      <c r="D56" s="12"/>
      <c r="F56" s="10"/>
      <c r="G56" s="22" t="s">
        <v>7</v>
      </c>
      <c r="H56" s="36">
        <f>H48-H54</f>
        <v>1553.8351999999995</v>
      </c>
      <c r="I56" s="12"/>
    </row>
    <row r="57" spans="1:9" ht="13.5" thickBot="1">
      <c r="A57" s="15"/>
      <c r="B57" s="17"/>
      <c r="C57" s="17"/>
      <c r="D57" s="16"/>
      <c r="F57" s="15"/>
      <c r="G57" s="17"/>
      <c r="H57" s="17"/>
      <c r="I57" s="16"/>
    </row>
    <row r="58" ht="13.5" thickTop="1"/>
  </sheetData>
  <mergeCells count="4">
    <mergeCell ref="C22:H22"/>
    <mergeCell ref="C2:H2"/>
    <mergeCell ref="G43:H43"/>
    <mergeCell ref="B43:C43"/>
  </mergeCells>
  <printOptions/>
  <pageMargins left="0.75" right="0.75" top="1" bottom="1" header="0.5" footer="0.5"/>
  <pageSetup fitToHeight="1" fitToWidth="1" horizontalDpi="600" verticalDpi="600" orientation="landscape" scale="62" r:id="rId1"/>
  <headerFooter alignWithMargins="0">
    <oddHeader>&amp;R&amp;"Arial,Bold"&amp;12Appendix A</oddHeader>
    <oddFooter>&amp;RPage &amp;P
&amp;F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 topLeftCell="C1">
      <selection activeCell="D7" sqref="D7"/>
    </sheetView>
  </sheetViews>
  <sheetFormatPr defaultColWidth="9.140625" defaultRowHeight="12.75"/>
  <cols>
    <col min="2" max="2" width="39.421875" style="0" bestFit="1" customWidth="1"/>
    <col min="3" max="3" width="12.57421875" style="0" bestFit="1" customWidth="1"/>
    <col min="4" max="4" width="15.28125" style="0" customWidth="1"/>
    <col min="5" max="5" width="13.140625" style="0" bestFit="1" customWidth="1"/>
    <col min="6" max="6" width="12.8515625" style="0" bestFit="1" customWidth="1"/>
    <col min="7" max="7" width="41.7109375" style="0" bestFit="1" customWidth="1"/>
  </cols>
  <sheetData>
    <row r="1" ht="18.75" thickBot="1">
      <c r="B1" s="100">
        <f>'Summary Data'!A4</f>
        <v>37257</v>
      </c>
    </row>
    <row r="2" spans="1:9" ht="19.5" thickBot="1" thickTop="1">
      <c r="A2" s="20"/>
      <c r="B2" s="18"/>
      <c r="C2" s="122" t="s">
        <v>58</v>
      </c>
      <c r="D2" s="122"/>
      <c r="E2" s="122"/>
      <c r="F2" s="122"/>
      <c r="G2" s="122"/>
      <c r="H2" s="122"/>
      <c r="I2" s="9"/>
    </row>
    <row r="3" spans="1:9" ht="15.75">
      <c r="A3" s="10"/>
      <c r="B3" s="19" t="str">
        <f>'December 2001'!B3</f>
        <v>EA population</v>
      </c>
      <c r="C3" s="46"/>
      <c r="D3" s="46" t="s">
        <v>20</v>
      </c>
      <c r="E3" s="46" t="s">
        <v>0</v>
      </c>
      <c r="F3" s="46" t="s">
        <v>1</v>
      </c>
      <c r="G3" s="46" t="s">
        <v>2</v>
      </c>
      <c r="H3" s="81" t="s">
        <v>8</v>
      </c>
      <c r="I3" s="12"/>
    </row>
    <row r="4" spans="1:9" ht="12.75">
      <c r="A4" s="10"/>
      <c r="B4" s="13" t="s">
        <v>3</v>
      </c>
      <c r="C4" s="38"/>
      <c r="D4" s="38">
        <f>'Input Data'!K34*'Input Data'!F34*'Input Data'!B34</f>
        <v>62705.520000000004</v>
      </c>
      <c r="E4" s="38">
        <f>$D$4*'Input Data'!B4</f>
        <v>15676.380000000001</v>
      </c>
      <c r="F4" s="38">
        <f>$D$4*'Input Data'!C4</f>
        <v>12541.104000000001</v>
      </c>
      <c r="G4" s="38">
        <f>$D$4*'Input Data'!D4</f>
        <v>34488.03600000001</v>
      </c>
      <c r="H4" s="82"/>
      <c r="I4" s="12"/>
    </row>
    <row r="5" spans="1:9" ht="12.75">
      <c r="A5" s="10"/>
      <c r="B5" s="13" t="s">
        <v>10</v>
      </c>
      <c r="C5" s="38"/>
      <c r="D5" s="38"/>
      <c r="E5" s="38">
        <f>E4*E24</f>
        <v>14892.561</v>
      </c>
      <c r="F5" s="38">
        <f>F4*F24</f>
        <v>11286.993600000002</v>
      </c>
      <c r="G5" s="38">
        <f>G4*G24</f>
        <v>29314.830600000005</v>
      </c>
      <c r="H5" s="82"/>
      <c r="I5" s="12"/>
    </row>
    <row r="6" spans="1:9" ht="12.75">
      <c r="A6" s="10"/>
      <c r="B6" s="13" t="s">
        <v>5</v>
      </c>
      <c r="C6" s="92"/>
      <c r="D6" s="92"/>
      <c r="E6" s="92">
        <f>E5/1000</f>
        <v>14.892560999999999</v>
      </c>
      <c r="F6" s="92">
        <f>F5/1000</f>
        <v>11.286993600000002</v>
      </c>
      <c r="G6" s="92">
        <f>G5/1000</f>
        <v>29.314830600000004</v>
      </c>
      <c r="H6" s="82"/>
      <c r="I6" s="12"/>
    </row>
    <row r="7" spans="1:9" ht="12.75">
      <c r="A7" s="10"/>
      <c r="B7" s="13" t="s">
        <v>4</v>
      </c>
      <c r="C7" s="83"/>
      <c r="D7" s="83"/>
      <c r="E7" s="83">
        <f>'December 2001'!E7</f>
        <v>6.18</v>
      </c>
      <c r="F7" s="83">
        <f>'December 2001'!F7</f>
        <v>9.28</v>
      </c>
      <c r="G7" s="83">
        <f>'December 2001'!G7</f>
        <v>32.87</v>
      </c>
      <c r="H7" s="82"/>
      <c r="I7" s="12"/>
    </row>
    <row r="8" spans="1:9" ht="12.75">
      <c r="A8" s="10"/>
      <c r="B8" s="21" t="s">
        <v>6</v>
      </c>
      <c r="C8" s="84"/>
      <c r="D8" s="84"/>
      <c r="E8" s="84">
        <f>E6*E7</f>
        <v>92.03602697999999</v>
      </c>
      <c r="F8" s="84">
        <f>F6*F7</f>
        <v>104.74330060800001</v>
      </c>
      <c r="G8" s="84">
        <f>G6*G7</f>
        <v>963.5784818220001</v>
      </c>
      <c r="H8" s="85">
        <f>SUM(C8:G8)</f>
        <v>1160.35780941</v>
      </c>
      <c r="I8" s="12"/>
    </row>
    <row r="9" spans="1:9" ht="12.75">
      <c r="A9" s="10"/>
      <c r="B9" s="13"/>
      <c r="C9" s="46"/>
      <c r="D9" s="46"/>
      <c r="E9" s="46"/>
      <c r="F9" s="46"/>
      <c r="G9" s="46"/>
      <c r="H9" s="82"/>
      <c r="I9" s="12"/>
    </row>
    <row r="10" spans="1:9" ht="12.75">
      <c r="A10" s="10"/>
      <c r="B10" s="13"/>
      <c r="C10" s="46"/>
      <c r="D10" s="46"/>
      <c r="E10" s="46"/>
      <c r="F10" s="46"/>
      <c r="G10" s="46"/>
      <c r="H10" s="82"/>
      <c r="I10" s="12"/>
    </row>
    <row r="11" spans="1:9" ht="15.75">
      <c r="A11" s="10"/>
      <c r="B11" s="19" t="str">
        <f>'December 2001'!B11</f>
        <v>ELIP population</v>
      </c>
      <c r="C11" s="46"/>
      <c r="D11" s="46" t="str">
        <f>D3</f>
        <v>Total Arrears ($s)</v>
      </c>
      <c r="E11" s="46" t="str">
        <f>E3</f>
        <v>30-day Arrears</v>
      </c>
      <c r="F11" s="46" t="str">
        <f>F3</f>
        <v>60-day arrears</v>
      </c>
      <c r="G11" s="46" t="str">
        <f>G3</f>
        <v>90-day arrears</v>
      </c>
      <c r="H11" s="82"/>
      <c r="I11" s="12"/>
    </row>
    <row r="12" spans="1:9" ht="12.75">
      <c r="A12" s="10"/>
      <c r="B12" s="13" t="str">
        <f>B4</f>
        <v>Dollars</v>
      </c>
      <c r="C12" s="38"/>
      <c r="D12" s="38">
        <f>'Input Data'!K34*'Input Data'!G34*'Input Data'!C34</f>
        <v>15192.420000000002</v>
      </c>
      <c r="E12" s="38">
        <f>$D$12*'Input Data'!B4</f>
        <v>3798.1050000000005</v>
      </c>
      <c r="F12" s="38">
        <f>$D$12*'Input Data'!C4</f>
        <v>3038.4840000000004</v>
      </c>
      <c r="G12" s="38">
        <f>$D$12*'Input Data'!D4</f>
        <v>8355.831000000002</v>
      </c>
      <c r="H12" s="82"/>
      <c r="I12" s="12"/>
    </row>
    <row r="13" spans="1:9" ht="12.75">
      <c r="A13" s="10"/>
      <c r="B13" s="13" t="str">
        <f>B5</f>
        <v>Dollars adjusted for charge-offs</v>
      </c>
      <c r="C13" s="38"/>
      <c r="D13" s="38"/>
      <c r="E13" s="38">
        <f>E12*E24</f>
        <v>3608.19975</v>
      </c>
      <c r="F13" s="38">
        <f>F12*F24</f>
        <v>2734.6356000000005</v>
      </c>
      <c r="G13" s="38">
        <f>G12*G24</f>
        <v>7102.456350000001</v>
      </c>
      <c r="H13" s="82"/>
      <c r="I13" s="12"/>
    </row>
    <row r="14" spans="1:9" ht="12.75">
      <c r="A14" s="10"/>
      <c r="B14" s="13" t="str">
        <f>B6</f>
        <v>$1,000 increments</v>
      </c>
      <c r="C14" s="92"/>
      <c r="D14" s="92"/>
      <c r="E14" s="92">
        <f>E13/1000</f>
        <v>3.6081997500000003</v>
      </c>
      <c r="F14" s="92">
        <f>F13/1000</f>
        <v>2.7346356000000007</v>
      </c>
      <c r="G14" s="92">
        <f>G13/1000</f>
        <v>7.1024563500000015</v>
      </c>
      <c r="H14" s="82"/>
      <c r="I14" s="12"/>
    </row>
    <row r="15" spans="1:9" ht="12.75">
      <c r="A15" s="10"/>
      <c r="B15" s="13" t="str">
        <f>B7</f>
        <v>Working capital per $1,000</v>
      </c>
      <c r="C15" s="83"/>
      <c r="D15" s="83"/>
      <c r="E15" s="83">
        <f>E7</f>
        <v>6.18</v>
      </c>
      <c r="F15" s="83">
        <f>F7</f>
        <v>9.28</v>
      </c>
      <c r="G15" s="83">
        <f>G7</f>
        <v>32.87</v>
      </c>
      <c r="H15" s="82"/>
      <c r="I15" s="12"/>
    </row>
    <row r="16" spans="1:9" ht="12.75">
      <c r="A16" s="10"/>
      <c r="B16" s="21" t="str">
        <f>B8</f>
        <v>Total working capital expense</v>
      </c>
      <c r="C16" s="84"/>
      <c r="D16" s="84"/>
      <c r="E16" s="84">
        <f>E14*E15</f>
        <v>22.298674455</v>
      </c>
      <c r="F16" s="84">
        <f>F14*F15</f>
        <v>25.377418368000004</v>
      </c>
      <c r="G16" s="84">
        <f>G14*G15</f>
        <v>233.45774022450004</v>
      </c>
      <c r="H16" s="85">
        <f>SUM(C16:G16)</f>
        <v>281.13383304750005</v>
      </c>
      <c r="I16" s="12"/>
    </row>
    <row r="17" spans="1:9" ht="13.5" thickBot="1">
      <c r="A17" s="10"/>
      <c r="B17" s="13"/>
      <c r="C17" s="46"/>
      <c r="D17" s="46"/>
      <c r="E17" s="46"/>
      <c r="F17" s="46"/>
      <c r="G17" s="46"/>
      <c r="H17" s="82"/>
      <c r="I17" s="12"/>
    </row>
    <row r="18" spans="1:9" ht="13.5" thickBot="1">
      <c r="A18" s="10"/>
      <c r="B18" s="22" t="s">
        <v>7</v>
      </c>
      <c r="C18" s="86"/>
      <c r="D18" s="86"/>
      <c r="E18" s="86">
        <f>E8-E16</f>
        <v>69.73735252499999</v>
      </c>
      <c r="F18" s="86">
        <f>F8-F16</f>
        <v>79.36588224</v>
      </c>
      <c r="G18" s="86">
        <f>G8-G16</f>
        <v>730.1207415975</v>
      </c>
      <c r="H18" s="91">
        <f>SUM(E18:G18)</f>
        <v>879.2239763625</v>
      </c>
      <c r="I18" s="12"/>
    </row>
    <row r="19" spans="1:9" ht="13.5" thickBot="1">
      <c r="A19" s="15"/>
      <c r="B19" s="17"/>
      <c r="C19" s="17"/>
      <c r="D19" s="17"/>
      <c r="E19" s="17"/>
      <c r="F19" s="17"/>
      <c r="G19" s="17"/>
      <c r="H19" s="17"/>
      <c r="I19" s="16"/>
    </row>
    <row r="20" ht="13.5" thickTop="1"/>
    <row r="21" ht="13.5" thickBot="1"/>
    <row r="22" spans="1:9" ht="18" thickBot="1" thickTop="1">
      <c r="A22" s="20"/>
      <c r="B22" s="8"/>
      <c r="C22" s="122" t="s">
        <v>52</v>
      </c>
      <c r="D22" s="122"/>
      <c r="E22" s="122"/>
      <c r="F22" s="122"/>
      <c r="G22" s="122"/>
      <c r="H22" s="122"/>
      <c r="I22" s="9"/>
    </row>
    <row r="23" spans="1:9" ht="15.75">
      <c r="A23" s="10"/>
      <c r="B23" s="19" t="str">
        <f aca="true" t="shared" si="0" ref="B23:H23">B3</f>
        <v>EA population</v>
      </c>
      <c r="C23" s="13"/>
      <c r="D23" s="46" t="s">
        <v>53</v>
      </c>
      <c r="E23" s="46" t="str">
        <f t="shared" si="0"/>
        <v>30-day Arrears</v>
      </c>
      <c r="F23" s="46" t="str">
        <f t="shared" si="0"/>
        <v>60-day arrears</v>
      </c>
      <c r="G23" s="46" t="str">
        <f t="shared" si="0"/>
        <v>90-day arrears</v>
      </c>
      <c r="H23" s="81" t="str">
        <f t="shared" si="0"/>
        <v>Total</v>
      </c>
      <c r="I23" s="12"/>
    </row>
    <row r="24" spans="1:9" ht="12.75">
      <c r="A24" s="10"/>
      <c r="B24" s="13" t="s">
        <v>11</v>
      </c>
      <c r="C24" s="26"/>
      <c r="D24" s="88"/>
      <c r="E24" s="88">
        <v>0.95</v>
      </c>
      <c r="F24" s="88">
        <v>0.9</v>
      </c>
      <c r="G24" s="88">
        <v>0.85</v>
      </c>
      <c r="H24" s="82"/>
      <c r="I24" s="12"/>
    </row>
    <row r="25" spans="1:9" ht="12.75">
      <c r="A25" s="10"/>
      <c r="B25" s="13" t="s">
        <v>60</v>
      </c>
      <c r="C25" s="26"/>
      <c r="D25" s="88"/>
      <c r="E25" s="88">
        <f>'Input Data'!G6</f>
        <v>0.050000000000000044</v>
      </c>
      <c r="F25" s="88">
        <f>'Input Data'!H6</f>
        <v>0.04999999999999993</v>
      </c>
      <c r="G25" s="88">
        <f>'Input Data'!I6</f>
        <v>0.050000000000000044</v>
      </c>
      <c r="H25" s="82"/>
      <c r="I25" s="12"/>
    </row>
    <row r="26" spans="1:9" ht="12.75">
      <c r="A26" s="10"/>
      <c r="B26" s="13" t="s">
        <v>13</v>
      </c>
      <c r="C26" s="27"/>
      <c r="D26" s="38">
        <f>SUM(E26:G26)</f>
        <v>3135.2760000000017</v>
      </c>
      <c r="E26" s="38">
        <f>E25*E4</f>
        <v>783.8190000000008</v>
      </c>
      <c r="F26" s="38">
        <f>F25*F4</f>
        <v>627.0551999999992</v>
      </c>
      <c r="G26" s="38">
        <f>G25*G4</f>
        <v>1724.401800000002</v>
      </c>
      <c r="H26" s="82"/>
      <c r="I26" s="12"/>
    </row>
    <row r="27" spans="1:9" ht="12.75">
      <c r="A27" s="10"/>
      <c r="B27" s="13" t="s">
        <v>5</v>
      </c>
      <c r="C27" s="25"/>
      <c r="D27" s="92"/>
      <c r="E27" s="92">
        <f>E26/1000</f>
        <v>0.7838190000000007</v>
      </c>
      <c r="F27" s="92">
        <f>F26/1000</f>
        <v>0.6270551999999993</v>
      </c>
      <c r="G27" s="92">
        <f>G26/1000</f>
        <v>1.7244018000000019</v>
      </c>
      <c r="H27" s="82"/>
      <c r="I27" s="12"/>
    </row>
    <row r="28" spans="1:9" ht="12.75">
      <c r="A28" s="10"/>
      <c r="B28" s="13" t="s">
        <v>4</v>
      </c>
      <c r="C28" s="14"/>
      <c r="D28" s="83"/>
      <c r="E28" s="83">
        <f>'December 2001'!E28</f>
        <v>45.67868031566741</v>
      </c>
      <c r="F28" s="83">
        <f>'December 2001'!F28</f>
        <v>36.059797012539775</v>
      </c>
      <c r="G28" s="83">
        <f>'December 2001'!G28</f>
        <v>3.0851720988794114</v>
      </c>
      <c r="H28" s="82"/>
      <c r="I28" s="12"/>
    </row>
    <row r="29" spans="1:9" ht="12.75">
      <c r="A29" s="10"/>
      <c r="B29" s="21" t="s">
        <v>6</v>
      </c>
      <c r="C29" s="28"/>
      <c r="D29" s="89"/>
      <c r="E29" s="89">
        <f>E27*E28</f>
        <v>35.803817526346144</v>
      </c>
      <c r="F29" s="89">
        <f>F27*F28</f>
        <v>22.611483227657505</v>
      </c>
      <c r="G29" s="89">
        <f>G27*G28</f>
        <v>5.32007632061744</v>
      </c>
      <c r="H29" s="90">
        <f>SUM(C29:G29)</f>
        <v>63.73537707462109</v>
      </c>
      <c r="I29" s="12"/>
    </row>
    <row r="30" spans="1:9" ht="12.75">
      <c r="A30" s="10"/>
      <c r="B30" s="13"/>
      <c r="C30" s="13"/>
      <c r="D30" s="13"/>
      <c r="E30" s="13"/>
      <c r="F30" s="13"/>
      <c r="G30" s="13"/>
      <c r="H30" s="2"/>
      <c r="I30" s="12"/>
    </row>
    <row r="31" spans="1:9" ht="12.75">
      <c r="A31" s="10"/>
      <c r="B31" s="13"/>
      <c r="C31" s="13"/>
      <c r="D31" s="13"/>
      <c r="E31" s="13"/>
      <c r="F31" s="13"/>
      <c r="G31" s="13"/>
      <c r="H31" s="2"/>
      <c r="I31" s="12"/>
    </row>
    <row r="32" spans="1:9" ht="15.75">
      <c r="A32" s="10"/>
      <c r="B32" s="19" t="str">
        <f aca="true" t="shared" si="1" ref="B32:G32">B11</f>
        <v>ELIP population</v>
      </c>
      <c r="C32" s="13"/>
      <c r="D32" s="46" t="s">
        <v>53</v>
      </c>
      <c r="E32" s="46" t="str">
        <f t="shared" si="1"/>
        <v>30-day Arrears</v>
      </c>
      <c r="F32" s="46" t="str">
        <f t="shared" si="1"/>
        <v>60-day arrears</v>
      </c>
      <c r="G32" s="46" t="str">
        <f t="shared" si="1"/>
        <v>90-day arrears</v>
      </c>
      <c r="H32" s="82"/>
      <c r="I32" s="12"/>
    </row>
    <row r="33" spans="1:9" ht="12.75">
      <c r="A33" s="10"/>
      <c r="B33" s="13" t="str">
        <f aca="true" t="shared" si="2" ref="B33:B38">B24</f>
        <v>Collectability factor</v>
      </c>
      <c r="C33" s="26"/>
      <c r="D33" s="88"/>
      <c r="E33" s="88">
        <f>E24</f>
        <v>0.95</v>
      </c>
      <c r="F33" s="88">
        <f>F24</f>
        <v>0.9</v>
      </c>
      <c r="G33" s="88">
        <f>G24</f>
        <v>0.85</v>
      </c>
      <c r="H33" s="82"/>
      <c r="I33" s="12"/>
    </row>
    <row r="34" spans="1:9" ht="12.75">
      <c r="A34" s="10"/>
      <c r="B34" s="13" t="str">
        <f t="shared" si="2"/>
        <v>Incremental uncollectable rate</v>
      </c>
      <c r="C34" s="26"/>
      <c r="D34" s="88"/>
      <c r="E34" s="88">
        <f>'Input Data'!G6</f>
        <v>0.050000000000000044</v>
      </c>
      <c r="F34" s="88">
        <f>'Input Data'!H6</f>
        <v>0.04999999999999993</v>
      </c>
      <c r="G34" s="88">
        <f>'Input Data'!I6</f>
        <v>0.050000000000000044</v>
      </c>
      <c r="H34" s="82"/>
      <c r="I34" s="12"/>
    </row>
    <row r="35" spans="1:9" ht="12.75">
      <c r="A35" s="10"/>
      <c r="B35" s="13" t="str">
        <f t="shared" si="2"/>
        <v>Uncollectable dollars</v>
      </c>
      <c r="C35" s="27"/>
      <c r="D35" s="38">
        <f>SUM(E35:G35)</f>
        <v>759.6210000000005</v>
      </c>
      <c r="E35" s="38">
        <f>E34*E12</f>
        <v>189.9052500000002</v>
      </c>
      <c r="F35" s="38">
        <f>F34*F12</f>
        <v>151.92419999999981</v>
      </c>
      <c r="G35" s="38">
        <f>G34*G12</f>
        <v>417.7915500000005</v>
      </c>
      <c r="H35" s="82"/>
      <c r="I35" s="12"/>
    </row>
    <row r="36" spans="1:9" ht="12.75">
      <c r="A36" s="10"/>
      <c r="B36" s="13" t="str">
        <f t="shared" si="2"/>
        <v>$1,000 increments</v>
      </c>
      <c r="C36" s="25"/>
      <c r="D36" s="92"/>
      <c r="E36" s="92">
        <f>E35/1000</f>
        <v>0.1899052500000002</v>
      </c>
      <c r="F36" s="92">
        <f>F35/1000</f>
        <v>0.15192419999999981</v>
      </c>
      <c r="G36" s="92">
        <f>G35/1000</f>
        <v>0.4177915500000005</v>
      </c>
      <c r="H36" s="82"/>
      <c r="I36" s="12"/>
    </row>
    <row r="37" spans="1:9" ht="12.75">
      <c r="A37" s="10"/>
      <c r="B37" s="13" t="str">
        <f t="shared" si="2"/>
        <v>Working capital per $1,000</v>
      </c>
      <c r="C37" s="14"/>
      <c r="D37" s="83"/>
      <c r="E37" s="83">
        <f>E28</f>
        <v>45.67868031566741</v>
      </c>
      <c r="F37" s="83">
        <f>F28</f>
        <v>36.059797012539775</v>
      </c>
      <c r="G37" s="83">
        <f>G28</f>
        <v>3.0851720988794114</v>
      </c>
      <c r="H37" s="82"/>
      <c r="I37" s="12"/>
    </row>
    <row r="38" spans="1:9" ht="12.75">
      <c r="A38" s="10"/>
      <c r="B38" s="21" t="str">
        <f t="shared" si="2"/>
        <v>Total working capital expense</v>
      </c>
      <c r="C38" s="28"/>
      <c r="D38" s="89"/>
      <c r="E38" s="89">
        <f>E36*E37</f>
        <v>8.674621205016907</v>
      </c>
      <c r="F38" s="89">
        <f>F36*F37</f>
        <v>5.478355813292489</v>
      </c>
      <c r="G38" s="89">
        <f>G36*G37</f>
        <v>1.288958833207584</v>
      </c>
      <c r="H38" s="90">
        <f>SUM(C38:G38)</f>
        <v>15.44193585151698</v>
      </c>
      <c r="I38" s="12"/>
    </row>
    <row r="39" spans="1:9" ht="13.5" thickBot="1">
      <c r="A39" s="10"/>
      <c r="B39" s="13"/>
      <c r="C39" s="13"/>
      <c r="D39" s="46"/>
      <c r="E39" s="46"/>
      <c r="F39" s="46"/>
      <c r="G39" s="46"/>
      <c r="H39" s="82"/>
      <c r="I39" s="12"/>
    </row>
    <row r="40" spans="1:9" ht="13.5" thickBot="1">
      <c r="A40" s="10"/>
      <c r="B40" s="22" t="s">
        <v>7</v>
      </c>
      <c r="C40" s="23"/>
      <c r="D40" s="86">
        <f>D26-D35</f>
        <v>2375.655000000001</v>
      </c>
      <c r="E40" s="86">
        <f>E29-E38</f>
        <v>27.12919632132924</v>
      </c>
      <c r="F40" s="86">
        <f>F29-F38</f>
        <v>17.133127414365017</v>
      </c>
      <c r="G40" s="86">
        <f>G29-G38</f>
        <v>4.0311174874098565</v>
      </c>
      <c r="H40" s="91">
        <f>SUM(E40:G40)</f>
        <v>48.29344122310411</v>
      </c>
      <c r="I40" s="12"/>
    </row>
    <row r="41" spans="1:9" ht="13.5" thickBot="1">
      <c r="A41" s="15"/>
      <c r="B41" s="17"/>
      <c r="C41" s="17"/>
      <c r="D41" s="17"/>
      <c r="E41" s="17"/>
      <c r="F41" s="17"/>
      <c r="G41" s="17"/>
      <c r="H41" s="17"/>
      <c r="I41" s="16"/>
    </row>
    <row r="42" ht="14.25" thickBot="1" thickTop="1"/>
    <row r="43" spans="1:9" ht="13.5" thickTop="1">
      <c r="A43" s="20"/>
      <c r="B43" s="123" t="s">
        <v>57</v>
      </c>
      <c r="C43" s="123"/>
      <c r="D43" s="9"/>
      <c r="F43" s="20"/>
      <c r="G43" s="123" t="s">
        <v>56</v>
      </c>
      <c r="H43" s="123"/>
      <c r="I43" s="9"/>
    </row>
    <row r="44" spans="1:9" ht="12.75">
      <c r="A44" s="10"/>
      <c r="B44" s="13" t="s">
        <v>80</v>
      </c>
      <c r="C44" s="41">
        <f>'Input Data'!B10</f>
        <v>0.6</v>
      </c>
      <c r="D44" s="12"/>
      <c r="F44" s="10"/>
      <c r="G44" s="13" t="s">
        <v>77</v>
      </c>
      <c r="H44" s="40">
        <f>'Input Data'!F34</f>
        <v>0.51</v>
      </c>
      <c r="I44" s="12"/>
    </row>
    <row r="45" spans="1:9" ht="12.75">
      <c r="A45" s="10"/>
      <c r="B45" s="13" t="s">
        <v>75</v>
      </c>
      <c r="C45" s="94">
        <f>'Input Data'!K34*'Input Data'!F34/100</f>
        <v>3.3354000000000004</v>
      </c>
      <c r="D45" s="12"/>
      <c r="F45" s="10"/>
      <c r="G45" s="13" t="s">
        <v>31</v>
      </c>
      <c r="H45" s="25">
        <f>H51</f>
        <v>654</v>
      </c>
      <c r="I45" s="12"/>
    </row>
    <row r="46" spans="1:9" ht="12.75">
      <c r="A46" s="10"/>
      <c r="B46" s="13" t="s">
        <v>26</v>
      </c>
      <c r="C46" s="93">
        <f>C45*C44</f>
        <v>2.00124</v>
      </c>
      <c r="D46" s="12"/>
      <c r="F46" s="10"/>
      <c r="G46" s="13" t="s">
        <v>32</v>
      </c>
      <c r="H46" s="25">
        <f>H44*H45</f>
        <v>333.54</v>
      </c>
      <c r="I46" s="12"/>
    </row>
    <row r="47" spans="1:9" ht="12.75">
      <c r="A47" s="10"/>
      <c r="B47" s="13" t="s">
        <v>24</v>
      </c>
      <c r="C47" s="14">
        <f>'December 2001'!C47</f>
        <v>121.18</v>
      </c>
      <c r="D47" s="12"/>
      <c r="F47" s="10"/>
      <c r="G47" s="13" t="s">
        <v>33</v>
      </c>
      <c r="H47" s="14">
        <f>'December 2001'!H47</f>
        <v>12.94</v>
      </c>
      <c r="I47" s="12"/>
    </row>
    <row r="48" spans="1:9" ht="12.75">
      <c r="A48" s="10"/>
      <c r="B48" s="13" t="s">
        <v>25</v>
      </c>
      <c r="C48" s="11">
        <f>C46*C47</f>
        <v>242.51026320000003</v>
      </c>
      <c r="D48" s="12"/>
      <c r="F48" s="10"/>
      <c r="G48" s="13" t="s">
        <v>34</v>
      </c>
      <c r="H48" s="11">
        <f>H46*H47</f>
        <v>4316.0076</v>
      </c>
      <c r="I48" s="12"/>
    </row>
    <row r="49" spans="1:9" ht="12.75">
      <c r="A49" s="10"/>
      <c r="B49" s="13"/>
      <c r="C49" s="13"/>
      <c r="D49" s="12"/>
      <c r="F49" s="10"/>
      <c r="G49" s="13"/>
      <c r="H49" s="13"/>
      <c r="I49" s="12"/>
    </row>
    <row r="50" spans="1:9" ht="12.75">
      <c r="A50" s="10"/>
      <c r="B50" s="13" t="s">
        <v>81</v>
      </c>
      <c r="C50" s="13">
        <f>'Input Data'!C10</f>
        <v>0</v>
      </c>
      <c r="D50" s="12"/>
      <c r="F50" s="10"/>
      <c r="G50" s="13" t="s">
        <v>78</v>
      </c>
      <c r="H50" s="40">
        <f>'Input Data'!G34</f>
        <v>0.23</v>
      </c>
      <c r="I50" s="12"/>
    </row>
    <row r="51" spans="1:9" ht="12.75">
      <c r="A51" s="10"/>
      <c r="B51" s="13" t="s">
        <v>75</v>
      </c>
      <c r="C51" s="94">
        <f>'Input Data'!K34*'Input Data'!G34/100</f>
        <v>1.5042000000000002</v>
      </c>
      <c r="D51" s="12"/>
      <c r="F51" s="10"/>
      <c r="G51" s="13" t="s">
        <v>31</v>
      </c>
      <c r="H51" s="25">
        <f>'Input Data'!K34</f>
        <v>654</v>
      </c>
      <c r="I51" s="12"/>
    </row>
    <row r="52" spans="1:9" ht="12.75">
      <c r="A52" s="10"/>
      <c r="B52" s="13" t="s">
        <v>26</v>
      </c>
      <c r="C52" s="93">
        <f>C51*C50</f>
        <v>0</v>
      </c>
      <c r="D52" s="12"/>
      <c r="F52" s="10"/>
      <c r="G52" s="13" t="s">
        <v>32</v>
      </c>
      <c r="H52" s="25">
        <f>H50*H51</f>
        <v>150.42000000000002</v>
      </c>
      <c r="I52" s="12"/>
    </row>
    <row r="53" spans="1:9" ht="12.75">
      <c r="A53" s="10"/>
      <c r="B53" s="13" t="s">
        <v>24</v>
      </c>
      <c r="C53" s="14">
        <f>C47</f>
        <v>121.18</v>
      </c>
      <c r="D53" s="12"/>
      <c r="F53" s="10"/>
      <c r="G53" s="13" t="s">
        <v>33</v>
      </c>
      <c r="H53" s="14">
        <f>H47</f>
        <v>12.94</v>
      </c>
      <c r="I53" s="12"/>
    </row>
    <row r="54" spans="1:9" ht="12.75">
      <c r="A54" s="10"/>
      <c r="B54" s="13" t="s">
        <v>25</v>
      </c>
      <c r="C54" s="11">
        <f>C52*C53</f>
        <v>0</v>
      </c>
      <c r="D54" s="12"/>
      <c r="F54" s="10"/>
      <c r="G54" s="13" t="s">
        <v>34</v>
      </c>
      <c r="H54" s="11">
        <f>H52*H53</f>
        <v>1946.4348000000002</v>
      </c>
      <c r="I54" s="12"/>
    </row>
    <row r="55" spans="1:9" ht="13.5" thickBot="1">
      <c r="A55" s="10"/>
      <c r="B55" s="13"/>
      <c r="C55" s="13"/>
      <c r="D55" s="12"/>
      <c r="F55" s="10"/>
      <c r="G55" s="13"/>
      <c r="H55" s="13"/>
      <c r="I55" s="12"/>
    </row>
    <row r="56" spans="1:9" ht="13.5" thickBot="1">
      <c r="A56" s="10"/>
      <c r="B56" s="22" t="s">
        <v>7</v>
      </c>
      <c r="C56" s="36">
        <f>C48-C54</f>
        <v>242.51026320000003</v>
      </c>
      <c r="D56" s="12"/>
      <c r="F56" s="10"/>
      <c r="G56" s="22" t="s">
        <v>7</v>
      </c>
      <c r="H56" s="36">
        <f>H48-H54</f>
        <v>2369.5728</v>
      </c>
      <c r="I56" s="12"/>
    </row>
    <row r="57" spans="1:9" ht="13.5" thickBot="1">
      <c r="A57" s="15"/>
      <c r="B57" s="17"/>
      <c r="C57" s="17"/>
      <c r="D57" s="16"/>
      <c r="F57" s="15"/>
      <c r="G57" s="17"/>
      <c r="H57" s="17"/>
      <c r="I57" s="16"/>
    </row>
    <row r="58" ht="13.5" thickTop="1"/>
  </sheetData>
  <mergeCells count="4">
    <mergeCell ref="C22:H22"/>
    <mergeCell ref="C2:H2"/>
    <mergeCell ref="G43:H43"/>
    <mergeCell ref="B43:C43"/>
  </mergeCells>
  <printOptions/>
  <pageMargins left="0.75" right="0.75" top="1" bottom="1" header="0.5" footer="0.5"/>
  <pageSetup fitToHeight="1" fitToWidth="1" horizontalDpi="600" verticalDpi="600" orientation="landscape" scale="62" r:id="rId1"/>
  <headerFooter alignWithMargins="0">
    <oddHeader>&amp;R&amp;"Arial,Bold"&amp;12Appendix A</oddHeader>
    <oddFooter>&amp;RPage &amp;P
&amp;F
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workbookViewId="0" topLeftCell="C26">
      <selection activeCell="H53" sqref="H53"/>
    </sheetView>
  </sheetViews>
  <sheetFormatPr defaultColWidth="9.140625" defaultRowHeight="12.75"/>
  <cols>
    <col min="2" max="2" width="39.421875" style="0" bestFit="1" customWidth="1"/>
    <col min="3" max="3" width="11.140625" style="0" bestFit="1" customWidth="1"/>
    <col min="4" max="4" width="15.28125" style="0" customWidth="1"/>
    <col min="5" max="5" width="13.140625" style="0" bestFit="1" customWidth="1"/>
    <col min="6" max="6" width="12.8515625" style="0" bestFit="1" customWidth="1"/>
    <col min="7" max="7" width="41.7109375" style="0" bestFit="1" customWidth="1"/>
    <col min="8" max="8" width="10.140625" style="0" bestFit="1" customWidth="1"/>
  </cols>
  <sheetData>
    <row r="1" ht="18.75" thickBot="1">
      <c r="B1" s="6">
        <f>'Summary Data'!A5</f>
        <v>37288</v>
      </c>
    </row>
    <row r="2" spans="1:9" ht="19.5" thickBot="1" thickTop="1">
      <c r="A2" s="20"/>
      <c r="B2" s="18"/>
      <c r="C2" s="122" t="str">
        <f>'January 2002'!C2</f>
        <v>Monthly Arrears: Working Capital</v>
      </c>
      <c r="D2" s="122"/>
      <c r="E2" s="122"/>
      <c r="F2" s="122"/>
      <c r="G2" s="122"/>
      <c r="H2" s="122"/>
      <c r="I2" s="9"/>
    </row>
    <row r="3" spans="1:9" ht="15.75">
      <c r="A3" s="10"/>
      <c r="B3" s="19" t="str">
        <f>'December 2001'!B3</f>
        <v>EA population</v>
      </c>
      <c r="C3" s="46"/>
      <c r="D3" s="46" t="s">
        <v>20</v>
      </c>
      <c r="E3" s="46" t="s">
        <v>0</v>
      </c>
      <c r="F3" s="46" t="s">
        <v>1</v>
      </c>
      <c r="G3" s="46" t="s">
        <v>2</v>
      </c>
      <c r="H3" s="81" t="s">
        <v>8</v>
      </c>
      <c r="I3" s="12"/>
    </row>
    <row r="4" spans="1:9" ht="12.75">
      <c r="A4" s="10"/>
      <c r="B4" s="13" t="s">
        <v>3</v>
      </c>
      <c r="C4" s="38"/>
      <c r="D4" s="38">
        <f>'Input Data'!K35*'Input Data'!F35*'Input Data'!B35</f>
        <v>69086.16</v>
      </c>
      <c r="E4" s="38">
        <f>$D$4*'Input Data'!B4</f>
        <v>17271.54</v>
      </c>
      <c r="F4" s="38">
        <f>$D$4*'Input Data'!C4</f>
        <v>13817.232000000002</v>
      </c>
      <c r="G4" s="38">
        <f>$D$4*'Input Data'!D4</f>
        <v>37997.388000000006</v>
      </c>
      <c r="H4" s="82"/>
      <c r="I4" s="12"/>
    </row>
    <row r="5" spans="1:9" ht="12.75">
      <c r="A5" s="10"/>
      <c r="B5" s="13" t="s">
        <v>10</v>
      </c>
      <c r="C5" s="38"/>
      <c r="D5" s="38"/>
      <c r="E5" s="38">
        <f>E4*E24</f>
        <v>16407.963</v>
      </c>
      <c r="F5" s="38">
        <f>F4*F24</f>
        <v>12435.508800000001</v>
      </c>
      <c r="G5" s="38">
        <f>G4*G24</f>
        <v>32297.779800000004</v>
      </c>
      <c r="H5" s="82"/>
      <c r="I5" s="12"/>
    </row>
    <row r="6" spans="1:9" ht="12.75">
      <c r="A6" s="10"/>
      <c r="B6" s="13" t="s">
        <v>5</v>
      </c>
      <c r="C6" s="92"/>
      <c r="D6" s="92"/>
      <c r="E6" s="92">
        <f>E5/1000</f>
        <v>16.407963</v>
      </c>
      <c r="F6" s="92">
        <f>F5/1000</f>
        <v>12.435508800000001</v>
      </c>
      <c r="G6" s="92">
        <f>G5/1000</f>
        <v>32.2977798</v>
      </c>
      <c r="H6" s="82"/>
      <c r="I6" s="12"/>
    </row>
    <row r="7" spans="1:9" ht="12.75">
      <c r="A7" s="10"/>
      <c r="B7" s="13" t="s">
        <v>4</v>
      </c>
      <c r="C7" s="83"/>
      <c r="D7" s="83"/>
      <c r="E7" s="83">
        <f>'December 2001'!E7</f>
        <v>6.18</v>
      </c>
      <c r="F7" s="83">
        <f>'December 2001'!F7</f>
        <v>9.28</v>
      </c>
      <c r="G7" s="83">
        <f>'December 2001'!G7</f>
        <v>32.87</v>
      </c>
      <c r="H7" s="82"/>
      <c r="I7" s="12"/>
    </row>
    <row r="8" spans="1:9" ht="12.75">
      <c r="A8" s="10"/>
      <c r="B8" s="21" t="s">
        <v>6</v>
      </c>
      <c r="C8" s="84"/>
      <c r="D8" s="84"/>
      <c r="E8" s="84">
        <f>E6*E7</f>
        <v>101.40121133999999</v>
      </c>
      <c r="F8" s="84">
        <f>F6*F7</f>
        <v>115.401521664</v>
      </c>
      <c r="G8" s="84">
        <f>G6*G7</f>
        <v>1061.628022026</v>
      </c>
      <c r="H8" s="85">
        <f>SUM(C8:G8)</f>
        <v>1278.43075503</v>
      </c>
      <c r="I8" s="12"/>
    </row>
    <row r="9" spans="1:9" ht="12.75">
      <c r="A9" s="10"/>
      <c r="B9" s="13"/>
      <c r="C9" s="46"/>
      <c r="D9" s="46"/>
      <c r="E9" s="46"/>
      <c r="F9" s="46"/>
      <c r="G9" s="46"/>
      <c r="H9" s="82"/>
      <c r="I9" s="12"/>
    </row>
    <row r="10" spans="1:9" ht="12.75">
      <c r="A10" s="10"/>
      <c r="B10" s="13"/>
      <c r="C10" s="46"/>
      <c r="D10" s="46"/>
      <c r="E10" s="46"/>
      <c r="F10" s="46"/>
      <c r="G10" s="46"/>
      <c r="H10" s="82"/>
      <c r="I10" s="12"/>
    </row>
    <row r="11" spans="1:9" ht="15.75">
      <c r="A11" s="10"/>
      <c r="B11" s="19" t="str">
        <f>'December 2001'!B11</f>
        <v>ELIP population</v>
      </c>
      <c r="C11" s="46"/>
      <c r="D11" s="46" t="str">
        <f>D3</f>
        <v>Total Arrears ($s)</v>
      </c>
      <c r="E11" s="46" t="str">
        <f>E3</f>
        <v>30-day Arrears</v>
      </c>
      <c r="F11" s="46" t="str">
        <f>F3</f>
        <v>60-day arrears</v>
      </c>
      <c r="G11" s="46" t="str">
        <f>G3</f>
        <v>90-day arrears</v>
      </c>
      <c r="H11" s="82"/>
      <c r="I11" s="12"/>
    </row>
    <row r="12" spans="1:9" ht="12.75">
      <c r="A12" s="10"/>
      <c r="B12" s="13" t="str">
        <f>B4</f>
        <v>Dollars</v>
      </c>
      <c r="C12" s="38"/>
      <c r="D12" s="38">
        <f>'Input Data'!K35*'Input Data'!G35*'Input Data'!C35</f>
        <v>21404.899999999998</v>
      </c>
      <c r="E12" s="38">
        <f>$D$12*'Input Data'!B4</f>
        <v>5351.224999999999</v>
      </c>
      <c r="F12" s="38">
        <f>$D$12*'Input Data'!C4</f>
        <v>4280.98</v>
      </c>
      <c r="G12" s="38">
        <f>$D$12*'Input Data'!D4</f>
        <v>11772.695</v>
      </c>
      <c r="H12" s="82"/>
      <c r="I12" s="12"/>
    </row>
    <row r="13" spans="1:9" ht="12.75">
      <c r="A13" s="10"/>
      <c r="B13" s="13" t="str">
        <f>B5</f>
        <v>Dollars adjusted for charge-offs</v>
      </c>
      <c r="C13" s="38"/>
      <c r="D13" s="38"/>
      <c r="E13" s="38">
        <f>E12*E24</f>
        <v>5083.663749999999</v>
      </c>
      <c r="F13" s="38">
        <f>F12*F24</f>
        <v>3852.8819999999996</v>
      </c>
      <c r="G13" s="38">
        <f>G12*G24</f>
        <v>10006.79075</v>
      </c>
      <c r="H13" s="82"/>
      <c r="I13" s="12"/>
    </row>
    <row r="14" spans="1:9" ht="12.75">
      <c r="A14" s="10"/>
      <c r="B14" s="13" t="str">
        <f>B6</f>
        <v>$1,000 increments</v>
      </c>
      <c r="C14" s="92"/>
      <c r="D14" s="92"/>
      <c r="E14" s="92">
        <f>E13/1000</f>
        <v>5.083663749999999</v>
      </c>
      <c r="F14" s="92">
        <f>F13/1000</f>
        <v>3.8528819999999997</v>
      </c>
      <c r="G14" s="92">
        <f>G13/1000</f>
        <v>10.00679075</v>
      </c>
      <c r="H14" s="82"/>
      <c r="I14" s="12"/>
    </row>
    <row r="15" spans="1:9" ht="12.75">
      <c r="A15" s="10"/>
      <c r="B15" s="13" t="str">
        <f>B7</f>
        <v>Working capital per $1,000</v>
      </c>
      <c r="C15" s="83"/>
      <c r="D15" s="83"/>
      <c r="E15" s="83">
        <f>E7</f>
        <v>6.18</v>
      </c>
      <c r="F15" s="83">
        <f>F7</f>
        <v>9.28</v>
      </c>
      <c r="G15" s="83">
        <f>G7</f>
        <v>32.87</v>
      </c>
      <c r="H15" s="82"/>
      <c r="I15" s="12"/>
    </row>
    <row r="16" spans="1:9" ht="12.75">
      <c r="A16" s="10"/>
      <c r="B16" s="21" t="str">
        <f>B8</f>
        <v>Total working capital expense</v>
      </c>
      <c r="C16" s="84"/>
      <c r="D16" s="84"/>
      <c r="E16" s="84">
        <f>E14*E15</f>
        <v>31.41704197499999</v>
      </c>
      <c r="F16" s="84">
        <f>F14*F15</f>
        <v>35.75474496</v>
      </c>
      <c r="G16" s="84">
        <f>G14*G15</f>
        <v>328.92321195249997</v>
      </c>
      <c r="H16" s="85">
        <f>SUM(C16:G16)</f>
        <v>396.09499888749997</v>
      </c>
      <c r="I16" s="12"/>
    </row>
    <row r="17" spans="1:9" ht="13.5" thickBot="1">
      <c r="A17" s="10"/>
      <c r="B17" s="13"/>
      <c r="C17" s="46"/>
      <c r="D17" s="46"/>
      <c r="E17" s="46"/>
      <c r="F17" s="46"/>
      <c r="G17" s="46"/>
      <c r="H17" s="82"/>
      <c r="I17" s="12"/>
    </row>
    <row r="18" spans="1:9" ht="13.5" thickBot="1">
      <c r="A18" s="10"/>
      <c r="B18" s="22" t="s">
        <v>7</v>
      </c>
      <c r="C18" s="86"/>
      <c r="D18" s="86"/>
      <c r="E18" s="86">
        <f>E8-E16</f>
        <v>69.984169365</v>
      </c>
      <c r="F18" s="86">
        <f>F8-F16</f>
        <v>79.646776704</v>
      </c>
      <c r="G18" s="86">
        <f>G8-G16</f>
        <v>732.7048100735001</v>
      </c>
      <c r="H18" s="87">
        <f>SUM(C18:G18)</f>
        <v>882.3357561425</v>
      </c>
      <c r="I18" s="12"/>
    </row>
    <row r="19" spans="1:9" ht="13.5" thickBot="1">
      <c r="A19" s="15"/>
      <c r="B19" s="17"/>
      <c r="C19" s="17"/>
      <c r="D19" s="17"/>
      <c r="E19" s="17"/>
      <c r="F19" s="17"/>
      <c r="G19" s="17"/>
      <c r="H19" s="17"/>
      <c r="I19" s="16"/>
    </row>
    <row r="20" ht="13.5" thickTop="1"/>
    <row r="21" ht="13.5" thickBot="1"/>
    <row r="22" spans="1:9" ht="18" thickBot="1" thickTop="1">
      <c r="A22" s="20"/>
      <c r="B22" s="8"/>
      <c r="C22" s="122" t="s">
        <v>52</v>
      </c>
      <c r="D22" s="122"/>
      <c r="E22" s="122"/>
      <c r="F22" s="122"/>
      <c r="G22" s="122"/>
      <c r="H22" s="122"/>
      <c r="I22" s="9"/>
    </row>
    <row r="23" spans="1:9" ht="15.75">
      <c r="A23" s="10"/>
      <c r="B23" s="19" t="str">
        <f aca="true" t="shared" si="0" ref="B23:H23">B3</f>
        <v>EA population</v>
      </c>
      <c r="C23" s="13"/>
      <c r="D23" s="46" t="s">
        <v>53</v>
      </c>
      <c r="E23" s="46" t="str">
        <f t="shared" si="0"/>
        <v>30-day Arrears</v>
      </c>
      <c r="F23" s="46" t="str">
        <f t="shared" si="0"/>
        <v>60-day arrears</v>
      </c>
      <c r="G23" s="46" t="str">
        <f t="shared" si="0"/>
        <v>90-day arrears</v>
      </c>
      <c r="H23" s="81" t="str">
        <f t="shared" si="0"/>
        <v>Total</v>
      </c>
      <c r="I23" s="12"/>
    </row>
    <row r="24" spans="1:9" ht="12.75">
      <c r="A24" s="10"/>
      <c r="B24" s="13" t="s">
        <v>11</v>
      </c>
      <c r="C24" s="26"/>
      <c r="D24" s="88"/>
      <c r="E24" s="88">
        <v>0.95</v>
      </c>
      <c r="F24" s="88">
        <v>0.9</v>
      </c>
      <c r="G24" s="88">
        <v>0.85</v>
      </c>
      <c r="H24" s="82"/>
      <c r="I24" s="12"/>
    </row>
    <row r="25" spans="1:9" ht="12.75">
      <c r="A25" s="10"/>
      <c r="B25" s="13" t="s">
        <v>12</v>
      </c>
      <c r="C25" s="26"/>
      <c r="D25" s="88"/>
      <c r="E25" s="88">
        <f>1-E24</f>
        <v>0.050000000000000044</v>
      </c>
      <c r="F25" s="88">
        <f>(1-F24)-E25</f>
        <v>0.04999999999999993</v>
      </c>
      <c r="G25" s="88">
        <f>(1-G24)-(E25+F25)</f>
        <v>0.050000000000000044</v>
      </c>
      <c r="H25" s="82"/>
      <c r="I25" s="12"/>
    </row>
    <row r="26" spans="1:9" ht="12.75">
      <c r="A26" s="10"/>
      <c r="B26" s="13" t="s">
        <v>13</v>
      </c>
      <c r="C26" s="27"/>
      <c r="D26" s="38">
        <f>SUM(E26:G26)</f>
        <v>3454.308000000002</v>
      </c>
      <c r="E26" s="38">
        <f>E25*E4</f>
        <v>863.5770000000008</v>
      </c>
      <c r="F26" s="38">
        <f>F25*F4</f>
        <v>690.8615999999992</v>
      </c>
      <c r="G26" s="38">
        <f>G25*G4</f>
        <v>1899.869400000002</v>
      </c>
      <c r="H26" s="82"/>
      <c r="I26" s="12"/>
    </row>
    <row r="27" spans="1:9" ht="12.75">
      <c r="A27" s="10"/>
      <c r="B27" s="13" t="s">
        <v>5</v>
      </c>
      <c r="C27" s="25"/>
      <c r="D27" s="92"/>
      <c r="E27" s="92">
        <f>E26/1000</f>
        <v>0.8635770000000008</v>
      </c>
      <c r="F27" s="92">
        <f>F26/1000</f>
        <v>0.6908615999999992</v>
      </c>
      <c r="G27" s="92">
        <f>G26/1000</f>
        <v>1.899869400000002</v>
      </c>
      <c r="H27" s="82"/>
      <c r="I27" s="12"/>
    </row>
    <row r="28" spans="1:9" ht="12.75">
      <c r="A28" s="10"/>
      <c r="B28" s="13" t="s">
        <v>4</v>
      </c>
      <c r="C28" s="14"/>
      <c r="D28" s="83"/>
      <c r="E28" s="83">
        <f>'December 2001'!E28</f>
        <v>45.67868031566741</v>
      </c>
      <c r="F28" s="83">
        <f>'December 2001'!F28</f>
        <v>36.059797012539775</v>
      </c>
      <c r="G28" s="83">
        <f>'December 2001'!G28</f>
        <v>3.0851720988794114</v>
      </c>
      <c r="H28" s="82"/>
      <c r="I28" s="12"/>
    </row>
    <row r="29" spans="1:9" ht="12.75">
      <c r="A29" s="10"/>
      <c r="B29" s="21" t="s">
        <v>6</v>
      </c>
      <c r="C29" s="28"/>
      <c r="D29" s="89"/>
      <c r="E29" s="89">
        <f>E27*E28</f>
        <v>39.44705771096315</v>
      </c>
      <c r="F29" s="89">
        <f>F27*F28</f>
        <v>24.91232905975842</v>
      </c>
      <c r="G29" s="89">
        <f>G27*G28</f>
        <v>5.861424064394774</v>
      </c>
      <c r="H29" s="90">
        <f>SUM(C29:G29)</f>
        <v>70.22081083511634</v>
      </c>
      <c r="I29" s="12"/>
    </row>
    <row r="30" spans="1:9" ht="12.75">
      <c r="A30" s="10"/>
      <c r="B30" s="13"/>
      <c r="C30" s="13"/>
      <c r="D30" s="46"/>
      <c r="E30" s="46"/>
      <c r="F30" s="46"/>
      <c r="G30" s="46"/>
      <c r="H30" s="82"/>
      <c r="I30" s="12"/>
    </row>
    <row r="31" spans="1:9" ht="12.75">
      <c r="A31" s="10"/>
      <c r="B31" s="13"/>
      <c r="C31" s="13"/>
      <c r="D31" s="46"/>
      <c r="E31" s="46"/>
      <c r="F31" s="46"/>
      <c r="G31" s="46"/>
      <c r="H31" s="82"/>
      <c r="I31" s="12"/>
    </row>
    <row r="32" spans="1:9" ht="15.75">
      <c r="A32" s="10"/>
      <c r="B32" s="19" t="str">
        <f aca="true" t="shared" si="1" ref="B32:G32">B11</f>
        <v>ELIP population</v>
      </c>
      <c r="C32" s="13"/>
      <c r="D32" s="46" t="s">
        <v>53</v>
      </c>
      <c r="E32" s="46" t="str">
        <f t="shared" si="1"/>
        <v>30-day Arrears</v>
      </c>
      <c r="F32" s="46" t="str">
        <f t="shared" si="1"/>
        <v>60-day arrears</v>
      </c>
      <c r="G32" s="46" t="str">
        <f t="shared" si="1"/>
        <v>90-day arrears</v>
      </c>
      <c r="H32" s="82"/>
      <c r="I32" s="12"/>
    </row>
    <row r="33" spans="1:9" ht="12.75">
      <c r="A33" s="10"/>
      <c r="B33" s="13" t="str">
        <f aca="true" t="shared" si="2" ref="B33:B38">B24</f>
        <v>Collectability factor</v>
      </c>
      <c r="C33" s="26"/>
      <c r="D33" s="88"/>
      <c r="E33" s="88">
        <f>E24</f>
        <v>0.95</v>
      </c>
      <c r="F33" s="88">
        <f>F24</f>
        <v>0.9</v>
      </c>
      <c r="G33" s="88">
        <f>G24</f>
        <v>0.85</v>
      </c>
      <c r="H33" s="82"/>
      <c r="I33" s="12"/>
    </row>
    <row r="34" spans="1:9" ht="12.75">
      <c r="A34" s="10"/>
      <c r="B34" s="13" t="str">
        <f t="shared" si="2"/>
        <v>Uncollectable rate</v>
      </c>
      <c r="C34" s="26"/>
      <c r="D34" s="88"/>
      <c r="E34" s="88">
        <f>1-E33</f>
        <v>0.050000000000000044</v>
      </c>
      <c r="F34" s="88">
        <f>(1-F33)-E34</f>
        <v>0.04999999999999993</v>
      </c>
      <c r="G34" s="88">
        <f>(1-G33)-(E34+F34)</f>
        <v>0.050000000000000044</v>
      </c>
      <c r="H34" s="82"/>
      <c r="I34" s="12"/>
    </row>
    <row r="35" spans="1:9" ht="12.75">
      <c r="A35" s="10"/>
      <c r="B35" s="13" t="str">
        <f t="shared" si="2"/>
        <v>Uncollectable dollars</v>
      </c>
      <c r="C35" s="27"/>
      <c r="D35" s="38">
        <f>SUM(E35:G35)</f>
        <v>1070.2450000000003</v>
      </c>
      <c r="E35" s="38">
        <f>E34*E12</f>
        <v>267.5612500000002</v>
      </c>
      <c r="F35" s="38">
        <f>F34*F12</f>
        <v>214.0489999999997</v>
      </c>
      <c r="G35" s="38">
        <f>G34*G12</f>
        <v>588.6347500000005</v>
      </c>
      <c r="H35" s="82"/>
      <c r="I35" s="12"/>
    </row>
    <row r="36" spans="1:9" ht="12.75">
      <c r="A36" s="10"/>
      <c r="B36" s="13" t="str">
        <f t="shared" si="2"/>
        <v>$1,000 increments</v>
      </c>
      <c r="C36" s="25"/>
      <c r="D36" s="92"/>
      <c r="E36" s="92">
        <f>E35/1000</f>
        <v>0.2675612500000002</v>
      </c>
      <c r="F36" s="92">
        <f>F35/1000</f>
        <v>0.21404899999999968</v>
      </c>
      <c r="G36" s="92">
        <f>G35/1000</f>
        <v>0.5886347500000005</v>
      </c>
      <c r="H36" s="82"/>
      <c r="I36" s="12"/>
    </row>
    <row r="37" spans="1:9" ht="12.75">
      <c r="A37" s="10"/>
      <c r="B37" s="13" t="str">
        <f t="shared" si="2"/>
        <v>Working capital per $1,000</v>
      </c>
      <c r="C37" s="14"/>
      <c r="D37" s="83"/>
      <c r="E37" s="83">
        <f>E28</f>
        <v>45.67868031566741</v>
      </c>
      <c r="F37" s="83">
        <f>F28</f>
        <v>36.059797012539775</v>
      </c>
      <c r="G37" s="83">
        <f>G28</f>
        <v>3.0851720988794114</v>
      </c>
      <c r="H37" s="82"/>
      <c r="I37" s="12"/>
    </row>
    <row r="38" spans="1:9" ht="12.75">
      <c r="A38" s="10"/>
      <c r="B38" s="21" t="str">
        <f t="shared" si="2"/>
        <v>Total working capital expense</v>
      </c>
      <c r="C38" s="28"/>
      <c r="D38" s="89"/>
      <c r="E38" s="89">
        <f>E36*E37</f>
        <v>12.221844803610376</v>
      </c>
      <c r="F38" s="89">
        <f>F36*F37</f>
        <v>7.718563490737115</v>
      </c>
      <c r="G38" s="89">
        <f>G36*G37</f>
        <v>1.8160395071308593</v>
      </c>
      <c r="H38" s="90">
        <f>SUM(C38:G38)</f>
        <v>21.756447801478352</v>
      </c>
      <c r="I38" s="12"/>
    </row>
    <row r="39" spans="1:9" ht="13.5" thickBot="1">
      <c r="A39" s="10"/>
      <c r="B39" s="13"/>
      <c r="C39" s="13"/>
      <c r="D39" s="46"/>
      <c r="E39" s="46"/>
      <c r="F39" s="46"/>
      <c r="G39" s="46"/>
      <c r="H39" s="82"/>
      <c r="I39" s="12"/>
    </row>
    <row r="40" spans="1:9" ht="13.5" thickBot="1">
      <c r="A40" s="10"/>
      <c r="B40" s="22" t="s">
        <v>7</v>
      </c>
      <c r="C40" s="23"/>
      <c r="D40" s="86">
        <f>D26-D35</f>
        <v>2384.0630000000015</v>
      </c>
      <c r="E40" s="86">
        <f>E29-E38</f>
        <v>27.225212907352777</v>
      </c>
      <c r="F40" s="86">
        <f>F29-F38</f>
        <v>17.193765569021306</v>
      </c>
      <c r="G40" s="86">
        <f>G29-G38</f>
        <v>4.045384557263915</v>
      </c>
      <c r="H40" s="91">
        <f>SUM(E40:G40)</f>
        <v>48.464363033637994</v>
      </c>
      <c r="I40" s="12"/>
    </row>
    <row r="41" spans="1:9" ht="13.5" thickBot="1">
      <c r="A41" s="15"/>
      <c r="B41" s="17"/>
      <c r="C41" s="17"/>
      <c r="D41" s="17"/>
      <c r="E41" s="17"/>
      <c r="F41" s="17"/>
      <c r="G41" s="17"/>
      <c r="H41" s="17"/>
      <c r="I41" s="16"/>
    </row>
    <row r="42" ht="14.25" thickBot="1" thickTop="1"/>
    <row r="43" spans="1:9" ht="13.5" thickTop="1">
      <c r="A43" s="20"/>
      <c r="B43" s="123" t="str">
        <f>'January 2002'!B43</f>
        <v>Disconnection Savings</v>
      </c>
      <c r="C43" s="123"/>
      <c r="D43" s="9"/>
      <c r="F43" s="20"/>
      <c r="G43" s="123" t="str">
        <f>'January 2002'!G43</f>
        <v>Collection Savings</v>
      </c>
      <c r="H43" s="123"/>
      <c r="I43" s="9"/>
    </row>
    <row r="44" spans="1:9" ht="12.75">
      <c r="A44" s="10"/>
      <c r="B44" s="13" t="s">
        <v>80</v>
      </c>
      <c r="C44" s="13">
        <f>'Input Data'!B11</f>
        <v>0.3</v>
      </c>
      <c r="D44" s="12"/>
      <c r="F44" s="10"/>
      <c r="G44" s="13" t="s">
        <v>77</v>
      </c>
      <c r="H44" s="40">
        <f>'Input Data'!F35</f>
        <v>0.52</v>
      </c>
      <c r="I44" s="12"/>
    </row>
    <row r="45" spans="1:9" ht="12.75">
      <c r="A45" s="10"/>
      <c r="B45" s="13" t="s">
        <v>75</v>
      </c>
      <c r="C45" s="94">
        <f>'Input Data'!K35*'Input Data'!F35/100</f>
        <v>3.4892000000000003</v>
      </c>
      <c r="D45" s="12"/>
      <c r="F45" s="10"/>
      <c r="G45" s="13" t="s">
        <v>31</v>
      </c>
      <c r="H45" s="25">
        <f>H51</f>
        <v>671</v>
      </c>
      <c r="I45" s="12"/>
    </row>
    <row r="46" spans="1:9" ht="12.75">
      <c r="A46" s="10"/>
      <c r="B46" s="13" t="s">
        <v>26</v>
      </c>
      <c r="C46" s="93">
        <f>C45*C44</f>
        <v>1.0467600000000001</v>
      </c>
      <c r="D46" s="12"/>
      <c r="F46" s="10"/>
      <c r="G46" s="13" t="s">
        <v>32</v>
      </c>
      <c r="H46" s="25">
        <f>H44*H45</f>
        <v>348.92</v>
      </c>
      <c r="I46" s="12"/>
    </row>
    <row r="47" spans="1:9" ht="12.75">
      <c r="A47" s="10"/>
      <c r="B47" s="13" t="s">
        <v>24</v>
      </c>
      <c r="C47" s="14">
        <f>'January 2002'!C47</f>
        <v>121.18</v>
      </c>
      <c r="D47" s="12"/>
      <c r="F47" s="10"/>
      <c r="G47" s="13" t="s">
        <v>33</v>
      </c>
      <c r="H47" s="14">
        <f>'December 2001'!H47</f>
        <v>12.94</v>
      </c>
      <c r="I47" s="12"/>
    </row>
    <row r="48" spans="1:9" ht="12.75">
      <c r="A48" s="10"/>
      <c r="B48" s="13" t="s">
        <v>25</v>
      </c>
      <c r="C48" s="11">
        <f>C46*C47</f>
        <v>126.84637680000003</v>
      </c>
      <c r="D48" s="12"/>
      <c r="F48" s="10"/>
      <c r="G48" s="13" t="s">
        <v>34</v>
      </c>
      <c r="H48" s="11">
        <f>H46*H47</f>
        <v>4515.0248</v>
      </c>
      <c r="I48" s="12"/>
    </row>
    <row r="49" spans="1:9" ht="12.75">
      <c r="A49" s="10"/>
      <c r="B49" s="13"/>
      <c r="C49" s="13"/>
      <c r="D49" s="12"/>
      <c r="F49" s="10"/>
      <c r="G49" s="13"/>
      <c r="H49" s="13"/>
      <c r="I49" s="12"/>
    </row>
    <row r="50" spans="1:9" ht="12.75">
      <c r="A50" s="10"/>
      <c r="B50" s="13" t="s">
        <v>81</v>
      </c>
      <c r="C50" s="13">
        <f>'Input Data'!C11</f>
        <v>0.3</v>
      </c>
      <c r="D50" s="12"/>
      <c r="F50" s="10"/>
      <c r="G50" s="13" t="s">
        <v>78</v>
      </c>
      <c r="H50" s="40">
        <f>'Input Data'!G35</f>
        <v>0.29</v>
      </c>
      <c r="I50" s="12"/>
    </row>
    <row r="51" spans="1:9" ht="12.75">
      <c r="A51" s="10"/>
      <c r="B51" s="13" t="s">
        <v>75</v>
      </c>
      <c r="C51" s="119">
        <f>'Input Data'!K35*'Input Data'!G35/100</f>
        <v>1.9458999999999997</v>
      </c>
      <c r="D51" s="12"/>
      <c r="F51" s="10"/>
      <c r="G51" s="13" t="s">
        <v>31</v>
      </c>
      <c r="H51" s="25">
        <f>'Input Data'!K35</f>
        <v>671</v>
      </c>
      <c r="I51" s="12"/>
    </row>
    <row r="52" spans="1:9" ht="12.75">
      <c r="A52" s="10"/>
      <c r="B52" s="13" t="s">
        <v>26</v>
      </c>
      <c r="C52" s="119">
        <f>C50*C51</f>
        <v>0.5837699999999999</v>
      </c>
      <c r="D52" s="12"/>
      <c r="F52" s="10"/>
      <c r="G52" s="13" t="s">
        <v>32</v>
      </c>
      <c r="H52" s="25">
        <f>H50*H51</f>
        <v>194.58999999999997</v>
      </c>
      <c r="I52" s="12"/>
    </row>
    <row r="53" spans="1:9" ht="12.75">
      <c r="A53" s="10"/>
      <c r="B53" s="13" t="s">
        <v>24</v>
      </c>
      <c r="C53" s="14">
        <f>C47</f>
        <v>121.18</v>
      </c>
      <c r="D53" s="12"/>
      <c r="F53" s="10"/>
      <c r="G53" s="13" t="s">
        <v>33</v>
      </c>
      <c r="H53" s="14">
        <f>H47</f>
        <v>12.94</v>
      </c>
      <c r="I53" s="12"/>
    </row>
    <row r="54" spans="1:9" ht="12.75">
      <c r="A54" s="10"/>
      <c r="B54" s="13" t="s">
        <v>25</v>
      </c>
      <c r="C54" s="11">
        <f>C53*C52</f>
        <v>70.74124859999999</v>
      </c>
      <c r="D54" s="12"/>
      <c r="F54" s="10"/>
      <c r="G54" s="13" t="s">
        <v>34</v>
      </c>
      <c r="H54" s="11">
        <f>H52*H53</f>
        <v>2517.9945999999995</v>
      </c>
      <c r="I54" s="12"/>
    </row>
    <row r="55" spans="1:9" ht="13.5" thickBot="1">
      <c r="A55" s="10"/>
      <c r="B55" s="13"/>
      <c r="C55" s="14"/>
      <c r="D55" s="12"/>
      <c r="F55" s="10"/>
      <c r="G55" s="13"/>
      <c r="H55" s="13"/>
      <c r="I55" s="12"/>
    </row>
    <row r="56" spans="1:9" ht="13.5" thickBot="1">
      <c r="A56" s="10"/>
      <c r="B56" s="13"/>
      <c r="C56" s="11"/>
      <c r="D56" s="12"/>
      <c r="F56" s="10"/>
      <c r="G56" s="22" t="s">
        <v>7</v>
      </c>
      <c r="H56" s="36">
        <f>H48-H54</f>
        <v>1997.0302000000006</v>
      </c>
      <c r="I56" s="12"/>
    </row>
    <row r="57" spans="1:9" ht="13.5" thickBot="1">
      <c r="A57" s="10"/>
      <c r="B57" s="13"/>
      <c r="C57" s="13"/>
      <c r="D57" s="12"/>
      <c r="F57" s="15"/>
      <c r="G57" s="17"/>
      <c r="H57" s="17"/>
      <c r="I57" s="16"/>
    </row>
    <row r="58" spans="1:4" ht="14.25" thickBot="1" thickTop="1">
      <c r="A58" s="10"/>
      <c r="B58" s="22" t="s">
        <v>7</v>
      </c>
      <c r="C58" s="36">
        <f>C48-C54</f>
        <v>56.10512820000004</v>
      </c>
      <c r="D58" s="12"/>
    </row>
    <row r="59" spans="1:4" ht="13.5" thickBot="1">
      <c r="A59" s="15"/>
      <c r="B59" s="17"/>
      <c r="C59" s="17"/>
      <c r="D59" s="16"/>
    </row>
    <row r="60" ht="13.5" thickTop="1"/>
  </sheetData>
  <mergeCells count="4">
    <mergeCell ref="C22:H22"/>
    <mergeCell ref="C2:H2"/>
    <mergeCell ref="G43:H43"/>
    <mergeCell ref="B43:C43"/>
  </mergeCells>
  <printOptions/>
  <pageMargins left="0.75" right="0.75" top="1" bottom="1" header="0.5" footer="0.5"/>
  <pageSetup fitToHeight="1" fitToWidth="1" horizontalDpi="600" verticalDpi="600" orientation="landscape" scale="60" r:id="rId1"/>
  <headerFooter alignWithMargins="0">
    <oddHeader>&amp;R&amp;"Arial,Bold"&amp;12Appendix A</oddHeader>
    <oddFooter>&amp;RPage &amp;P
&amp;F
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 topLeftCell="A1">
      <selection activeCell="G15" sqref="G15"/>
    </sheetView>
  </sheetViews>
  <sheetFormatPr defaultColWidth="9.140625" defaultRowHeight="12.75"/>
  <cols>
    <col min="2" max="2" width="39.421875" style="0" bestFit="1" customWidth="1"/>
    <col min="3" max="3" width="11.140625" style="0" bestFit="1" customWidth="1"/>
    <col min="4" max="4" width="15.28125" style="0" customWidth="1"/>
    <col min="5" max="5" width="13.140625" style="0" bestFit="1" customWidth="1"/>
    <col min="6" max="6" width="12.8515625" style="0" bestFit="1" customWidth="1"/>
    <col min="7" max="7" width="41.7109375" style="0" bestFit="1" customWidth="1"/>
  </cols>
  <sheetData>
    <row r="1" ht="18.75" thickBot="1">
      <c r="B1" s="6">
        <f>'Summary Data'!A6</f>
        <v>37316</v>
      </c>
    </row>
    <row r="2" spans="1:9" ht="19.5" thickBot="1" thickTop="1">
      <c r="A2" s="20"/>
      <c r="B2" s="18"/>
      <c r="C2" s="122" t="str">
        <f>'January 2002'!C2</f>
        <v>Monthly Arrears: Working Capital</v>
      </c>
      <c r="D2" s="122"/>
      <c r="E2" s="122"/>
      <c r="F2" s="122"/>
      <c r="G2" s="122"/>
      <c r="H2" s="122"/>
      <c r="I2" s="9"/>
    </row>
    <row r="3" spans="1:9" ht="15.75">
      <c r="A3" s="10"/>
      <c r="B3" s="19" t="str">
        <f>'December 2001'!B3</f>
        <v>EA population</v>
      </c>
      <c r="C3" s="46"/>
      <c r="D3" s="46" t="s">
        <v>20</v>
      </c>
      <c r="E3" s="46" t="s">
        <v>0</v>
      </c>
      <c r="F3" s="46" t="s">
        <v>1</v>
      </c>
      <c r="G3" s="46" t="s">
        <v>2</v>
      </c>
      <c r="H3" s="81" t="s">
        <v>8</v>
      </c>
      <c r="I3" s="12"/>
    </row>
    <row r="4" spans="1:9" ht="12.75">
      <c r="A4" s="10"/>
      <c r="B4" s="13" t="s">
        <v>3</v>
      </c>
      <c r="C4" s="38"/>
      <c r="D4" s="38">
        <f>'Input Data'!K36*'Input Data'!F36*'Input Data'!B36</f>
        <v>71610</v>
      </c>
      <c r="E4" s="38">
        <f>$D$4*'Input Data'!B4</f>
        <v>17902.5</v>
      </c>
      <c r="F4" s="38">
        <f>$D$4*'Input Data'!C4</f>
        <v>14322</v>
      </c>
      <c r="G4" s="38">
        <f>$D$4*'Input Data'!D4</f>
        <v>39385.5</v>
      </c>
      <c r="H4" s="82"/>
      <c r="I4" s="12"/>
    </row>
    <row r="5" spans="1:9" ht="12.75">
      <c r="A5" s="10"/>
      <c r="B5" s="13" t="s">
        <v>10</v>
      </c>
      <c r="C5" s="38"/>
      <c r="D5" s="38"/>
      <c r="E5" s="38">
        <f>E4*E24</f>
        <v>17007.375</v>
      </c>
      <c r="F5" s="38">
        <f>F4*F24</f>
        <v>12889.800000000001</v>
      </c>
      <c r="G5" s="38">
        <f>G4*G24</f>
        <v>33477.674999999996</v>
      </c>
      <c r="H5" s="82"/>
      <c r="I5" s="12"/>
    </row>
    <row r="6" spans="1:9" ht="12.75">
      <c r="A6" s="10"/>
      <c r="B6" s="13" t="s">
        <v>5</v>
      </c>
      <c r="C6" s="92"/>
      <c r="D6" s="92"/>
      <c r="E6" s="92">
        <f>E5/1000</f>
        <v>17.007375</v>
      </c>
      <c r="F6" s="92">
        <f>F5/1000</f>
        <v>12.889800000000001</v>
      </c>
      <c r="G6" s="92">
        <f>G5/1000</f>
        <v>33.477675</v>
      </c>
      <c r="H6" s="82"/>
      <c r="I6" s="12"/>
    </row>
    <row r="7" spans="1:9" ht="12.75">
      <c r="A7" s="10"/>
      <c r="B7" s="13" t="s">
        <v>4</v>
      </c>
      <c r="C7" s="83"/>
      <c r="D7" s="83"/>
      <c r="E7" s="83">
        <f>'December 2001'!E7</f>
        <v>6.18</v>
      </c>
      <c r="F7" s="83">
        <f>'December 2001'!F7</f>
        <v>9.28</v>
      </c>
      <c r="G7" s="83">
        <f>'December 2001'!G7</f>
        <v>32.87</v>
      </c>
      <c r="H7" s="82"/>
      <c r="I7" s="12"/>
    </row>
    <row r="8" spans="1:9" ht="12.75">
      <c r="A8" s="10"/>
      <c r="B8" s="21" t="s">
        <v>6</v>
      </c>
      <c r="C8" s="84"/>
      <c r="D8" s="84"/>
      <c r="E8" s="84">
        <f>E6*E7</f>
        <v>105.1055775</v>
      </c>
      <c r="F8" s="84">
        <f>F6*F7</f>
        <v>119.617344</v>
      </c>
      <c r="G8" s="84">
        <f>G6*G7</f>
        <v>1100.4111772499998</v>
      </c>
      <c r="H8" s="85">
        <f>SUM(C8:G8)</f>
        <v>1325.1340987499998</v>
      </c>
      <c r="I8" s="12"/>
    </row>
    <row r="9" spans="1:9" ht="12.75">
      <c r="A9" s="10"/>
      <c r="B9" s="13"/>
      <c r="C9" s="46"/>
      <c r="D9" s="46"/>
      <c r="E9" s="46"/>
      <c r="F9" s="46"/>
      <c r="G9" s="46"/>
      <c r="H9" s="82"/>
      <c r="I9" s="12"/>
    </row>
    <row r="10" spans="1:9" ht="12.75">
      <c r="A10" s="10"/>
      <c r="B10" s="13"/>
      <c r="C10" s="46"/>
      <c r="D10" s="46"/>
      <c r="E10" s="46"/>
      <c r="F10" s="46"/>
      <c r="G10" s="46"/>
      <c r="H10" s="82"/>
      <c r="I10" s="12"/>
    </row>
    <row r="11" spans="1:9" ht="15.75">
      <c r="A11" s="10"/>
      <c r="B11" s="19" t="str">
        <f>'December 2001'!B11</f>
        <v>ELIP population</v>
      </c>
      <c r="C11" s="46"/>
      <c r="D11" s="46" t="str">
        <f>D3</f>
        <v>Total Arrears ($s)</v>
      </c>
      <c r="E11" s="46" t="str">
        <f>E3</f>
        <v>30-day Arrears</v>
      </c>
      <c r="F11" s="46" t="str">
        <f>F3</f>
        <v>60-day arrears</v>
      </c>
      <c r="G11" s="46" t="str">
        <f>G3</f>
        <v>90-day arrears</v>
      </c>
      <c r="H11" s="82"/>
      <c r="I11" s="12"/>
    </row>
    <row r="12" spans="1:9" ht="12.75">
      <c r="A12" s="10"/>
      <c r="B12" s="13" t="str">
        <f>B4</f>
        <v>Dollars</v>
      </c>
      <c r="C12" s="38"/>
      <c r="D12" s="38">
        <f>'Input Data'!K36*'Input Data'!G36*'Input Data'!C36</f>
        <v>23106.16</v>
      </c>
      <c r="E12" s="38">
        <f>$D$12*'Input Data'!B4</f>
        <v>5776.54</v>
      </c>
      <c r="F12" s="38">
        <f>$D$12*'Input Data'!C4</f>
        <v>4621.232</v>
      </c>
      <c r="G12" s="38">
        <f>$D$12*'Input Data'!D4</f>
        <v>12708.388</v>
      </c>
      <c r="H12" s="82"/>
      <c r="I12" s="12"/>
    </row>
    <row r="13" spans="1:9" ht="12.75">
      <c r="A13" s="10"/>
      <c r="B13" s="13" t="str">
        <f>B5</f>
        <v>Dollars adjusted for charge-offs</v>
      </c>
      <c r="C13" s="38"/>
      <c r="D13" s="38"/>
      <c r="E13" s="38">
        <f>E12*E24</f>
        <v>5487.713</v>
      </c>
      <c r="F13" s="38">
        <f>F12*F24</f>
        <v>4159.1088</v>
      </c>
      <c r="G13" s="38">
        <f>G12*G24</f>
        <v>10802.1298</v>
      </c>
      <c r="H13" s="82"/>
      <c r="I13" s="12"/>
    </row>
    <row r="14" spans="1:9" ht="12.75">
      <c r="A14" s="10"/>
      <c r="B14" s="13" t="str">
        <f>B6</f>
        <v>$1,000 increments</v>
      </c>
      <c r="C14" s="92"/>
      <c r="D14" s="92"/>
      <c r="E14" s="92">
        <f>E13/1000</f>
        <v>5.487712999999999</v>
      </c>
      <c r="F14" s="92">
        <f>F13/1000</f>
        <v>4.1591088</v>
      </c>
      <c r="G14" s="92">
        <f>G13/1000</f>
        <v>10.802129800000001</v>
      </c>
      <c r="H14" s="82"/>
      <c r="I14" s="12"/>
    </row>
    <row r="15" spans="1:9" ht="12.75">
      <c r="A15" s="10"/>
      <c r="B15" s="13" t="str">
        <f>B7</f>
        <v>Working capital per $1,000</v>
      </c>
      <c r="C15" s="83"/>
      <c r="D15" s="83"/>
      <c r="E15" s="83">
        <f>E7</f>
        <v>6.18</v>
      </c>
      <c r="F15" s="83">
        <f>F7</f>
        <v>9.28</v>
      </c>
      <c r="G15" s="83">
        <f>G7</f>
        <v>32.87</v>
      </c>
      <c r="H15" s="82"/>
      <c r="I15" s="12"/>
    </row>
    <row r="16" spans="1:9" ht="12.75">
      <c r="A16" s="10"/>
      <c r="B16" s="21" t="str">
        <f>B8</f>
        <v>Total working capital expense</v>
      </c>
      <c r="C16" s="84"/>
      <c r="D16" s="84"/>
      <c r="E16" s="84">
        <f>E14*E15</f>
        <v>33.91406634</v>
      </c>
      <c r="F16" s="84">
        <f>F14*F15</f>
        <v>38.596529664</v>
      </c>
      <c r="G16" s="84">
        <f>G14*G15</f>
        <v>355.066006526</v>
      </c>
      <c r="H16" s="85">
        <f>SUM(C16:G16)</f>
        <v>427.57660253000006</v>
      </c>
      <c r="I16" s="12"/>
    </row>
    <row r="17" spans="1:9" ht="13.5" thickBot="1">
      <c r="A17" s="10"/>
      <c r="B17" s="13"/>
      <c r="C17" s="46"/>
      <c r="D17" s="46"/>
      <c r="E17" s="46"/>
      <c r="F17" s="46"/>
      <c r="G17" s="46"/>
      <c r="H17" s="82"/>
      <c r="I17" s="12"/>
    </row>
    <row r="18" spans="1:9" ht="13.5" thickBot="1">
      <c r="A18" s="10"/>
      <c r="B18" s="22" t="s">
        <v>7</v>
      </c>
      <c r="C18" s="86"/>
      <c r="D18" s="86"/>
      <c r="E18" s="86">
        <f>E8-E16</f>
        <v>71.19151116</v>
      </c>
      <c r="F18" s="86">
        <f>F8-F16</f>
        <v>81.020814336</v>
      </c>
      <c r="G18" s="86">
        <f>G8-G16</f>
        <v>745.3451707239998</v>
      </c>
      <c r="H18" s="87">
        <f>SUM(C18:G18)</f>
        <v>897.5574962199998</v>
      </c>
      <c r="I18" s="12"/>
    </row>
    <row r="19" spans="1:9" ht="13.5" thickBot="1">
      <c r="A19" s="15"/>
      <c r="B19" s="17"/>
      <c r="C19" s="17"/>
      <c r="D19" s="17"/>
      <c r="E19" s="17"/>
      <c r="F19" s="17"/>
      <c r="G19" s="17"/>
      <c r="H19" s="17"/>
      <c r="I19" s="16"/>
    </row>
    <row r="20" ht="13.5" thickTop="1"/>
    <row r="21" ht="13.5" thickBot="1"/>
    <row r="22" spans="1:9" ht="18" thickBot="1" thickTop="1">
      <c r="A22" s="20"/>
      <c r="B22" s="8"/>
      <c r="C22" s="122" t="s">
        <v>52</v>
      </c>
      <c r="D22" s="122"/>
      <c r="E22" s="122"/>
      <c r="F22" s="122"/>
      <c r="G22" s="122"/>
      <c r="H22" s="122"/>
      <c r="I22" s="9"/>
    </row>
    <row r="23" spans="1:9" ht="15.75">
      <c r="A23" s="10"/>
      <c r="B23" s="19" t="str">
        <f aca="true" t="shared" si="0" ref="B23:H23">B3</f>
        <v>EA population</v>
      </c>
      <c r="C23" s="13"/>
      <c r="D23" s="46" t="s">
        <v>53</v>
      </c>
      <c r="E23" s="46" t="str">
        <f t="shared" si="0"/>
        <v>30-day Arrears</v>
      </c>
      <c r="F23" s="46" t="str">
        <f t="shared" si="0"/>
        <v>60-day arrears</v>
      </c>
      <c r="G23" s="46" t="str">
        <f t="shared" si="0"/>
        <v>90-day arrears</v>
      </c>
      <c r="H23" s="81" t="str">
        <f t="shared" si="0"/>
        <v>Total</v>
      </c>
      <c r="I23" s="12"/>
    </row>
    <row r="24" spans="1:9" ht="12.75">
      <c r="A24" s="10"/>
      <c r="B24" s="13" t="s">
        <v>11</v>
      </c>
      <c r="C24" s="26"/>
      <c r="D24" s="88"/>
      <c r="E24" s="88">
        <v>0.95</v>
      </c>
      <c r="F24" s="88">
        <v>0.9</v>
      </c>
      <c r="G24" s="88">
        <v>0.85</v>
      </c>
      <c r="H24" s="82"/>
      <c r="I24" s="12"/>
    </row>
    <row r="25" spans="1:9" ht="12.75">
      <c r="A25" s="10"/>
      <c r="B25" s="13" t="s">
        <v>12</v>
      </c>
      <c r="C25" s="26"/>
      <c r="D25" s="88"/>
      <c r="E25" s="88">
        <f>1-E24</f>
        <v>0.050000000000000044</v>
      </c>
      <c r="F25" s="88">
        <f>(1-F24)-E25</f>
        <v>0.04999999999999993</v>
      </c>
      <c r="G25" s="88">
        <f>(1-G24)-(E25+F25)</f>
        <v>0.050000000000000044</v>
      </c>
      <c r="H25" s="82"/>
      <c r="I25" s="12"/>
    </row>
    <row r="26" spans="1:9" ht="12.75">
      <c r="A26" s="10"/>
      <c r="B26" s="13" t="s">
        <v>13</v>
      </c>
      <c r="C26" s="27"/>
      <c r="D26" s="38">
        <f>SUM(E26:G26)</f>
        <v>3580.500000000002</v>
      </c>
      <c r="E26" s="38">
        <f>E25*E4</f>
        <v>895.1250000000008</v>
      </c>
      <c r="F26" s="38">
        <f>F25*F4</f>
        <v>716.099999999999</v>
      </c>
      <c r="G26" s="38">
        <f>G25*G4</f>
        <v>1969.2750000000017</v>
      </c>
      <c r="H26" s="82"/>
      <c r="I26" s="12"/>
    </row>
    <row r="27" spans="1:9" ht="12.75">
      <c r="A27" s="10"/>
      <c r="B27" s="13" t="s">
        <v>5</v>
      </c>
      <c r="C27" s="25"/>
      <c r="D27" s="92"/>
      <c r="E27" s="92">
        <f>E26/1000</f>
        <v>0.8951250000000008</v>
      </c>
      <c r="F27" s="92">
        <f>F26/1000</f>
        <v>0.716099999999999</v>
      </c>
      <c r="G27" s="92">
        <f>G26/1000</f>
        <v>1.9692750000000017</v>
      </c>
      <c r="H27" s="82"/>
      <c r="I27" s="12"/>
    </row>
    <row r="28" spans="1:9" ht="12.75">
      <c r="A28" s="10"/>
      <c r="B28" s="13" t="s">
        <v>4</v>
      </c>
      <c r="C28" s="14"/>
      <c r="D28" s="83"/>
      <c r="E28" s="83">
        <f>'December 2001'!E28</f>
        <v>45.67868031566741</v>
      </c>
      <c r="F28" s="83">
        <f>'December 2001'!F28</f>
        <v>36.059797012539775</v>
      </c>
      <c r="G28" s="83">
        <f>'December 2001'!G28</f>
        <v>3.0851720988794114</v>
      </c>
      <c r="H28" s="82"/>
      <c r="I28" s="12"/>
    </row>
    <row r="29" spans="1:9" ht="12.75">
      <c r="A29" s="10"/>
      <c r="B29" s="21" t="s">
        <v>6</v>
      </c>
      <c r="C29" s="28"/>
      <c r="D29" s="89"/>
      <c r="E29" s="89">
        <f>E27*E28</f>
        <v>40.88812871756183</v>
      </c>
      <c r="F29" s="89">
        <f>F27*F28</f>
        <v>25.822420640679695</v>
      </c>
      <c r="G29" s="89">
        <f>G27*G28</f>
        <v>6.075552285020758</v>
      </c>
      <c r="H29" s="90">
        <f>SUM(C29:G29)</f>
        <v>72.78610164326228</v>
      </c>
      <c r="I29" s="12"/>
    </row>
    <row r="30" spans="1:9" ht="12.75">
      <c r="A30" s="10"/>
      <c r="B30" s="13"/>
      <c r="C30" s="13"/>
      <c r="D30" s="46"/>
      <c r="E30" s="46"/>
      <c r="F30" s="46"/>
      <c r="G30" s="46"/>
      <c r="H30" s="82"/>
      <c r="I30" s="12"/>
    </row>
    <row r="31" spans="1:9" ht="12.75">
      <c r="A31" s="10"/>
      <c r="B31" s="13"/>
      <c r="C31" s="13"/>
      <c r="D31" s="46"/>
      <c r="E31" s="46"/>
      <c r="F31" s="46"/>
      <c r="G31" s="46"/>
      <c r="H31" s="82"/>
      <c r="I31" s="12"/>
    </row>
    <row r="32" spans="1:9" ht="15.75">
      <c r="A32" s="10"/>
      <c r="B32" s="19" t="str">
        <f aca="true" t="shared" si="1" ref="B32:G32">B11</f>
        <v>ELIP population</v>
      </c>
      <c r="C32" s="13"/>
      <c r="D32" s="46" t="s">
        <v>53</v>
      </c>
      <c r="E32" s="46" t="str">
        <f t="shared" si="1"/>
        <v>30-day Arrears</v>
      </c>
      <c r="F32" s="46" t="str">
        <f t="shared" si="1"/>
        <v>60-day arrears</v>
      </c>
      <c r="G32" s="46" t="str">
        <f t="shared" si="1"/>
        <v>90-day arrears</v>
      </c>
      <c r="H32" s="82"/>
      <c r="I32" s="12"/>
    </row>
    <row r="33" spans="1:9" ht="12.75">
      <c r="A33" s="10"/>
      <c r="B33" s="13" t="str">
        <f aca="true" t="shared" si="2" ref="B33:B38">B24</f>
        <v>Collectability factor</v>
      </c>
      <c r="C33" s="26"/>
      <c r="D33" s="88"/>
      <c r="E33" s="88">
        <f>E24</f>
        <v>0.95</v>
      </c>
      <c r="F33" s="88">
        <f>F24</f>
        <v>0.9</v>
      </c>
      <c r="G33" s="88">
        <f>G24</f>
        <v>0.85</v>
      </c>
      <c r="H33" s="82"/>
      <c r="I33" s="12"/>
    </row>
    <row r="34" spans="1:9" ht="12.75">
      <c r="A34" s="10"/>
      <c r="B34" s="13" t="str">
        <f t="shared" si="2"/>
        <v>Uncollectable rate</v>
      </c>
      <c r="C34" s="26"/>
      <c r="D34" s="88"/>
      <c r="E34" s="88">
        <f>1-E33</f>
        <v>0.050000000000000044</v>
      </c>
      <c r="F34" s="88">
        <f>(1-F33)-E34</f>
        <v>0.04999999999999993</v>
      </c>
      <c r="G34" s="88">
        <f>(1-G33)-(E34+F34)</f>
        <v>0.050000000000000044</v>
      </c>
      <c r="H34" s="82"/>
      <c r="I34" s="12"/>
    </row>
    <row r="35" spans="1:9" ht="12.75">
      <c r="A35" s="10"/>
      <c r="B35" s="13" t="str">
        <f t="shared" si="2"/>
        <v>Uncollectable dollars</v>
      </c>
      <c r="C35" s="27"/>
      <c r="D35" s="38">
        <f>SUM(E35:G35)</f>
        <v>1155.3080000000004</v>
      </c>
      <c r="E35" s="38">
        <f>E34*E12</f>
        <v>288.8270000000003</v>
      </c>
      <c r="F35" s="38">
        <f>F34*F12</f>
        <v>231.0615999999997</v>
      </c>
      <c r="G35" s="38">
        <f>G34*G12</f>
        <v>635.4194000000006</v>
      </c>
      <c r="H35" s="82"/>
      <c r="I35" s="12"/>
    </row>
    <row r="36" spans="1:9" ht="12.75">
      <c r="A36" s="10"/>
      <c r="B36" s="13" t="str">
        <f t="shared" si="2"/>
        <v>$1,000 increments</v>
      </c>
      <c r="C36" s="25"/>
      <c r="D36" s="92"/>
      <c r="E36" s="92">
        <f>E35/1000</f>
        <v>0.2888270000000003</v>
      </c>
      <c r="F36" s="92">
        <f>F35/1000</f>
        <v>0.23106159999999967</v>
      </c>
      <c r="G36" s="92">
        <f>G35/1000</f>
        <v>0.6354194000000005</v>
      </c>
      <c r="H36" s="82"/>
      <c r="I36" s="12"/>
    </row>
    <row r="37" spans="1:9" ht="12.75">
      <c r="A37" s="10"/>
      <c r="B37" s="13" t="str">
        <f t="shared" si="2"/>
        <v>Working capital per $1,000</v>
      </c>
      <c r="C37" s="14"/>
      <c r="D37" s="83"/>
      <c r="E37" s="83">
        <f>'December 2001'!E37</f>
        <v>45.67868031566741</v>
      </c>
      <c r="F37" s="83">
        <f>'December 2001'!F37</f>
        <v>36.059797012539775</v>
      </c>
      <c r="G37" s="83">
        <f>'December 2001'!G37</f>
        <v>3.0851720988794114</v>
      </c>
      <c r="H37" s="82"/>
      <c r="I37" s="12"/>
    </row>
    <row r="38" spans="1:9" ht="12.75">
      <c r="A38" s="10"/>
      <c r="B38" s="21" t="str">
        <f t="shared" si="2"/>
        <v>Total working capital expense</v>
      </c>
      <c r="C38" s="28"/>
      <c r="D38" s="89"/>
      <c r="E38" s="89">
        <f>E36*E37</f>
        <v>13.193236199533283</v>
      </c>
      <c r="F38" s="89">
        <f>F36*F37</f>
        <v>8.332034393392648</v>
      </c>
      <c r="G38" s="89">
        <f>G36*G37</f>
        <v>1.960378203966698</v>
      </c>
      <c r="H38" s="90">
        <f>SUM(C38:G38)</f>
        <v>23.48564879689263</v>
      </c>
      <c r="I38" s="12"/>
    </row>
    <row r="39" spans="1:9" ht="13.5" thickBot="1">
      <c r="A39" s="10"/>
      <c r="B39" s="13"/>
      <c r="C39" s="13"/>
      <c r="D39" s="46"/>
      <c r="E39" s="46"/>
      <c r="F39" s="46"/>
      <c r="G39" s="46"/>
      <c r="H39" s="82"/>
      <c r="I39" s="12"/>
    </row>
    <row r="40" spans="1:9" ht="13.5" thickBot="1">
      <c r="A40" s="10"/>
      <c r="B40" s="22" t="s">
        <v>7</v>
      </c>
      <c r="C40" s="23"/>
      <c r="D40" s="86">
        <f>D26-D35</f>
        <v>2425.1920000000014</v>
      </c>
      <c r="E40" s="86">
        <f>E29-E38</f>
        <v>27.694892518028546</v>
      </c>
      <c r="F40" s="86">
        <f>F29-F38</f>
        <v>17.49038624728705</v>
      </c>
      <c r="G40" s="86">
        <f>G29-G38</f>
        <v>4.11517408105406</v>
      </c>
      <c r="H40" s="91">
        <f>SUM(E40:G40)</f>
        <v>49.30045284636965</v>
      </c>
      <c r="I40" s="12"/>
    </row>
    <row r="41" spans="1:9" ht="13.5" thickBot="1">
      <c r="A41" s="15"/>
      <c r="B41" s="17"/>
      <c r="C41" s="17"/>
      <c r="D41" s="17"/>
      <c r="E41" s="17"/>
      <c r="F41" s="17"/>
      <c r="G41" s="17"/>
      <c r="H41" s="17"/>
      <c r="I41" s="16"/>
    </row>
    <row r="42" ht="14.25" thickBot="1" thickTop="1"/>
    <row r="43" spans="1:9" ht="13.5" thickTop="1">
      <c r="A43" s="20"/>
      <c r="B43" s="123" t="str">
        <f>'January 2002'!B43</f>
        <v>Disconnection Savings</v>
      </c>
      <c r="C43" s="123"/>
      <c r="D43" s="9"/>
      <c r="F43" s="20"/>
      <c r="G43" s="123" t="str">
        <f>'January 2002'!G43</f>
        <v>Collection Savings</v>
      </c>
      <c r="H43" s="123"/>
      <c r="I43" s="9"/>
    </row>
    <row r="44" spans="1:9" ht="12.75">
      <c r="A44" s="10"/>
      <c r="B44" s="13" t="s">
        <v>80</v>
      </c>
      <c r="C44" s="13">
        <f>'Input Data'!B12</f>
        <v>2.3</v>
      </c>
      <c r="D44" s="12"/>
      <c r="F44" s="10"/>
      <c r="G44" s="13" t="s">
        <v>77</v>
      </c>
      <c r="H44" s="40">
        <f>'Input Data'!F36</f>
        <v>0.5</v>
      </c>
      <c r="I44" s="12"/>
    </row>
    <row r="45" spans="1:9" ht="12.75">
      <c r="A45" s="10"/>
      <c r="B45" s="13" t="s">
        <v>75</v>
      </c>
      <c r="C45" s="94">
        <f>'Input Data'!K36*'Input Data'!F36/100</f>
        <v>3.41</v>
      </c>
      <c r="D45" s="12"/>
      <c r="F45" s="10"/>
      <c r="G45" s="13" t="s">
        <v>31</v>
      </c>
      <c r="H45" s="25">
        <f>H51</f>
        <v>682</v>
      </c>
      <c r="I45" s="12"/>
    </row>
    <row r="46" spans="1:9" ht="12.75">
      <c r="A46" s="10"/>
      <c r="B46" s="13" t="s">
        <v>26</v>
      </c>
      <c r="C46" s="93">
        <f>C45*C44</f>
        <v>7.843</v>
      </c>
      <c r="D46" s="12"/>
      <c r="F46" s="10"/>
      <c r="G46" s="13" t="s">
        <v>32</v>
      </c>
      <c r="H46" s="25">
        <f>H44*H45</f>
        <v>341</v>
      </c>
      <c r="I46" s="12"/>
    </row>
    <row r="47" spans="1:9" ht="12.75">
      <c r="A47" s="10"/>
      <c r="B47" s="13" t="s">
        <v>24</v>
      </c>
      <c r="C47" s="14">
        <f>'January 2002'!C47</f>
        <v>121.18</v>
      </c>
      <c r="D47" s="12"/>
      <c r="F47" s="10"/>
      <c r="G47" s="13" t="s">
        <v>33</v>
      </c>
      <c r="H47" s="14">
        <f>'December 2001'!H47</f>
        <v>12.94</v>
      </c>
      <c r="I47" s="12"/>
    </row>
    <row r="48" spans="1:9" ht="12.75">
      <c r="A48" s="10"/>
      <c r="B48" s="13" t="s">
        <v>25</v>
      </c>
      <c r="C48" s="11">
        <f>C47*C46</f>
        <v>950.41474</v>
      </c>
      <c r="D48" s="12"/>
      <c r="F48" s="10"/>
      <c r="G48" s="13" t="s">
        <v>34</v>
      </c>
      <c r="H48" s="11">
        <f>H46*H47</f>
        <v>4412.54</v>
      </c>
      <c r="I48" s="12"/>
    </row>
    <row r="49" spans="1:9" ht="12.75">
      <c r="A49" s="10"/>
      <c r="B49" s="13"/>
      <c r="C49" s="13"/>
      <c r="D49" s="12"/>
      <c r="F49" s="10"/>
      <c r="G49" s="13"/>
      <c r="H49" s="13"/>
      <c r="I49" s="12"/>
    </row>
    <row r="50" spans="1:9" ht="12.75">
      <c r="A50" s="10"/>
      <c r="B50" s="13" t="s">
        <v>81</v>
      </c>
      <c r="C50" s="13">
        <f>'Input Data'!C12</f>
        <v>0</v>
      </c>
      <c r="D50" s="12"/>
      <c r="F50" s="10"/>
      <c r="G50" s="13" t="s">
        <v>78</v>
      </c>
      <c r="H50" s="40">
        <f>'Input Data'!G36</f>
        <v>0.28</v>
      </c>
      <c r="I50" s="12"/>
    </row>
    <row r="51" spans="1:9" ht="12.75">
      <c r="A51" s="10"/>
      <c r="B51" s="13" t="s">
        <v>75</v>
      </c>
      <c r="C51" s="94">
        <f>'Input Data'!K36*'Input Data'!G36/100</f>
        <v>1.9096000000000002</v>
      </c>
      <c r="D51" s="12"/>
      <c r="F51" s="10"/>
      <c r="G51" s="13" t="s">
        <v>31</v>
      </c>
      <c r="H51" s="25">
        <f>'Input Data'!K36</f>
        <v>682</v>
      </c>
      <c r="I51" s="12"/>
    </row>
    <row r="52" spans="1:9" ht="12.75">
      <c r="A52" s="10"/>
      <c r="B52" s="13" t="s">
        <v>26</v>
      </c>
      <c r="C52" s="93">
        <f>C51*C50</f>
        <v>0</v>
      </c>
      <c r="D52" s="12"/>
      <c r="F52" s="10"/>
      <c r="G52" s="13" t="s">
        <v>32</v>
      </c>
      <c r="H52" s="25">
        <f>H50*H51</f>
        <v>190.96</v>
      </c>
      <c r="I52" s="12"/>
    </row>
    <row r="53" spans="1:9" ht="12.75">
      <c r="A53" s="10"/>
      <c r="B53" s="13" t="s">
        <v>24</v>
      </c>
      <c r="C53" s="14">
        <f>C47</f>
        <v>121.18</v>
      </c>
      <c r="D53" s="12"/>
      <c r="F53" s="10"/>
      <c r="G53" s="13" t="s">
        <v>33</v>
      </c>
      <c r="H53" s="14">
        <f>H47</f>
        <v>12.94</v>
      </c>
      <c r="I53" s="12"/>
    </row>
    <row r="54" spans="1:9" ht="12.75">
      <c r="A54" s="10"/>
      <c r="B54" s="13" t="s">
        <v>25</v>
      </c>
      <c r="C54" s="11">
        <f>C53*C52</f>
        <v>0</v>
      </c>
      <c r="D54" s="12"/>
      <c r="F54" s="10"/>
      <c r="G54" s="13" t="s">
        <v>34</v>
      </c>
      <c r="H54" s="11">
        <f>H52*H53</f>
        <v>2471.0224</v>
      </c>
      <c r="I54" s="12"/>
    </row>
    <row r="55" spans="1:9" ht="13.5" thickBot="1">
      <c r="A55" s="10"/>
      <c r="B55" s="13"/>
      <c r="C55" s="13"/>
      <c r="D55" s="12"/>
      <c r="F55" s="10"/>
      <c r="G55" s="13"/>
      <c r="H55" s="13"/>
      <c r="I55" s="12"/>
    </row>
    <row r="56" spans="1:9" ht="13.5" thickBot="1">
      <c r="A56" s="10"/>
      <c r="B56" s="22" t="s">
        <v>7</v>
      </c>
      <c r="C56" s="36">
        <f>C48-C54</f>
        <v>950.41474</v>
      </c>
      <c r="D56" s="12"/>
      <c r="F56" s="10"/>
      <c r="G56" s="22" t="s">
        <v>7</v>
      </c>
      <c r="H56" s="36">
        <f>H48-H54</f>
        <v>1941.5176000000001</v>
      </c>
      <c r="I56" s="12"/>
    </row>
    <row r="57" spans="1:9" ht="13.5" thickBot="1">
      <c r="A57" s="15"/>
      <c r="B57" s="17"/>
      <c r="C57" s="17"/>
      <c r="D57" s="16"/>
      <c r="F57" s="15"/>
      <c r="G57" s="17"/>
      <c r="H57" s="17"/>
      <c r="I57" s="16"/>
    </row>
    <row r="58" ht="13.5" thickTop="1"/>
  </sheetData>
  <mergeCells count="4">
    <mergeCell ref="C22:H22"/>
    <mergeCell ref="C2:H2"/>
    <mergeCell ref="G43:H43"/>
    <mergeCell ref="B43:C43"/>
  </mergeCells>
  <printOptions/>
  <pageMargins left="0.75" right="0.75" top="1" bottom="1" header="0.5" footer="0.5"/>
  <pageSetup fitToHeight="1" fitToWidth="1" horizontalDpi="600" verticalDpi="600" orientation="landscape" scale="62" r:id="rId1"/>
  <headerFooter alignWithMargins="0">
    <oddHeader>&amp;R&amp;"Arial,Bold"&amp;12Appendix A</oddHeader>
    <oddFooter>&amp;RPage &amp;P
&amp;F
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 topLeftCell="A1">
      <selection activeCell="G15" sqref="G15"/>
    </sheetView>
  </sheetViews>
  <sheetFormatPr defaultColWidth="9.140625" defaultRowHeight="12.75"/>
  <cols>
    <col min="2" max="2" width="39.421875" style="0" bestFit="1" customWidth="1"/>
    <col min="3" max="3" width="11.140625" style="0" bestFit="1" customWidth="1"/>
    <col min="4" max="4" width="15.28125" style="0" customWidth="1"/>
    <col min="5" max="5" width="13.140625" style="0" bestFit="1" customWidth="1"/>
    <col min="6" max="6" width="12.8515625" style="0" bestFit="1" customWidth="1"/>
    <col min="7" max="7" width="41.7109375" style="0" bestFit="1" customWidth="1"/>
  </cols>
  <sheetData>
    <row r="1" ht="18.75" thickBot="1">
      <c r="B1" s="100">
        <f>'Summary Data'!A7</f>
        <v>37347</v>
      </c>
    </row>
    <row r="2" spans="1:9" ht="19.5" thickBot="1" thickTop="1">
      <c r="A2" s="20"/>
      <c r="B2" s="18"/>
      <c r="C2" s="122" t="str">
        <f>'January 2002'!C2</f>
        <v>Monthly Arrears: Working Capital</v>
      </c>
      <c r="D2" s="122"/>
      <c r="E2" s="122"/>
      <c r="F2" s="122"/>
      <c r="G2" s="122"/>
      <c r="H2" s="122"/>
      <c r="I2" s="9"/>
    </row>
    <row r="3" spans="1:9" ht="15.75">
      <c r="A3" s="10"/>
      <c r="B3" s="19" t="str">
        <f>'December 2001'!B3</f>
        <v>EA population</v>
      </c>
      <c r="C3" s="46"/>
      <c r="D3" s="46" t="s">
        <v>20</v>
      </c>
      <c r="E3" s="46" t="s">
        <v>0</v>
      </c>
      <c r="F3" s="46" t="s">
        <v>1</v>
      </c>
      <c r="G3" s="46" t="s">
        <v>2</v>
      </c>
      <c r="H3" s="81" t="s">
        <v>8</v>
      </c>
      <c r="I3" s="12"/>
    </row>
    <row r="4" spans="1:9" ht="12.75">
      <c r="A4" s="10"/>
      <c r="B4" s="13" t="s">
        <v>3</v>
      </c>
      <c r="C4" s="38"/>
      <c r="D4" s="38">
        <f>'Input Data'!K37*'Input Data'!F37*'Input Data'!B37</f>
        <v>68335.89</v>
      </c>
      <c r="E4" s="38">
        <f>$D$4*'Input Data'!B4</f>
        <v>17083.9725</v>
      </c>
      <c r="F4" s="38">
        <f>$D$4*'Input Data'!C4</f>
        <v>13667.178</v>
      </c>
      <c r="G4" s="38">
        <f>$D$4*'Input Data'!D4</f>
        <v>37584.7395</v>
      </c>
      <c r="H4" s="82"/>
      <c r="I4" s="12"/>
    </row>
    <row r="5" spans="1:9" ht="12.75">
      <c r="A5" s="10"/>
      <c r="B5" s="13" t="s">
        <v>10</v>
      </c>
      <c r="C5" s="38"/>
      <c r="D5" s="38"/>
      <c r="E5" s="38">
        <f>E4*E24</f>
        <v>16229.773874999999</v>
      </c>
      <c r="F5" s="38">
        <f>F4*F24</f>
        <v>12300.4602</v>
      </c>
      <c r="G5" s="38">
        <f>G4*G24</f>
        <v>31947.028575</v>
      </c>
      <c r="H5" s="82"/>
      <c r="I5" s="12"/>
    </row>
    <row r="6" spans="1:9" ht="12.75">
      <c r="A6" s="10"/>
      <c r="B6" s="13" t="s">
        <v>5</v>
      </c>
      <c r="C6" s="92"/>
      <c r="D6" s="92"/>
      <c r="E6" s="92">
        <f>E5/1000</f>
        <v>16.229773875</v>
      </c>
      <c r="F6" s="92">
        <f>F5/1000</f>
        <v>12.3004602</v>
      </c>
      <c r="G6" s="92">
        <f>G5/1000</f>
        <v>31.947028575</v>
      </c>
      <c r="H6" s="82"/>
      <c r="I6" s="12"/>
    </row>
    <row r="7" spans="1:9" ht="12.75">
      <c r="A7" s="10"/>
      <c r="B7" s="13" t="s">
        <v>4</v>
      </c>
      <c r="C7" s="83"/>
      <c r="D7" s="83"/>
      <c r="E7" s="83">
        <f>'December 2001'!E7</f>
        <v>6.18</v>
      </c>
      <c r="F7" s="83">
        <f>'December 2001'!F7</f>
        <v>9.28</v>
      </c>
      <c r="G7" s="83">
        <f>'December 2001'!G7</f>
        <v>32.87</v>
      </c>
      <c r="H7" s="82"/>
      <c r="I7" s="12"/>
    </row>
    <row r="8" spans="1:9" ht="12.75">
      <c r="A8" s="10"/>
      <c r="B8" s="21" t="s">
        <v>6</v>
      </c>
      <c r="C8" s="84"/>
      <c r="D8" s="84"/>
      <c r="E8" s="84">
        <f>E6*E7</f>
        <v>100.30000254749999</v>
      </c>
      <c r="F8" s="84">
        <f>F6*F7</f>
        <v>114.148270656</v>
      </c>
      <c r="G8" s="84">
        <f>G6*G7</f>
        <v>1050.0988292602499</v>
      </c>
      <c r="H8" s="85">
        <f>SUM(C8:G8)</f>
        <v>1264.54710246375</v>
      </c>
      <c r="I8" s="12"/>
    </row>
    <row r="9" spans="1:9" ht="12.75">
      <c r="A9" s="10"/>
      <c r="B9" s="13"/>
      <c r="C9" s="46"/>
      <c r="D9" s="46"/>
      <c r="E9" s="46"/>
      <c r="F9" s="46"/>
      <c r="G9" s="46"/>
      <c r="H9" s="82"/>
      <c r="I9" s="12"/>
    </row>
    <row r="10" spans="1:9" ht="12.75">
      <c r="A10" s="10"/>
      <c r="B10" s="13"/>
      <c r="C10" s="46"/>
      <c r="D10" s="46"/>
      <c r="E10" s="46"/>
      <c r="F10" s="46"/>
      <c r="G10" s="46"/>
      <c r="H10" s="82"/>
      <c r="I10" s="12"/>
    </row>
    <row r="11" spans="1:9" ht="15.75">
      <c r="A11" s="10"/>
      <c r="B11" s="19" t="str">
        <f>'December 2001'!B11</f>
        <v>ELIP population</v>
      </c>
      <c r="C11" s="46"/>
      <c r="D11" s="46" t="str">
        <f>D3</f>
        <v>Total Arrears ($s)</v>
      </c>
      <c r="E11" s="46" t="str">
        <f>E3</f>
        <v>30-day Arrears</v>
      </c>
      <c r="F11" s="46" t="str">
        <f>F3</f>
        <v>60-day arrears</v>
      </c>
      <c r="G11" s="46" t="str">
        <f>G3</f>
        <v>90-day arrears</v>
      </c>
      <c r="H11" s="82"/>
      <c r="I11" s="12"/>
    </row>
    <row r="12" spans="1:9" ht="12.75">
      <c r="A12" s="10"/>
      <c r="B12" s="13" t="str">
        <f>B4</f>
        <v>Dollars</v>
      </c>
      <c r="C12" s="38"/>
      <c r="D12" s="38">
        <f>'Input Data'!K37*'Input Data'!G37*'Input Data'!C37</f>
        <v>30337.920000000002</v>
      </c>
      <c r="E12" s="38">
        <f>$D$12*'Input Data'!B4</f>
        <v>7584.4800000000005</v>
      </c>
      <c r="F12" s="38">
        <f>$D$12*'Input Data'!C4</f>
        <v>6067.584000000001</v>
      </c>
      <c r="G12" s="38">
        <f>$D$12*'Input Data'!D4</f>
        <v>16685.856000000003</v>
      </c>
      <c r="H12" s="82"/>
      <c r="I12" s="12"/>
    </row>
    <row r="13" spans="1:9" ht="12.75">
      <c r="A13" s="10"/>
      <c r="B13" s="13" t="str">
        <f>B5</f>
        <v>Dollars adjusted for charge-offs</v>
      </c>
      <c r="C13" s="38"/>
      <c r="D13" s="38"/>
      <c r="E13" s="38">
        <f>E12*E24</f>
        <v>7205.256</v>
      </c>
      <c r="F13" s="38">
        <f>F12*F24</f>
        <v>5460.825600000001</v>
      </c>
      <c r="G13" s="38">
        <f>G12*G24</f>
        <v>14182.977600000002</v>
      </c>
      <c r="H13" s="82"/>
      <c r="I13" s="12"/>
    </row>
    <row r="14" spans="1:9" ht="12.75">
      <c r="A14" s="10"/>
      <c r="B14" s="13" t="str">
        <f>B6</f>
        <v>$1,000 increments</v>
      </c>
      <c r="C14" s="92"/>
      <c r="D14" s="92"/>
      <c r="E14" s="92">
        <f>E13/1000</f>
        <v>7.205256</v>
      </c>
      <c r="F14" s="92">
        <f>F13/1000</f>
        <v>5.460825600000001</v>
      </c>
      <c r="G14" s="92">
        <f>G13/1000</f>
        <v>14.182977600000003</v>
      </c>
      <c r="H14" s="82"/>
      <c r="I14" s="12"/>
    </row>
    <row r="15" spans="1:9" ht="12.75">
      <c r="A15" s="10"/>
      <c r="B15" s="13" t="str">
        <f>B7</f>
        <v>Working capital per $1,000</v>
      </c>
      <c r="C15" s="83"/>
      <c r="D15" s="83"/>
      <c r="E15" s="83">
        <f>E7</f>
        <v>6.18</v>
      </c>
      <c r="F15" s="83">
        <f>F7</f>
        <v>9.28</v>
      </c>
      <c r="G15" s="83">
        <f>G7</f>
        <v>32.87</v>
      </c>
      <c r="H15" s="82"/>
      <c r="I15" s="12"/>
    </row>
    <row r="16" spans="1:9" ht="12.75">
      <c r="A16" s="10"/>
      <c r="B16" s="21" t="str">
        <f>B8</f>
        <v>Total working capital expense</v>
      </c>
      <c r="C16" s="84"/>
      <c r="D16" s="84"/>
      <c r="E16" s="84">
        <f>E14*E15</f>
        <v>44.52848208</v>
      </c>
      <c r="F16" s="84">
        <f>F14*F15</f>
        <v>50.676461568</v>
      </c>
      <c r="G16" s="84">
        <f>G14*G15</f>
        <v>466.19447371200005</v>
      </c>
      <c r="H16" s="85">
        <f>SUM(C16:G16)</f>
        <v>561.39941736</v>
      </c>
      <c r="I16" s="12"/>
    </row>
    <row r="17" spans="1:9" ht="13.5" thickBot="1">
      <c r="A17" s="10"/>
      <c r="B17" s="13"/>
      <c r="C17" s="46"/>
      <c r="D17" s="46"/>
      <c r="E17" s="46"/>
      <c r="F17" s="46"/>
      <c r="G17" s="46"/>
      <c r="H17" s="82"/>
      <c r="I17" s="12"/>
    </row>
    <row r="18" spans="1:9" ht="13.5" thickBot="1">
      <c r="A18" s="10"/>
      <c r="B18" s="22" t="s">
        <v>7</v>
      </c>
      <c r="C18" s="86"/>
      <c r="D18" s="86"/>
      <c r="E18" s="86">
        <f>E8-E16</f>
        <v>55.77152046749998</v>
      </c>
      <c r="F18" s="86">
        <f>F8-F16</f>
        <v>63.47180908799999</v>
      </c>
      <c r="G18" s="86">
        <f>G8-G16</f>
        <v>583.9043555482499</v>
      </c>
      <c r="H18" s="87">
        <f>SUM(C18:G18)</f>
        <v>703.1476851037498</v>
      </c>
      <c r="I18" s="12"/>
    </row>
    <row r="19" spans="1:9" ht="13.5" thickBot="1">
      <c r="A19" s="15"/>
      <c r="B19" s="17"/>
      <c r="C19" s="17"/>
      <c r="D19" s="17"/>
      <c r="E19" s="17"/>
      <c r="F19" s="17"/>
      <c r="G19" s="17"/>
      <c r="H19" s="17"/>
      <c r="I19" s="16"/>
    </row>
    <row r="20" ht="13.5" thickTop="1"/>
    <row r="21" ht="13.5" thickBot="1"/>
    <row r="22" spans="1:9" ht="18" thickBot="1" thickTop="1">
      <c r="A22" s="20"/>
      <c r="B22" s="8"/>
      <c r="C22" s="122" t="s">
        <v>52</v>
      </c>
      <c r="D22" s="122"/>
      <c r="E22" s="122"/>
      <c r="F22" s="122"/>
      <c r="G22" s="122"/>
      <c r="H22" s="122"/>
      <c r="I22" s="9"/>
    </row>
    <row r="23" spans="1:9" ht="15.75">
      <c r="A23" s="10"/>
      <c r="B23" s="19" t="str">
        <f aca="true" t="shared" si="0" ref="B23:H23">B3</f>
        <v>EA population</v>
      </c>
      <c r="C23" s="13"/>
      <c r="D23" s="46" t="s">
        <v>53</v>
      </c>
      <c r="E23" s="46" t="str">
        <f t="shared" si="0"/>
        <v>30-day Arrears</v>
      </c>
      <c r="F23" s="46" t="str">
        <f t="shared" si="0"/>
        <v>60-day arrears</v>
      </c>
      <c r="G23" s="46" t="str">
        <f t="shared" si="0"/>
        <v>90-day arrears</v>
      </c>
      <c r="H23" s="81" t="str">
        <f t="shared" si="0"/>
        <v>Total</v>
      </c>
      <c r="I23" s="12"/>
    </row>
    <row r="24" spans="1:9" ht="12.75">
      <c r="A24" s="10"/>
      <c r="B24" s="13" t="s">
        <v>11</v>
      </c>
      <c r="C24" s="26"/>
      <c r="D24" s="88"/>
      <c r="E24" s="88">
        <v>0.95</v>
      </c>
      <c r="F24" s="88">
        <v>0.9</v>
      </c>
      <c r="G24" s="88">
        <v>0.85</v>
      </c>
      <c r="H24" s="82"/>
      <c r="I24" s="12"/>
    </row>
    <row r="25" spans="1:9" ht="12.75">
      <c r="A25" s="10"/>
      <c r="B25" s="13" t="s">
        <v>12</v>
      </c>
      <c r="C25" s="26"/>
      <c r="D25" s="88"/>
      <c r="E25" s="88">
        <f>1-E24</f>
        <v>0.050000000000000044</v>
      </c>
      <c r="F25" s="88">
        <f>(1-F24)-E25</f>
        <v>0.04999999999999993</v>
      </c>
      <c r="G25" s="88">
        <f>(1-G24)-(E25+F25)</f>
        <v>0.050000000000000044</v>
      </c>
      <c r="H25" s="82"/>
      <c r="I25" s="12"/>
    </row>
    <row r="26" spans="1:9" ht="12.75">
      <c r="A26" s="10"/>
      <c r="B26" s="13" t="s">
        <v>13</v>
      </c>
      <c r="C26" s="27"/>
      <c r="D26" s="38">
        <f>SUM(E26:G26)</f>
        <v>3416.794500000002</v>
      </c>
      <c r="E26" s="83">
        <f>E25*E4</f>
        <v>854.1986250000008</v>
      </c>
      <c r="F26" s="83">
        <f>F25*F4</f>
        <v>683.358899999999</v>
      </c>
      <c r="G26" s="83">
        <f>G25*G4</f>
        <v>1879.2369750000018</v>
      </c>
      <c r="H26" s="82"/>
      <c r="I26" s="12"/>
    </row>
    <row r="27" spans="1:9" ht="12.75">
      <c r="A27" s="10"/>
      <c r="B27" s="13" t="s">
        <v>5</v>
      </c>
      <c r="C27" s="25"/>
      <c r="D27" s="92"/>
      <c r="E27" s="92">
        <f>E26/1000</f>
        <v>0.8541986250000008</v>
      </c>
      <c r="F27" s="92">
        <f>F26/1000</f>
        <v>0.683358899999999</v>
      </c>
      <c r="G27" s="92">
        <f>G26/1000</f>
        <v>1.8792369750000018</v>
      </c>
      <c r="H27" s="82"/>
      <c r="I27" s="12"/>
    </row>
    <row r="28" spans="1:9" ht="12.75">
      <c r="A28" s="10"/>
      <c r="B28" s="13" t="s">
        <v>4</v>
      </c>
      <c r="C28" s="14"/>
      <c r="D28" s="83"/>
      <c r="E28" s="83">
        <f>'December 2001'!E28</f>
        <v>45.67868031566741</v>
      </c>
      <c r="F28" s="83">
        <f>'December 2001'!F28</f>
        <v>36.059797012539775</v>
      </c>
      <c r="G28" s="83">
        <f>'December 2001'!G28</f>
        <v>3.0851720988794114</v>
      </c>
      <c r="H28" s="82"/>
      <c r="I28" s="12"/>
    </row>
    <row r="29" spans="1:9" ht="12.75">
      <c r="A29" s="10"/>
      <c r="B29" s="21" t="s">
        <v>6</v>
      </c>
      <c r="C29" s="28"/>
      <c r="D29" s="89"/>
      <c r="E29" s="89">
        <f>E27*E28</f>
        <v>39.0186659174577</v>
      </c>
      <c r="F29" s="89">
        <f>F27*F28</f>
        <v>24.64178322071243</v>
      </c>
      <c r="G29" s="89">
        <f>G27*G28</f>
        <v>5.797769482452551</v>
      </c>
      <c r="H29" s="90">
        <f>SUM(C29:G29)</f>
        <v>69.45821862062269</v>
      </c>
      <c r="I29" s="12"/>
    </row>
    <row r="30" spans="1:9" ht="12.75">
      <c r="A30" s="10"/>
      <c r="B30" s="13"/>
      <c r="C30" s="13"/>
      <c r="D30" s="46"/>
      <c r="E30" s="46"/>
      <c r="F30" s="46"/>
      <c r="G30" s="46"/>
      <c r="H30" s="82"/>
      <c r="I30" s="12"/>
    </row>
    <row r="31" spans="1:9" ht="12.75">
      <c r="A31" s="10"/>
      <c r="B31" s="13"/>
      <c r="C31" s="13"/>
      <c r="D31" s="46"/>
      <c r="E31" s="46"/>
      <c r="F31" s="46"/>
      <c r="G31" s="46"/>
      <c r="H31" s="82"/>
      <c r="I31" s="12"/>
    </row>
    <row r="32" spans="1:9" ht="15.75">
      <c r="A32" s="10"/>
      <c r="B32" s="19" t="str">
        <f aca="true" t="shared" si="1" ref="B32:G32">B11</f>
        <v>ELIP population</v>
      </c>
      <c r="C32" s="13"/>
      <c r="D32" s="46" t="s">
        <v>53</v>
      </c>
      <c r="E32" s="46" t="str">
        <f t="shared" si="1"/>
        <v>30-day Arrears</v>
      </c>
      <c r="F32" s="46" t="str">
        <f t="shared" si="1"/>
        <v>60-day arrears</v>
      </c>
      <c r="G32" s="46" t="str">
        <f t="shared" si="1"/>
        <v>90-day arrears</v>
      </c>
      <c r="H32" s="82"/>
      <c r="I32" s="12"/>
    </row>
    <row r="33" spans="1:9" ht="12.75">
      <c r="A33" s="10"/>
      <c r="B33" s="13" t="str">
        <f aca="true" t="shared" si="2" ref="B33:B38">B24</f>
        <v>Collectability factor</v>
      </c>
      <c r="C33" s="26"/>
      <c r="D33" s="88"/>
      <c r="E33" s="88">
        <f>E24</f>
        <v>0.95</v>
      </c>
      <c r="F33" s="88">
        <f>F24</f>
        <v>0.9</v>
      </c>
      <c r="G33" s="88">
        <f>G24</f>
        <v>0.85</v>
      </c>
      <c r="H33" s="82"/>
      <c r="I33" s="12"/>
    </row>
    <row r="34" spans="1:9" ht="12.75">
      <c r="A34" s="10"/>
      <c r="B34" s="13" t="str">
        <f t="shared" si="2"/>
        <v>Uncollectable rate</v>
      </c>
      <c r="C34" s="26"/>
      <c r="D34" s="88"/>
      <c r="E34" s="88">
        <f>1-E33</f>
        <v>0.050000000000000044</v>
      </c>
      <c r="F34" s="88">
        <f>(1-F33)-E34</f>
        <v>0.04999999999999993</v>
      </c>
      <c r="G34" s="88">
        <f>(1-G33)-(E34+F34)</f>
        <v>0.050000000000000044</v>
      </c>
      <c r="H34" s="82"/>
      <c r="I34" s="12"/>
    </row>
    <row r="35" spans="1:9" ht="12.75">
      <c r="A35" s="10"/>
      <c r="B35" s="13" t="str">
        <f t="shared" si="2"/>
        <v>Uncollectable dollars</v>
      </c>
      <c r="C35" s="27"/>
      <c r="D35" s="38">
        <f>SUM(E35:G35)</f>
        <v>1516.896000000001</v>
      </c>
      <c r="E35" s="83">
        <f>E34*E12</f>
        <v>379.2240000000004</v>
      </c>
      <c r="F35" s="83">
        <f>F34*F12</f>
        <v>303.3791999999996</v>
      </c>
      <c r="G35" s="83">
        <f>G34*G12</f>
        <v>834.292800000001</v>
      </c>
      <c r="H35" s="82"/>
      <c r="I35" s="12"/>
    </row>
    <row r="36" spans="1:9" ht="12.75">
      <c r="A36" s="10"/>
      <c r="B36" s="13" t="str">
        <f t="shared" si="2"/>
        <v>$1,000 increments</v>
      </c>
      <c r="C36" s="25"/>
      <c r="D36" s="92"/>
      <c r="E36" s="92">
        <f>E35/1000</f>
        <v>0.3792240000000004</v>
      </c>
      <c r="F36" s="92">
        <f>F35/1000</f>
        <v>0.3033791999999996</v>
      </c>
      <c r="G36" s="92">
        <f>G35/1000</f>
        <v>0.834292800000001</v>
      </c>
      <c r="H36" s="82"/>
      <c r="I36" s="12"/>
    </row>
    <row r="37" spans="1:9" ht="12.75">
      <c r="A37" s="10"/>
      <c r="B37" s="13" t="str">
        <f t="shared" si="2"/>
        <v>Working capital per $1,000</v>
      </c>
      <c r="C37" s="14"/>
      <c r="D37" s="83"/>
      <c r="E37" s="83">
        <f>E28</f>
        <v>45.67868031566741</v>
      </c>
      <c r="F37" s="83">
        <f>F28</f>
        <v>36.059797012539775</v>
      </c>
      <c r="G37" s="83">
        <f>G28</f>
        <v>3.0851720988794114</v>
      </c>
      <c r="H37" s="82"/>
      <c r="I37" s="12"/>
    </row>
    <row r="38" spans="1:9" ht="12.75">
      <c r="A38" s="10"/>
      <c r="B38" s="21" t="str">
        <f t="shared" si="2"/>
        <v>Total working capital expense</v>
      </c>
      <c r="C38" s="28"/>
      <c r="D38" s="89"/>
      <c r="E38" s="89">
        <f>E36*E37</f>
        <v>17.322451864028675</v>
      </c>
      <c r="F38" s="89">
        <f>F36*F37</f>
        <v>10.939792369826694</v>
      </c>
      <c r="G38" s="89">
        <f>G36*G37</f>
        <v>2.573936868855984</v>
      </c>
      <c r="H38" s="90">
        <f>SUM(C38:G38)</f>
        <v>30.836181102711354</v>
      </c>
      <c r="I38" s="12"/>
    </row>
    <row r="39" spans="1:9" ht="13.5" thickBot="1">
      <c r="A39" s="10"/>
      <c r="B39" s="13"/>
      <c r="C39" s="13"/>
      <c r="D39" s="46"/>
      <c r="E39" s="46"/>
      <c r="F39" s="46"/>
      <c r="G39" s="46"/>
      <c r="H39" s="82"/>
      <c r="I39" s="12"/>
    </row>
    <row r="40" spans="1:9" ht="13.5" thickBot="1">
      <c r="A40" s="10"/>
      <c r="B40" s="22" t="s">
        <v>7</v>
      </c>
      <c r="C40" s="23"/>
      <c r="D40" s="86">
        <f>D26-D35</f>
        <v>1899.8985000000007</v>
      </c>
      <c r="E40" s="86">
        <f>E29-E38</f>
        <v>21.696214053429028</v>
      </c>
      <c r="F40" s="86">
        <f>F29-F38</f>
        <v>13.701990850885736</v>
      </c>
      <c r="G40" s="86">
        <f>G29-G38</f>
        <v>3.2238326135965676</v>
      </c>
      <c r="H40" s="91">
        <f>SUM(E40:G40)</f>
        <v>38.62203751791134</v>
      </c>
      <c r="I40" s="12"/>
    </row>
    <row r="41" spans="1:9" ht="13.5" thickBot="1">
      <c r="A41" s="15"/>
      <c r="B41" s="17"/>
      <c r="C41" s="17"/>
      <c r="D41" s="17"/>
      <c r="E41" s="17"/>
      <c r="F41" s="17"/>
      <c r="G41" s="17"/>
      <c r="H41" s="17"/>
      <c r="I41" s="16"/>
    </row>
    <row r="42" ht="14.25" thickBot="1" thickTop="1"/>
    <row r="43" spans="1:9" ht="13.5" thickTop="1">
      <c r="A43" s="20"/>
      <c r="B43" s="123" t="str">
        <f>'January 2002'!B43</f>
        <v>Disconnection Savings</v>
      </c>
      <c r="C43" s="123"/>
      <c r="D43" s="9"/>
      <c r="F43" s="20"/>
      <c r="G43" s="123" t="str">
        <f>'January 2002'!G43</f>
        <v>Collection Savings</v>
      </c>
      <c r="H43" s="123"/>
      <c r="I43" s="9"/>
    </row>
    <row r="44" spans="1:9" ht="12.75">
      <c r="A44" s="10"/>
      <c r="B44" s="13" t="s">
        <v>80</v>
      </c>
      <c r="C44" s="13">
        <f>'Input Data'!B13</f>
        <v>2.3</v>
      </c>
      <c r="D44" s="12"/>
      <c r="F44" s="10"/>
      <c r="G44" s="13" t="s">
        <v>77</v>
      </c>
      <c r="H44" s="40">
        <f>'Input Data'!F37</f>
        <v>0.49</v>
      </c>
      <c r="I44" s="12"/>
    </row>
    <row r="45" spans="1:9" ht="12.75">
      <c r="A45" s="10"/>
      <c r="B45" s="13" t="s">
        <v>75</v>
      </c>
      <c r="C45" s="94">
        <f>'Input Data'!K37*'Input Data'!F37/100</f>
        <v>3.3663</v>
      </c>
      <c r="D45" s="12"/>
      <c r="F45" s="10"/>
      <c r="G45" s="13" t="s">
        <v>31</v>
      </c>
      <c r="H45" s="25">
        <f>H51</f>
        <v>687</v>
      </c>
      <c r="I45" s="12"/>
    </row>
    <row r="46" spans="1:9" ht="12.75">
      <c r="A46" s="10"/>
      <c r="B46" s="13" t="s">
        <v>26</v>
      </c>
      <c r="C46" s="93">
        <f>C45*C44</f>
        <v>7.742489999999999</v>
      </c>
      <c r="D46" s="12"/>
      <c r="F46" s="10"/>
      <c r="G46" s="13" t="s">
        <v>32</v>
      </c>
      <c r="H46" s="25">
        <f>H44*H45</f>
        <v>336.63</v>
      </c>
      <c r="I46" s="12"/>
    </row>
    <row r="47" spans="1:9" ht="12.75">
      <c r="A47" s="10"/>
      <c r="B47" s="13" t="s">
        <v>24</v>
      </c>
      <c r="C47" s="14">
        <f>'January 2002'!C47</f>
        <v>121.18</v>
      </c>
      <c r="D47" s="12"/>
      <c r="F47" s="10"/>
      <c r="G47" s="13" t="s">
        <v>33</v>
      </c>
      <c r="H47" s="14">
        <f>'December 2001'!H47</f>
        <v>12.94</v>
      </c>
      <c r="I47" s="12"/>
    </row>
    <row r="48" spans="1:9" ht="12.75">
      <c r="A48" s="10"/>
      <c r="B48" s="13" t="s">
        <v>25</v>
      </c>
      <c r="C48" s="11">
        <f>C47*C46</f>
        <v>938.2349382</v>
      </c>
      <c r="D48" s="12"/>
      <c r="F48" s="10"/>
      <c r="G48" s="13" t="s">
        <v>34</v>
      </c>
      <c r="H48" s="11">
        <f>H46*H47</f>
        <v>4355.9922</v>
      </c>
      <c r="I48" s="12"/>
    </row>
    <row r="49" spans="1:9" ht="12.75">
      <c r="A49" s="10"/>
      <c r="B49" s="13"/>
      <c r="C49" s="13"/>
      <c r="D49" s="12"/>
      <c r="F49" s="10"/>
      <c r="G49" s="13"/>
      <c r="H49" s="13"/>
      <c r="I49" s="12"/>
    </row>
    <row r="50" spans="1:9" ht="12.75">
      <c r="A50" s="10"/>
      <c r="B50" s="13" t="s">
        <v>81</v>
      </c>
      <c r="C50" s="13">
        <f>'Input Data'!C13</f>
        <v>0.5</v>
      </c>
      <c r="D50" s="12"/>
      <c r="F50" s="10"/>
      <c r="G50" s="13" t="s">
        <v>78</v>
      </c>
      <c r="H50" s="40">
        <f>'Input Data'!G37</f>
        <v>0.32</v>
      </c>
      <c r="I50" s="12"/>
    </row>
    <row r="51" spans="1:9" ht="12.75">
      <c r="A51" s="10"/>
      <c r="B51" s="13" t="s">
        <v>75</v>
      </c>
      <c r="C51" s="94">
        <f>'Input Data'!K37*'Input Data'!G37/100</f>
        <v>2.1984</v>
      </c>
      <c r="D51" s="12"/>
      <c r="F51" s="10"/>
      <c r="G51" s="13" t="s">
        <v>31</v>
      </c>
      <c r="H51" s="25">
        <f>'Input Data'!K37</f>
        <v>687</v>
      </c>
      <c r="I51" s="12"/>
    </row>
    <row r="52" spans="1:9" ht="12.75">
      <c r="A52" s="10"/>
      <c r="B52" s="13" t="s">
        <v>26</v>
      </c>
      <c r="C52" s="93">
        <f>C51*C50</f>
        <v>1.0992</v>
      </c>
      <c r="D52" s="12"/>
      <c r="F52" s="10"/>
      <c r="G52" s="13" t="s">
        <v>32</v>
      </c>
      <c r="H52" s="25">
        <f>H50*H51</f>
        <v>219.84</v>
      </c>
      <c r="I52" s="12"/>
    </row>
    <row r="53" spans="1:9" ht="12.75">
      <c r="A53" s="10"/>
      <c r="B53" s="13" t="s">
        <v>24</v>
      </c>
      <c r="C53" s="14">
        <f>C47</f>
        <v>121.18</v>
      </c>
      <c r="D53" s="12"/>
      <c r="F53" s="10"/>
      <c r="G53" s="13" t="s">
        <v>33</v>
      </c>
      <c r="H53" s="14">
        <f>H47</f>
        <v>12.94</v>
      </c>
      <c r="I53" s="12"/>
    </row>
    <row r="54" spans="1:9" ht="12.75">
      <c r="A54" s="10"/>
      <c r="B54" s="13" t="s">
        <v>25</v>
      </c>
      <c r="C54" s="11">
        <f>C53*C52</f>
        <v>133.201056</v>
      </c>
      <c r="D54" s="12"/>
      <c r="F54" s="10"/>
      <c r="G54" s="13" t="s">
        <v>34</v>
      </c>
      <c r="H54" s="11">
        <f>H52*H53</f>
        <v>2844.7296</v>
      </c>
      <c r="I54" s="12"/>
    </row>
    <row r="55" spans="1:9" ht="13.5" thickBot="1">
      <c r="A55" s="10"/>
      <c r="B55" s="13"/>
      <c r="C55" s="13"/>
      <c r="D55" s="12"/>
      <c r="F55" s="10"/>
      <c r="G55" s="13"/>
      <c r="H55" s="13"/>
      <c r="I55" s="12"/>
    </row>
    <row r="56" spans="1:9" ht="13.5" thickBot="1">
      <c r="A56" s="10"/>
      <c r="B56" s="22" t="s">
        <v>7</v>
      </c>
      <c r="C56" s="36">
        <f>C48-C54</f>
        <v>805.0338822</v>
      </c>
      <c r="D56" s="12"/>
      <c r="F56" s="10"/>
      <c r="G56" s="22" t="s">
        <v>7</v>
      </c>
      <c r="H56" s="36">
        <f>H48-H54</f>
        <v>1511.2625999999996</v>
      </c>
      <c r="I56" s="12"/>
    </row>
    <row r="57" spans="1:9" ht="13.5" thickBot="1">
      <c r="A57" s="15"/>
      <c r="B57" s="17"/>
      <c r="C57" s="17"/>
      <c r="D57" s="16"/>
      <c r="F57" s="15"/>
      <c r="G57" s="17"/>
      <c r="H57" s="17"/>
      <c r="I57" s="16"/>
    </row>
    <row r="58" ht="13.5" thickTop="1"/>
  </sheetData>
  <mergeCells count="4">
    <mergeCell ref="C22:H22"/>
    <mergeCell ref="C2:H2"/>
    <mergeCell ref="G43:H43"/>
    <mergeCell ref="B43:C43"/>
  </mergeCells>
  <printOptions/>
  <pageMargins left="0.75" right="0.75" top="1" bottom="1" header="0.5" footer="0.5"/>
  <pageSetup fitToHeight="1" fitToWidth="1" horizontalDpi="600" verticalDpi="600" orientation="landscape" scale="62" r:id="rId1"/>
  <headerFooter alignWithMargins="0">
    <oddHeader>&amp;R&amp;"Arial,Bold"&amp;12Appendix A</oddHeader>
    <oddFooter>&amp;RPage &amp;P
&amp;F
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 topLeftCell="C23">
      <selection activeCell="H53" sqref="H53"/>
    </sheetView>
  </sheetViews>
  <sheetFormatPr defaultColWidth="9.140625" defaultRowHeight="12.75"/>
  <cols>
    <col min="2" max="2" width="39.421875" style="0" bestFit="1" customWidth="1"/>
    <col min="3" max="3" width="11.140625" style="0" bestFit="1" customWidth="1"/>
    <col min="4" max="4" width="15.28125" style="0" customWidth="1"/>
    <col min="5" max="5" width="13.140625" style="0" bestFit="1" customWidth="1"/>
    <col min="6" max="6" width="12.8515625" style="0" bestFit="1" customWidth="1"/>
    <col min="7" max="7" width="41.7109375" style="0" bestFit="1" customWidth="1"/>
  </cols>
  <sheetData>
    <row r="1" ht="18.75" thickBot="1">
      <c r="B1" s="100">
        <f>'Summary Data'!A8</f>
        <v>37377</v>
      </c>
    </row>
    <row r="2" spans="1:9" ht="19.5" thickBot="1" thickTop="1">
      <c r="A2" s="20"/>
      <c r="B2" s="18"/>
      <c r="C2" s="122" t="str">
        <f>'January 2002'!C2</f>
        <v>Monthly Arrears: Working Capital</v>
      </c>
      <c r="D2" s="122"/>
      <c r="E2" s="122"/>
      <c r="F2" s="122"/>
      <c r="G2" s="122"/>
      <c r="H2" s="122"/>
      <c r="I2" s="9"/>
    </row>
    <row r="3" spans="1:9" ht="15.75">
      <c r="A3" s="10"/>
      <c r="B3" s="19" t="str">
        <f>'December 2001'!B3</f>
        <v>EA population</v>
      </c>
      <c r="C3" s="46"/>
      <c r="D3" s="46" t="s">
        <v>20</v>
      </c>
      <c r="E3" s="46" t="s">
        <v>0</v>
      </c>
      <c r="F3" s="46" t="s">
        <v>1</v>
      </c>
      <c r="G3" s="46" t="s">
        <v>2</v>
      </c>
      <c r="H3" s="81" t="s">
        <v>8</v>
      </c>
      <c r="I3" s="12"/>
    </row>
    <row r="4" spans="1:9" ht="12.75">
      <c r="A4" s="10"/>
      <c r="B4" s="13" t="s">
        <v>3</v>
      </c>
      <c r="C4" s="38"/>
      <c r="D4" s="38">
        <f>'Input Data'!K38*'Input Data'!F38*'Input Data'!B38</f>
        <v>73668.1</v>
      </c>
      <c r="E4" s="38">
        <f>$D$4*'Input Data'!B4</f>
        <v>18417.025</v>
      </c>
      <c r="F4" s="38">
        <f>$D$4*'Input Data'!C4</f>
        <v>14733.620000000003</v>
      </c>
      <c r="G4" s="38">
        <f>$D$4*'Input Data'!D4</f>
        <v>40517.45500000001</v>
      </c>
      <c r="H4" s="82"/>
      <c r="I4" s="12"/>
    </row>
    <row r="5" spans="1:9" ht="12.75">
      <c r="A5" s="10"/>
      <c r="B5" s="13" t="s">
        <v>10</v>
      </c>
      <c r="C5" s="38"/>
      <c r="D5" s="38"/>
      <c r="E5" s="38">
        <f>E4*E24</f>
        <v>17496.17375</v>
      </c>
      <c r="F5" s="38">
        <f>F4*F24</f>
        <v>13260.258000000003</v>
      </c>
      <c r="G5" s="38">
        <f>G4*G24</f>
        <v>34439.83675000001</v>
      </c>
      <c r="H5" s="82"/>
      <c r="I5" s="12"/>
    </row>
    <row r="6" spans="1:9" ht="12.75">
      <c r="A6" s="10"/>
      <c r="B6" s="13" t="s">
        <v>5</v>
      </c>
      <c r="C6" s="92"/>
      <c r="D6" s="92"/>
      <c r="E6" s="92">
        <f>E5/1000</f>
        <v>17.49617375</v>
      </c>
      <c r="F6" s="92">
        <f>F5/1000</f>
        <v>13.260258000000004</v>
      </c>
      <c r="G6" s="92">
        <f>G5/1000</f>
        <v>34.43983675000001</v>
      </c>
      <c r="H6" s="82"/>
      <c r="I6" s="12"/>
    </row>
    <row r="7" spans="1:9" ht="12.75">
      <c r="A7" s="10"/>
      <c r="B7" s="13" t="s">
        <v>4</v>
      </c>
      <c r="C7" s="83"/>
      <c r="D7" s="83"/>
      <c r="E7" s="83">
        <f>'December 2001'!E7</f>
        <v>6.18</v>
      </c>
      <c r="F7" s="83">
        <f>'December 2001'!F7</f>
        <v>9.28</v>
      </c>
      <c r="G7" s="83">
        <f>'December 2001'!G7</f>
        <v>32.87</v>
      </c>
      <c r="H7" s="82"/>
      <c r="I7" s="12"/>
    </row>
    <row r="8" spans="1:9" ht="12.75">
      <c r="A8" s="10"/>
      <c r="B8" s="21" t="s">
        <v>6</v>
      </c>
      <c r="C8" s="84"/>
      <c r="D8" s="84"/>
      <c r="E8" s="84">
        <f>E6*E7</f>
        <v>108.126353775</v>
      </c>
      <c r="F8" s="84">
        <f>F6*F7</f>
        <v>123.05519424000003</v>
      </c>
      <c r="G8" s="84">
        <f>G6*G7</f>
        <v>1132.0374339725004</v>
      </c>
      <c r="H8" s="85">
        <f>SUM(C8:G8)</f>
        <v>1363.2189819875005</v>
      </c>
      <c r="I8" s="12"/>
    </row>
    <row r="9" spans="1:9" ht="12.75">
      <c r="A9" s="10"/>
      <c r="B9" s="13"/>
      <c r="C9" s="46"/>
      <c r="D9" s="46"/>
      <c r="E9" s="46"/>
      <c r="F9" s="46"/>
      <c r="G9" s="46"/>
      <c r="H9" s="82"/>
      <c r="I9" s="12"/>
    </row>
    <row r="10" spans="1:9" ht="12.75">
      <c r="A10" s="10"/>
      <c r="B10" s="13"/>
      <c r="C10" s="46"/>
      <c r="D10" s="46"/>
      <c r="E10" s="46"/>
      <c r="F10" s="46"/>
      <c r="G10" s="46"/>
      <c r="H10" s="82"/>
      <c r="I10" s="12"/>
    </row>
    <row r="11" spans="1:9" ht="15.75">
      <c r="A11" s="10"/>
      <c r="B11" s="19" t="str">
        <f>'December 2001'!B11</f>
        <v>ELIP population</v>
      </c>
      <c r="C11" s="46"/>
      <c r="D11" s="46" t="str">
        <f>D3</f>
        <v>Total Arrears ($s)</v>
      </c>
      <c r="E11" s="46" t="str">
        <f>E3</f>
        <v>30-day Arrears</v>
      </c>
      <c r="F11" s="46" t="str">
        <f>F3</f>
        <v>60-day arrears</v>
      </c>
      <c r="G11" s="46" t="str">
        <f>G3</f>
        <v>90-day arrears</v>
      </c>
      <c r="H11" s="82"/>
      <c r="I11" s="12"/>
    </row>
    <row r="12" spans="1:9" ht="12.75">
      <c r="A12" s="10"/>
      <c r="B12" s="13" t="str">
        <f>B4</f>
        <v>Dollars</v>
      </c>
      <c r="C12" s="38"/>
      <c r="D12" s="38">
        <f>'Input Data'!K38*'Input Data'!G38*'Input Data'!C38</f>
        <v>27371.36</v>
      </c>
      <c r="E12" s="38">
        <f>$D$12*'Input Data'!B4</f>
        <v>6842.84</v>
      </c>
      <c r="F12" s="38">
        <f>$D$12*'Input Data'!C4</f>
        <v>5474.272000000001</v>
      </c>
      <c r="G12" s="38">
        <f>$D$12*'Input Data'!D4</f>
        <v>15054.248000000001</v>
      </c>
      <c r="H12" s="82"/>
      <c r="I12" s="12"/>
    </row>
    <row r="13" spans="1:9" ht="12.75">
      <c r="A13" s="10"/>
      <c r="B13" s="13" t="str">
        <f>B5</f>
        <v>Dollars adjusted for charge-offs</v>
      </c>
      <c r="C13" s="38"/>
      <c r="D13" s="38"/>
      <c r="E13" s="38">
        <f>E12*E24</f>
        <v>6500.697999999999</v>
      </c>
      <c r="F13" s="38">
        <f>F12*F24</f>
        <v>4926.844800000001</v>
      </c>
      <c r="G13" s="38">
        <f>G12*G24</f>
        <v>12796.1108</v>
      </c>
      <c r="H13" s="82"/>
      <c r="I13" s="12"/>
    </row>
    <row r="14" spans="1:9" ht="12.75">
      <c r="A14" s="10"/>
      <c r="B14" s="13" t="str">
        <f>B6</f>
        <v>$1,000 increments</v>
      </c>
      <c r="C14" s="92"/>
      <c r="D14" s="92"/>
      <c r="E14" s="92">
        <f>E13/1000</f>
        <v>6.500697999999999</v>
      </c>
      <c r="F14" s="92">
        <f>F13/1000</f>
        <v>4.9268448000000005</v>
      </c>
      <c r="G14" s="92">
        <f>G13/1000</f>
        <v>12.796110800000001</v>
      </c>
      <c r="H14" s="82"/>
      <c r="I14" s="12"/>
    </row>
    <row r="15" spans="1:9" ht="12.75">
      <c r="A15" s="10"/>
      <c r="B15" s="13" t="str">
        <f>B7</f>
        <v>Working capital per $1,000</v>
      </c>
      <c r="C15" s="83"/>
      <c r="D15" s="83"/>
      <c r="E15" s="83">
        <f>E7</f>
        <v>6.18</v>
      </c>
      <c r="F15" s="83">
        <f>F7</f>
        <v>9.28</v>
      </c>
      <c r="G15" s="83">
        <f>G7</f>
        <v>32.87</v>
      </c>
      <c r="H15" s="82"/>
      <c r="I15" s="12"/>
    </row>
    <row r="16" spans="1:9" ht="12.75">
      <c r="A16" s="10"/>
      <c r="B16" s="21" t="str">
        <f>B8</f>
        <v>Total working capital expense</v>
      </c>
      <c r="C16" s="84"/>
      <c r="D16" s="84"/>
      <c r="E16" s="84">
        <f>E14*E15</f>
        <v>40.174313639999994</v>
      </c>
      <c r="F16" s="84">
        <f>F14*F15</f>
        <v>45.721119744</v>
      </c>
      <c r="G16" s="84">
        <f>G14*G15</f>
        <v>420.608161996</v>
      </c>
      <c r="H16" s="85">
        <f>SUM(C16:G16)</f>
        <v>506.50359538</v>
      </c>
      <c r="I16" s="12"/>
    </row>
    <row r="17" spans="1:9" ht="13.5" thickBot="1">
      <c r="A17" s="10"/>
      <c r="B17" s="13"/>
      <c r="C17" s="46"/>
      <c r="D17" s="46"/>
      <c r="E17" s="46"/>
      <c r="F17" s="46"/>
      <c r="G17" s="46"/>
      <c r="H17" s="82"/>
      <c r="I17" s="12"/>
    </row>
    <row r="18" spans="1:9" ht="13.5" thickBot="1">
      <c r="A18" s="10"/>
      <c r="B18" s="22" t="s">
        <v>7</v>
      </c>
      <c r="C18" s="86"/>
      <c r="D18" s="86"/>
      <c r="E18" s="86">
        <f>E8-E16</f>
        <v>67.952040135</v>
      </c>
      <c r="F18" s="86">
        <f>F8-F16</f>
        <v>77.33407449600003</v>
      </c>
      <c r="G18" s="86">
        <f>G8-G16</f>
        <v>711.4292719765003</v>
      </c>
      <c r="H18" s="87">
        <f>SUM(C18:G18)</f>
        <v>856.7153866075004</v>
      </c>
      <c r="I18" s="12"/>
    </row>
    <row r="19" spans="1:9" ht="13.5" thickBot="1">
      <c r="A19" s="15"/>
      <c r="B19" s="17"/>
      <c r="C19" s="17"/>
      <c r="D19" s="17"/>
      <c r="E19" s="17"/>
      <c r="F19" s="17"/>
      <c r="G19" s="17"/>
      <c r="H19" s="17"/>
      <c r="I19" s="16"/>
    </row>
    <row r="20" ht="13.5" thickTop="1"/>
    <row r="21" ht="13.5" thickBot="1"/>
    <row r="22" spans="1:9" ht="18" thickBot="1" thickTop="1">
      <c r="A22" s="20"/>
      <c r="B22" s="8"/>
      <c r="C22" s="122" t="s">
        <v>52</v>
      </c>
      <c r="D22" s="122"/>
      <c r="E22" s="122"/>
      <c r="F22" s="122"/>
      <c r="G22" s="122"/>
      <c r="H22" s="122"/>
      <c r="I22" s="9"/>
    </row>
    <row r="23" spans="1:9" ht="15.75">
      <c r="A23" s="10"/>
      <c r="B23" s="19" t="str">
        <f aca="true" t="shared" si="0" ref="B23:H23">B3</f>
        <v>EA population</v>
      </c>
      <c r="C23" s="13"/>
      <c r="D23" s="46" t="s">
        <v>53</v>
      </c>
      <c r="E23" s="46" t="str">
        <f t="shared" si="0"/>
        <v>30-day Arrears</v>
      </c>
      <c r="F23" s="46" t="str">
        <f t="shared" si="0"/>
        <v>60-day arrears</v>
      </c>
      <c r="G23" s="46" t="str">
        <f t="shared" si="0"/>
        <v>90-day arrears</v>
      </c>
      <c r="H23" s="81" t="str">
        <f t="shared" si="0"/>
        <v>Total</v>
      </c>
      <c r="I23" s="12"/>
    </row>
    <row r="24" spans="1:9" ht="12.75">
      <c r="A24" s="10"/>
      <c r="B24" s="13" t="s">
        <v>11</v>
      </c>
      <c r="C24" s="26"/>
      <c r="D24" s="88"/>
      <c r="E24" s="88">
        <v>0.95</v>
      </c>
      <c r="F24" s="88">
        <v>0.9</v>
      </c>
      <c r="G24" s="88">
        <v>0.85</v>
      </c>
      <c r="H24" s="82"/>
      <c r="I24" s="12"/>
    </row>
    <row r="25" spans="1:9" ht="12.75">
      <c r="A25" s="10"/>
      <c r="B25" s="13" t="s">
        <v>12</v>
      </c>
      <c r="C25" s="26"/>
      <c r="D25" s="88"/>
      <c r="E25" s="88">
        <f>1-E24</f>
        <v>0.050000000000000044</v>
      </c>
      <c r="F25" s="88">
        <f>(1-F24)-E25</f>
        <v>0.04999999999999993</v>
      </c>
      <c r="G25" s="88">
        <f>(1-G24)-(E25+F25)</f>
        <v>0.050000000000000044</v>
      </c>
      <c r="H25" s="82"/>
      <c r="I25" s="12"/>
    </row>
    <row r="26" spans="1:9" ht="12.75">
      <c r="A26" s="10"/>
      <c r="B26" s="13" t="s">
        <v>13</v>
      </c>
      <c r="C26" s="27"/>
      <c r="D26" s="38">
        <f>SUM(E26:G26)</f>
        <v>3683.4050000000025</v>
      </c>
      <c r="E26" s="38">
        <f>E25*E4</f>
        <v>920.8512500000008</v>
      </c>
      <c r="F26" s="38">
        <f>F25*F4</f>
        <v>736.6809999999991</v>
      </c>
      <c r="G26" s="38">
        <f>G25*G4</f>
        <v>2025.8727500000023</v>
      </c>
      <c r="H26" s="82"/>
      <c r="I26" s="12"/>
    </row>
    <row r="27" spans="1:9" ht="12.75">
      <c r="A27" s="10"/>
      <c r="B27" s="13" t="s">
        <v>5</v>
      </c>
      <c r="C27" s="25"/>
      <c r="D27" s="92"/>
      <c r="E27" s="92">
        <f>E26/1000</f>
        <v>0.9208512500000009</v>
      </c>
      <c r="F27" s="92">
        <f>F26/1000</f>
        <v>0.7366809999999991</v>
      </c>
      <c r="G27" s="92">
        <f>G26/1000</f>
        <v>2.025872750000002</v>
      </c>
      <c r="H27" s="82"/>
      <c r="I27" s="12"/>
    </row>
    <row r="28" spans="1:9" ht="12.75">
      <c r="A28" s="10"/>
      <c r="B28" s="13" t="s">
        <v>4</v>
      </c>
      <c r="C28" s="14"/>
      <c r="D28" s="83"/>
      <c r="E28" s="83">
        <f>'December 2001'!E28</f>
        <v>45.67868031566741</v>
      </c>
      <c r="F28" s="83">
        <f>'December 2001'!F28</f>
        <v>36.059797012539775</v>
      </c>
      <c r="G28" s="83">
        <f>'December 2001'!G28</f>
        <v>3.0851720988794114</v>
      </c>
      <c r="H28" s="82"/>
      <c r="I28" s="12"/>
    </row>
    <row r="29" spans="1:9" ht="12.75">
      <c r="A29" s="10"/>
      <c r="B29" s="21" t="s">
        <v>6</v>
      </c>
      <c r="C29" s="28"/>
      <c r="D29" s="89"/>
      <c r="E29" s="89">
        <f>E27*E28</f>
        <v>42.063269867032766</v>
      </c>
      <c r="F29" s="89">
        <f>F27*F28</f>
        <v>26.564567322994783</v>
      </c>
      <c r="G29" s="89">
        <f>G27*G28</f>
        <v>6.250166084180112</v>
      </c>
      <c r="H29" s="90">
        <f>SUM(C29:G29)</f>
        <v>74.87800327420766</v>
      </c>
      <c r="I29" s="12"/>
    </row>
    <row r="30" spans="1:9" ht="12.75">
      <c r="A30" s="10"/>
      <c r="B30" s="13"/>
      <c r="C30" s="13"/>
      <c r="D30" s="46"/>
      <c r="E30" s="46"/>
      <c r="F30" s="46"/>
      <c r="G30" s="46"/>
      <c r="H30" s="82"/>
      <c r="I30" s="12"/>
    </row>
    <row r="31" spans="1:9" ht="12.75">
      <c r="A31" s="10"/>
      <c r="B31" s="13"/>
      <c r="C31" s="13"/>
      <c r="D31" s="46"/>
      <c r="E31" s="46"/>
      <c r="F31" s="46"/>
      <c r="G31" s="46"/>
      <c r="H31" s="82"/>
      <c r="I31" s="12"/>
    </row>
    <row r="32" spans="1:9" ht="15.75">
      <c r="A32" s="10"/>
      <c r="B32" s="19" t="str">
        <f aca="true" t="shared" si="1" ref="B32:G32">B11</f>
        <v>ELIP population</v>
      </c>
      <c r="C32" s="13"/>
      <c r="D32" s="46" t="s">
        <v>53</v>
      </c>
      <c r="E32" s="46" t="str">
        <f t="shared" si="1"/>
        <v>30-day Arrears</v>
      </c>
      <c r="F32" s="46" t="str">
        <f t="shared" si="1"/>
        <v>60-day arrears</v>
      </c>
      <c r="G32" s="46" t="str">
        <f t="shared" si="1"/>
        <v>90-day arrears</v>
      </c>
      <c r="H32" s="82"/>
      <c r="I32" s="12"/>
    </row>
    <row r="33" spans="1:9" ht="12.75">
      <c r="A33" s="10"/>
      <c r="B33" s="13" t="str">
        <f aca="true" t="shared" si="2" ref="B33:B38">B24</f>
        <v>Collectability factor</v>
      </c>
      <c r="C33" s="26"/>
      <c r="D33" s="88"/>
      <c r="E33" s="88">
        <f>E24</f>
        <v>0.95</v>
      </c>
      <c r="F33" s="88">
        <f>F24</f>
        <v>0.9</v>
      </c>
      <c r="G33" s="88">
        <f>G24</f>
        <v>0.85</v>
      </c>
      <c r="H33" s="82"/>
      <c r="I33" s="12"/>
    </row>
    <row r="34" spans="1:9" ht="12.75">
      <c r="A34" s="10"/>
      <c r="B34" s="13" t="str">
        <f t="shared" si="2"/>
        <v>Uncollectable rate</v>
      </c>
      <c r="C34" s="26"/>
      <c r="D34" s="88"/>
      <c r="E34" s="88">
        <f>1-E33</f>
        <v>0.050000000000000044</v>
      </c>
      <c r="F34" s="88">
        <f>(1-F33)-E34</f>
        <v>0.04999999999999993</v>
      </c>
      <c r="G34" s="88">
        <f>(1-G33)-(E34+F34)</f>
        <v>0.050000000000000044</v>
      </c>
      <c r="H34" s="82"/>
      <c r="I34" s="12"/>
    </row>
    <row r="35" spans="1:9" ht="12.75">
      <c r="A35" s="10"/>
      <c r="B35" s="13" t="str">
        <f t="shared" si="2"/>
        <v>Uncollectable dollars</v>
      </c>
      <c r="C35" s="27"/>
      <c r="D35" s="38">
        <f>SUM(E35:G35)</f>
        <v>1368.5680000000007</v>
      </c>
      <c r="E35" s="38">
        <f>E34*E12</f>
        <v>342.14200000000034</v>
      </c>
      <c r="F35" s="38">
        <f>F34*F12</f>
        <v>273.7135999999997</v>
      </c>
      <c r="G35" s="38">
        <f>G34*G12</f>
        <v>752.7124000000007</v>
      </c>
      <c r="H35" s="82"/>
      <c r="I35" s="12"/>
    </row>
    <row r="36" spans="1:9" ht="12.75">
      <c r="A36" s="10"/>
      <c r="B36" s="13" t="str">
        <f t="shared" si="2"/>
        <v>$1,000 increments</v>
      </c>
      <c r="C36" s="25"/>
      <c r="D36" s="92"/>
      <c r="E36" s="92">
        <f>E35/1000</f>
        <v>0.34214200000000033</v>
      </c>
      <c r="F36" s="92">
        <f>F35/1000</f>
        <v>0.2737135999999997</v>
      </c>
      <c r="G36" s="92">
        <f>G35/1000</f>
        <v>0.7527124000000007</v>
      </c>
      <c r="H36" s="82"/>
      <c r="I36" s="12"/>
    </row>
    <row r="37" spans="1:9" ht="12.75">
      <c r="A37" s="10"/>
      <c r="B37" s="13" t="str">
        <f t="shared" si="2"/>
        <v>Working capital per $1,000</v>
      </c>
      <c r="C37" s="14"/>
      <c r="D37" s="83"/>
      <c r="E37" s="83">
        <f>E28</f>
        <v>45.67868031566741</v>
      </c>
      <c r="F37" s="83">
        <f>F28</f>
        <v>36.059797012539775</v>
      </c>
      <c r="G37" s="83">
        <f>G28</f>
        <v>3.0851720988794114</v>
      </c>
      <c r="H37" s="82"/>
      <c r="I37" s="12"/>
    </row>
    <row r="38" spans="1:9" ht="12.75">
      <c r="A38" s="10"/>
      <c r="B38" s="21" t="str">
        <f t="shared" si="2"/>
        <v>Total working capital expense</v>
      </c>
      <c r="C38" s="28"/>
      <c r="D38" s="89"/>
      <c r="E38" s="89">
        <f>E36*E37</f>
        <v>15.628595040563093</v>
      </c>
      <c r="F38" s="89">
        <f>F36*F37</f>
        <v>9.870056855571496</v>
      </c>
      <c r="G38" s="89">
        <f>G36*G37</f>
        <v>2.3222472949605613</v>
      </c>
      <c r="H38" s="90">
        <f>SUM(C38:G38)</f>
        <v>27.82089919109515</v>
      </c>
      <c r="I38" s="12"/>
    </row>
    <row r="39" spans="1:9" ht="13.5" thickBot="1">
      <c r="A39" s="10"/>
      <c r="B39" s="13"/>
      <c r="C39" s="13"/>
      <c r="D39" s="46"/>
      <c r="E39" s="46"/>
      <c r="F39" s="46"/>
      <c r="G39" s="46"/>
      <c r="H39" s="82"/>
      <c r="I39" s="12"/>
    </row>
    <row r="40" spans="1:9" ht="13.5" thickBot="1">
      <c r="A40" s="10"/>
      <c r="B40" s="22" t="s">
        <v>7</v>
      </c>
      <c r="C40" s="23"/>
      <c r="D40" s="86">
        <f>D26-D35</f>
        <v>2314.837000000002</v>
      </c>
      <c r="E40" s="86">
        <f>E29-E38</f>
        <v>26.434674826469674</v>
      </c>
      <c r="F40" s="86">
        <f>F29-F38</f>
        <v>16.694510467423285</v>
      </c>
      <c r="G40" s="86">
        <f>G29-G38</f>
        <v>3.9279187892195506</v>
      </c>
      <c r="H40" s="91">
        <f>SUM(E40:G40)</f>
        <v>47.05710408311251</v>
      </c>
      <c r="I40" s="12"/>
    </row>
    <row r="41" spans="1:9" ht="13.5" thickBot="1">
      <c r="A41" s="15"/>
      <c r="B41" s="17"/>
      <c r="C41" s="17"/>
      <c r="D41" s="17"/>
      <c r="E41" s="17"/>
      <c r="F41" s="17"/>
      <c r="G41" s="17"/>
      <c r="H41" s="17"/>
      <c r="I41" s="16"/>
    </row>
    <row r="42" ht="14.25" thickBot="1" thickTop="1"/>
    <row r="43" spans="1:9" ht="13.5" thickTop="1">
      <c r="A43" s="20"/>
      <c r="B43" s="123" t="str">
        <f>'January 2002'!B43</f>
        <v>Disconnection Savings</v>
      </c>
      <c r="C43" s="123"/>
      <c r="D43" s="9"/>
      <c r="F43" s="20"/>
      <c r="G43" s="123" t="str">
        <f>'January 2002'!G43</f>
        <v>Collection Savings</v>
      </c>
      <c r="H43" s="123"/>
      <c r="I43" s="9"/>
    </row>
    <row r="44" spans="1:9" ht="12.75">
      <c r="A44" s="10"/>
      <c r="B44" s="13" t="s">
        <v>80</v>
      </c>
      <c r="C44" s="13">
        <f>'Input Data'!B14</f>
        <v>1.8</v>
      </c>
      <c r="D44" s="12"/>
      <c r="F44" s="10"/>
      <c r="G44" s="13" t="s">
        <v>77</v>
      </c>
      <c r="H44" s="40">
        <f>'Input Data'!F38</f>
        <v>0.55</v>
      </c>
      <c r="I44" s="12"/>
    </row>
    <row r="45" spans="1:9" ht="12.75">
      <c r="A45" s="10"/>
      <c r="B45" s="13" t="s">
        <v>75</v>
      </c>
      <c r="C45" s="94">
        <f>'Input Data'!K38*'Input Data'!F38/100</f>
        <v>3.8170000000000006</v>
      </c>
      <c r="D45" s="12"/>
      <c r="F45" s="10"/>
      <c r="G45" s="13" t="s">
        <v>31</v>
      </c>
      <c r="H45" s="25">
        <f>H51</f>
        <v>694</v>
      </c>
      <c r="I45" s="12"/>
    </row>
    <row r="46" spans="1:9" ht="12.75">
      <c r="A46" s="10"/>
      <c r="B46" s="13" t="s">
        <v>26</v>
      </c>
      <c r="C46" s="93">
        <f>C45*C44</f>
        <v>6.870600000000001</v>
      </c>
      <c r="D46" s="12"/>
      <c r="F46" s="10"/>
      <c r="G46" s="13" t="s">
        <v>32</v>
      </c>
      <c r="H46" s="25">
        <f>H44*H45</f>
        <v>381.70000000000005</v>
      </c>
      <c r="I46" s="12"/>
    </row>
    <row r="47" spans="1:9" ht="12.75">
      <c r="A47" s="10"/>
      <c r="B47" s="13" t="s">
        <v>24</v>
      </c>
      <c r="C47" s="14">
        <f>'January 2002'!C47</f>
        <v>121.18</v>
      </c>
      <c r="D47" s="12"/>
      <c r="F47" s="10"/>
      <c r="G47" s="13" t="s">
        <v>33</v>
      </c>
      <c r="H47" s="14">
        <f>'December 2001'!H47</f>
        <v>12.94</v>
      </c>
      <c r="I47" s="12"/>
    </row>
    <row r="48" spans="1:9" ht="12.75">
      <c r="A48" s="10"/>
      <c r="B48" s="13" t="s">
        <v>25</v>
      </c>
      <c r="C48" s="11">
        <f>C47*C46</f>
        <v>832.5793080000002</v>
      </c>
      <c r="D48" s="12"/>
      <c r="F48" s="10"/>
      <c r="G48" s="13" t="s">
        <v>34</v>
      </c>
      <c r="H48" s="11">
        <f>H46*H47</f>
        <v>4939.198</v>
      </c>
      <c r="I48" s="12"/>
    </row>
    <row r="49" spans="1:9" ht="12.75">
      <c r="A49" s="10"/>
      <c r="B49" s="13"/>
      <c r="C49" s="13"/>
      <c r="D49" s="12"/>
      <c r="F49" s="10"/>
      <c r="G49" s="13"/>
      <c r="H49" s="13"/>
      <c r="I49" s="12"/>
    </row>
    <row r="50" spans="1:9" ht="12.75">
      <c r="A50" s="10"/>
      <c r="B50" s="13" t="s">
        <v>81</v>
      </c>
      <c r="C50" s="13">
        <f>'Input Data'!C14</f>
        <v>0.6</v>
      </c>
      <c r="D50" s="12"/>
      <c r="F50" s="10"/>
      <c r="G50" s="13" t="s">
        <v>78</v>
      </c>
      <c r="H50" s="40">
        <f>'Input Data'!G38</f>
        <v>0.29</v>
      </c>
      <c r="I50" s="12"/>
    </row>
    <row r="51" spans="1:9" ht="12.75">
      <c r="A51" s="10"/>
      <c r="B51" s="13" t="s">
        <v>75</v>
      </c>
      <c r="C51" s="94">
        <f>'Input Data'!K38*'Input Data'!G38/100</f>
        <v>2.0126</v>
      </c>
      <c r="D51" s="12"/>
      <c r="F51" s="10"/>
      <c r="G51" s="13" t="s">
        <v>31</v>
      </c>
      <c r="H51" s="25">
        <f>'Input Data'!K38</f>
        <v>694</v>
      </c>
      <c r="I51" s="12"/>
    </row>
    <row r="52" spans="1:9" ht="12.75">
      <c r="A52" s="10"/>
      <c r="B52" s="13" t="s">
        <v>26</v>
      </c>
      <c r="C52" s="93">
        <f>C51*C50</f>
        <v>1.20756</v>
      </c>
      <c r="D52" s="12"/>
      <c r="F52" s="10"/>
      <c r="G52" s="13" t="s">
        <v>32</v>
      </c>
      <c r="H52" s="25">
        <f>H50*H51</f>
        <v>201.26</v>
      </c>
      <c r="I52" s="12"/>
    </row>
    <row r="53" spans="1:9" ht="12.75">
      <c r="A53" s="10"/>
      <c r="B53" s="13" t="s">
        <v>24</v>
      </c>
      <c r="C53" s="14">
        <f>C47</f>
        <v>121.18</v>
      </c>
      <c r="D53" s="12"/>
      <c r="F53" s="10"/>
      <c r="G53" s="13" t="s">
        <v>33</v>
      </c>
      <c r="H53" s="14">
        <f>H47</f>
        <v>12.94</v>
      </c>
      <c r="I53" s="12"/>
    </row>
    <row r="54" spans="1:9" ht="12.75">
      <c r="A54" s="10"/>
      <c r="B54" s="13" t="s">
        <v>25</v>
      </c>
      <c r="C54" s="11">
        <f>C53*C52</f>
        <v>146.3321208</v>
      </c>
      <c r="D54" s="12"/>
      <c r="F54" s="10"/>
      <c r="G54" s="13" t="s">
        <v>34</v>
      </c>
      <c r="H54" s="11">
        <f>H52*H53</f>
        <v>2604.3044</v>
      </c>
      <c r="I54" s="12"/>
    </row>
    <row r="55" spans="1:9" ht="13.5" thickBot="1">
      <c r="A55" s="10"/>
      <c r="B55" s="13"/>
      <c r="C55" s="13"/>
      <c r="D55" s="12"/>
      <c r="F55" s="10"/>
      <c r="G55" s="13"/>
      <c r="H55" s="13"/>
      <c r="I55" s="12"/>
    </row>
    <row r="56" spans="1:9" ht="13.5" thickBot="1">
      <c r="A56" s="10"/>
      <c r="B56" s="22" t="s">
        <v>7</v>
      </c>
      <c r="C56" s="36">
        <f>C48-C54</f>
        <v>686.2471872000002</v>
      </c>
      <c r="D56" s="12"/>
      <c r="F56" s="10"/>
      <c r="G56" s="22" t="s">
        <v>7</v>
      </c>
      <c r="H56" s="36">
        <f>H48-H54</f>
        <v>2334.8936000000003</v>
      </c>
      <c r="I56" s="12"/>
    </row>
    <row r="57" spans="1:9" ht="13.5" thickBot="1">
      <c r="A57" s="15"/>
      <c r="B57" s="17"/>
      <c r="C57" s="17"/>
      <c r="D57" s="16"/>
      <c r="F57" s="15"/>
      <c r="G57" s="17"/>
      <c r="H57" s="17"/>
      <c r="I57" s="16"/>
    </row>
    <row r="58" ht="13.5" thickTop="1"/>
  </sheetData>
  <mergeCells count="4">
    <mergeCell ref="C22:H22"/>
    <mergeCell ref="C2:H2"/>
    <mergeCell ref="G43:H43"/>
    <mergeCell ref="B43:C43"/>
  </mergeCells>
  <printOptions/>
  <pageMargins left="0.75" right="0.75" top="1" bottom="1" header="0.5" footer="0.5"/>
  <pageSetup fitToHeight="1" fitToWidth="1" horizontalDpi="600" verticalDpi="600" orientation="landscape" scale="62" r:id="rId1"/>
  <headerFooter alignWithMargins="0">
    <oddHeader>&amp;R&amp;"Arial,Bold"&amp;12Appendix A</oddHeader>
    <oddFooter>&amp;RPage &amp;P
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Fisher Sheehan &amp; Colton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Colton</dc:creator>
  <cp:keywords/>
  <dc:description/>
  <cp:lastModifiedBy>Kathy Harrison</cp:lastModifiedBy>
  <cp:lastPrinted>2004-02-13T15:46:11Z</cp:lastPrinted>
  <dcterms:created xsi:type="dcterms:W3CDTF">2002-05-01T13:52:19Z</dcterms:created>
  <dcterms:modified xsi:type="dcterms:W3CDTF">2004-02-13T22:03:37Z</dcterms:modified>
  <cp:category/>
  <cp:version/>
  <cp:contentType/>
  <cp:contentStatus/>
</cp:coreProperties>
</file>