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O:\MPSC Cases\ER-2023-XXXX RESRAM Accumulation 4\"/>
    </mc:Choice>
  </mc:AlternateContent>
  <xr:revisionPtr revIDLastSave="0" documentId="13_ncr:1_{BFBEF0B3-77B5-462F-86BE-B7577F58BB82}" xr6:coauthVersionLast="47" xr6:coauthVersionMax="47" xr10:uidLastSave="{00000000-0000-0000-0000-000000000000}"/>
  <bookViews>
    <workbookView xWindow="5430" yWindow="0" windowWidth="21600" windowHeight="11295" tabRatio="888" activeTab="4" xr2:uid="{00000000-000D-0000-FFFF-FFFF00000000}"/>
  </bookViews>
  <sheets>
    <sheet name="Monthly Cost Tracker 2" sheetId="4" r:id="rId1"/>
    <sheet name="Monthly Cost Tracker 3" sheetId="63" r:id="rId2"/>
    <sheet name="Monthly Cost Tracker 4" sheetId="62" r:id="rId3"/>
    <sheet name="True-Up" sheetId="32" r:id="rId4"/>
    <sheet name="Rate Schedule" sheetId="2" r:id="rId5"/>
    <sheet name="RRR" sheetId="9" r:id="rId6"/>
    <sheet name="ER-2021-0240" sheetId="64" r:id="rId7"/>
    <sheet name="RAC" sheetId="67" r:id="rId8"/>
    <sheet name="SRP" sheetId="10" r:id="rId9"/>
    <sheet name="Jan 19 int" sheetId="12" state="hidden" r:id="rId10"/>
    <sheet name="Feb 19 int" sheetId="15" state="hidden" r:id="rId11"/>
    <sheet name="Mar 19 int" sheetId="16" state="hidden" r:id="rId12"/>
    <sheet name="Apr 19 int" sheetId="14" state="hidden" r:id="rId13"/>
    <sheet name="May 19 int" sheetId="13" state="hidden" r:id="rId14"/>
    <sheet name="June 19 int" sheetId="18" state="hidden" r:id="rId15"/>
    <sheet name="July 19 int" sheetId="17" state="hidden" r:id="rId16"/>
    <sheet name="WACC_thru Feb 27" sheetId="65" r:id="rId17"/>
    <sheet name="WACC_beg Feb 28" sheetId="66" r:id="rId18"/>
    <sheet name="Rate Base" sheetId="48" r:id="rId19"/>
    <sheet name="Aug 21 Int" sheetId="50" r:id="rId20"/>
    <sheet name="Sept 21 Int" sheetId="51" r:id="rId21"/>
    <sheet name="Oct 21 Int" sheetId="52" r:id="rId22"/>
    <sheet name="Nov 21 Int" sheetId="53" r:id="rId23"/>
    <sheet name="Dec 21 Int" sheetId="54" r:id="rId24"/>
    <sheet name="Jan 22 Int" sheetId="55" r:id="rId25"/>
    <sheet name="Feb 22 Int" sheetId="56" r:id="rId26"/>
    <sheet name="Mar 22 Int" sheetId="57" r:id="rId27"/>
    <sheet name="Apr 22 Int" sheetId="58" r:id="rId28"/>
    <sheet name="May 22 Int" sheetId="59" r:id="rId29"/>
    <sheet name="Jun 22 Int" sheetId="60" r:id="rId30"/>
    <sheet name="Jul 22 Int" sheetId="61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#N/A</definedName>
    <definedName name="\b">#N/A</definedName>
    <definedName name="\i">#N/A</definedName>
    <definedName name="\p" localSheetId="6">#REF!</definedName>
    <definedName name="\p" localSheetId="1">#REF!</definedName>
    <definedName name="\p" localSheetId="2">#REF!</definedName>
    <definedName name="\p" localSheetId="18">#REF!</definedName>
    <definedName name="\p" localSheetId="16">#REF!</definedName>
    <definedName name="\p">#REF!</definedName>
    <definedName name="\r">#N/A</definedName>
    <definedName name="\t">#N/A</definedName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10JE220_WP" localSheetId="6">#REF!</definedName>
    <definedName name="_10JE220_WP">#REF!</definedName>
    <definedName name="_11m_factor">#REF!</definedName>
    <definedName name="_11mcc">#REF!</definedName>
    <definedName name="_11mkvar">#REF!</definedName>
    <definedName name="_11mrdrb138">#REF!</definedName>
    <definedName name="_11mrdrb34">#REF!</definedName>
    <definedName name="_11mskw">#REF!</definedName>
    <definedName name="_11mskwh">#REF!</definedName>
    <definedName name="_11mtcc">#REF!</definedName>
    <definedName name="_11mtsoffpk">#REF!</definedName>
    <definedName name="_11mtspk">#REF!</definedName>
    <definedName name="_11mtwoffpk">#REF!</definedName>
    <definedName name="_11mtwpk">#REF!</definedName>
    <definedName name="_11mwkw">#REF!</definedName>
    <definedName name="_11mwkwh">#REF!</definedName>
    <definedName name="_4mcc">[5]SPS!$S$40</definedName>
    <definedName name="_4mkvar">[5]SPS!$S$50</definedName>
    <definedName name="_4mrdrb34">[5]SPS!$S$57</definedName>
    <definedName name="_4mskw">[5]SPS!$S$44</definedName>
    <definedName name="_4mskwh1">[5]SPS!$S$41</definedName>
    <definedName name="_4mskwh2">[5]SPS!$S$42</definedName>
    <definedName name="_4mskwh3">[5]SPS!$S$43</definedName>
    <definedName name="_4mtsoffpk">[5]SPS!$S$53</definedName>
    <definedName name="_4mtspk">[5]SPS!$S$52</definedName>
    <definedName name="_4mtwoffpk">[5]SPS!$S$55</definedName>
    <definedName name="_4mtwpk">[5]SPS!$S$54</definedName>
    <definedName name="_4mwkw">[5]SPS!$S$49</definedName>
    <definedName name="_4mwkwh1">[5]SPS!$S$45</definedName>
    <definedName name="_4mwkwh2">[5]SPS!$S$46</definedName>
    <definedName name="_4mwkwh3">[5]SPS!$S$47</definedName>
    <definedName name="_4mwkwhs">[5]SPS!$S$48</definedName>
    <definedName name="_AMO_UniqueIdentifier" hidden="1">"'6416d6e6-63ab-455c-ace6-43b18e7dad2f'"</definedName>
    <definedName name="_Fill" localSheetId="6" hidden="1">#REF!</definedName>
    <definedName name="_Fill" localSheetId="7" hidden="1">#REF!</definedName>
    <definedName name="_Fill" localSheetId="17" hidden="1">#REF!</definedName>
    <definedName name="_Fill" localSheetId="16" hidden="1">#REF!</definedName>
    <definedName name="_Fill" hidden="1">#REF!</definedName>
    <definedName name="_fill2" localSheetId="6" hidden="1">#REF!</definedName>
    <definedName name="_fill2" localSheetId="7" hidden="1">#REF!</definedName>
    <definedName name="_fill2" localSheetId="17" hidden="1">#REF!</definedName>
    <definedName name="_fill2" hidden="1">#REF!</definedName>
    <definedName name="_je1" localSheetId="6">#REF!</definedName>
    <definedName name="_je1">#REF!</definedName>
    <definedName name="_JE124" localSheetId="6">#REF!</definedName>
    <definedName name="_JE124">#REF!</definedName>
    <definedName name="_JE13" localSheetId="6">#REF!</definedName>
    <definedName name="_JE13">#REF!</definedName>
    <definedName name="_je14" localSheetId="6">#REF!</definedName>
    <definedName name="_je14">#REF!</definedName>
    <definedName name="_JE147" localSheetId="6">#REF!</definedName>
    <definedName name="_JE147">#REF!</definedName>
    <definedName name="_JE16" localSheetId="6">#REF!</definedName>
    <definedName name="_JE16">#REF!</definedName>
    <definedName name="_JE17" localSheetId="6">#REF!</definedName>
    <definedName name="_JE17">#REF!</definedName>
    <definedName name="_je2" localSheetId="6">'[6]JE 120 Jan-Nov Facesheet'!#REF!</definedName>
    <definedName name="_je2">'[6]JE 120 Jan-Nov Facesheet'!#REF!</definedName>
    <definedName name="_JE220" localSheetId="6">#REF!</definedName>
    <definedName name="_JE220">#REF!</definedName>
    <definedName name="_JE230" localSheetId="6">#REF!</definedName>
    <definedName name="_JE230">#REF!</definedName>
    <definedName name="_JE234" localSheetId="6">#REF!</definedName>
    <definedName name="_JE234">#REF!</definedName>
    <definedName name="_JE236" localSheetId="6">#REF!</definedName>
    <definedName name="_JE236">#REF!</definedName>
    <definedName name="_JE237" localSheetId="6">#REF!</definedName>
    <definedName name="_JE237">#REF!</definedName>
    <definedName name="_JE24" localSheetId="6">#REF!</definedName>
    <definedName name="_JE24">#REF!</definedName>
    <definedName name="_JE33" localSheetId="6">#REF!</definedName>
    <definedName name="_JE33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7">'[7]Ret Med Expense'!#REF!</definedName>
    <definedName name="_Key1" localSheetId="3" hidden="1">#REF!</definedName>
    <definedName name="_Key1" hidden="1">#REF!</definedName>
    <definedName name="_Key2" hidden="1">#REF!</definedName>
    <definedName name="_Order1" hidden="1">255</definedName>
    <definedName name="_Order2">255</definedName>
    <definedName name="_ORIG_COST_TRAN_MW_AVG_ORG_PURCH_PRICE_for_MISO_00" hidden="1">[8]pcQueryData!$A$3</definedName>
    <definedName name="_pcSlicerSheet_Slicer1" localSheetId="6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6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[9]_pcSlicerSheet4!$A$2:$A$7</definedName>
    <definedName name="_pcSlicerSheet5_Slicer1" hidden="1">[9]_pcSlicerSheet5!$A$2:$A$7</definedName>
    <definedName name="_pcSlicerSheet6_Slicer1" hidden="1">[10]_pcSlicerSheet6!$A$2:$A$23</definedName>
    <definedName name="_pcSlicerSheet7_Slicer1" hidden="1">[10]_pcSlicerSheet7!$A$2:$A$23</definedName>
    <definedName name="_pcSlicerSheet8_Slicer1" hidden="1">[11]_pcSlicerSheet8!$A$2:$A$26</definedName>
    <definedName name="_pcSlicerSheet9_Slicer1" hidden="1">[11]_pcSlicerSheet9!$A$2:$A$26</definedName>
    <definedName name="_pg1" localSheetId="6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6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q1" localSheetId="6">PAGE5</definedName>
    <definedName name="_q1">PAGE5</definedName>
    <definedName name="_REVENUE_TRAN_MW_AVG_ORG_SALES_PRICE_for_April_00" hidden="1">[2]pcQueryData!$A$6</definedName>
    <definedName name="_REVENUE_TRAN_MW_AVG_ORG_SALES_PRICE_for_MISO_00" hidden="1">[8]pcQueryData!$A$4</definedName>
    <definedName name="_SO2" localSheetId="6">#REF!</definedName>
    <definedName name="_SO2" localSheetId="7">#REF!</definedName>
    <definedName name="_SO2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7" hidden="1">#REF!</definedName>
    <definedName name="_Sort" localSheetId="3" hidden="1">#REF!</definedName>
    <definedName name="_Sort" hidden="1">#REF!</definedName>
    <definedName name="_TBL2">#REF!</definedName>
    <definedName name="_TBL3">#REF!</definedName>
    <definedName name="a" localSheetId="6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abc" localSheetId="6">#REF!</definedName>
    <definedName name="abc">#REF!</definedName>
    <definedName name="Accounts">#REF!</definedName>
    <definedName name="AddFunChar">#REF!</definedName>
    <definedName name="Address">#REF!</definedName>
    <definedName name="AdjDol">OFFSET('[12]$'!$F$3,0,0,COUNTA('[12]$'!$F$3:$F$5000),1)</definedName>
    <definedName name="AdjTons">OFFSET([12]Tons!$E$2,0,0,COUNTA([12]Tons!$E$2:$E$500),1)</definedName>
    <definedName name="amo" localSheetId="6">#REF!</definedName>
    <definedName name="amo" localSheetId="7">#REF!</definedName>
    <definedName name="amo">#REF!</definedName>
    <definedName name="Amount" localSheetId="6">#REF!</definedName>
    <definedName name="Amount">#REF!</definedName>
    <definedName name="Amounts">#REF!</definedName>
    <definedName name="ApprvDate">#REF!</definedName>
    <definedName name="ApprvEmplNbr">#REF!</definedName>
    <definedName name="AprGenDol">OFFSET([12]DlGenDol!$I$2,0,0,COUNTA([12]DlGenDol!$I$2:$I$5000),1)</definedName>
    <definedName name="AprInvDol">OFFSET([12]DlInvDol!$F$2,0,0,COUNTA([12]DlInvDol!$F$2:$F$500),1)</definedName>
    <definedName name="AprTonInv">OFFSET([12]DlTonInv!$F$2,0,0,COUNTA([12]DlTonInv!$F$2:$F$5000),1)</definedName>
    <definedName name="AprUnits">OFFSET([12]DlUnits!$J$2,0,0,COUNTA([12]DlUnits!$J$2:$J$5000),1)</definedName>
    <definedName name="AS2DocOpenMode">"AS2DocumentEdit"</definedName>
    <definedName name="AuditDescr">#REF!</definedName>
    <definedName name="AugGenDol">OFFSET([12]DlGenDol!$M$2,0,0,COUNTA([12]DlGenDol!$M$2:$M$5000),1)</definedName>
    <definedName name="AugInvDol">OFFSET([12]DlInvDol!$J$2,0,0,COUNTA([12]DlInvDol!$J$2:$J$500),1)</definedName>
    <definedName name="AugTonInv">OFFSET([12]DlTonInv!$J$2,0,0,COUNTA([12]DlTonInv!$J$2:$J$5000),1)</definedName>
    <definedName name="AugUnits">OFFSET([12]DlUnits!$N$2,0,0,COUNTA([12]DlUnits!$N$2:$N$5000),1)</definedName>
    <definedName name="Base_KWH" localSheetId="6">#REF!</definedName>
    <definedName name="Base_KWH" localSheetId="7">#REF!</definedName>
    <definedName name="Base_KWH">#REF!</definedName>
    <definedName name="BDGenDol">OFFSET([12]DlGenDol!$B$2,0,0,COUNTA([12]DlGenDol!$B$2:$B$5000),1)</definedName>
    <definedName name="BDInvDol">OFFSET([12]DlInvDol!$A$2,0,0,COUNTA([12]DlInvDol!$A$2:$A$500),1)</definedName>
    <definedName name="BDTonInv">OFFSET([12]DlTonInv!$A$2,0,0,COUNTA([12]DlTonInv!$A$2:$A$5000),1)</definedName>
    <definedName name="BDUnits">OFFSET([12]DlUnits!$B$2,0,0,COUNTA([12]DlUnits!$B$2:$B$5000),1)</definedName>
    <definedName name="begin_PBO">[13]Input!$D$68</definedName>
    <definedName name="begin_PBOSC">[13]Input!$D$69</definedName>
    <definedName name="Beginning">#REF!</definedName>
    <definedName name="booka_g" localSheetId="6">#REF!</definedName>
    <definedName name="booka_g" localSheetId="7">#REF!</definedName>
    <definedName name="booka_g">#REF!</definedName>
    <definedName name="CilDCCoalCo" localSheetId="6">#REF!</definedName>
    <definedName name="CilDCCoalCo">#REF!</definedName>
    <definedName name="CilDCCurrPrior" localSheetId="6">#REF!</definedName>
    <definedName name="CilDCCurrPrior">#REF!</definedName>
    <definedName name="CilDCFuel" localSheetId="6">#REF!</definedName>
    <definedName name="CilDCFuel">#REF!</definedName>
    <definedName name="CilDCFuelwTax" localSheetId="6">#REF!</definedName>
    <definedName name="CilDCFuelwTax">#REF!</definedName>
    <definedName name="CilDCInvoiceType" localSheetId="6">#REF!</definedName>
    <definedName name="CilDCInvoiceType">#REF!</definedName>
    <definedName name="CilDCSourceData" localSheetId="6">#REF!</definedName>
    <definedName name="CilDCSourceData">#REF!</definedName>
    <definedName name="CilDCStats" localSheetId="6">#REF!</definedName>
    <definedName name="CilDCStats">#REF!</definedName>
    <definedName name="CilDCTransp" localSheetId="6">#REF!</definedName>
    <definedName name="CilDCTransp">#REF!</definedName>
    <definedName name="CilDCUnits" localSheetId="6">#REF!</definedName>
    <definedName name="CilDCUnits">#REF!</definedName>
    <definedName name="CilDCUnitType" localSheetId="6">#REF!</definedName>
    <definedName name="CilDCUnitType">#REF!</definedName>
    <definedName name="CilEDCoalCo" localSheetId="6">#REF!</definedName>
    <definedName name="CilEDCoalCo">#REF!</definedName>
    <definedName name="CilEDCurrPrior" localSheetId="6">#REF!</definedName>
    <definedName name="CilEDCurrPrior">#REF!</definedName>
    <definedName name="CilEDFuel" localSheetId="6">#REF!</definedName>
    <definedName name="CilEDFuel">#REF!</definedName>
    <definedName name="CilEDFuelwTax" localSheetId="6">#REF!</definedName>
    <definedName name="CilEDFuelwTax">#REF!</definedName>
    <definedName name="CilEDInvoiceType" localSheetId="6">#REF!</definedName>
    <definedName name="CilEDInvoiceType">#REF!</definedName>
    <definedName name="CilEDSourceData" localSheetId="6">#REF!</definedName>
    <definedName name="CilEDSourceData">#REF!</definedName>
    <definedName name="CilEDStats" localSheetId="6">#REF!</definedName>
    <definedName name="CilEDStats">#REF!</definedName>
    <definedName name="CilEDTransp" localSheetId="6">#REF!</definedName>
    <definedName name="CilEDTransp">#REF!</definedName>
    <definedName name="CilEDUnits" localSheetId="6">#REF!</definedName>
    <definedName name="CilEDUnits">#REF!</definedName>
    <definedName name="CilEDUnitType" localSheetId="6">#REF!</definedName>
    <definedName name="CilEDUnitType">#REF!</definedName>
    <definedName name="CIPS_IL_EZ_parcels" localSheetId="6">#REF!</definedName>
    <definedName name="CIPS_IL_EZ_parcels">#REF!</definedName>
    <definedName name="CkDescr">[14]DR_Form!#REF!</definedName>
    <definedName name="ckdl" localSheetId="6">#REF!</definedName>
    <definedName name="ckdl">#REF!</definedName>
    <definedName name="CoalFreight">OFFSET([12]Tables!$O$15,0,0,COUNTA([12]Tables!$O$15:$O$517),1)</definedName>
    <definedName name="color" localSheetId="6">#REF!</definedName>
    <definedName name="color" localSheetId="7">#REF!</definedName>
    <definedName name="color">#REF!</definedName>
    <definedName name="Common_Inventory">OFFSET([12]Tables!$T$2,0,0,COUNTA([12]Tables!$T$2:$T$506),1)</definedName>
    <definedName name="Common_Inventory_Table">OFFSET([12]Tables!$T$2,0,0,COUNTA([12]Tables!$T$2:$T$506),4)</definedName>
    <definedName name="ContactExt">#REF!</definedName>
    <definedName name="ContactName">#REF!</definedName>
    <definedName name="CORPGenDol">OFFSET([12]DlGenDol!$A$2,0,0,COUNTA([12]DlGenDol!$A$2:$A$5000),1)</definedName>
    <definedName name="CorpUnits">OFFSET([12]DlUnits!$A$2,0,0,COUNTA([12]DlUnits!$A$2:$A$5000),1)</definedName>
    <definedName name="cosales" localSheetId="6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Critical_Peak_KWH" localSheetId="6">#REF!</definedName>
    <definedName name="Critical_Peak_KWH">#REF!</definedName>
    <definedName name="CT_1" localSheetId="6" hidden="1">{"page1",#N/A,FALSE,"260"}</definedName>
    <definedName name="CT_1" hidden="1">{"page1",#N/A,FALSE,"260"}</definedName>
    <definedName name="ctoucc" localSheetId="6">[5]Res!#REF!</definedName>
    <definedName name="ctoucc">[5]Res!#REF!</definedName>
    <definedName name="ctouskw" localSheetId="6">[5]Res!#REF!</definedName>
    <definedName name="ctouskw">[5]Res!#REF!</definedName>
    <definedName name="ctousofkwh" localSheetId="6">[5]Res!#REF!</definedName>
    <definedName name="ctousofkwh">[5]Res!#REF!</definedName>
    <definedName name="ctouspkkwh" localSheetId="6">[5]Res!#REF!</definedName>
    <definedName name="ctouspkkwh">[5]Res!#REF!</definedName>
    <definedName name="ctouwkw" localSheetId="6">[5]Res!#REF!</definedName>
    <definedName name="ctouwkw">[5]Res!#REF!</definedName>
    <definedName name="ctouwofkwh" localSheetId="6">[5]Res!#REF!</definedName>
    <definedName name="ctouwofkwh">[5]Res!#REF!</definedName>
    <definedName name="ctouwpkkwh" localSheetId="6">[5]Res!#REF!</definedName>
    <definedName name="ctouwpkkwh">[5]Res!#REF!</definedName>
    <definedName name="CurrentScenario">[13]Summary!$M$2</definedName>
    <definedName name="CUSSUM" localSheetId="6">#REF!</definedName>
    <definedName name="CUSSUM" localSheetId="7">#REF!</definedName>
    <definedName name="CUSSUM">#REF!</definedName>
    <definedName name="cust">[15]Sheet1!$D$1:$E$126</definedName>
    <definedName name="Customer_Count" localSheetId="6">#REF!</definedName>
    <definedName name="Customer_Count" localSheetId="7">#REF!</definedName>
    <definedName name="Customer_Count">#REF!</definedName>
    <definedName name="CUSWIN" localSheetId="6">#REF!</definedName>
    <definedName name="CUSWIN" localSheetId="7">#REF!</definedName>
    <definedName name="CUSWIN">#REF!</definedName>
    <definedName name="d" hidden="1">[9]_pcSlicerSheet5!$A$2:$A$7</definedName>
    <definedName name="Data" localSheetId="6">#REF!</definedName>
    <definedName name="Data" localSheetId="7">#REF!</definedName>
    <definedName name="Data">#REF!</definedName>
    <definedName name="date" localSheetId="6">#REF!</definedName>
    <definedName name="date">#REF!</definedName>
    <definedName name="DateDue" localSheetId="6">#REF!</definedName>
    <definedName name="DateDue">#REF!</definedName>
    <definedName name="DecGenDol">OFFSET([12]DlGenDol!$Q$2,0,0,COUNTA([12]DlGenDol!$Q$2:$Q$5000),1)</definedName>
    <definedName name="DecInvDol">OFFSET([12]DlInvDol!$N$2,0,0,COUNTA([12]DlInvDol!$N$2:$N$500),1)</definedName>
    <definedName name="DecInvDolPrior">OFFSET([12]DlInvDol!$O$2,0,0,COUNTA([12]DlInvDol!$O$2:$O$500),1)</definedName>
    <definedName name="DecTonInv">OFFSET([12]DlTonInv!$N$2,0,0,COUNTA([12]DlTonInv!$N$2:$N$5000),1)</definedName>
    <definedName name="DecTonInvPrior">OFFSET([12]DlTonInv!$O$2,0,0,COUNTA([12]DlTonInv!$O$2:$O$500),1)</definedName>
    <definedName name="DecUnits">OFFSET([12]DlUnits!$R$2,0,0,COUNTA([12]DlUnits!$R$2:$R$5000),1)</definedName>
    <definedName name="DeliverCk">#REF!</definedName>
    <definedName name="DeliverExt">#REF!</definedName>
    <definedName name="Demand_KW" localSheetId="6">#REF!</definedName>
    <definedName name="Demand_KW" localSheetId="7">#REF!</definedName>
    <definedName name="Demand_KW">#REF!</definedName>
    <definedName name="DEPRECIATION" localSheetId="6">#REF!</definedName>
    <definedName name="DEPRECIATION" localSheetId="1">#REF!</definedName>
    <definedName name="DEPRECIATION" localSheetId="2">#REF!</definedName>
    <definedName name="DEPRECIATION" localSheetId="18">#REF!</definedName>
    <definedName name="DEPRECIATION" localSheetId="16">#REF!</definedName>
    <definedName name="DEPRECIATION">#REF!</definedName>
    <definedName name="DescrDol">OFFSET('[12]$'!$C$2,0,0,COUNTA('[12]$'!$C$2:$C$4999),1)</definedName>
    <definedName name="Difference" localSheetId="6">#REF!</definedName>
    <definedName name="Difference" localSheetId="7">#REF!</definedName>
    <definedName name="Difference">#REF!</definedName>
    <definedName name="End">#REF!</definedName>
    <definedName name="FCode_Amt" localSheetId="6">OFFSET(#REF!,0,0,COUNTA(#REF!),1)</definedName>
    <definedName name="FCode_Amt">OFFSET(#REF!,0,0,COUNTA(#REF!),1)</definedName>
    <definedName name="FCode_Amt2" localSheetId="6">OFFSET(#REF!,0,0,COUNTA(#REF!),1)</definedName>
    <definedName name="FCode_Amt2">OFFSET(#REF!,0,0,COUNTA(#REF!),1)</definedName>
    <definedName name="FCode_BD" localSheetId="6">OFFSET(#REF!,0,0,COUNTA(#REF!),1)</definedName>
    <definedName name="FCode_BD">OFFSET(#REF!,0,0,COUNTA(#REF!),1)</definedName>
    <definedName name="FCode_Corp" localSheetId="6">OFFSET(#REF!,0,0,COUNTA(#REF!),1)</definedName>
    <definedName name="FCode_Corp">OFFSET(#REF!,0,0,COUNTA(#REF!),1)</definedName>
    <definedName name="FCode_Funcode" localSheetId="6">OFFSET(#REF!,0,0,COUNTA(#REF!),1)</definedName>
    <definedName name="FCode_Funcode">OFFSET(#REF!,0,0,COUNTA(#REF!),1)</definedName>
    <definedName name="FebGenDol">OFFSET([12]DlGenDol!$G$2,0,0,COUNTA([12]DlGenDol!$G$2:$G$5000),1)</definedName>
    <definedName name="FebInvDol">OFFSET([12]DlInvDol!$D$2,0,0,COUNTA([12]DlInvDol!$D$2:$D$500),1)</definedName>
    <definedName name="FebTonInv">OFFSET([12]DlTonInv!$D$2,0,0,COUNTA([12]DlTonInv!$D$2:$D$5000),1)</definedName>
    <definedName name="FebUnits">OFFSET([12]DlUnits!$H$2,0,0,COUNTA([12]DlUnits!$H$2:$H$5000),1)</definedName>
    <definedName name="FINAL_JV" localSheetId="6">#REF!</definedName>
    <definedName name="FINAL_JV" localSheetId="1">#REF!</definedName>
    <definedName name="FINAL_JV" localSheetId="2">#REF!</definedName>
    <definedName name="FINAL_JV" localSheetId="18">#REF!</definedName>
    <definedName name="FINAL_JV" localSheetId="16">#REF!</definedName>
    <definedName name="FINAL_JV">#REF!</definedName>
    <definedName name="first">#REF!</definedName>
    <definedName name="First_Block_kwh" localSheetId="6">#REF!</definedName>
    <definedName name="First_Block_kwh">#REF!</definedName>
    <definedName name="FlatPay">#REF!</definedName>
    <definedName name="ForecastYears">[13]Options!$C$8</definedName>
    <definedName name="FuelType">OFFSET([12]Tables!$N$1,0,0,COUNTA([12]Tables!$N:$N),2)</definedName>
    <definedName name="FueltypeGenDol">OFFSET([12]DlGenDol!$AG$2,0,0,COUNTA([12]DlGenDol!$AG$2:$AG$5000),1)</definedName>
    <definedName name="FuelTypeInvDol">OFFSET([12]DlInvDol!$Q$2,0,0,COUNTA([12]DlInvDol!$Q$2:$Q$500),1)</definedName>
    <definedName name="FuelTypeList" localSheetId="6">OFFSET(#REF!,0,0,COUNTA(#REF!),1)</definedName>
    <definedName name="FuelTypeList">OFFSET(#REF!,0,0,COUNTA(#REF!),1)</definedName>
    <definedName name="FuelTypeTonInv">OFFSET([12]DlTonInv!$Q$2,0,0,COUNTA([12]DlTonInv!$Q$2:$Q$5000),1)</definedName>
    <definedName name="FuelTypeUnits">OFFSET([12]DlUnits!$AG$2,0,0,COUNTA([12]DlUnits!$AG$2:$AG$5000),1)</definedName>
    <definedName name="g">'[16]IP Tables'!$A$5:$K$16</definedName>
    <definedName name="Gas">OFFSET([12]DlGenDol!$AG$3,0,0,COUNTA([12]DlGenDol!$AG$3:$AG$5001),1)</definedName>
    <definedName name="Gen66CoalCo" localSheetId="6">#REF!</definedName>
    <definedName name="Gen66CoalCo">#REF!</definedName>
    <definedName name="Gen66CurrPrior" localSheetId="6">#REF!</definedName>
    <definedName name="Gen66CurrPrior">#REF!</definedName>
    <definedName name="Gen66Fuel" localSheetId="6">#REF!</definedName>
    <definedName name="Gen66Fuel">#REF!</definedName>
    <definedName name="Gen66FuelwTax" localSheetId="6">#REF!</definedName>
    <definedName name="Gen66FuelwTax">#REF!</definedName>
    <definedName name="Gen66InvoiceType" localSheetId="6">#REF!</definedName>
    <definedName name="Gen66InvoiceType">#REF!</definedName>
    <definedName name="Gen66SourceData" localSheetId="6">#REF!</definedName>
    <definedName name="Gen66SourceData">#REF!</definedName>
    <definedName name="Gen66Stats" localSheetId="6">#REF!</definedName>
    <definedName name="Gen66Stats">#REF!</definedName>
    <definedName name="Gen66Transp" localSheetId="6">#REF!</definedName>
    <definedName name="Gen66Transp">#REF!</definedName>
    <definedName name="Gen66Units" localSheetId="6">#REF!</definedName>
    <definedName name="Gen66Units">#REF!</definedName>
    <definedName name="Gen66UnitType" localSheetId="6">#REF!</definedName>
    <definedName name="Gen66UnitType">#REF!</definedName>
    <definedName name="Gen68CoalCo" localSheetId="6">#REF!</definedName>
    <definedName name="Gen68CoalCo">#REF!</definedName>
    <definedName name="Gen68CurrPrior" localSheetId="6">#REF!</definedName>
    <definedName name="Gen68CurrPrior">#REF!</definedName>
    <definedName name="Gen68Fuel" localSheetId="6">#REF!</definedName>
    <definedName name="Gen68Fuel">#REF!</definedName>
    <definedName name="Gen68FuelwTax" localSheetId="6">#REF!</definedName>
    <definedName name="Gen68FuelwTax">#REF!</definedName>
    <definedName name="Gen68InvoiceType" localSheetId="6">#REF!</definedName>
    <definedName name="Gen68InvoiceType">#REF!</definedName>
    <definedName name="Gen68SourceData" localSheetId="6">#REF!</definedName>
    <definedName name="Gen68SourceData">#REF!</definedName>
    <definedName name="Gen68Stats" localSheetId="6">#REF!</definedName>
    <definedName name="Gen68Stats">#REF!</definedName>
    <definedName name="Gen68Transp" localSheetId="6">#REF!</definedName>
    <definedName name="Gen68Transp">#REF!</definedName>
    <definedName name="Gen68Units" localSheetId="6">#REF!</definedName>
    <definedName name="Gen68Units">#REF!</definedName>
    <definedName name="Gen68UnitType" localSheetId="6">#REF!</definedName>
    <definedName name="Gen68UnitType">#REF!</definedName>
    <definedName name="Gen69CoalCo" localSheetId="6">#REF!</definedName>
    <definedName name="Gen69CoalCo">#REF!</definedName>
    <definedName name="Gen69CurrPrior" localSheetId="6">#REF!</definedName>
    <definedName name="Gen69CurrPrior">#REF!</definedName>
    <definedName name="Gen69Fuel" localSheetId="6">#REF!</definedName>
    <definedName name="Gen69Fuel">#REF!</definedName>
    <definedName name="Gen69FuelwTax" localSheetId="6">#REF!</definedName>
    <definedName name="Gen69FuelwTax">#REF!</definedName>
    <definedName name="Gen69InvoiceType" localSheetId="6">#REF!</definedName>
    <definedName name="Gen69InvoiceType">#REF!</definedName>
    <definedName name="Gen69SourceData" localSheetId="6">#REF!</definedName>
    <definedName name="Gen69SourceData">#REF!</definedName>
    <definedName name="Gen69Stats" localSheetId="6">#REF!</definedName>
    <definedName name="Gen69Stats">#REF!</definedName>
    <definedName name="Gen69Transp" localSheetId="6">#REF!</definedName>
    <definedName name="Gen69Transp">#REF!</definedName>
    <definedName name="Gen69Units" localSheetId="6">#REF!</definedName>
    <definedName name="Gen69Units">#REF!</definedName>
    <definedName name="Gen69UnitType" localSheetId="6">#REF!</definedName>
    <definedName name="Gen69UnitType">#REF!</definedName>
    <definedName name="Gen79CoalCo" localSheetId="6">#REF!</definedName>
    <definedName name="Gen79CoalCo">#REF!</definedName>
    <definedName name="Gen79CurrPrior" localSheetId="6">#REF!</definedName>
    <definedName name="Gen79CurrPrior">#REF!</definedName>
    <definedName name="Gen79Fuel" localSheetId="6">#REF!</definedName>
    <definedName name="Gen79Fuel">#REF!</definedName>
    <definedName name="Gen79FuelwTax" localSheetId="6">#REF!</definedName>
    <definedName name="Gen79FuelwTax">#REF!</definedName>
    <definedName name="Gen79InvoiceType" localSheetId="6">#REF!</definedName>
    <definedName name="Gen79InvoiceType">#REF!</definedName>
    <definedName name="Gen79SourceData" localSheetId="6">#REF!</definedName>
    <definedName name="Gen79SourceData">#REF!</definedName>
    <definedName name="Gen79Stats" localSheetId="6">#REF!</definedName>
    <definedName name="Gen79Stats">#REF!</definedName>
    <definedName name="Gen79Transp" localSheetId="6">#REF!</definedName>
    <definedName name="Gen79Transp">#REF!</definedName>
    <definedName name="Gen79Units" localSheetId="6">#REF!</definedName>
    <definedName name="Gen79Units">#REF!</definedName>
    <definedName name="Gen79UnitType" localSheetId="6">#REF!</definedName>
    <definedName name="Gen79UnitType">#REF!</definedName>
    <definedName name="Gen91CoalCo" localSheetId="6">#REF!</definedName>
    <definedName name="Gen91CoalCo">#REF!</definedName>
    <definedName name="Gen91CurrPrior" localSheetId="6">#REF!</definedName>
    <definedName name="Gen91CurrPrior">#REF!</definedName>
    <definedName name="Gen91Fuel" localSheetId="6">#REF!</definedName>
    <definedName name="Gen91Fuel">#REF!</definedName>
    <definedName name="Gen91FuelwTax" localSheetId="6">#REF!</definedName>
    <definedName name="Gen91FuelwTax">#REF!</definedName>
    <definedName name="Gen91InvoiceType" localSheetId="6">#REF!</definedName>
    <definedName name="Gen91InvoiceType">#REF!</definedName>
    <definedName name="Gen91SourceData" localSheetId="6">#REF!</definedName>
    <definedName name="Gen91SourceData">#REF!</definedName>
    <definedName name="Gen91Stats" localSheetId="6">#REF!</definedName>
    <definedName name="Gen91Stats">#REF!</definedName>
    <definedName name="Gen91Transp" localSheetId="6">#REF!</definedName>
    <definedName name="Gen91Transp">#REF!</definedName>
    <definedName name="Gen91Units" localSheetId="6">#REF!</definedName>
    <definedName name="Gen91Units">#REF!</definedName>
    <definedName name="Gen91UnitType" localSheetId="6">#REF!</definedName>
    <definedName name="Gen91UnitType">#REF!</definedName>
    <definedName name="Gen92CoalCo" localSheetId="6">#REF!</definedName>
    <definedName name="Gen92CoalCo">#REF!</definedName>
    <definedName name="Gen92CurrPrior" localSheetId="6">#REF!</definedName>
    <definedName name="Gen92CurrPrior">#REF!</definedName>
    <definedName name="Gen92Fuel" localSheetId="6">#REF!</definedName>
    <definedName name="Gen92Fuel">#REF!</definedName>
    <definedName name="Gen92FuelwTax" localSheetId="6">#REF!</definedName>
    <definedName name="Gen92FuelwTax">#REF!</definedName>
    <definedName name="Gen92InvoiceType" localSheetId="6">#REF!</definedName>
    <definedName name="Gen92InvoiceType">#REF!</definedName>
    <definedName name="Gen92SourceData" localSheetId="6">#REF!</definedName>
    <definedName name="Gen92SourceData">#REF!</definedName>
    <definedName name="Gen92Stats" localSheetId="6">#REF!</definedName>
    <definedName name="Gen92Stats">#REF!</definedName>
    <definedName name="Gen92Transp" localSheetId="6">#REF!</definedName>
    <definedName name="Gen92Transp">#REF!</definedName>
    <definedName name="Gen92Units" localSheetId="6">#REF!</definedName>
    <definedName name="Gen92Units">#REF!</definedName>
    <definedName name="Gen92UnitType" localSheetId="6">#REF!</definedName>
    <definedName name="Gen92UnitType">#REF!</definedName>
    <definedName name="Gen93CoalCo" localSheetId="6">#REF!</definedName>
    <definedName name="Gen93CoalCo">#REF!</definedName>
    <definedName name="Gen93CurrPrior" localSheetId="6">#REF!</definedName>
    <definedName name="Gen93CurrPrior">#REF!</definedName>
    <definedName name="Gen93Fuel" localSheetId="6">#REF!</definedName>
    <definedName name="Gen93Fuel">#REF!</definedName>
    <definedName name="Gen93FuelwTax" localSheetId="6">#REF!</definedName>
    <definedName name="Gen93FuelwTax">#REF!</definedName>
    <definedName name="Gen93InvoiceType" localSheetId="6">#REF!</definedName>
    <definedName name="Gen93InvoiceType">#REF!</definedName>
    <definedName name="Gen93SourceData" localSheetId="6">#REF!</definedName>
    <definedName name="Gen93SourceData">#REF!</definedName>
    <definedName name="Gen93Stats" localSheetId="6">#REF!</definedName>
    <definedName name="Gen93Stats">#REF!</definedName>
    <definedName name="Gen93Transp" localSheetId="6">#REF!</definedName>
    <definedName name="Gen93Transp">#REF!</definedName>
    <definedName name="Gen93Units" localSheetId="6">#REF!</definedName>
    <definedName name="Gen93Units">#REF!</definedName>
    <definedName name="Gen93UnitType" localSheetId="6">#REF!</definedName>
    <definedName name="Gen93UnitType">#REF!</definedName>
    <definedName name="Gen94CoalCo" localSheetId="6">#REF!</definedName>
    <definedName name="Gen94CoalCo">#REF!</definedName>
    <definedName name="Gen94CurrPrior" localSheetId="6">#REF!</definedName>
    <definedName name="Gen94CurrPrior">#REF!</definedName>
    <definedName name="Gen94Fuel" localSheetId="6">#REF!</definedName>
    <definedName name="Gen94Fuel">#REF!</definedName>
    <definedName name="Gen94FuelwTax" localSheetId="6">#REF!</definedName>
    <definedName name="Gen94FuelwTax">#REF!</definedName>
    <definedName name="Gen94InvoiceType" localSheetId="6">#REF!</definedName>
    <definedName name="Gen94InvoiceType">#REF!</definedName>
    <definedName name="Gen94SourceData" localSheetId="6">#REF!</definedName>
    <definedName name="Gen94SourceData">#REF!</definedName>
    <definedName name="Gen94Stats" localSheetId="6">#REF!</definedName>
    <definedName name="Gen94Stats">#REF!</definedName>
    <definedName name="Gen94Transp" localSheetId="6">#REF!</definedName>
    <definedName name="Gen94Transp">#REF!</definedName>
    <definedName name="Gen94Units" localSheetId="6">#REF!</definedName>
    <definedName name="Gen94Units">#REF!</definedName>
    <definedName name="Gen94UnitType" localSheetId="6">#REF!</definedName>
    <definedName name="Gen94UnitType">#REF!</definedName>
    <definedName name="Gen95CoalCo" localSheetId="6">#REF!</definedName>
    <definedName name="Gen95CoalCo">#REF!</definedName>
    <definedName name="Gen95CurrPrior" localSheetId="6">#REF!</definedName>
    <definedName name="Gen95CurrPrior">#REF!</definedName>
    <definedName name="Gen95Fuel" localSheetId="6">#REF!</definedName>
    <definedName name="Gen95Fuel">#REF!</definedName>
    <definedName name="Gen95FuelwTax" localSheetId="6">#REF!</definedName>
    <definedName name="Gen95FuelwTax">#REF!</definedName>
    <definedName name="Gen95InvoiceType" localSheetId="6">#REF!</definedName>
    <definedName name="Gen95InvoiceType">#REF!</definedName>
    <definedName name="Gen95SourceData" localSheetId="6">#REF!</definedName>
    <definedName name="Gen95SourceData">#REF!</definedName>
    <definedName name="Gen95Stats" localSheetId="6">#REF!</definedName>
    <definedName name="Gen95Stats">#REF!</definedName>
    <definedName name="Gen95Transp" localSheetId="6">#REF!</definedName>
    <definedName name="Gen95Transp">#REF!</definedName>
    <definedName name="Gen95Units" localSheetId="6">#REF!</definedName>
    <definedName name="Gen95Units">#REF!</definedName>
    <definedName name="Gen95UnitType" localSheetId="6">#REF!</definedName>
    <definedName name="Gen95UnitType">#REF!</definedName>
    <definedName name="Gen97CoalCo" localSheetId="6">#REF!</definedName>
    <definedName name="Gen97CoalCo">#REF!</definedName>
    <definedName name="Gen97CurrPrior" localSheetId="6">#REF!</definedName>
    <definedName name="Gen97CurrPrior">#REF!</definedName>
    <definedName name="Gen97Fuel" localSheetId="6">#REF!</definedName>
    <definedName name="Gen97Fuel">#REF!</definedName>
    <definedName name="Gen97FuelwTax" localSheetId="6">#REF!</definedName>
    <definedName name="Gen97FuelwTax">#REF!</definedName>
    <definedName name="Gen97InvoiceType" localSheetId="6">#REF!</definedName>
    <definedName name="Gen97InvoiceType">#REF!</definedName>
    <definedName name="Gen97SourceData" localSheetId="6">#REF!</definedName>
    <definedName name="Gen97SourceData">#REF!</definedName>
    <definedName name="Gen97Stats" localSheetId="6">#REF!</definedName>
    <definedName name="Gen97Stats">#REF!</definedName>
    <definedName name="Gen97transp" localSheetId="6">#REF!</definedName>
    <definedName name="Gen97transp">#REF!</definedName>
    <definedName name="Gen97Units" localSheetId="6">#REF!</definedName>
    <definedName name="Gen97Units">#REF!</definedName>
    <definedName name="Gen97UnitType" localSheetId="6">#REF!</definedName>
    <definedName name="Gen97UnitType">#REF!</definedName>
    <definedName name="GenDol">OFFSET('[12]$'!$J$3,0,0,COUNTA('[12]$'!$J$3:$J$5000),1)</definedName>
    <definedName name="GenDol_Amt">OFFSET([12]DlGenDol!$AD$1,0,0,COUNTA([12]DlGenDol!$C:$C),1)</definedName>
    <definedName name="GenDol_Amt2">OFFSET([12]DlGenDol!$AE$1,0,0,COUNTA([12]DlGenDol!$C:$C),1)</definedName>
    <definedName name="GenDol_BD">OFFSET([12]DlGenDol!$B$1,0,0,COUNTA([12]DlGenDol!$B:$B),1)</definedName>
    <definedName name="GenDol_Corp">OFFSET([12]DlGenDol!$A$1,0,0,COUNTA([12]DlGenDol!$A:$A),1)</definedName>
    <definedName name="GenDol_FuelType">OFFSET([12]DlGenDol!$AG$1,0,0,COUNTA([12]DlGenDol!$C:$C),1)</definedName>
    <definedName name="GenDol_Majmin">OFFSET([12]DlGenDol!$D$1,0,0,COUNTA([12]DlGenDol!$D:$D),1)</definedName>
    <definedName name="GenDol_RMC">OFFSET([12]DlGenDol!$C$1,0,0,COUNTA([12]DlGenDol!$C:$C),1)</definedName>
    <definedName name="GenDol_RT">OFFSET([12]DlGenDol!$E$1,0,0,COUNTA([12]DlGenDol!$E:$E),1)</definedName>
    <definedName name="GenDolAmt">OFFSET([12]DlGenDol!$AD$2,0,0,COUNTA([12]DlGenDol!$AD$2:$AD$5000),1)</definedName>
    <definedName name="GenDolYTD">OFFSET([12]DlGenDol!$AF$2,0,0,COUNTA([12]DlGenDol!$AF$2:$AF$5000),1)</definedName>
    <definedName name="GenTons">OFFSET([12]Tons!$I$2,0,0,COUNTA([12]Tons!$I$2:$I$500),1)</definedName>
    <definedName name="home" localSheetId="6">#REF!</definedName>
    <definedName name="home">#REF!</definedName>
    <definedName name="intedp2data" localSheetId="6">#REF!</definedName>
    <definedName name="intedp2data">#REF!</definedName>
    <definedName name="Inv_JE" localSheetId="6">#REF!</definedName>
    <definedName name="Inv_JE">#REF!</definedName>
    <definedName name="Inv_wp" localSheetId="6">#REF!</definedName>
    <definedName name="Inv_wp">#REF!</definedName>
    <definedName name="InvDol_Amt">OFFSET([12]DlInvDol!$P$2,0,0,COUNTA([12]DlInvDol!$A$2:$A$1000),1)</definedName>
    <definedName name="InvDol_AmtPrior">OFFSET([12]DlInvDol!$R$2,0,0,COUNTA([12]DlInvDol!$A$2:$A$1000),1)</definedName>
    <definedName name="InvDol_BD">OFFSET([12]DlInvDol!$A$2,0,0,COUNTA([12]DlInvDol!$A$2:$A$1000),1)</definedName>
    <definedName name="InvDol_FuelType">OFFSET([12]DlInvDol!$Q$2,0,0,COUNTA([12]DlInvDol!$A$2:$A$1000),1)</definedName>
    <definedName name="InvDol_Majmin">OFFSET([12]DlInvDol!$B$2,0,0,COUNTA([12]DlInvDol!$A$2:$A$1000),1)</definedName>
    <definedName name="InvDolAmt">OFFSET([12]DlInvDol!$P$2,0,0,COUNTA([12]DlInvDol!$P$2:$P$500),1)</definedName>
    <definedName name="InvNbr">#REF!</definedName>
    <definedName name="InvRet2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GenDol">OFFSET([12]DlGenDol!$F$2,0,0,COUNTA([12]DlGenDol!$F$2:$F$5000),1)</definedName>
    <definedName name="JanInvDol">OFFSET([12]DlInvDol!$C$2,0,0,COUNTA([12]DlInvDol!$C$2:$C$500),1)</definedName>
    <definedName name="JanTonInv">OFFSET([12]DlTonInv!$C$2,0,0,COUNTA([12]DlTonInv!$C$2:$C$5000),1)</definedName>
    <definedName name="JanUnits">OFFSET([12]DlUnits!$G$2,0,0,COUNTA([12]DlUnits!$G$2:$G$5000),1)</definedName>
    <definedName name="JE33WP" localSheetId="6">#REF!</definedName>
    <definedName name="JE33WP">#REF!</definedName>
    <definedName name="JOURNAL_VOUCHER" localSheetId="6">#REF!</definedName>
    <definedName name="JOURNAL_VOUCHER" localSheetId="1">#REF!</definedName>
    <definedName name="JOURNAL_VOUCHER" localSheetId="2">#REF!</definedName>
    <definedName name="JOURNAL_VOUCHER" localSheetId="18">#REF!</definedName>
    <definedName name="JOURNAL_VOUCHER" localSheetId="16">#REF!</definedName>
    <definedName name="JOURNAL_VOUCHER">#REF!</definedName>
    <definedName name="JulGenDol">OFFSET([12]DlGenDol!$L$2,0,0,COUNTA([12]DlGenDol!$L$2:$L$5000),1)</definedName>
    <definedName name="JulInvDol">OFFSET([12]DlInvDol!$I$2,0,0,COUNTA([12]DlInvDol!$I$2:$I$500),1)</definedName>
    <definedName name="JulTonInv">OFFSET([12]DlTonInv!$I$2,0,0,COUNTA([12]DlTonInv!$I$2:$I$5000),1)</definedName>
    <definedName name="JulUnits">OFFSET([12]DlUnits!$M$2,0,0,COUNTA([12]DlUnits!$M$2:$M$5000),1)</definedName>
    <definedName name="JunGenDol">OFFSET([12]DlGenDol!$K$2,0,0,COUNTA([12]DlGenDol!$K$2:$K$5000),1)</definedName>
    <definedName name="JunInvDol">OFFSET([12]DlInvDol!$H$2,0,0,COUNTA([12]DlInvDol!$H$2:$H$500),1)</definedName>
    <definedName name="JunTonInv">OFFSET([12]DlTonInv!$H$2,0,0,COUNTA([12]DlTonInv!$H$2:$H$5000),1)</definedName>
    <definedName name="JunUnits">OFFSET([12]DlUnits!$L$2,0,0,COUNTA([12]DlUnits!$L$2:$L$5000),1)</definedName>
    <definedName name="Key">'[7]Ret Med Expense'!#REF!</definedName>
    <definedName name="KVAR" localSheetId="6">#REF!</definedName>
    <definedName name="KVAR" localSheetId="7">#REF!</definedName>
    <definedName name="KVAR">#REF!</definedName>
    <definedName name="Kwh_Amt">OFFSET([12]DlKwh!$AB$1,0,0,COUNTA([12]DlKwh!$A:$A),1)</definedName>
    <definedName name="Kwh_Amt2">OFFSET([12]DlKwh!$AC$1,0,0,COUNTA([12]DlKwh!$A:$A),1)</definedName>
    <definedName name="Kwh_Amt3">OFFSET([12]DlKwh!$AD$1,0,0,COUNTA([12]DlKwh!$A:$A),1)</definedName>
    <definedName name="Kwh_Amt4">OFFSET([12]DlKwh!$AE$1,0,0,COUNTA([12]DlKwh!$A:$A),1)</definedName>
    <definedName name="Kwh_BD">OFFSET([12]DlKwh!$B$1,0,0,COUNTA([12]DlKwh!$A:$A),1)</definedName>
    <definedName name="Kwh_Corp">OFFSET([12]DlKwh!$A$1,0,0,COUNTA([12]DlKwh!$A:$A),1)</definedName>
    <definedName name="Kwh_majmin">OFFSET([12]DlKwh!$C$1,0,0,COUNTA([12]DlKwh!$A:$A),1)</definedName>
    <definedName name="LABOR_RATIO" localSheetId="6">#REF!</definedName>
    <definedName name="LABOR_RATIO" localSheetId="1">#REF!</definedName>
    <definedName name="LABOR_RATIO" localSheetId="2">#REF!</definedName>
    <definedName name="LABOR_RATIO" localSheetId="18">#REF!</definedName>
    <definedName name="LABOR_RATIO" localSheetId="16">#REF!</definedName>
    <definedName name="LABOR_RATIO">#REF!</definedName>
    <definedName name="left">#REF!</definedName>
    <definedName name="MailBCC">OFFSET([12]Note!$E$5,0,0,COUNTA([12]Note!$E$5:$E$503),1)</definedName>
    <definedName name="MailCC">OFFSET([12]Note!$C$5,0,0,COUNTA([12]Note!$C$5:$C$503),1)</definedName>
    <definedName name="MailTo">OFFSET([12]Note!$A$5,0,0,COUNTA([12]Note!$A$5:$A$503),1)</definedName>
    <definedName name="MainPageTitle">[13]Input!$A$1</definedName>
    <definedName name="MajminDol">OFFSET('[12]$'!$B$3,0,0,COUNTA('[12]$'!$B$3:$B$4999),1)</definedName>
    <definedName name="MAJMINGenDol">OFFSET([12]DlGenDol!$D$2,0,0,COUNTA([12]DlGenDol!$D$2:$D$5000),1)</definedName>
    <definedName name="MajminInvDol">OFFSET([12]DlInvDol!$B$2,0,0,COUNTA([12]DlInvDol!$B$2:$B$500),1)</definedName>
    <definedName name="MajminTonInv">OFFSET([12]DlTonInv!$B$2,0,0,COUNTA([12]DlTonInv!$B$2:$B$5000),1)</definedName>
    <definedName name="MAJMINUnits">OFFSET([12]DlUnits!$D$2,0,0,COUNTA([12]DlUnits!$D$2:$D$5000),1)</definedName>
    <definedName name="MarGenDol">OFFSET([12]DlGenDol!$H$2,0,0,COUNTA([12]DlGenDol!$H$2:$H$5000),1)</definedName>
    <definedName name="MarInvDol">OFFSET([12]DlInvDol!$E$2,0,0,COUNTA([12]DlInvDol!$E$2:$E$500),1)</definedName>
    <definedName name="MarTonInv">OFFSET([12]DlTonInv!$E$2,0,0,COUNTA([12]DlTonInv!$E$2:$E$5000),1)</definedName>
    <definedName name="MarUnits">OFFSET([12]DlUnits!$I$2,0,0,COUNTA([12]DlUnits!$I$2:$I$5000),1)</definedName>
    <definedName name="MatTonInv">OFFSET([12]DlTonInv!$E$2,0,0,COUNTA([12]DlTonInv!$E$2:$E$5000),1)</definedName>
    <definedName name="MaxDeduc">#REF!</definedName>
    <definedName name="MayGenDol">OFFSET([12]DlGenDol!$J$2,0,0,COUNTA([12]DlGenDol!$J$2:$J$5000),1)</definedName>
    <definedName name="MayInvDol">OFFSET([12]DlInvDol!$G$2,0,0,COUNTA([12]DlInvDol!$G$2:$G$500),1)</definedName>
    <definedName name="MayTonInv">OFFSET([12]DlTonInv!$G$2,0,0,COUNTA([12]DlTonInv!$G$2:$G$5000),1)</definedName>
    <definedName name="MayUnits">OFFSET([12]DlUnits!$K$2,0,0,COUNTA([12]DlUnits!$K$2:$K$5000),1)</definedName>
    <definedName name="Mid_Peak_KWH" localSheetId="6">#REF!</definedName>
    <definedName name="Mid_Peak_KWH" localSheetId="7">#REF!</definedName>
    <definedName name="Mid_Peak_KWH">#REF!</definedName>
    <definedName name="MMbtu_amt">OFFSET([12]DLMMBTU!$AD$1,0,0,COUNTA([12]DLMMBTU!$E:$E),1)</definedName>
    <definedName name="MMbtu_amt01">OFFSET([12]DLMMBTU!$F$1,0,0,COUNTA([12]DLMMBTU!$E:$E),1)</definedName>
    <definedName name="MMbtu_amt01p">OFFSET([12]DLMMBTU!$R$1,0,0,COUNTA([12]DLMMBTU!$E:$E),1)</definedName>
    <definedName name="MMbtu_amt02">OFFSET([12]DLMMBTU!$G$1,0,0,COUNTA([12]DLMMBTU!$E:$E),1)</definedName>
    <definedName name="MMbtu_amt02p">OFFSET([12]DLMMBTU!$S$1,0,0,COUNTA([12]DLMMBTU!$E:$E),1)</definedName>
    <definedName name="MMbtu_amt03">OFFSET([12]DLMMBTU!$H$1,0,0,COUNTA([12]DLMMBTU!$E:$E),1)</definedName>
    <definedName name="MMbtu_amt03p">OFFSET([12]DLMMBTU!$T$1,0,0,COUNTA([12]DLMMBTU!$E:$E),1)</definedName>
    <definedName name="MMbtu_amt04">OFFSET([12]DLMMBTU!$I$1,0,0,COUNTA([12]DLMMBTU!$E:$E),1)</definedName>
    <definedName name="MMbtu_amt04p">OFFSET([12]DLMMBTU!$U$1,0,0,COUNTA([12]DLMMBTU!$E:$E),1)</definedName>
    <definedName name="MMbtu_amt05">OFFSET([12]DLMMBTU!$J$1,0,0,COUNTA([12]DLMMBTU!$E:$E),1)</definedName>
    <definedName name="MMbtu_amt05p">OFFSET([12]DLMMBTU!$V$1,0,0,COUNTA([12]DLMMBTU!$E:$E),1)</definedName>
    <definedName name="MMbtu_amt06">OFFSET([12]DLMMBTU!$K$1,0,0,COUNTA([12]DLMMBTU!$E:$E),1)</definedName>
    <definedName name="MMbtu_amt06p">OFFSET([12]DLMMBTU!$W$1,0,0,COUNTA([12]DLMMBTU!$E:$E),1)</definedName>
    <definedName name="MMbtu_amt07">OFFSET([12]DLMMBTU!$L$1,0,0,COUNTA([12]DLMMBTU!$E:$E),1)</definedName>
    <definedName name="MMbtu_amt07p">OFFSET([12]DLMMBTU!$X$1,0,0,COUNTA([12]DLMMBTU!$E:$E),1)</definedName>
    <definedName name="MMbtu_amt08">OFFSET([12]DLMMBTU!$M$1,0,0,COUNTA([12]DLMMBTU!$E:$E),1)</definedName>
    <definedName name="MMbtu_amt08p">OFFSET([12]DLMMBTU!$Y$1,0,0,COUNTA([12]DLMMBTU!$E:$E),1)</definedName>
    <definedName name="MMbtu_amt09">OFFSET([12]DLMMBTU!$N$1,0,0,COUNTA([12]DLMMBTU!$E:$E),1)</definedName>
    <definedName name="MMbtu_amt09p">OFFSET([12]DLMMBTU!$Z$1,0,0,COUNTA([12]DLMMBTU!$E:$E),1)</definedName>
    <definedName name="MMbtu_amt10">OFFSET([12]DLMMBTU!$O$1,0,0,COUNTA([12]DLMMBTU!$E:$E),1)</definedName>
    <definedName name="MMbtu_amt10p">OFFSET([12]DLMMBTU!$AA$1,0,0,COUNTA([12]DLMMBTU!$E:$E),1)</definedName>
    <definedName name="MMbtu_amt11">OFFSET([12]DLMMBTU!$P$1,0,0,COUNTA([12]DLMMBTU!$E:$E),1)</definedName>
    <definedName name="MMbtu_amt11p">OFFSET([12]DLMMBTU!$AB$1,0,0,COUNTA([12]DLMMBTU!$E:$E),1)</definedName>
    <definedName name="MMbtu_amt12">OFFSET([12]DLMMBTU!$Q$1,0,0,COUNTA([12]DLMMBTU!$E:$E),1)</definedName>
    <definedName name="MMbtu_amt12p">OFFSET([12]DLMMBTU!$AC$1,0,0,COUNTA([12]DLMMBTU!$E:$E),1)</definedName>
    <definedName name="MMbtu_amt2">OFFSET([12]DLMMBTU!$AE$1,0,0,COUNTA([12]DLMMBTU!$E:$E),1)</definedName>
    <definedName name="MMbtu_amt3">OFFSET([12]DLMMBTU!$AG$1,0,0,COUNTA([12]DLMMBTU!$E:$E),1)</definedName>
    <definedName name="MMbtu_amt4">OFFSET([12]DLMMBTU!$AH$1,0,0,COUNTA([12]DLMMBTU!$E:$E),1)</definedName>
    <definedName name="MMbtu_BD">OFFSET([12]DLMMBTU!$B$1,0,0,COUNTA([12]DLMMBTU!$B:$B),1)</definedName>
    <definedName name="MMbtu_Corp">OFFSET([12]DLMMBTU!$A$1,0,0,COUNTA([12]DLMMBTU!$A:$A),1)</definedName>
    <definedName name="MMbtu_FuelType">OFFSET([12]DLMMBTU!$AF$1,0,0,COUNTA([12]DLMMBTU!$E:$E),1)</definedName>
    <definedName name="MMbtu_Majmin">OFFSET([12]DLMMBTU!$D$1,0,0,COUNTA([12]DLMMBTU!$D:$D),1)</definedName>
    <definedName name="MMbtu_RMC">OFFSET([12]DLMMBTU!$C$1,0,0,COUNTA([12]DLMMBTU!$C:$C),1)</definedName>
    <definedName name="MMbtu_RT">OFFSET([12]DLMMBTU!$E$1,0,0,COUNTA([12]DLMMBTU!$E:$E),1)</definedName>
    <definedName name="mmbtu_YTD">OFFSET([12]DLMMBTU!$AI$1,0,0,COUNTA([12]DLMMBTU!$AI$1:$AI$5000),1)</definedName>
    <definedName name="Month" localSheetId="6">#REF!</definedName>
    <definedName name="Month" localSheetId="7">#REF!</definedName>
    <definedName name="Month">#REF!</definedName>
    <definedName name="MonthNum" localSheetId="6">#REF!</definedName>
    <definedName name="MonthNum">#REF!</definedName>
    <definedName name="Muni_Billable_KWH" localSheetId="6">#REF!</definedName>
    <definedName name="Muni_Billable_KWH">#REF!</definedName>
    <definedName name="NET_Book_Ratio">[17]Constants!$B$4</definedName>
    <definedName name="new" localSheetId="6">#REF!</definedName>
    <definedName name="new">#REF!</definedName>
    <definedName name="newa" localSheetId="6">#REF!</definedName>
    <definedName name="newa">#REF!</definedName>
    <definedName name="NonGenDol">OFFSET('[12]$'!$K$3,0,0,COUNTA('[12]$'!$K$3:$K$5000),1)</definedName>
    <definedName name="NonGenTons">OFFSET([12]Tons!$J$2,0,0,COUNTA([12]Tons!$J$2:$J$500),1)</definedName>
    <definedName name="NovgenDol">OFFSET([12]DlGenDol!$P$2,0,0,COUNTA([12]DlGenDol!$P$2:$P$5000),1)</definedName>
    <definedName name="NovInvDol">OFFSET([12]DlInvDol!$M$2,0,0,COUNTA([12]DlInvDol!$M$2:$M$500),1)</definedName>
    <definedName name="NovTonInv">OFFSET([12]DlTonInv!$M$2,0,0,COUNTA([12]DlTonInv!$M$2:$M$5000),1)</definedName>
    <definedName name="NovUnits">OFFSET([12]DlUnits!$Q$2,0,0,COUNTA([12]DlUnits!$Q$2:$Q$5000),1)</definedName>
    <definedName name="now" localSheetId="6">#REF!</definedName>
    <definedName name="now" localSheetId="7">#REF!</definedName>
    <definedName name="now">#REF!</definedName>
    <definedName name="NOx" localSheetId="6">#REF!</definedName>
    <definedName name="NOx">#REF!</definedName>
    <definedName name="NUC_ratio">[17]Constants!$B$16</definedName>
    <definedName name="NvsASD">"V2002-12-31"</definedName>
    <definedName name="NvsAutoDrillOk">"VN"</definedName>
    <definedName name="NvsElapsedTime">0.00648252314567799</definedName>
    <definedName name="NvsEndTime">37718.2618033565</definedName>
    <definedName name="NvsInstSpec">"%,FBUSINESS_UNIT,TCONSOLIDATION,NCILCO"</definedName>
    <definedName name="NvsLayoutType">"M3"</definedName>
    <definedName name="NvsPanelEffdt">"V1900-01-01"</definedName>
    <definedName name="NvsPanelSetid">"VCORP1"</definedName>
    <definedName name="NvsReqBU">"V01100"</definedName>
    <definedName name="NvsReqBUOnly">"VN"</definedName>
    <definedName name="NvsTransLed">"VN"</definedName>
    <definedName name="NvsTreeASD">"V2002-12-31"</definedName>
    <definedName name="OctGenDol">OFFSET([12]DlGenDol!$O$2,0,0,COUNTA([12]DlGenDol!$O$2:$O$5000),1)</definedName>
    <definedName name="OctInvDol">OFFSET([12]DlInvDol!$L$2,0,0,COUNTA([12]DlInvDol!$L$2:$L$500),1)</definedName>
    <definedName name="OctTonInv">OFFSET([12]DlTonInv!$L$2,0,0,COUNTA([12]DlTonInv!$L$2:$L$5000),1)</definedName>
    <definedName name="OctUnits">OFFSET([12]DlUnits!$P$2,0,0,COUNTA([12]DlUnits!$P$2:$P$5000),1)</definedName>
    <definedName name="Off_Peak_KWH" localSheetId="6">#REF!</definedName>
    <definedName name="Off_Peak_KWH" localSheetId="7">#REF!</definedName>
    <definedName name="Off_Peak_KWH">#REF!</definedName>
    <definedName name="Office" localSheetId="6">#REF!</definedName>
    <definedName name="Office">#REF!</definedName>
    <definedName name="On_Peak_KWH" localSheetId="6">#REF!</definedName>
    <definedName name="On_Peak_KWH">#REF!</definedName>
    <definedName name="OTHER_TAXES" localSheetId="6">#REF!</definedName>
    <definedName name="OTHER_TAXES" localSheetId="1">#REF!</definedName>
    <definedName name="OTHER_TAXES" localSheetId="2">#REF!</definedName>
    <definedName name="OTHER_TAXES" localSheetId="18">#REF!</definedName>
    <definedName name="OTHER_TAXES" localSheetId="16">#REF!</definedName>
    <definedName name="OTHER_TAXES">#REF!</definedName>
    <definedName name="OTHER_TAXES_2" localSheetId="6">#REF!</definedName>
    <definedName name="OTHER_TAXES_2" localSheetId="1">#REF!</definedName>
    <definedName name="OTHER_TAXES_2" localSheetId="2">#REF!</definedName>
    <definedName name="OTHER_TAXES_2" localSheetId="18">#REF!</definedName>
    <definedName name="OTHER_TAXES_2" localSheetId="16">#REF!</definedName>
    <definedName name="OTHER_TAXES_2">#REF!</definedName>
    <definedName name="Other_Usage" localSheetId="6">#REF!</definedName>
    <definedName name="Other_Usage">#REF!</definedName>
    <definedName name="p" localSheetId="6">[18]ACCOUNTING!#REF!</definedName>
    <definedName name="p" localSheetId="0">[18]ACCOUNTING!#REF!</definedName>
    <definedName name="p" localSheetId="1">[18]ACCOUNTING!#REF!</definedName>
    <definedName name="p" localSheetId="2">[18]ACCOUNTING!#REF!</definedName>
    <definedName name="p" localSheetId="3">[18]ACCOUNTING!#REF!</definedName>
    <definedName name="p">[18]ACCOUNTING!#REF!</definedName>
    <definedName name="Peak_Load_Ratio">[17]Constants!$B$10</definedName>
    <definedName name="PeriodDol">OFFSET([12]DlInvDol!$P$2,0,0,COUNTA([12]DlInvDol!$P$2:$P$500),1)</definedName>
    <definedName name="PeriodDolPrior">OFFSET([12]DlInvDol!$R$2,0,0,COUNTA([12]DlInvDol!$R$2:$R$500),1)</definedName>
    <definedName name="PeriodTonInv">OFFSET([12]DlTonInv!$P$2,0,0,COUNTA([12]DlTonInv!$P$2:$P$500),1)</definedName>
    <definedName name="PlanDol">OFFSET('[12]$'!$A$3,0,0,COUNTA('[12]$'!$A$3:$A$4999),1)</definedName>
    <definedName name="PlantTons">OFFSET([12]Tons!$A$2,0,0,COUNTA([12]Tons!$A$2:$A$500),1)</definedName>
    <definedName name="POOL" localSheetId="6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ostDate">#REF!</definedName>
    <definedName name="Primary_Month" localSheetId="6">#REF!</definedName>
    <definedName name="Primary_Month">#REF!</definedName>
    <definedName name="_xlnm.Print_Area" localSheetId="4">'Rate Schedule'!$A$1:$C$25</definedName>
    <definedName name="Print_Area_MI" localSheetId="6">#REF!</definedName>
    <definedName name="Print_Area_MI">#REF!</definedName>
    <definedName name="PRINT_MACRO" localSheetId="6">#REF!</definedName>
    <definedName name="PRINT_MACRO" localSheetId="1">#REF!</definedName>
    <definedName name="PRINT_MACRO" localSheetId="2">#REF!</definedName>
    <definedName name="PRINT_MACRO" localSheetId="18">#REF!</definedName>
    <definedName name="PRINT_MACRO" localSheetId="16">#REF!</definedName>
    <definedName name="PRINT_MACRO">#REF!</definedName>
    <definedName name="PriorPeriodTonInv">OFFSET([12]DlTonInv!$R$2,0,0,COUNTA([12]DlTonInv!$R$2:$R$500),1)</definedName>
    <definedName name="proforma2" localSheetId="6">#REF!</definedName>
    <definedName name="proforma2" localSheetId="7">#REF!</definedName>
    <definedName name="proforma2">#REF!</definedName>
    <definedName name="PUR" localSheetId="6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6">[19]ACCOUNTING!#REF!</definedName>
    <definedName name="q" localSheetId="0">[19]ACCOUNTING!#REF!</definedName>
    <definedName name="q" localSheetId="1">[19]ACCOUNTING!#REF!</definedName>
    <definedName name="q" localSheetId="2">[19]ACCOUNTING!#REF!</definedName>
    <definedName name="q" localSheetId="3">[19]ACCOUNTING!#REF!</definedName>
    <definedName name="q">[19]ACCOUNTING!#REF!</definedName>
    <definedName name="RANGE_NAMES" localSheetId="6">#REF!</definedName>
    <definedName name="RANGE_NAMES" localSheetId="1">#REF!</definedName>
    <definedName name="RANGE_NAMES" localSheetId="2">#REF!</definedName>
    <definedName name="RANGE_NAMES" localSheetId="18">#REF!</definedName>
    <definedName name="RANGE_NAMES" localSheetId="16">#REF!</definedName>
    <definedName name="RANGE_NAMES">#REF!</definedName>
    <definedName name="Rate" localSheetId="6">#REF!</definedName>
    <definedName name="Rate">#REF!</definedName>
    <definedName name="Rate_Month" localSheetId="6">#REF!</definedName>
    <definedName name="Rate_Month">#REF!</definedName>
    <definedName name="rates">[15]Rates!$A$1:$B$190</definedName>
    <definedName name="rd_d" localSheetId="6">#REF!</definedName>
    <definedName name="rd_d">#REF!</definedName>
    <definedName name="RdrB138" localSheetId="6">#REF!</definedName>
    <definedName name="RdrB138" localSheetId="7">#REF!</definedName>
    <definedName name="RdrB138">#REF!</definedName>
    <definedName name="RdrB34" localSheetId="6">#REF!</definedName>
    <definedName name="RdrB34" localSheetId="7">#REF!</definedName>
    <definedName name="RdrB34">#REF!</definedName>
    <definedName name="Reactive_KVAR" localSheetId="6">#REF!</definedName>
    <definedName name="Reactive_KVAR" localSheetId="7">#REF!</definedName>
    <definedName name="Reactive_KVAR">#REF!</definedName>
    <definedName name="Rec_Rate" localSheetId="6">#REF!</definedName>
    <definedName name="Rec_Rate" localSheetId="1">#REF!</definedName>
    <definedName name="Rec_Rate" localSheetId="2">#REF!</definedName>
    <definedName name="Rec_Rate" localSheetId="18">'Rate Base'!#REF!</definedName>
    <definedName name="Rec_Rate" localSheetId="17">#REF!</definedName>
    <definedName name="Rec_Rate" localSheetId="16">#REF!</definedName>
    <definedName name="Rec_Rate">#REF!</definedName>
    <definedName name="rename1">#N/A</definedName>
    <definedName name="rename2" localSheetId="6">PAGE5</definedName>
    <definedName name="rename2">PAGE5</definedName>
    <definedName name="ReqDate">#REF!</definedName>
    <definedName name="Revenue_Month" localSheetId="6">#REF!</definedName>
    <definedName name="Revenue_Month" localSheetId="7">#REF!</definedName>
    <definedName name="Revenue_Month">#REF!</definedName>
    <definedName name="Rider_1" localSheetId="6">#REF!</definedName>
    <definedName name="Rider_1">#REF!</definedName>
    <definedName name="Rider_2" localSheetId="6">#REF!</definedName>
    <definedName name="Rider_2">#REF!</definedName>
    <definedName name="Rider_3" localSheetId="6">#REF!</definedName>
    <definedName name="Rider_3">#REF!</definedName>
    <definedName name="Rider_4" localSheetId="6">#REF!</definedName>
    <definedName name="Rider_4">#REF!</definedName>
    <definedName name="Rider_5" localSheetId="6">#REF!</definedName>
    <definedName name="Rider_5">#REF!</definedName>
    <definedName name="right">#REF!</definedName>
    <definedName name="RMCGenDol">OFFSET([12]DlGenDol!$C$2,0,0,COUNTA([12]DlGenDol!$C$2:$C$5000),1)</definedName>
    <definedName name="RMCUnits">OFFSET([12]DlUnits!$C$2,0,0,COUNTA([12]DlUnits!$C$2:$C$5000),1)</definedName>
    <definedName name="ROR" localSheetId="6">#REF!</definedName>
    <definedName name="ROR" localSheetId="1">#REF!</definedName>
    <definedName name="ROR" localSheetId="2">#REF!</definedName>
    <definedName name="ROR" localSheetId="18">'Rate Base'!#REF!</definedName>
    <definedName name="ROR" localSheetId="17">#REF!</definedName>
    <definedName name="ROR" localSheetId="16">#REF!</definedName>
    <definedName name="ROR">#REF!</definedName>
    <definedName name="ROR_Debt" localSheetId="6">#REF!</definedName>
    <definedName name="ROR_Debt" localSheetId="1">#REF!</definedName>
    <definedName name="ROR_Debt" localSheetId="2">#REF!</definedName>
    <definedName name="ROR_Debt" localSheetId="18">'Rate Base'!#REF!</definedName>
    <definedName name="ROR_Debt" localSheetId="17">#REF!</definedName>
    <definedName name="ROR_Debt" localSheetId="16">#REF!</definedName>
    <definedName name="ROR_Debt">#REF!</definedName>
    <definedName name="ROR_Debt_new">[20]Summary!$C$20</definedName>
    <definedName name="ROR_new">[20]Summary!$C$19</definedName>
    <definedName name="rr" localSheetId="6">[18]ACCOUNTING!#REF!</definedName>
    <definedName name="rr" localSheetId="0">[18]ACCOUNTING!#REF!</definedName>
    <definedName name="rr" localSheetId="1">[18]ACCOUNTING!#REF!</definedName>
    <definedName name="rr" localSheetId="2">[18]ACCOUNTING!#REF!</definedName>
    <definedName name="rr" localSheetId="3">[18]ACCOUNTING!#REF!</definedName>
    <definedName name="rr">[18]ACCOUNTING!#REF!</definedName>
    <definedName name="rrr">[18]Purchase!$A$1:$E$120</definedName>
    <definedName name="RTGenDol">OFFSET([12]DlGenDol!$E$2,0,0,COUNTA([12]DlGenDol!$E$2:$E$5000),1)</definedName>
    <definedName name="RTUnits">OFFSET([12]DlUnits!$E$2,0,0,COUNTA([12]DlUnits!$E$2:$E$5000),1)</definedName>
    <definedName name="SALES" localSheetId="6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APBEXrevision" hidden="1">18</definedName>
    <definedName name="SAPBEXsysID" hidden="1">"BWP"</definedName>
    <definedName name="SAPBEXwbID" hidden="1">"3PHPFV8FO7PRQRDHFGKHVVOKV"</definedName>
    <definedName name="Scenarios">[13]Scenarios!$A$17:$Y$41</definedName>
    <definedName name="SCH01_MISO_Revenue" localSheetId="6">#REF!</definedName>
    <definedName name="SCH01_MISO_Revenue">#REF!</definedName>
    <definedName name="SCH01_Shadow_Revenue" localSheetId="6">#REF!</definedName>
    <definedName name="SCH01_Shadow_Revenue">#REF!</definedName>
    <definedName name="SCH1_NBV">[17]Constants!$B$5</definedName>
    <definedName name="Seasonal_KWH" localSheetId="6">#REF!</definedName>
    <definedName name="Seasonal_KWH" localSheetId="7">#REF!</definedName>
    <definedName name="Seasonal_KWH">#REF!</definedName>
    <definedName name="sec">#REF!</definedName>
    <definedName name="SendCk">#REF!</definedName>
    <definedName name="SendMC">#REF!</definedName>
    <definedName name="SepGenDol">OFFSET([12]DlGenDol!$N$2,0,0,COUNTA([12]DlGenDol!$N$2:$N$5000),1)</definedName>
    <definedName name="SepInvDol">OFFSET([12]DlInvDol!$K$2,0,0,COUNTA([12]DlInvDol!$K$2:$K$500),1)</definedName>
    <definedName name="SepTonInv">OFFSET([12]DlTonInv!$K$2,0,0,COUNTA([12]DlTonInv!$K$2:$K$5000),1)</definedName>
    <definedName name="SepUnits">OFFSET([12]DlUnits!$O$2,0,0,COUNTA([12]DlUnits!$O$2:$O$5000),1)</definedName>
    <definedName name="SKW" localSheetId="6">#REF!</definedName>
    <definedName name="SKW" localSheetId="7">#REF!</definedName>
    <definedName name="SKW">#REF!</definedName>
    <definedName name="SKWH" localSheetId="6">#REF!</definedName>
    <definedName name="SKWH">#REF!</definedName>
    <definedName name="SOffpkkwh" localSheetId="6">#REF!</definedName>
    <definedName name="SOffpkkwh">#REF!</definedName>
    <definedName name="SOnpkkwh" localSheetId="6">#REF!</definedName>
    <definedName name="SOnpkkwh">#REF!</definedName>
    <definedName name="SPA" localSheetId="6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StartingValDate">[13]Input!$D$8</definedName>
    <definedName name="StringLookup">#REF!</definedName>
    <definedName name="Sub1PageTitle">[13]Input!$A$2</definedName>
    <definedName name="table" localSheetId="6">#REF!</definedName>
    <definedName name="table">#REF!</definedName>
    <definedName name="Tariff" localSheetId="6">#REF!</definedName>
    <definedName name="Tariff" localSheetId="7">#REF!</definedName>
    <definedName name="Tariff">#REF!</definedName>
    <definedName name="TAX_RATES_1" localSheetId="6">#REF!</definedName>
    <definedName name="TAX_RATES_1" localSheetId="1">#REF!</definedName>
    <definedName name="TAX_RATES_1" localSheetId="2">#REF!</definedName>
    <definedName name="TAX_RATES_1" localSheetId="18">#REF!</definedName>
    <definedName name="TAX_RATES_1" localSheetId="16">#REF!</definedName>
    <definedName name="TAX_RATES_1">#REF!</definedName>
    <definedName name="TAX_RATES_2" localSheetId="6">#REF!</definedName>
    <definedName name="TAX_RATES_2" localSheetId="1">#REF!</definedName>
    <definedName name="TAX_RATES_2" localSheetId="2">#REF!</definedName>
    <definedName name="TAX_RATES_2" localSheetId="18">#REF!</definedName>
    <definedName name="TAX_RATES_2" localSheetId="16">#REF!</definedName>
    <definedName name="TAX_RATES_2">#REF!</definedName>
    <definedName name="TAX_RATES_3" localSheetId="6">#REF!</definedName>
    <definedName name="TAX_RATES_3" localSheetId="1">#REF!</definedName>
    <definedName name="TAX_RATES_3" localSheetId="2">#REF!</definedName>
    <definedName name="TAX_RATES_3" localSheetId="18">#REF!</definedName>
    <definedName name="TAX_RATES_3" localSheetId="16">#REF!</definedName>
    <definedName name="TAX_RATES_3">#REF!</definedName>
    <definedName name="TBL1A">#REF!</definedName>
    <definedName name="TBL1B">#REF!</definedName>
    <definedName name="tblActivity_Key" localSheetId="6">#REF!</definedName>
    <definedName name="tblActivity_Key">#REF!</definedName>
    <definedName name="Test" localSheetId="6">#REF!</definedName>
    <definedName name="Test">#REF!</definedName>
    <definedName name="Test_2" localSheetId="6">#REF!</definedName>
    <definedName name="Test_2">#REF!</definedName>
    <definedName name="TextRefCopyRangeCount">1</definedName>
    <definedName name="third">#REF!</definedName>
    <definedName name="TITLE">#REF!</definedName>
    <definedName name="Today" localSheetId="6">#REF!</definedName>
    <definedName name="Today" localSheetId="7">#REF!</definedName>
    <definedName name="Today">#REF!</definedName>
    <definedName name="TonInv_Amt">OFFSET([12]DlTonInv!$P$2,0,0,COUNTA([12]DlTonInv!$A$2:$A$500),1)</definedName>
    <definedName name="TonInv_AmtPrior">OFFSET([12]DlTonInv!$R$2,0,0,COUNTA([12]DlTonInv!$A$2:$A$500),1)</definedName>
    <definedName name="TonInv_BD">OFFSET([12]DlTonInv!$A$2,0,0,COUNTA([12]DlTonInv!$A$2:$A$500),1)</definedName>
    <definedName name="TonInv_FuelType">OFFSET([12]DlTonInv!$Q$2,0,0,COUNTA([12]DlTonInv!$A$2:$A$500),1)</definedName>
    <definedName name="TonInv_Majmin">OFFSET([12]DlTonInv!$B$2,0,0,COUNTA([12]DlTonInv!$A$2:$A$500),1)</definedName>
    <definedName name="TonInv_YTD">OFFSET([12]DlTonInv!$S$2,0,0,COUNTA([12]DlTonInv!$A$2:$A$500),1)</definedName>
    <definedName name="Tot_Base_Recalc_Rev" localSheetId="6">#REF!</definedName>
    <definedName name="Tot_Base_Recalc_Rev" localSheetId="7">#REF!</definedName>
    <definedName name="Tot_Base_Recalc_Rev">#REF!</definedName>
    <definedName name="Total_Base_Rev" localSheetId="6">#REF!</definedName>
    <definedName name="Total_Base_Rev">#REF!</definedName>
    <definedName name="Total_Crit_Peak_Rev" localSheetId="6">#REF!</definedName>
    <definedName name="Total_Crit_Peak_Rev">#REF!</definedName>
    <definedName name="Total_Cust_Charge" localSheetId="6">#REF!</definedName>
    <definedName name="Total_Cust_Charge">#REF!</definedName>
    <definedName name="Total_Demand_Rev" localSheetId="6">#REF!</definedName>
    <definedName name="Total_Demand_Rev">#REF!</definedName>
    <definedName name="Total_KWH" localSheetId="6">#REF!</definedName>
    <definedName name="Total_KWH">#REF!</definedName>
    <definedName name="Total_KWH_Step_1" localSheetId="6">#REF!</definedName>
    <definedName name="Total_KWH_Step_1">#REF!</definedName>
    <definedName name="Total_KWH_Step_2" localSheetId="6">#REF!</definedName>
    <definedName name="Total_KWH_Step_2">#REF!</definedName>
    <definedName name="Total_KWH_Step_3" localSheetId="6">#REF!</definedName>
    <definedName name="Total_KWH_Step_3">#REF!</definedName>
    <definedName name="Total_Off_Peak_Rev" localSheetId="6">#REF!</definedName>
    <definedName name="Total_Off_Peak_Rev">#REF!</definedName>
    <definedName name="Total_On_Peak_Rev" localSheetId="6">#REF!</definedName>
    <definedName name="Total_On_Peak_Rev">#REF!</definedName>
    <definedName name="Total_Other_Rev" localSheetId="6">#REF!</definedName>
    <definedName name="Total_Other_Rev">#REF!</definedName>
    <definedName name="Total_Reactive_Rev" localSheetId="6">#REF!</definedName>
    <definedName name="Total_Reactive_Rev">#REF!</definedName>
    <definedName name="Total_Revenue" localSheetId="6">#REF!</definedName>
    <definedName name="Total_Revenue">#REF!</definedName>
    <definedName name="Total_Seasonal_Rev" localSheetId="6">#REF!</definedName>
    <definedName name="Total_Seasonal_Rev">#REF!</definedName>
    <definedName name="Total_Suppl_Adj_Rev" localSheetId="6">#REF!</definedName>
    <definedName name="Total_Suppl_Adj_Rev">#REF!</definedName>
    <definedName name="Transaction" localSheetId="6">#REF!</definedName>
    <definedName name="Transaction">#REF!</definedName>
    <definedName name="Transmission_by_Others" localSheetId="6">#REF!</definedName>
    <definedName name="Transmission_by_Others">#REF!</definedName>
    <definedName name="TY">[21]Input!$B$5</definedName>
    <definedName name="u" localSheetId="6">PAGE5</definedName>
    <definedName name="u">PAGE5</definedName>
    <definedName name="UE_IL_EZ_parcels" localSheetId="6">#REF!</definedName>
    <definedName name="UE_IL_EZ_parcels">#REF!</definedName>
    <definedName name="UE50Current" localSheetId="6">#REF!</definedName>
    <definedName name="UE50Current">#REF!</definedName>
    <definedName name="UE50Unique" localSheetId="6">#REF!</definedName>
    <definedName name="UE50Unique">#REF!</definedName>
    <definedName name="UEC50CoalCo" localSheetId="6">#REF!</definedName>
    <definedName name="UEC50CoalCo">#REF!</definedName>
    <definedName name="UEC50CurrPrior" localSheetId="6">#REF!</definedName>
    <definedName name="UEC50CurrPrior">#REF!</definedName>
    <definedName name="UEC50Fuel" localSheetId="6">#REF!</definedName>
    <definedName name="UEC50Fuel">#REF!</definedName>
    <definedName name="UEC50FuelwTax" localSheetId="6">#REF!</definedName>
    <definedName name="UEC50FuelwTax">#REF!</definedName>
    <definedName name="UEC50InvoiceType" localSheetId="6">#REF!</definedName>
    <definedName name="UEC50InvoiceType">#REF!</definedName>
    <definedName name="UEC50SourceData" localSheetId="6">#REF!</definedName>
    <definedName name="UEC50SourceData">#REF!</definedName>
    <definedName name="UEC50Stats" localSheetId="6">#REF!</definedName>
    <definedName name="UEC50Stats">#REF!</definedName>
    <definedName name="UEC50Transp" localSheetId="6">#REF!</definedName>
    <definedName name="UEC50Transp">#REF!</definedName>
    <definedName name="Uec50Units" localSheetId="6">#REF!</definedName>
    <definedName name="Uec50Units">#REF!</definedName>
    <definedName name="UEC50UnitType" localSheetId="6">#REF!</definedName>
    <definedName name="UEC50UnitType">#REF!</definedName>
    <definedName name="Uec53CoalCo" localSheetId="6">#REF!</definedName>
    <definedName name="Uec53CoalCo">#REF!</definedName>
    <definedName name="Uec53CurrPrior" localSheetId="6">#REF!</definedName>
    <definedName name="Uec53CurrPrior">#REF!</definedName>
    <definedName name="Uec53Fuel" localSheetId="6">#REF!</definedName>
    <definedName name="Uec53Fuel">#REF!</definedName>
    <definedName name="Uec53FuelwTax" localSheetId="6">#REF!</definedName>
    <definedName name="Uec53FuelwTax">#REF!</definedName>
    <definedName name="Uec53InvoiceType" localSheetId="6">#REF!</definedName>
    <definedName name="Uec53InvoiceType">#REF!</definedName>
    <definedName name="Uec53SourceData" localSheetId="6">#REF!</definedName>
    <definedName name="Uec53SourceData">#REF!</definedName>
    <definedName name="Uec53Stats" localSheetId="6">#REF!</definedName>
    <definedName name="Uec53Stats">#REF!</definedName>
    <definedName name="Uec53Transp" localSheetId="6">#REF!</definedName>
    <definedName name="Uec53Transp">#REF!</definedName>
    <definedName name="Uec53Units" localSheetId="6">#REF!</definedName>
    <definedName name="Uec53Units">#REF!</definedName>
    <definedName name="Uec53UnitType" localSheetId="6">#REF!</definedName>
    <definedName name="Uec53UnitType">#REF!</definedName>
    <definedName name="Uec58CoalCo" localSheetId="6">#REF!</definedName>
    <definedName name="Uec58CoalCo">#REF!</definedName>
    <definedName name="Uec58CurrPrior" localSheetId="6">#REF!</definedName>
    <definedName name="Uec58CurrPrior">#REF!</definedName>
    <definedName name="Uec58Fuel" localSheetId="6">#REF!</definedName>
    <definedName name="Uec58Fuel">#REF!</definedName>
    <definedName name="Uec58FuelwTax" localSheetId="6">#REF!</definedName>
    <definedName name="Uec58FuelwTax">#REF!</definedName>
    <definedName name="Uec58InvoiceType" localSheetId="6">#REF!</definedName>
    <definedName name="Uec58InvoiceType">#REF!</definedName>
    <definedName name="Uec58SourceData" localSheetId="6">#REF!</definedName>
    <definedName name="Uec58SourceData">#REF!</definedName>
    <definedName name="Uec58Stats" localSheetId="6">#REF!</definedName>
    <definedName name="Uec58Stats">#REF!</definedName>
    <definedName name="Uec58Transp" localSheetId="6">#REF!</definedName>
    <definedName name="Uec58Transp">#REF!</definedName>
    <definedName name="Uec58Units" localSheetId="6">#REF!</definedName>
    <definedName name="Uec58Units">#REF!</definedName>
    <definedName name="Uec58UnitType" localSheetId="6">#REF!</definedName>
    <definedName name="Uec58UnitType">#REF!</definedName>
    <definedName name="Uec63CoalCo" localSheetId="6">#REF!</definedName>
    <definedName name="Uec63CoalCo">#REF!</definedName>
    <definedName name="Uec63CurrPrior" localSheetId="6">#REF!</definedName>
    <definedName name="Uec63CurrPrior">#REF!</definedName>
    <definedName name="Uec63Fuel" localSheetId="6">#REF!</definedName>
    <definedName name="Uec63Fuel">#REF!</definedName>
    <definedName name="Uec63FuelwTax" localSheetId="6">#REF!</definedName>
    <definedName name="Uec63FuelwTax">#REF!</definedName>
    <definedName name="Uec63InvoiceType" localSheetId="6">#REF!</definedName>
    <definedName name="Uec63InvoiceType">#REF!</definedName>
    <definedName name="Uec63SourceData" localSheetId="6">#REF!</definedName>
    <definedName name="Uec63SourceData">#REF!</definedName>
    <definedName name="Uec63Stats" localSheetId="6">#REF!</definedName>
    <definedName name="Uec63Stats">#REF!</definedName>
    <definedName name="Uec63Transp" localSheetId="6">#REF!</definedName>
    <definedName name="Uec63Transp">#REF!</definedName>
    <definedName name="Uec63Units" localSheetId="6">#REF!</definedName>
    <definedName name="Uec63Units">#REF!</definedName>
    <definedName name="Uec63UnitType" localSheetId="6">#REF!</definedName>
    <definedName name="Uec63UnitType">#REF!</definedName>
    <definedName name="UL" localSheetId="6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nits_amt">OFFSET([12]DlUnits!$AE$1,0,0,COUNTA([12]DlUnits!$A:$A),1)</definedName>
    <definedName name="Units_amt01">OFFSET([12]DlUnits!$G$1,0,0,COUNTA([12]DlUnits!$A:$A),1)</definedName>
    <definedName name="Units_amt01p">OFFSET([12]DlUnits!$S$1,0,0,COUNTA([12]DlUnits!$A:$A),1)</definedName>
    <definedName name="Units_amt02">OFFSET([12]DlUnits!$H$1,0,0,COUNTA([12]DlUnits!$A:$A),1)</definedName>
    <definedName name="Units_amt02p">OFFSET([12]DlUnits!$T$1,0,0,COUNTA([12]DlUnits!$A:$A),1)</definedName>
    <definedName name="Units_amt03">OFFSET([12]DlUnits!$I$1,0,0,COUNTA([12]DlUnits!$A:$A),1)</definedName>
    <definedName name="Units_amt03p">OFFSET([12]DlUnits!$U$1,0,0,COUNTA([12]DlUnits!$A:$A),1)</definedName>
    <definedName name="Units_amt04">OFFSET([12]DlUnits!$J$1,0,0,COUNTA([12]DlUnits!$A:$A),1)</definedName>
    <definedName name="Units_amt04p">OFFSET([12]DlUnits!$V$1,0,0,COUNTA([12]DlUnits!$A:$A),1)</definedName>
    <definedName name="Units_amt05">OFFSET([12]DlUnits!$K$1,0,0,COUNTA([12]DlUnits!$A:$A),1)</definedName>
    <definedName name="Units_amt05p">OFFSET([12]DlUnits!$W$1,0,0,COUNTA([12]DlUnits!$A:$A),1)</definedName>
    <definedName name="Units_amt06">OFFSET([12]DlUnits!$L$1,0,0,COUNTA([12]DlUnits!$A:$A),1)</definedName>
    <definedName name="Units_amt06p">OFFSET([12]DlUnits!$X$1,0,0,COUNTA([12]DlUnits!$A:$A),1)</definedName>
    <definedName name="Units_amt07">OFFSET([12]DlUnits!$M$1,0,0,COUNTA([12]DlUnits!$A:$A),1)</definedName>
    <definedName name="Units_amt07p">OFFSET([12]DlUnits!$Y$1,0,0,COUNTA([12]DlUnits!$A:$A),1)</definedName>
    <definedName name="Units_amt08">OFFSET([12]DlUnits!$N$1,0,0,COUNTA([12]DlUnits!$A:$A),1)</definedName>
    <definedName name="Units_amt08p">OFFSET([12]DlUnits!$Z$1,0,0,COUNTA([12]DlUnits!$A:$A),1)</definedName>
    <definedName name="Units_amt09">OFFSET([12]DlUnits!$O$1,0,0,COUNTA([12]DlUnits!$A:$A),1)</definedName>
    <definedName name="Units_amt09p">OFFSET([12]DlUnits!$AA$1,0,0,COUNTA([12]DlUnits!$A:$A),1)</definedName>
    <definedName name="Units_amt10">OFFSET([12]DlUnits!$P$1,0,0,COUNTA([12]DlUnits!$A:$A),1)</definedName>
    <definedName name="Units_amt10p">OFFSET([12]DlUnits!$AB$1,0,0,COUNTA([12]DlUnits!$A:$A),1)</definedName>
    <definedName name="Units_amt11">OFFSET([12]DlUnits!$Q$1,0,0,COUNTA([12]DlUnits!$A:$A),1)</definedName>
    <definedName name="Units_amt11p">OFFSET([12]DlUnits!$AC$1,0,0,COUNTA([12]DlUnits!$A:$A),1)</definedName>
    <definedName name="Units_amt12">OFFSET([12]DlUnits!$R$1,0,0,COUNTA([12]DlUnits!$A:$A),1)</definedName>
    <definedName name="Units_amt12p">OFFSET([12]DlUnits!$AD$1,0,0,COUNTA([12]DlUnits!$A:$A),1)</definedName>
    <definedName name="Units_amt2">OFFSET([12]DlUnits!$AF$1,0,0,COUNTA([12]DlUnits!$A:$A),1)</definedName>
    <definedName name="Units_amt3">OFFSET([12]DlUnits!$AH$1,0,0,COUNTA([12]DlUnits!$A:$A),1)</definedName>
    <definedName name="Units_amt4">OFFSET([12]DlUnits!$AI$1,0,0,COUNTA([12]DlUnits!$A:$A),1)</definedName>
    <definedName name="Units_BD">OFFSET([12]DlUnits!$B$1,0,0,COUNTA([12]DlUnits!$A:$A),1)</definedName>
    <definedName name="Units_Corp">OFFSET([12]DlUnits!$A$1,0,0,COUNTA([12]DlUnits!$A:$A),1)</definedName>
    <definedName name="Units_Fueltype">OFFSET([12]DlUnits!$AG$1,0,0,COUNTA([12]DlUnits!$A:$A),1)</definedName>
    <definedName name="Units_Majmin">OFFSET([12]DlUnits!$D$1,0,0,COUNTA([12]DlUnits!$A:$A),1)</definedName>
    <definedName name="Units_RMC">OFFSET([12]DlUnits!$C$1,0,0,COUNTA([12]DlUnits!$A:$A),1)</definedName>
    <definedName name="Units_RT">OFFSET([12]DlUnits!$E$1,0,0,COUNTA([12]DlUnits!$A:$A),1)</definedName>
    <definedName name="UnitsAmt">OFFSET([12]DlUnits!$AE$2,0,0,COUNTA([12]DlUnits!$AE$2:$AE$5000),1)</definedName>
    <definedName name="UnitsYTD">OFFSET([12]DlUnits!$AJ$2,0,0,COUNTA([12]DlUnits!$AJ$2:$AJ$5000),1)</definedName>
    <definedName name="upload" localSheetId="6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VndName">#REF!</definedName>
    <definedName name="WKW" localSheetId="6">#REF!</definedName>
    <definedName name="WKW" localSheetId="7">#REF!</definedName>
    <definedName name="WKW">#REF!</definedName>
    <definedName name="WKWH" localSheetId="6">#REF!</definedName>
    <definedName name="WKWH" localSheetId="7">#REF!</definedName>
    <definedName name="WKWH">#REF!</definedName>
    <definedName name="WOffpkkwh" localSheetId="6">#REF!</definedName>
    <definedName name="WOffpkkwh">#REF!</definedName>
    <definedName name="WOnpkkwh" localSheetId="6">#REF!</definedName>
    <definedName name="WOnpkkwh">#REF!</definedName>
    <definedName name="wrn.page1." localSheetId="6" hidden="1">{"page1",#N/A,FALSE,"260"}</definedName>
    <definedName name="wrn.page1." localSheetId="7" hidden="1">{"page1",#N/A,FALSE,"260"}</definedName>
    <definedName name="wrn.page1." localSheetId="17" hidden="1">{"page1",#N/A,FALSE,"260"}</definedName>
    <definedName name="wrn.page1." localSheetId="16" hidden="1">{"page1",#N/A,FALSE,"260"}</definedName>
    <definedName name="wrn.page1." hidden="1">{"page1",#N/A,FALSE,"260"}</definedName>
    <definedName name="wrn.page1._1" localSheetId="6" hidden="1">{"page1",#N/A,FALSE,"260"}</definedName>
    <definedName name="wrn.page1._1" localSheetId="7" hidden="1">{"page1",#N/A,FALSE,"260"}</definedName>
    <definedName name="wrn.page1._1" hidden="1">{"page1",#N/A,FALSE,"260"}</definedName>
    <definedName name="wrn.page1._1_1" localSheetId="6" hidden="1">{"page1",#N/A,FALSE,"260"}</definedName>
    <definedName name="wrn.page1._1_1" localSheetId="7" hidden="1">{"page1",#N/A,FALSE,"260"}</definedName>
    <definedName name="wrn.page1._1_1" hidden="1">{"page1",#N/A,FALSE,"260"}</definedName>
    <definedName name="wrn.page1._1_1_1" hidden="1">{"page1",#N/A,FALSE,"260"}</definedName>
    <definedName name="wrn.page1._1_1_2" hidden="1">{"page1",#N/A,FALSE,"260"}</definedName>
    <definedName name="wrn.page1._1_1_3" hidden="1">{"page1",#N/A,FALSE,"260"}</definedName>
    <definedName name="wrn.page1._1_1_4" hidden="1">{"page1",#N/A,FALSE,"260"}</definedName>
    <definedName name="wrn.page1._1_1_5" hidden="1">{"page1",#N/A,FALSE,"260"}</definedName>
    <definedName name="wrn.page1._1_2" localSheetId="6" hidden="1">{"page1",#N/A,FALSE,"260"}</definedName>
    <definedName name="wrn.page1._1_2" localSheetId="7" hidden="1">{"page1",#N/A,FALSE,"260"}</definedName>
    <definedName name="wrn.page1._1_2" hidden="1">{"page1",#N/A,FALSE,"260"}</definedName>
    <definedName name="wrn.page1._1_2_1" hidden="1">{"page1",#N/A,FALSE,"260"}</definedName>
    <definedName name="wrn.page1._1_2_2" hidden="1">{"page1",#N/A,FALSE,"260"}</definedName>
    <definedName name="wrn.page1._1_2_3" hidden="1">{"page1",#N/A,FALSE,"260"}</definedName>
    <definedName name="wrn.page1._1_2_4" hidden="1">{"page1",#N/A,FALSE,"260"}</definedName>
    <definedName name="wrn.page1._1_2_5" hidden="1">{"page1",#N/A,FALSE,"260"}</definedName>
    <definedName name="wrn.page1._1_3" localSheetId="6" hidden="1">{"page1",#N/A,FALSE,"260"}</definedName>
    <definedName name="wrn.page1._1_3" localSheetId="7" hidden="1">{"page1",#N/A,FALSE,"260"}</definedName>
    <definedName name="wrn.page1._1_3" hidden="1">{"page1",#N/A,FALSE,"260"}</definedName>
    <definedName name="wrn.page1._1_3_1" hidden="1">{"page1",#N/A,FALSE,"260"}</definedName>
    <definedName name="wrn.page1._1_3_2" hidden="1">{"page1",#N/A,FALSE,"260"}</definedName>
    <definedName name="wrn.page1._1_3_3" hidden="1">{"page1",#N/A,FALSE,"260"}</definedName>
    <definedName name="wrn.page1._1_3_4" hidden="1">{"page1",#N/A,FALSE,"260"}</definedName>
    <definedName name="wrn.page1._1_3_5" hidden="1">{"page1",#N/A,FALSE,"260"}</definedName>
    <definedName name="wrn.page1._1_4" localSheetId="6" hidden="1">{"page1",#N/A,FALSE,"260"}</definedName>
    <definedName name="wrn.page1._1_4" localSheetId="7" hidden="1">{"page1",#N/A,FALSE,"260"}</definedName>
    <definedName name="wrn.page1._1_4" hidden="1">{"page1",#N/A,FALSE,"260"}</definedName>
    <definedName name="wrn.page1._1_4_1" hidden="1">{"page1",#N/A,FALSE,"260"}</definedName>
    <definedName name="wrn.page1._1_4_2" hidden="1">{"page1",#N/A,FALSE,"260"}</definedName>
    <definedName name="wrn.page1._1_4_3" hidden="1">{"page1",#N/A,FALSE,"260"}</definedName>
    <definedName name="wrn.page1._1_4_4" hidden="1">{"page1",#N/A,FALSE,"260"}</definedName>
    <definedName name="wrn.page1._1_4_5" hidden="1">{"page1",#N/A,FALSE,"260"}</definedName>
    <definedName name="wrn.page1._1_5" localSheetId="6" hidden="1">{"page1",#N/A,FALSE,"260"}</definedName>
    <definedName name="wrn.page1._1_5" localSheetId="7" hidden="1">{"page1",#N/A,FALSE,"260"}</definedName>
    <definedName name="wrn.page1._1_5" hidden="1">{"page1",#N/A,FALSE,"260"}</definedName>
    <definedName name="wrn.page1._1_5_1" hidden="1">{"page1",#N/A,FALSE,"260"}</definedName>
    <definedName name="wrn.page1._1_5_2" hidden="1">{"page1",#N/A,FALSE,"260"}</definedName>
    <definedName name="wrn.page1._1_5_3" hidden="1">{"page1",#N/A,FALSE,"260"}</definedName>
    <definedName name="wrn.page1._1_5_4" hidden="1">{"page1",#N/A,FALSE,"260"}</definedName>
    <definedName name="wrn.page1._1_5_5" hidden="1">{"page1",#N/A,FALSE,"260"}</definedName>
    <definedName name="wrn.page1._2" localSheetId="6" hidden="1">{"page1",#N/A,FALSE,"260"}</definedName>
    <definedName name="wrn.page1._2" localSheetId="7" hidden="1">{"page1",#N/A,FALSE,"260"}</definedName>
    <definedName name="wrn.page1._2" hidden="1">{"page1",#N/A,FALSE,"260"}</definedName>
    <definedName name="wrn.page1._2_1" localSheetId="6" hidden="1">{"page1",#N/A,FALSE,"260"}</definedName>
    <definedName name="wrn.page1._2_1" localSheetId="7" hidden="1">{"page1",#N/A,FALSE,"260"}</definedName>
    <definedName name="wrn.page1._2_1" hidden="1">{"page1",#N/A,FALSE,"260"}</definedName>
    <definedName name="wrn.page1._2_1_1" hidden="1">{"page1",#N/A,FALSE,"260"}</definedName>
    <definedName name="wrn.page1._2_1_2" hidden="1">{"page1",#N/A,FALSE,"260"}</definedName>
    <definedName name="wrn.page1._2_1_3" hidden="1">{"page1",#N/A,FALSE,"260"}</definedName>
    <definedName name="wrn.page1._2_1_4" hidden="1">{"page1",#N/A,FALSE,"260"}</definedName>
    <definedName name="wrn.page1._2_1_5" hidden="1">{"page1",#N/A,FALSE,"260"}</definedName>
    <definedName name="wrn.page1._2_2" localSheetId="6" hidden="1">{"page1",#N/A,FALSE,"260"}</definedName>
    <definedName name="wrn.page1._2_2" localSheetId="7" hidden="1">{"page1",#N/A,FALSE,"260"}</definedName>
    <definedName name="wrn.page1._2_2" hidden="1">{"page1",#N/A,FALSE,"260"}</definedName>
    <definedName name="wrn.page1._2_2_1" hidden="1">{"page1",#N/A,FALSE,"260"}</definedName>
    <definedName name="wrn.page1._2_2_2" hidden="1">{"page1",#N/A,FALSE,"260"}</definedName>
    <definedName name="wrn.page1._2_2_3" hidden="1">{"page1",#N/A,FALSE,"260"}</definedName>
    <definedName name="wrn.page1._2_2_4" hidden="1">{"page1",#N/A,FALSE,"260"}</definedName>
    <definedName name="wrn.page1._2_2_5" hidden="1">{"page1",#N/A,FALSE,"260"}</definedName>
    <definedName name="wrn.page1._2_3" localSheetId="6" hidden="1">{"page1",#N/A,FALSE,"260"}</definedName>
    <definedName name="wrn.page1._2_3" localSheetId="7" hidden="1">{"page1",#N/A,FALSE,"260"}</definedName>
    <definedName name="wrn.page1._2_3" hidden="1">{"page1",#N/A,FALSE,"260"}</definedName>
    <definedName name="wrn.page1._2_3_1" hidden="1">{"page1",#N/A,FALSE,"260"}</definedName>
    <definedName name="wrn.page1._2_3_2" hidden="1">{"page1",#N/A,FALSE,"260"}</definedName>
    <definedName name="wrn.page1._2_3_3" hidden="1">{"page1",#N/A,FALSE,"260"}</definedName>
    <definedName name="wrn.page1._2_3_4" hidden="1">{"page1",#N/A,FALSE,"260"}</definedName>
    <definedName name="wrn.page1._2_3_5" hidden="1">{"page1",#N/A,FALSE,"260"}</definedName>
    <definedName name="wrn.page1._2_4" localSheetId="6" hidden="1">{"page1",#N/A,FALSE,"260"}</definedName>
    <definedName name="wrn.page1._2_4" localSheetId="7" hidden="1">{"page1",#N/A,FALSE,"260"}</definedName>
    <definedName name="wrn.page1._2_4" hidden="1">{"page1",#N/A,FALSE,"260"}</definedName>
    <definedName name="wrn.page1._2_4_1" hidden="1">{"page1",#N/A,FALSE,"260"}</definedName>
    <definedName name="wrn.page1._2_4_2" hidden="1">{"page1",#N/A,FALSE,"260"}</definedName>
    <definedName name="wrn.page1._2_4_3" hidden="1">{"page1",#N/A,FALSE,"260"}</definedName>
    <definedName name="wrn.page1._2_4_4" hidden="1">{"page1",#N/A,FALSE,"260"}</definedName>
    <definedName name="wrn.page1._2_4_5" hidden="1">{"page1",#N/A,FALSE,"260"}</definedName>
    <definedName name="wrn.page1._2_5" localSheetId="6" hidden="1">{"page1",#N/A,FALSE,"260"}</definedName>
    <definedName name="wrn.page1._2_5" localSheetId="7" hidden="1">{"page1",#N/A,FALSE,"260"}</definedName>
    <definedName name="wrn.page1._2_5" hidden="1">{"page1",#N/A,FALSE,"260"}</definedName>
    <definedName name="wrn.page1._2_5_1" hidden="1">{"page1",#N/A,FALSE,"260"}</definedName>
    <definedName name="wrn.page1._2_5_2" hidden="1">{"page1",#N/A,FALSE,"260"}</definedName>
    <definedName name="wrn.page1._2_5_3" hidden="1">{"page1",#N/A,FALSE,"260"}</definedName>
    <definedName name="wrn.page1._2_5_4" hidden="1">{"page1",#N/A,FALSE,"260"}</definedName>
    <definedName name="wrn.page1._2_5_5" hidden="1">{"page1",#N/A,FALSE,"260"}</definedName>
    <definedName name="wrn.page1._3" localSheetId="6" hidden="1">{"page1",#N/A,FALSE,"260"}</definedName>
    <definedName name="wrn.page1._3" localSheetId="7" hidden="1">{"page1",#N/A,FALSE,"260"}</definedName>
    <definedName name="wrn.page1._3" hidden="1">{"page1",#N/A,FALSE,"260"}</definedName>
    <definedName name="wrn.page1._3_1" hidden="1">{"page1",#N/A,FALSE,"260"}</definedName>
    <definedName name="wrn.page1._3_2" hidden="1">{"page1",#N/A,FALSE,"260"}</definedName>
    <definedName name="wrn.page1._3_3" hidden="1">{"page1",#N/A,FALSE,"260"}</definedName>
    <definedName name="wrn.page1._3_4" hidden="1">{"page1",#N/A,FALSE,"260"}</definedName>
    <definedName name="wrn.page1._3_5" hidden="1">{"page1",#N/A,FALSE,"260"}</definedName>
    <definedName name="wrn.page1._4" localSheetId="6" hidden="1">{"page1",#N/A,FALSE,"260"}</definedName>
    <definedName name="wrn.page1._4" localSheetId="7" hidden="1">{"page1",#N/A,FALSE,"260"}</definedName>
    <definedName name="wrn.page1._4" hidden="1">{"page1",#N/A,FALSE,"260"}</definedName>
    <definedName name="wrn.page1._4_1" hidden="1">{"page1",#N/A,FALSE,"260"}</definedName>
    <definedName name="wrn.page1._4_2" hidden="1">{"page1",#N/A,FALSE,"260"}</definedName>
    <definedName name="wrn.page1._4_3" hidden="1">{"page1",#N/A,FALSE,"260"}</definedName>
    <definedName name="wrn.page1._4_4" hidden="1">{"page1",#N/A,FALSE,"260"}</definedName>
    <definedName name="wrn.page1._4_5" hidden="1">{"page1",#N/A,FALSE,"260"}</definedName>
    <definedName name="wrn.page1._5" localSheetId="6" hidden="1">{"page1",#N/A,FALSE,"260"}</definedName>
    <definedName name="wrn.page1._5" localSheetId="7" hidden="1">{"page1",#N/A,FALSE,"260"}</definedName>
    <definedName name="wrn.page1._5" hidden="1">{"page1",#N/A,FALSE,"260"}</definedName>
    <definedName name="wrn.page1._5_1" hidden="1">{"page1",#N/A,FALSE,"260"}</definedName>
    <definedName name="wrn.page1._5_2" hidden="1">{"page1",#N/A,FALSE,"260"}</definedName>
    <definedName name="wrn.page1._5_3" hidden="1">{"page1",#N/A,FALSE,"260"}</definedName>
    <definedName name="wrn.page1._5_4" hidden="1">{"page1",#N/A,FALSE,"260"}</definedName>
    <definedName name="wrn.page1._5_5" hidden="1">{"page1",#N/A,FALSE,"260"}</definedName>
    <definedName name="wrn2.page1" localSheetId="6" hidden="1">{"page1",#N/A,FALSE,"260"}</definedName>
    <definedName name="wrn2.page1" localSheetId="7" hidden="1">{"page1",#N/A,FALSE,"260"}</definedName>
    <definedName name="wrn2.page1" localSheetId="17" hidden="1">{"page1",#N/A,FALSE,"260"}</definedName>
    <definedName name="wrn2.page1" localSheetId="16" hidden="1">{"page1",#N/A,FALSE,"260"}</definedName>
    <definedName name="wrn2.page1" hidden="1">{"page1",#N/A,FALSE,"260"}</definedName>
    <definedName name="wrn2.page1_1" localSheetId="6" hidden="1">{"page1",#N/A,FALSE,"260"}</definedName>
    <definedName name="wrn2.page1_1" localSheetId="7" hidden="1">{"page1",#N/A,FALSE,"260"}</definedName>
    <definedName name="wrn2.page1_1" hidden="1">{"page1",#N/A,FALSE,"260"}</definedName>
    <definedName name="wrn2.page1_1_1" localSheetId="6" hidden="1">{"page1",#N/A,FALSE,"260"}</definedName>
    <definedName name="wrn2.page1_1_1" localSheetId="7" hidden="1">{"page1",#N/A,FALSE,"260"}</definedName>
    <definedName name="wrn2.page1_1_1" hidden="1">{"page1",#N/A,FALSE,"260"}</definedName>
    <definedName name="wrn2.page1_1_1_1" hidden="1">{"page1",#N/A,FALSE,"260"}</definedName>
    <definedName name="wrn2.page1_1_1_2" hidden="1">{"page1",#N/A,FALSE,"260"}</definedName>
    <definedName name="wrn2.page1_1_1_3" hidden="1">{"page1",#N/A,FALSE,"260"}</definedName>
    <definedName name="wrn2.page1_1_1_4" hidden="1">{"page1",#N/A,FALSE,"260"}</definedName>
    <definedName name="wrn2.page1_1_1_5" hidden="1">{"page1",#N/A,FALSE,"260"}</definedName>
    <definedName name="wrn2.page1_1_2" localSheetId="6" hidden="1">{"page1",#N/A,FALSE,"260"}</definedName>
    <definedName name="wrn2.page1_1_2" localSheetId="7" hidden="1">{"page1",#N/A,FALSE,"260"}</definedName>
    <definedName name="wrn2.page1_1_2" hidden="1">{"page1",#N/A,FALSE,"260"}</definedName>
    <definedName name="wrn2.page1_1_2_1" hidden="1">{"page1",#N/A,FALSE,"260"}</definedName>
    <definedName name="wrn2.page1_1_2_2" hidden="1">{"page1",#N/A,FALSE,"260"}</definedName>
    <definedName name="wrn2.page1_1_2_3" hidden="1">{"page1",#N/A,FALSE,"260"}</definedName>
    <definedName name="wrn2.page1_1_2_4" hidden="1">{"page1",#N/A,FALSE,"260"}</definedName>
    <definedName name="wrn2.page1_1_2_5" hidden="1">{"page1",#N/A,FALSE,"260"}</definedName>
    <definedName name="wrn2.page1_1_3" localSheetId="6" hidden="1">{"page1",#N/A,FALSE,"260"}</definedName>
    <definedName name="wrn2.page1_1_3" localSheetId="7" hidden="1">{"page1",#N/A,FALSE,"260"}</definedName>
    <definedName name="wrn2.page1_1_3" hidden="1">{"page1",#N/A,FALSE,"260"}</definedName>
    <definedName name="wrn2.page1_1_3_1" hidden="1">{"page1",#N/A,FALSE,"260"}</definedName>
    <definedName name="wrn2.page1_1_3_2" hidden="1">{"page1",#N/A,FALSE,"260"}</definedName>
    <definedName name="wrn2.page1_1_3_3" hidden="1">{"page1",#N/A,FALSE,"260"}</definedName>
    <definedName name="wrn2.page1_1_3_4" hidden="1">{"page1",#N/A,FALSE,"260"}</definedName>
    <definedName name="wrn2.page1_1_3_5" hidden="1">{"page1",#N/A,FALSE,"260"}</definedName>
    <definedName name="wrn2.page1_1_4" localSheetId="6" hidden="1">{"page1",#N/A,FALSE,"260"}</definedName>
    <definedName name="wrn2.page1_1_4" localSheetId="7" hidden="1">{"page1",#N/A,FALSE,"260"}</definedName>
    <definedName name="wrn2.page1_1_4" hidden="1">{"page1",#N/A,FALSE,"260"}</definedName>
    <definedName name="wrn2.page1_1_4_1" hidden="1">{"page1",#N/A,FALSE,"260"}</definedName>
    <definedName name="wrn2.page1_1_4_2" hidden="1">{"page1",#N/A,FALSE,"260"}</definedName>
    <definedName name="wrn2.page1_1_4_3" hidden="1">{"page1",#N/A,FALSE,"260"}</definedName>
    <definedName name="wrn2.page1_1_4_4" hidden="1">{"page1",#N/A,FALSE,"260"}</definedName>
    <definedName name="wrn2.page1_1_4_5" hidden="1">{"page1",#N/A,FALSE,"260"}</definedName>
    <definedName name="wrn2.page1_1_5" localSheetId="6" hidden="1">{"page1",#N/A,FALSE,"260"}</definedName>
    <definedName name="wrn2.page1_1_5" localSheetId="7" hidden="1">{"page1",#N/A,FALSE,"260"}</definedName>
    <definedName name="wrn2.page1_1_5" hidden="1">{"page1",#N/A,FALSE,"260"}</definedName>
    <definedName name="wrn2.page1_1_5_1" hidden="1">{"page1",#N/A,FALSE,"260"}</definedName>
    <definedName name="wrn2.page1_1_5_2" hidden="1">{"page1",#N/A,FALSE,"260"}</definedName>
    <definedName name="wrn2.page1_1_5_3" hidden="1">{"page1",#N/A,FALSE,"260"}</definedName>
    <definedName name="wrn2.page1_1_5_4" hidden="1">{"page1",#N/A,FALSE,"260"}</definedName>
    <definedName name="wrn2.page1_1_5_5" hidden="1">{"page1",#N/A,FALSE,"260"}</definedName>
    <definedName name="wrn2.page1_2" localSheetId="6" hidden="1">{"page1",#N/A,FALSE,"260"}</definedName>
    <definedName name="wrn2.page1_2" localSheetId="7" hidden="1">{"page1",#N/A,FALSE,"260"}</definedName>
    <definedName name="wrn2.page1_2" hidden="1">{"page1",#N/A,FALSE,"260"}</definedName>
    <definedName name="wrn2.page1_2_1" localSheetId="6" hidden="1">{"page1",#N/A,FALSE,"260"}</definedName>
    <definedName name="wrn2.page1_2_1" localSheetId="7" hidden="1">{"page1",#N/A,FALSE,"260"}</definedName>
    <definedName name="wrn2.page1_2_1" hidden="1">{"page1",#N/A,FALSE,"260"}</definedName>
    <definedName name="wrn2.page1_2_1_1" hidden="1">{"page1",#N/A,FALSE,"260"}</definedName>
    <definedName name="wrn2.page1_2_1_2" hidden="1">{"page1",#N/A,FALSE,"260"}</definedName>
    <definedName name="wrn2.page1_2_1_3" hidden="1">{"page1",#N/A,FALSE,"260"}</definedName>
    <definedName name="wrn2.page1_2_1_4" hidden="1">{"page1",#N/A,FALSE,"260"}</definedName>
    <definedName name="wrn2.page1_2_1_5" hidden="1">{"page1",#N/A,FALSE,"260"}</definedName>
    <definedName name="wrn2.page1_2_2" localSheetId="6" hidden="1">{"page1",#N/A,FALSE,"260"}</definedName>
    <definedName name="wrn2.page1_2_2" localSheetId="7" hidden="1">{"page1",#N/A,FALSE,"260"}</definedName>
    <definedName name="wrn2.page1_2_2" hidden="1">{"page1",#N/A,FALSE,"260"}</definedName>
    <definedName name="wrn2.page1_2_2_1" hidden="1">{"page1",#N/A,FALSE,"260"}</definedName>
    <definedName name="wrn2.page1_2_2_2" hidden="1">{"page1",#N/A,FALSE,"260"}</definedName>
    <definedName name="wrn2.page1_2_2_3" hidden="1">{"page1",#N/A,FALSE,"260"}</definedName>
    <definedName name="wrn2.page1_2_2_4" hidden="1">{"page1",#N/A,FALSE,"260"}</definedName>
    <definedName name="wrn2.page1_2_2_5" hidden="1">{"page1",#N/A,FALSE,"260"}</definedName>
    <definedName name="wrn2.page1_2_3" localSheetId="6" hidden="1">{"page1",#N/A,FALSE,"260"}</definedName>
    <definedName name="wrn2.page1_2_3" localSheetId="7" hidden="1">{"page1",#N/A,FALSE,"260"}</definedName>
    <definedName name="wrn2.page1_2_3" hidden="1">{"page1",#N/A,FALSE,"260"}</definedName>
    <definedName name="wrn2.page1_2_3_1" hidden="1">{"page1",#N/A,FALSE,"260"}</definedName>
    <definedName name="wrn2.page1_2_3_2" hidden="1">{"page1",#N/A,FALSE,"260"}</definedName>
    <definedName name="wrn2.page1_2_3_3" hidden="1">{"page1",#N/A,FALSE,"260"}</definedName>
    <definedName name="wrn2.page1_2_3_4" hidden="1">{"page1",#N/A,FALSE,"260"}</definedName>
    <definedName name="wrn2.page1_2_3_5" hidden="1">{"page1",#N/A,FALSE,"260"}</definedName>
    <definedName name="wrn2.page1_2_4" localSheetId="6" hidden="1">{"page1",#N/A,FALSE,"260"}</definedName>
    <definedName name="wrn2.page1_2_4" localSheetId="7" hidden="1">{"page1",#N/A,FALSE,"260"}</definedName>
    <definedName name="wrn2.page1_2_4" hidden="1">{"page1",#N/A,FALSE,"260"}</definedName>
    <definedName name="wrn2.page1_2_4_1" hidden="1">{"page1",#N/A,FALSE,"260"}</definedName>
    <definedName name="wrn2.page1_2_4_2" hidden="1">{"page1",#N/A,FALSE,"260"}</definedName>
    <definedName name="wrn2.page1_2_4_3" hidden="1">{"page1",#N/A,FALSE,"260"}</definedName>
    <definedName name="wrn2.page1_2_4_4" hidden="1">{"page1",#N/A,FALSE,"260"}</definedName>
    <definedName name="wrn2.page1_2_4_5" hidden="1">{"page1",#N/A,FALSE,"260"}</definedName>
    <definedName name="wrn2.page1_2_5" localSheetId="6" hidden="1">{"page1",#N/A,FALSE,"260"}</definedName>
    <definedName name="wrn2.page1_2_5" localSheetId="7" hidden="1">{"page1",#N/A,FALSE,"260"}</definedName>
    <definedName name="wrn2.page1_2_5" hidden="1">{"page1",#N/A,FALSE,"260"}</definedName>
    <definedName name="wrn2.page1_2_5_1" hidden="1">{"page1",#N/A,FALSE,"260"}</definedName>
    <definedName name="wrn2.page1_2_5_2" hidden="1">{"page1",#N/A,FALSE,"260"}</definedName>
    <definedName name="wrn2.page1_2_5_3" hidden="1">{"page1",#N/A,FALSE,"260"}</definedName>
    <definedName name="wrn2.page1_2_5_4" hidden="1">{"page1",#N/A,FALSE,"260"}</definedName>
    <definedName name="wrn2.page1_2_5_5" hidden="1">{"page1",#N/A,FALSE,"260"}</definedName>
    <definedName name="wrn2.page1_3" localSheetId="6" hidden="1">{"page1",#N/A,FALSE,"260"}</definedName>
    <definedName name="wrn2.page1_3" localSheetId="7" hidden="1">{"page1",#N/A,FALSE,"260"}</definedName>
    <definedName name="wrn2.page1_3" hidden="1">{"page1",#N/A,FALSE,"260"}</definedName>
    <definedName name="wrn2.page1_3_1" hidden="1">{"page1",#N/A,FALSE,"260"}</definedName>
    <definedName name="wrn2.page1_3_2" hidden="1">{"page1",#N/A,FALSE,"260"}</definedName>
    <definedName name="wrn2.page1_3_3" hidden="1">{"page1",#N/A,FALSE,"260"}</definedName>
    <definedName name="wrn2.page1_3_4" hidden="1">{"page1",#N/A,FALSE,"260"}</definedName>
    <definedName name="wrn2.page1_3_5" hidden="1">{"page1",#N/A,FALSE,"260"}</definedName>
    <definedName name="wrn2.page1_4" localSheetId="6" hidden="1">{"page1",#N/A,FALSE,"260"}</definedName>
    <definedName name="wrn2.page1_4" localSheetId="7" hidden="1">{"page1",#N/A,FALSE,"260"}</definedName>
    <definedName name="wrn2.page1_4" hidden="1">{"page1",#N/A,FALSE,"260"}</definedName>
    <definedName name="wrn2.page1_4_1" hidden="1">{"page1",#N/A,FALSE,"260"}</definedName>
    <definedName name="wrn2.page1_4_2" hidden="1">{"page1",#N/A,FALSE,"260"}</definedName>
    <definedName name="wrn2.page1_4_3" hidden="1">{"page1",#N/A,FALSE,"260"}</definedName>
    <definedName name="wrn2.page1_4_4" hidden="1">{"page1",#N/A,FALSE,"260"}</definedName>
    <definedName name="wrn2.page1_4_5" hidden="1">{"page1",#N/A,FALSE,"260"}</definedName>
    <definedName name="wrn2.page1_5" localSheetId="6" hidden="1">{"page1",#N/A,FALSE,"260"}</definedName>
    <definedName name="wrn2.page1_5" localSheetId="7" hidden="1">{"page1",#N/A,FALSE,"260"}</definedName>
    <definedName name="wrn2.page1_5" hidden="1">{"page1",#N/A,FALSE,"260"}</definedName>
    <definedName name="wrn2.page1_5_1" hidden="1">{"page1",#N/A,FALSE,"260"}</definedName>
    <definedName name="wrn2.page1_5_2" hidden="1">{"page1",#N/A,FALSE,"260"}</definedName>
    <definedName name="wrn2.page1_5_3" hidden="1">{"page1",#N/A,FALSE,"260"}</definedName>
    <definedName name="wrn2.page1_5_4" hidden="1">{"page1",#N/A,FALSE,"260"}</definedName>
    <definedName name="wrn2.page1_5_5" hidden="1">{"page1",#N/A,FALSE,"260"}</definedName>
    <definedName name="X" localSheetId="6">PAGE5</definedName>
    <definedName name="X">PAGE5</definedName>
    <definedName name="Year" localSheetId="6">#REF!</definedName>
    <definedName name="Year">#REF!</definedName>
    <definedName name="z" localSheetId="6" hidden="1">[18]ACCOUNTING!#REF!</definedName>
    <definedName name="z" localSheetId="0" hidden="1">[18]ACCOUNTING!#REF!</definedName>
    <definedName name="z" localSheetId="1" hidden="1">[18]ACCOUNTING!#REF!</definedName>
    <definedName name="z" localSheetId="2" hidden="1">[18]ACCOUNTING!#REF!</definedName>
    <definedName name="z" localSheetId="3" hidden="1">[18]ACCOUNTING!#REF!</definedName>
    <definedName name="z" hidden="1">[18]ACCOUNTING!#REF!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67" l="1"/>
  <c r="I33" i="67" s="1"/>
  <c r="J7" i="67" s="1"/>
  <c r="H32" i="67"/>
  <c r="C32" i="67"/>
  <c r="F31" i="67"/>
  <c r="D31" i="67"/>
  <c r="E30" i="67"/>
  <c r="F30" i="67" s="1"/>
  <c r="D30" i="67"/>
  <c r="J29" i="67"/>
  <c r="J30" i="67" s="1"/>
  <c r="E29" i="67"/>
  <c r="F29" i="67" s="1"/>
  <c r="D29" i="67"/>
  <c r="J28" i="67"/>
  <c r="L28" i="67" s="1"/>
  <c r="E28" i="67"/>
  <c r="D28" i="67"/>
  <c r="L27" i="67"/>
  <c r="E27" i="67"/>
  <c r="F27" i="67" s="1"/>
  <c r="D27" i="67"/>
  <c r="E26" i="67"/>
  <c r="F26" i="67" s="1"/>
  <c r="D26" i="67"/>
  <c r="K25" i="67"/>
  <c r="M25" i="67" s="1"/>
  <c r="J25" i="67"/>
  <c r="J26" i="67" s="1"/>
  <c r="L26" i="67" s="1"/>
  <c r="E25" i="67"/>
  <c r="F25" i="67" s="1"/>
  <c r="D25" i="67"/>
  <c r="M24" i="67"/>
  <c r="L24" i="67"/>
  <c r="E24" i="67"/>
  <c r="F24" i="67" s="1"/>
  <c r="D24" i="67"/>
  <c r="D19" i="67"/>
  <c r="C19" i="67"/>
  <c r="D20" i="67" s="1"/>
  <c r="F18" i="67"/>
  <c r="F17" i="67"/>
  <c r="E17" i="67"/>
  <c r="E16" i="67"/>
  <c r="E15" i="67"/>
  <c r="F15" i="67" s="1"/>
  <c r="E14" i="67"/>
  <c r="F14" i="67" s="1"/>
  <c r="E13" i="67"/>
  <c r="F13" i="67" s="1"/>
  <c r="E12" i="67"/>
  <c r="F12" i="67" s="1"/>
  <c r="J11" i="67"/>
  <c r="E11" i="67"/>
  <c r="F11" i="67" s="1"/>
  <c r="L25" i="67" l="1"/>
  <c r="D32" i="67"/>
  <c r="D33" i="67" s="1"/>
  <c r="E32" i="67"/>
  <c r="E19" i="67"/>
  <c r="N24" i="67"/>
  <c r="L29" i="67"/>
  <c r="N25" i="67"/>
  <c r="J31" i="67"/>
  <c r="L31" i="67" s="1"/>
  <c r="L32" i="67" s="1"/>
  <c r="L30" i="67"/>
  <c r="K26" i="67"/>
  <c r="F16" i="67"/>
  <c r="F19" i="67" s="1"/>
  <c r="F20" i="67" s="1"/>
  <c r="F6" i="67" s="1"/>
  <c r="F28" i="67"/>
  <c r="F32" i="67" s="1"/>
  <c r="F33" i="67" s="1"/>
  <c r="E10" i="9"/>
  <c r="D10" i="9"/>
  <c r="C10" i="9"/>
  <c r="L33" i="67" l="1"/>
  <c r="J15" i="67" s="1"/>
  <c r="J12" i="67"/>
  <c r="J14" i="67" s="1"/>
  <c r="J13" i="67"/>
  <c r="K27" i="67"/>
  <c r="M26" i="67"/>
  <c r="I39" i="66"/>
  <c r="I25" i="66" s="1"/>
  <c r="C20" i="66"/>
  <c r="E16" i="66" s="1"/>
  <c r="I16" i="66" s="1"/>
  <c r="I39" i="65"/>
  <c r="I25" i="65" s="1"/>
  <c r="C20" i="65"/>
  <c r="E18" i="65" s="1"/>
  <c r="I18" i="65" s="1"/>
  <c r="N26" i="67" l="1"/>
  <c r="K28" i="67"/>
  <c r="M27" i="67"/>
  <c r="N27" i="67" s="1"/>
  <c r="J19" i="67"/>
  <c r="C24" i="2" s="1"/>
  <c r="E12" i="66"/>
  <c r="I12" i="66" s="1"/>
  <c r="E14" i="66"/>
  <c r="I14" i="66" s="1"/>
  <c r="E18" i="66"/>
  <c r="I18" i="66" s="1"/>
  <c r="I26" i="66" s="1"/>
  <c r="I27" i="66" s="1"/>
  <c r="E12" i="65"/>
  <c r="E14" i="65"/>
  <c r="I14" i="65" s="1"/>
  <c r="E16" i="65"/>
  <c r="I16" i="65" s="1"/>
  <c r="I26" i="65" s="1"/>
  <c r="I27" i="65" s="1"/>
  <c r="K29" i="67" l="1"/>
  <c r="M28" i="67"/>
  <c r="N28" i="67" s="1"/>
  <c r="I20" i="66"/>
  <c r="I28" i="66"/>
  <c r="I30" i="66" s="1"/>
  <c r="E20" i="66"/>
  <c r="E20" i="65"/>
  <c r="I12" i="65"/>
  <c r="K30" i="67" l="1"/>
  <c r="M29" i="67"/>
  <c r="I28" i="65"/>
  <c r="I30" i="65" s="1"/>
  <c r="I20" i="65"/>
  <c r="N29" i="67" l="1"/>
  <c r="K31" i="67"/>
  <c r="M31" i="67" s="1"/>
  <c r="N31" i="67" s="1"/>
  <c r="M30" i="67"/>
  <c r="N30" i="67" s="1"/>
  <c r="E9" i="9"/>
  <c r="E8" i="9"/>
  <c r="F10" i="9"/>
  <c r="G10" i="9" s="1"/>
  <c r="D33" i="64"/>
  <c r="D49" i="64" s="1"/>
  <c r="D50" i="64" s="1"/>
  <c r="E11" i="9" l="1"/>
  <c r="N32" i="67"/>
  <c r="N33" i="67" s="1"/>
  <c r="J6" i="67" s="1"/>
  <c r="J9" i="67" s="1"/>
  <c r="M32" i="67"/>
  <c r="D11" i="9"/>
  <c r="E15" i="32"/>
  <c r="E16" i="32"/>
  <c r="E17" i="32"/>
  <c r="E18" i="32"/>
  <c r="E19" i="32"/>
  <c r="E20" i="32"/>
  <c r="E21" i="32"/>
  <c r="E22" i="32"/>
  <c r="E23" i="32"/>
  <c r="E24" i="32"/>
  <c r="E25" i="32"/>
  <c r="E14" i="32"/>
  <c r="M33" i="67" l="1"/>
  <c r="J16" i="67" s="1"/>
  <c r="J20" i="67" s="1"/>
  <c r="J8" i="67"/>
  <c r="C9" i="9"/>
  <c r="C8" i="9"/>
  <c r="F8" i="9" l="1"/>
  <c r="C11" i="9"/>
  <c r="E13" i="32"/>
  <c r="E12" i="32"/>
  <c r="E11" i="32"/>
  <c r="E10" i="32"/>
  <c r="E9" i="32"/>
  <c r="E8" i="32"/>
  <c r="G8" i="9" l="1"/>
  <c r="C20" i="32"/>
  <c r="B19" i="32" l="1"/>
  <c r="B18" i="32"/>
  <c r="B17" i="32"/>
  <c r="B16" i="32"/>
  <c r="B15" i="32"/>
  <c r="B14" i="32"/>
  <c r="B13" i="32"/>
  <c r="B12" i="32"/>
  <c r="B11" i="32"/>
  <c r="B10" i="32"/>
  <c r="B9" i="32"/>
  <c r="B8" i="32"/>
  <c r="N25" i="63" l="1"/>
  <c r="N26" i="63" s="1"/>
  <c r="M25" i="63"/>
  <c r="M26" i="63" s="1"/>
  <c r="L25" i="63"/>
  <c r="L26" i="63" s="1"/>
  <c r="K25" i="63"/>
  <c r="K26" i="63" s="1"/>
  <c r="J25" i="63"/>
  <c r="I25" i="63"/>
  <c r="H25" i="63"/>
  <c r="G25" i="63"/>
  <c r="F25" i="63"/>
  <c r="F26" i="63" s="1"/>
  <c r="E25" i="63"/>
  <c r="E26" i="63" s="1"/>
  <c r="D25" i="63"/>
  <c r="D26" i="63" s="1"/>
  <c r="C25" i="63"/>
  <c r="C26" i="63" s="1"/>
  <c r="N20" i="63"/>
  <c r="M20" i="63"/>
  <c r="L20" i="63"/>
  <c r="K20" i="63"/>
  <c r="J20" i="63"/>
  <c r="I20" i="63"/>
  <c r="H20" i="63"/>
  <c r="G20" i="63"/>
  <c r="F20" i="63"/>
  <c r="E20" i="63"/>
  <c r="D20" i="63"/>
  <c r="C20" i="63"/>
  <c r="H26" i="63" l="1"/>
  <c r="G26" i="63"/>
  <c r="I26" i="63"/>
  <c r="J26" i="63"/>
  <c r="M25" i="62" l="1"/>
  <c r="L25" i="62"/>
  <c r="K25" i="62"/>
  <c r="J25" i="62"/>
  <c r="I25" i="62"/>
  <c r="H25" i="62"/>
  <c r="G25" i="62"/>
  <c r="G26" i="62" s="1"/>
  <c r="F25" i="62"/>
  <c r="F26" i="62" s="1"/>
  <c r="E25" i="62"/>
  <c r="D25" i="62"/>
  <c r="C25" i="62"/>
  <c r="B25" i="62"/>
  <c r="M20" i="62"/>
  <c r="L20" i="62"/>
  <c r="K20" i="62"/>
  <c r="K26" i="62" s="1"/>
  <c r="J20" i="62"/>
  <c r="J26" i="62" s="1"/>
  <c r="I20" i="62"/>
  <c r="H20" i="62"/>
  <c r="G20" i="62"/>
  <c r="F20" i="62"/>
  <c r="E20" i="62"/>
  <c r="E26" i="62" s="1"/>
  <c r="D20" i="62"/>
  <c r="D26" i="62" s="1"/>
  <c r="C20" i="62"/>
  <c r="C26" i="62" s="1"/>
  <c r="B20" i="62"/>
  <c r="EL41" i="61"/>
  <c r="EG41" i="61"/>
  <c r="EI41" i="61" s="1"/>
  <c r="DW41" i="61"/>
  <c r="DT41" i="61"/>
  <c r="DQ41" i="61"/>
  <c r="DN41" i="61"/>
  <c r="DK41" i="61"/>
  <c r="DH41" i="61"/>
  <c r="DE41" i="61"/>
  <c r="DB41" i="61"/>
  <c r="CY41" i="61"/>
  <c r="CV41" i="61"/>
  <c r="CS41" i="61"/>
  <c r="CP41" i="61"/>
  <c r="CM41" i="61"/>
  <c r="CJ41" i="61"/>
  <c r="CG41" i="61"/>
  <c r="CD41" i="61"/>
  <c r="CA41" i="61"/>
  <c r="BX41" i="61"/>
  <c r="BU41" i="61"/>
  <c r="BR41" i="61"/>
  <c r="BO41" i="61"/>
  <c r="BL41" i="61"/>
  <c r="BI41" i="61"/>
  <c r="BF41" i="61"/>
  <c r="BC41" i="61"/>
  <c r="AX41" i="61"/>
  <c r="AU41" i="61"/>
  <c r="AW41" i="61" s="1"/>
  <c r="AR41" i="61"/>
  <c r="AT41" i="61" s="1"/>
  <c r="AQ41" i="61"/>
  <c r="AL41" i="61"/>
  <c r="AN41" i="61" s="1"/>
  <c r="AI41" i="61"/>
  <c r="AK41" i="61" s="1"/>
  <c r="AB41" i="61"/>
  <c r="Y41" i="61"/>
  <c r="V41" i="61"/>
  <c r="S41" i="61"/>
  <c r="P41" i="61"/>
  <c r="M41" i="61"/>
  <c r="J41" i="61"/>
  <c r="G41" i="61"/>
  <c r="EL40" i="61"/>
  <c r="EG40" i="61"/>
  <c r="EI40" i="61" s="1"/>
  <c r="DW40" i="61"/>
  <c r="DT40" i="61"/>
  <c r="DQ40" i="61"/>
  <c r="DN40" i="61"/>
  <c r="DK40" i="61"/>
  <c r="DH40" i="61"/>
  <c r="DE40" i="61"/>
  <c r="DB40" i="61"/>
  <c r="CY40" i="61"/>
  <c r="CV40" i="61"/>
  <c r="CS40" i="61"/>
  <c r="CP40" i="61"/>
  <c r="CM40" i="61"/>
  <c r="CJ40" i="61"/>
  <c r="CG40" i="61"/>
  <c r="CD40" i="61"/>
  <c r="CA40" i="61"/>
  <c r="BX40" i="61"/>
  <c r="BU40" i="61"/>
  <c r="BR40" i="61"/>
  <c r="BO40" i="61"/>
  <c r="BL40" i="61"/>
  <c r="BI40" i="61"/>
  <c r="BF40" i="61"/>
  <c r="BC40" i="61"/>
  <c r="AZ40" i="61"/>
  <c r="AX40" i="61"/>
  <c r="AU40" i="61"/>
  <c r="AW40" i="61" s="1"/>
  <c r="AR40" i="61"/>
  <c r="AT40" i="61" s="1"/>
  <c r="AQ40" i="61"/>
  <c r="AL40" i="61"/>
  <c r="AN40" i="61" s="1"/>
  <c r="AI40" i="61"/>
  <c r="AK40" i="61" s="1"/>
  <c r="AB40" i="61"/>
  <c r="Y40" i="61"/>
  <c r="V40" i="61"/>
  <c r="S40" i="61"/>
  <c r="P40" i="61"/>
  <c r="M40" i="61"/>
  <c r="J40" i="61"/>
  <c r="G40" i="61"/>
  <c r="D40" i="61"/>
  <c r="EL39" i="61"/>
  <c r="EI39" i="61"/>
  <c r="EG39" i="61"/>
  <c r="DW39" i="61"/>
  <c r="DT39" i="61"/>
  <c r="DQ39" i="61"/>
  <c r="DN39" i="61"/>
  <c r="DK39" i="61"/>
  <c r="DH39" i="61"/>
  <c r="DE39" i="61"/>
  <c r="DB39" i="61"/>
  <c r="CY39" i="61"/>
  <c r="CV39" i="61"/>
  <c r="CS39" i="61"/>
  <c r="CP39" i="61"/>
  <c r="CM39" i="61"/>
  <c r="CJ39" i="61"/>
  <c r="CG39" i="61"/>
  <c r="CD39" i="61"/>
  <c r="CA39" i="61"/>
  <c r="BX39" i="61"/>
  <c r="BU39" i="61"/>
  <c r="BR39" i="61"/>
  <c r="BO39" i="61"/>
  <c r="BL39" i="61"/>
  <c r="BI39" i="61"/>
  <c r="BF39" i="61"/>
  <c r="BC39" i="61"/>
  <c r="AX39" i="61"/>
  <c r="AZ39" i="61" s="1"/>
  <c r="AU39" i="61"/>
  <c r="AW39" i="61" s="1"/>
  <c r="AR39" i="61"/>
  <c r="AT39" i="61" s="1"/>
  <c r="AQ39" i="61"/>
  <c r="AL39" i="61"/>
  <c r="AN39" i="61" s="1"/>
  <c r="AI39" i="61"/>
  <c r="AK39" i="61" s="1"/>
  <c r="AB39" i="61"/>
  <c r="Y39" i="61"/>
  <c r="V39" i="61"/>
  <c r="S39" i="61"/>
  <c r="EH39" i="61" s="1"/>
  <c r="P39" i="61"/>
  <c r="M39" i="61"/>
  <c r="J39" i="61"/>
  <c r="G39" i="61"/>
  <c r="D39" i="61"/>
  <c r="EL38" i="61"/>
  <c r="EG38" i="61"/>
  <c r="EI38" i="61" s="1"/>
  <c r="DW38" i="61"/>
  <c r="DT38" i="61"/>
  <c r="EM38" i="61" s="1"/>
  <c r="DQ38" i="61"/>
  <c r="DN38" i="61"/>
  <c r="DK38" i="61"/>
  <c r="DH38" i="61"/>
  <c r="DE38" i="61"/>
  <c r="DB38" i="61"/>
  <c r="CY38" i="61"/>
  <c r="CV38" i="61"/>
  <c r="CS38" i="61"/>
  <c r="CP38" i="61"/>
  <c r="CM38" i="61"/>
  <c r="CJ38" i="61"/>
  <c r="CG38" i="61"/>
  <c r="CD38" i="61"/>
  <c r="CA38" i="61"/>
  <c r="BX38" i="61"/>
  <c r="BU38" i="61"/>
  <c r="BR38" i="61"/>
  <c r="BO38" i="61"/>
  <c r="BL38" i="61"/>
  <c r="BI38" i="61"/>
  <c r="BF38" i="61"/>
  <c r="BC38" i="61"/>
  <c r="AZ38" i="61"/>
  <c r="AX38" i="61"/>
  <c r="AW38" i="61"/>
  <c r="AU38" i="61"/>
  <c r="AT38" i="61"/>
  <c r="AQ38" i="61"/>
  <c r="AN38" i="61"/>
  <c r="AL38" i="61"/>
  <c r="AK38" i="61"/>
  <c r="AI38" i="61"/>
  <c r="AB38" i="61"/>
  <c r="Y38" i="61"/>
  <c r="V38" i="61"/>
  <c r="S38" i="61"/>
  <c r="EH38" i="61" s="1"/>
  <c r="P38" i="61"/>
  <c r="M38" i="61"/>
  <c r="J38" i="61"/>
  <c r="G38" i="61"/>
  <c r="EB38" i="61"/>
  <c r="EL37" i="61"/>
  <c r="EG37" i="61"/>
  <c r="EI37" i="61" s="1"/>
  <c r="DW37" i="61"/>
  <c r="DT37" i="61"/>
  <c r="DQ37" i="61"/>
  <c r="DN37" i="61"/>
  <c r="DK37" i="61"/>
  <c r="DH37" i="61"/>
  <c r="DE37" i="61"/>
  <c r="DB37" i="61"/>
  <c r="CY37" i="61"/>
  <c r="CV37" i="61"/>
  <c r="CS37" i="61"/>
  <c r="CP37" i="61"/>
  <c r="CM37" i="61"/>
  <c r="CJ37" i="61"/>
  <c r="CG37" i="61"/>
  <c r="CD37" i="61"/>
  <c r="CA37" i="61"/>
  <c r="BX37" i="61"/>
  <c r="BU37" i="61"/>
  <c r="BR37" i="61"/>
  <c r="BO37" i="61"/>
  <c r="BL37" i="61"/>
  <c r="BI37" i="61"/>
  <c r="BF37" i="61"/>
  <c r="BC37" i="61"/>
  <c r="AX37" i="61"/>
  <c r="AU37" i="61"/>
  <c r="AW37" i="61" s="1"/>
  <c r="AT37" i="61"/>
  <c r="AR37" i="61"/>
  <c r="AQ37" i="61"/>
  <c r="AL37" i="61"/>
  <c r="AN37" i="61" s="1"/>
  <c r="AK37" i="61"/>
  <c r="AI37" i="61"/>
  <c r="AB37" i="61"/>
  <c r="Y37" i="61"/>
  <c r="V37" i="61"/>
  <c r="S37" i="61"/>
  <c r="P37" i="61"/>
  <c r="M37" i="61"/>
  <c r="J37" i="61"/>
  <c r="G37" i="61"/>
  <c r="D37" i="61"/>
  <c r="EL36" i="61"/>
  <c r="EI36" i="61"/>
  <c r="EG36" i="61"/>
  <c r="DW36" i="61"/>
  <c r="DT36" i="61"/>
  <c r="DQ36" i="61"/>
  <c r="DN36" i="61"/>
  <c r="DK36" i="61"/>
  <c r="DH36" i="61"/>
  <c r="DE36" i="61"/>
  <c r="DB36" i="61"/>
  <c r="CY36" i="61"/>
  <c r="CV36" i="61"/>
  <c r="CS36" i="61"/>
  <c r="CP36" i="61"/>
  <c r="CM36" i="61"/>
  <c r="CJ36" i="61"/>
  <c r="CG36" i="61"/>
  <c r="CD36" i="61"/>
  <c r="CA36" i="61"/>
  <c r="BX36" i="61"/>
  <c r="BU36" i="61"/>
  <c r="BR36" i="61"/>
  <c r="BO36" i="61"/>
  <c r="BL36" i="61"/>
  <c r="BI36" i="61"/>
  <c r="BF36" i="61"/>
  <c r="BC36" i="61"/>
  <c r="AX36" i="61"/>
  <c r="AZ36" i="61" s="1"/>
  <c r="AU36" i="61"/>
  <c r="AW36" i="61" s="1"/>
  <c r="AR36" i="61"/>
  <c r="AT36" i="61" s="1"/>
  <c r="AQ36" i="61"/>
  <c r="AL36" i="61"/>
  <c r="AN36" i="61" s="1"/>
  <c r="AI36" i="61"/>
  <c r="AK36" i="61" s="1"/>
  <c r="AB36" i="61"/>
  <c r="Y36" i="61"/>
  <c r="V36" i="61"/>
  <c r="S36" i="61"/>
  <c r="P36" i="61"/>
  <c r="M36" i="61"/>
  <c r="J36" i="61"/>
  <c r="G36" i="61"/>
  <c r="D36" i="61"/>
  <c r="EB36" i="61"/>
  <c r="EL35" i="61"/>
  <c r="EG35" i="61"/>
  <c r="EI35" i="61" s="1"/>
  <c r="DW35" i="61"/>
  <c r="DT35" i="61"/>
  <c r="DQ35" i="61"/>
  <c r="DN35" i="61"/>
  <c r="DK35" i="61"/>
  <c r="DH35" i="61"/>
  <c r="DE35" i="61"/>
  <c r="DB35" i="61"/>
  <c r="CY35" i="61"/>
  <c r="CV35" i="61"/>
  <c r="CS35" i="61"/>
  <c r="CP35" i="61"/>
  <c r="CM35" i="61"/>
  <c r="CJ35" i="61"/>
  <c r="CG35" i="61"/>
  <c r="CD35" i="61"/>
  <c r="CA35" i="61"/>
  <c r="BX35" i="61"/>
  <c r="BU35" i="61"/>
  <c r="BR35" i="61"/>
  <c r="BO35" i="61"/>
  <c r="BL35" i="61"/>
  <c r="BI35" i="61"/>
  <c r="BF35" i="61"/>
  <c r="BC35" i="61"/>
  <c r="AZ35" i="61"/>
  <c r="AX35" i="61"/>
  <c r="AU35" i="61"/>
  <c r="AW35" i="61" s="1"/>
  <c r="AR35" i="61"/>
  <c r="AT35" i="61" s="1"/>
  <c r="AQ35" i="61"/>
  <c r="AL35" i="61"/>
  <c r="AN35" i="61" s="1"/>
  <c r="AI35" i="61"/>
  <c r="AK35" i="61" s="1"/>
  <c r="AB35" i="61"/>
  <c r="Y35" i="61"/>
  <c r="V35" i="61"/>
  <c r="S35" i="61"/>
  <c r="EH35" i="61" s="1"/>
  <c r="P35" i="61"/>
  <c r="M35" i="61"/>
  <c r="J35" i="61"/>
  <c r="G35" i="61"/>
  <c r="D35" i="61"/>
  <c r="EL34" i="61"/>
  <c r="EG34" i="61"/>
  <c r="EI34" i="61" s="1"/>
  <c r="DW34" i="61"/>
  <c r="DT34" i="61"/>
  <c r="DQ34" i="61"/>
  <c r="DN34" i="61"/>
  <c r="DK34" i="61"/>
  <c r="DH34" i="61"/>
  <c r="DE34" i="61"/>
  <c r="DB34" i="61"/>
  <c r="CY34" i="61"/>
  <c r="CV34" i="61"/>
  <c r="CS34" i="61"/>
  <c r="CP34" i="61"/>
  <c r="CM34" i="61"/>
  <c r="CJ34" i="61"/>
  <c r="CG34" i="61"/>
  <c r="CD34" i="61"/>
  <c r="CA34" i="61"/>
  <c r="BX34" i="61"/>
  <c r="BU34" i="61"/>
  <c r="BR34" i="61"/>
  <c r="BO34" i="61"/>
  <c r="BL34" i="61"/>
  <c r="BI34" i="61"/>
  <c r="BF34" i="61"/>
  <c r="BC34" i="61"/>
  <c r="AX34" i="61"/>
  <c r="AZ34" i="61" s="1"/>
  <c r="AU34" i="61"/>
  <c r="AW34" i="61" s="1"/>
  <c r="AR34" i="61"/>
  <c r="AT34" i="61" s="1"/>
  <c r="AQ34" i="61"/>
  <c r="AL34" i="61"/>
  <c r="EK34" i="61" s="1"/>
  <c r="AI34" i="61"/>
  <c r="AK34" i="61" s="1"/>
  <c r="AB34" i="61"/>
  <c r="Y34" i="61"/>
  <c r="V34" i="61"/>
  <c r="S34" i="61"/>
  <c r="P34" i="61"/>
  <c r="M34" i="61"/>
  <c r="J34" i="61"/>
  <c r="G34" i="61"/>
  <c r="D34" i="61"/>
  <c r="EL33" i="61"/>
  <c r="EG33" i="61"/>
  <c r="EI33" i="61" s="1"/>
  <c r="DW33" i="61"/>
  <c r="DT33" i="61"/>
  <c r="DQ33" i="61"/>
  <c r="DN33" i="61"/>
  <c r="DK33" i="61"/>
  <c r="DH33" i="61"/>
  <c r="DE33" i="61"/>
  <c r="DB33" i="61"/>
  <c r="CY33" i="61"/>
  <c r="CV33" i="61"/>
  <c r="CS33" i="61"/>
  <c r="CP33" i="61"/>
  <c r="CM33" i="61"/>
  <c r="CJ33" i="61"/>
  <c r="CG33" i="61"/>
  <c r="CD33" i="61"/>
  <c r="CA33" i="61"/>
  <c r="BX33" i="61"/>
  <c r="BU33" i="61"/>
  <c r="BR33" i="61"/>
  <c r="BO33" i="61"/>
  <c r="BL33" i="61"/>
  <c r="BI33" i="61"/>
  <c r="BF33" i="61"/>
  <c r="BC33" i="61"/>
  <c r="AZ33" i="61"/>
  <c r="AX33" i="61"/>
  <c r="AU33" i="61"/>
  <c r="AW33" i="61" s="1"/>
  <c r="AT33" i="61"/>
  <c r="AR33" i="61"/>
  <c r="AQ33" i="61"/>
  <c r="AL33" i="61"/>
  <c r="AN33" i="61" s="1"/>
  <c r="AI33" i="61"/>
  <c r="AK33" i="61" s="1"/>
  <c r="AB33" i="61"/>
  <c r="Y33" i="61"/>
  <c r="V33" i="61"/>
  <c r="S33" i="61"/>
  <c r="P33" i="61"/>
  <c r="M33" i="61"/>
  <c r="J33" i="61"/>
  <c r="G33" i="61"/>
  <c r="D33" i="61"/>
  <c r="EL32" i="61"/>
  <c r="EG32" i="61"/>
  <c r="EI32" i="61" s="1"/>
  <c r="DW32" i="61"/>
  <c r="DT32" i="61"/>
  <c r="DQ32" i="61"/>
  <c r="DN32" i="61"/>
  <c r="DK32" i="61"/>
  <c r="DH32" i="61"/>
  <c r="DE32" i="61"/>
  <c r="DB32" i="61"/>
  <c r="CY32" i="61"/>
  <c r="CV32" i="61"/>
  <c r="CS32" i="61"/>
  <c r="CP32" i="61"/>
  <c r="CM32" i="61"/>
  <c r="CJ32" i="61"/>
  <c r="CG32" i="61"/>
  <c r="CD32" i="61"/>
  <c r="CA32" i="61"/>
  <c r="BX32" i="61"/>
  <c r="BU32" i="61"/>
  <c r="BR32" i="61"/>
  <c r="BO32" i="61"/>
  <c r="BL32" i="61"/>
  <c r="BI32" i="61"/>
  <c r="BF32" i="61"/>
  <c r="BC32" i="61"/>
  <c r="AX32" i="61"/>
  <c r="AU32" i="61"/>
  <c r="AW32" i="61" s="1"/>
  <c r="AR32" i="61"/>
  <c r="AT32" i="61" s="1"/>
  <c r="AQ32" i="61"/>
  <c r="AN32" i="61"/>
  <c r="AL32" i="61"/>
  <c r="AI32" i="61"/>
  <c r="AK32" i="61" s="1"/>
  <c r="AB32" i="61"/>
  <c r="Y32" i="61"/>
  <c r="V32" i="61"/>
  <c r="S32" i="61"/>
  <c r="P32" i="61"/>
  <c r="M32" i="61"/>
  <c r="J32" i="61"/>
  <c r="G32" i="61"/>
  <c r="D32" i="61"/>
  <c r="EL31" i="61"/>
  <c r="EG31" i="61"/>
  <c r="EI31" i="61" s="1"/>
  <c r="DW31" i="61"/>
  <c r="DT31" i="61"/>
  <c r="DQ31" i="61"/>
  <c r="DN31" i="61"/>
  <c r="DK31" i="61"/>
  <c r="DH31" i="61"/>
  <c r="DE31" i="61"/>
  <c r="DB31" i="61"/>
  <c r="CY31" i="61"/>
  <c r="CV31" i="61"/>
  <c r="CS31" i="61"/>
  <c r="CP31" i="61"/>
  <c r="CM31" i="61"/>
  <c r="CJ31" i="61"/>
  <c r="CG31" i="61"/>
  <c r="CD31" i="61"/>
  <c r="CA31" i="61"/>
  <c r="BX31" i="61"/>
  <c r="BU31" i="61"/>
  <c r="BR31" i="61"/>
  <c r="BO31" i="61"/>
  <c r="BL31" i="61"/>
  <c r="BI31" i="61"/>
  <c r="BF31" i="61"/>
  <c r="BC31" i="61"/>
  <c r="AX31" i="61"/>
  <c r="AU31" i="61"/>
  <c r="AW31" i="61" s="1"/>
  <c r="AR31" i="61"/>
  <c r="AT31" i="61" s="1"/>
  <c r="AQ31" i="61"/>
  <c r="AN31" i="61"/>
  <c r="AL31" i="61"/>
  <c r="AI31" i="61"/>
  <c r="AK31" i="61" s="1"/>
  <c r="AB31" i="61"/>
  <c r="Y31" i="61"/>
  <c r="V31" i="61"/>
  <c r="S31" i="61"/>
  <c r="EH31" i="61" s="1"/>
  <c r="P31" i="61"/>
  <c r="M31" i="61"/>
  <c r="J31" i="61"/>
  <c r="G31" i="61"/>
  <c r="D31" i="61"/>
  <c r="EL30" i="61"/>
  <c r="EG30" i="61"/>
  <c r="EI30" i="61" s="1"/>
  <c r="DW30" i="61"/>
  <c r="DT30" i="61"/>
  <c r="DQ30" i="61"/>
  <c r="DN30" i="61"/>
  <c r="DK30" i="61"/>
  <c r="DH30" i="61"/>
  <c r="DE30" i="61"/>
  <c r="DB30" i="61"/>
  <c r="CY30" i="61"/>
  <c r="CV30" i="61"/>
  <c r="CS30" i="61"/>
  <c r="CP30" i="61"/>
  <c r="CM30" i="61"/>
  <c r="CJ30" i="61"/>
  <c r="CG30" i="61"/>
  <c r="CD30" i="61"/>
  <c r="CA30" i="61"/>
  <c r="BX30" i="61"/>
  <c r="BU30" i="61"/>
  <c r="BR30" i="61"/>
  <c r="BO30" i="61"/>
  <c r="BL30" i="61"/>
  <c r="BI30" i="61"/>
  <c r="BF30" i="61"/>
  <c r="BC30" i="61"/>
  <c r="AZ30" i="61"/>
  <c r="AU30" i="61"/>
  <c r="EK30" i="61" s="1"/>
  <c r="AT30" i="61"/>
  <c r="AR30" i="61"/>
  <c r="AQ30" i="61"/>
  <c r="AL30" i="61"/>
  <c r="EB30" i="61" s="1"/>
  <c r="AI30" i="61"/>
  <c r="AK30" i="61" s="1"/>
  <c r="AB30" i="61"/>
  <c r="Y30" i="61"/>
  <c r="V30" i="61"/>
  <c r="EH30" i="61" s="1"/>
  <c r="S30" i="61"/>
  <c r="P30" i="61"/>
  <c r="M30" i="61"/>
  <c r="J30" i="61"/>
  <c r="G30" i="61"/>
  <c r="D30" i="61"/>
  <c r="EL29" i="61"/>
  <c r="EG29" i="61"/>
  <c r="EI29" i="61" s="1"/>
  <c r="DW29" i="61"/>
  <c r="DT29" i="61"/>
  <c r="DQ29" i="61"/>
  <c r="DN29" i="61"/>
  <c r="DK29" i="61"/>
  <c r="DH29" i="61"/>
  <c r="DE29" i="61"/>
  <c r="DB29" i="61"/>
  <c r="CY29" i="61"/>
  <c r="CV29" i="61"/>
  <c r="CS29" i="61"/>
  <c r="CP29" i="61"/>
  <c r="CM29" i="61"/>
  <c r="CJ29" i="61"/>
  <c r="CG29" i="61"/>
  <c r="CD29" i="61"/>
  <c r="CA29" i="61"/>
  <c r="BX29" i="61"/>
  <c r="BU29" i="61"/>
  <c r="BR29" i="61"/>
  <c r="BO29" i="61"/>
  <c r="BL29" i="61"/>
  <c r="BI29" i="61"/>
  <c r="BF29" i="61"/>
  <c r="BC29" i="61"/>
  <c r="AZ29" i="61"/>
  <c r="AU29" i="61"/>
  <c r="AR29" i="61"/>
  <c r="AT29" i="61" s="1"/>
  <c r="AQ29" i="61"/>
  <c r="AL29" i="61"/>
  <c r="AN29" i="61" s="1"/>
  <c r="AI29" i="61"/>
  <c r="AK29" i="61" s="1"/>
  <c r="AB29" i="61"/>
  <c r="Y29" i="61"/>
  <c r="V29" i="61"/>
  <c r="S29" i="61"/>
  <c r="EH29" i="61" s="1"/>
  <c r="P29" i="61"/>
  <c r="M29" i="61"/>
  <c r="J29" i="61"/>
  <c r="G29" i="61"/>
  <c r="D29" i="61"/>
  <c r="EL28" i="61"/>
  <c r="EG28" i="61"/>
  <c r="EI28" i="61" s="1"/>
  <c r="DW28" i="61"/>
  <c r="DT28" i="61"/>
  <c r="DQ28" i="61"/>
  <c r="DN28" i="61"/>
  <c r="DK28" i="61"/>
  <c r="DH28" i="61"/>
  <c r="DE28" i="61"/>
  <c r="DB28" i="61"/>
  <c r="CY28" i="61"/>
  <c r="CV28" i="61"/>
  <c r="CS28" i="61"/>
  <c r="CP28" i="61"/>
  <c r="CM28" i="61"/>
  <c r="CJ28" i="61"/>
  <c r="CG28" i="61"/>
  <c r="CD28" i="61"/>
  <c r="CA28" i="61"/>
  <c r="BX28" i="61"/>
  <c r="BU28" i="61"/>
  <c r="BR28" i="61"/>
  <c r="BO28" i="61"/>
  <c r="BL28" i="61"/>
  <c r="BI28" i="61"/>
  <c r="BF28" i="61"/>
  <c r="BC28" i="61"/>
  <c r="AZ28" i="61"/>
  <c r="AU28" i="61"/>
  <c r="EK28" i="61" s="1"/>
  <c r="AT28" i="61"/>
  <c r="AR28" i="61"/>
  <c r="AQ28" i="61"/>
  <c r="AL28" i="61"/>
  <c r="AN28" i="61" s="1"/>
  <c r="AI28" i="61"/>
  <c r="AK28" i="61" s="1"/>
  <c r="AB28" i="61"/>
  <c r="Y28" i="61"/>
  <c r="V28" i="61"/>
  <c r="S28" i="61"/>
  <c r="EH28" i="61" s="1"/>
  <c r="P28" i="61"/>
  <c r="M28" i="61"/>
  <c r="J28" i="61"/>
  <c r="G28" i="61"/>
  <c r="D28" i="61"/>
  <c r="EL27" i="61"/>
  <c r="EG27" i="61"/>
  <c r="EI27" i="61" s="1"/>
  <c r="DW27" i="61"/>
  <c r="DT27" i="61"/>
  <c r="DQ27" i="61"/>
  <c r="DN27" i="61"/>
  <c r="DK27" i="61"/>
  <c r="DH27" i="61"/>
  <c r="DE27" i="61"/>
  <c r="DB27" i="61"/>
  <c r="CY27" i="61"/>
  <c r="CV27" i="61"/>
  <c r="CS27" i="61"/>
  <c r="CP27" i="61"/>
  <c r="CM27" i="61"/>
  <c r="CJ27" i="61"/>
  <c r="CG27" i="61"/>
  <c r="CD27" i="61"/>
  <c r="CA27" i="61"/>
  <c r="BX27" i="61"/>
  <c r="BU27" i="61"/>
  <c r="BR27" i="61"/>
  <c r="BO27" i="61"/>
  <c r="BL27" i="61"/>
  <c r="BI27" i="61"/>
  <c r="BF27" i="61"/>
  <c r="BC27" i="61"/>
  <c r="AZ27" i="61"/>
  <c r="AW27" i="61"/>
  <c r="AR27" i="61"/>
  <c r="AT27" i="61" s="1"/>
  <c r="AQ27" i="61"/>
  <c r="AL27" i="61"/>
  <c r="AN27" i="61" s="1"/>
  <c r="AI27" i="61"/>
  <c r="AK27" i="61" s="1"/>
  <c r="AB27" i="61"/>
  <c r="Y27" i="61"/>
  <c r="V27" i="61"/>
  <c r="S27" i="61"/>
  <c r="EH27" i="61" s="1"/>
  <c r="P27" i="61"/>
  <c r="M27" i="61"/>
  <c r="J27" i="61"/>
  <c r="G27" i="61"/>
  <c r="D27" i="61"/>
  <c r="EL26" i="61"/>
  <c r="EG26" i="61"/>
  <c r="EI26" i="61" s="1"/>
  <c r="DW26" i="61"/>
  <c r="DT26" i="61"/>
  <c r="DQ26" i="61"/>
  <c r="DN26" i="61"/>
  <c r="DK26" i="61"/>
  <c r="DH26" i="61"/>
  <c r="DE26" i="61"/>
  <c r="DB26" i="61"/>
  <c r="CY26" i="61"/>
  <c r="CV26" i="61"/>
  <c r="CS26" i="61"/>
  <c r="CP26" i="61"/>
  <c r="CM26" i="61"/>
  <c r="CJ26" i="61"/>
  <c r="CG26" i="61"/>
  <c r="CD26" i="61"/>
  <c r="CA26" i="61"/>
  <c r="BX26" i="61"/>
  <c r="BU26" i="61"/>
  <c r="BR26" i="61"/>
  <c r="BO26" i="61"/>
  <c r="BL26" i="61"/>
  <c r="BI26" i="61"/>
  <c r="BF26" i="61"/>
  <c r="BC26" i="61"/>
  <c r="AZ26" i="61"/>
  <c r="AW26" i="61"/>
  <c r="AT26" i="61"/>
  <c r="AR26" i="61"/>
  <c r="AQ26" i="61"/>
  <c r="AL26" i="61"/>
  <c r="AN26" i="61" s="1"/>
  <c r="AK26" i="61"/>
  <c r="AI26" i="61"/>
  <c r="AB26" i="61"/>
  <c r="Y26" i="61"/>
  <c r="V26" i="61"/>
  <c r="S26" i="61"/>
  <c r="P26" i="61"/>
  <c r="M26" i="61"/>
  <c r="J26" i="61"/>
  <c r="G26" i="61"/>
  <c r="D26" i="61"/>
  <c r="EL25" i="61"/>
  <c r="EG25" i="61"/>
  <c r="EI25" i="61" s="1"/>
  <c r="DW25" i="61"/>
  <c r="DT25" i="61"/>
  <c r="DQ25" i="61"/>
  <c r="DN25" i="61"/>
  <c r="DK25" i="61"/>
  <c r="DH25" i="61"/>
  <c r="DE25" i="61"/>
  <c r="DB25" i="61"/>
  <c r="CY25" i="61"/>
  <c r="CV25" i="61"/>
  <c r="CS25" i="61"/>
  <c r="CP25" i="61"/>
  <c r="CM25" i="61"/>
  <c r="CJ25" i="61"/>
  <c r="CG25" i="61"/>
  <c r="CD25" i="61"/>
  <c r="CA25" i="61"/>
  <c r="BX25" i="61"/>
  <c r="BU25" i="61"/>
  <c r="BR25" i="61"/>
  <c r="BO25" i="61"/>
  <c r="BL25" i="61"/>
  <c r="BI25" i="61"/>
  <c r="BF25" i="61"/>
  <c r="BC25" i="61"/>
  <c r="AZ25" i="61"/>
  <c r="AW25" i="61"/>
  <c r="AR25" i="61"/>
  <c r="AQ25" i="61"/>
  <c r="AL25" i="61"/>
  <c r="AI25" i="61"/>
  <c r="AK25" i="61" s="1"/>
  <c r="AB25" i="61"/>
  <c r="Y25" i="61"/>
  <c r="V25" i="61"/>
  <c r="S25" i="61"/>
  <c r="EH25" i="61" s="1"/>
  <c r="P25" i="61"/>
  <c r="M25" i="61"/>
  <c r="J25" i="61"/>
  <c r="G25" i="61"/>
  <c r="D25" i="61"/>
  <c r="EL24" i="61"/>
  <c r="EG24" i="61"/>
  <c r="EI24" i="61" s="1"/>
  <c r="DW24" i="61"/>
  <c r="DT24" i="61"/>
  <c r="DQ24" i="61"/>
  <c r="DN24" i="61"/>
  <c r="DK24" i="61"/>
  <c r="DH24" i="61"/>
  <c r="DE24" i="61"/>
  <c r="DB24" i="61"/>
  <c r="CY24" i="61"/>
  <c r="CV24" i="61"/>
  <c r="CS24" i="61"/>
  <c r="CP24" i="61"/>
  <c r="CM24" i="61"/>
  <c r="CJ24" i="61"/>
  <c r="CG24" i="61"/>
  <c r="CD24" i="61"/>
  <c r="CA24" i="61"/>
  <c r="BX24" i="61"/>
  <c r="BU24" i="61"/>
  <c r="BR24" i="61"/>
  <c r="BO24" i="61"/>
  <c r="BL24" i="61"/>
  <c r="BI24" i="61"/>
  <c r="BF24" i="61"/>
  <c r="BC24" i="61"/>
  <c r="AZ24" i="61"/>
  <c r="AW24" i="61"/>
  <c r="AR24" i="61"/>
  <c r="EK24" i="61" s="1"/>
  <c r="AQ24" i="61"/>
  <c r="AL24" i="61"/>
  <c r="AN24" i="61" s="1"/>
  <c r="AI24" i="61"/>
  <c r="AK24" i="61" s="1"/>
  <c r="AB24" i="61"/>
  <c r="Y24" i="61"/>
  <c r="V24" i="61"/>
  <c r="S24" i="61"/>
  <c r="EH24" i="61" s="1"/>
  <c r="P24" i="61"/>
  <c r="M24" i="61"/>
  <c r="J24" i="61"/>
  <c r="G24" i="61"/>
  <c r="EL23" i="61"/>
  <c r="EG23" i="61"/>
  <c r="EI23" i="61" s="1"/>
  <c r="DW23" i="61"/>
  <c r="DT23" i="61"/>
  <c r="DQ23" i="61"/>
  <c r="DN23" i="61"/>
  <c r="DK23" i="61"/>
  <c r="DH23" i="61"/>
  <c r="DE23" i="61"/>
  <c r="DB23" i="61"/>
  <c r="CY23" i="61"/>
  <c r="CV23" i="61"/>
  <c r="CS23" i="61"/>
  <c r="CP23" i="61"/>
  <c r="CM23" i="61"/>
  <c r="CJ23" i="61"/>
  <c r="CG23" i="61"/>
  <c r="CD23" i="61"/>
  <c r="CA23" i="61"/>
  <c r="BX23" i="61"/>
  <c r="BU23" i="61"/>
  <c r="BR23" i="61"/>
  <c r="BO23" i="61"/>
  <c r="BL23" i="61"/>
  <c r="BI23" i="61"/>
  <c r="BF23" i="61"/>
  <c r="BC23" i="61"/>
  <c r="AZ23" i="61"/>
  <c r="AW23" i="61"/>
  <c r="AR23" i="61"/>
  <c r="AQ23" i="61"/>
  <c r="AL23" i="61"/>
  <c r="EB23" i="61" s="1"/>
  <c r="AI23" i="61"/>
  <c r="AK23" i="61" s="1"/>
  <c r="AB23" i="61"/>
  <c r="Y23" i="61"/>
  <c r="V23" i="61"/>
  <c r="S23" i="61"/>
  <c r="P23" i="61"/>
  <c r="M23" i="61"/>
  <c r="J23" i="61"/>
  <c r="G23" i="61"/>
  <c r="EL22" i="61"/>
  <c r="EG22" i="61"/>
  <c r="EI22" i="61" s="1"/>
  <c r="DW22" i="61"/>
  <c r="DT22" i="61"/>
  <c r="DQ22" i="61"/>
  <c r="DN22" i="61"/>
  <c r="DK22" i="61"/>
  <c r="DH22" i="61"/>
  <c r="DE22" i="61"/>
  <c r="DB22" i="61"/>
  <c r="CY22" i="61"/>
  <c r="CV22" i="61"/>
  <c r="CS22" i="61"/>
  <c r="CP22" i="61"/>
  <c r="CM22" i="61"/>
  <c r="CJ22" i="61"/>
  <c r="CG22" i="61"/>
  <c r="CD22" i="61"/>
  <c r="CA22" i="61"/>
  <c r="BX22" i="61"/>
  <c r="BU22" i="61"/>
  <c r="BR22" i="61"/>
  <c r="BO22" i="61"/>
  <c r="BL22" i="61"/>
  <c r="BI22" i="61"/>
  <c r="BF22" i="61"/>
  <c r="BC22" i="61"/>
  <c r="AZ22" i="61"/>
  <c r="AW22" i="61"/>
  <c r="AR22" i="61"/>
  <c r="EK22" i="61" s="1"/>
  <c r="AQ22" i="61"/>
  <c r="AL22" i="61"/>
  <c r="AN22" i="61" s="1"/>
  <c r="AI22" i="61"/>
  <c r="AK22" i="61" s="1"/>
  <c r="AB22" i="61"/>
  <c r="Y22" i="61"/>
  <c r="V22" i="61"/>
  <c r="S22" i="61"/>
  <c r="P22" i="61"/>
  <c r="M22" i="61"/>
  <c r="J22" i="61"/>
  <c r="G22" i="61"/>
  <c r="D22" i="61"/>
  <c r="EL21" i="61"/>
  <c r="EG21" i="61"/>
  <c r="EI21" i="61" s="1"/>
  <c r="DW21" i="61"/>
  <c r="DT21" i="61"/>
  <c r="DQ21" i="61"/>
  <c r="DN21" i="61"/>
  <c r="DK21" i="61"/>
  <c r="DH21" i="61"/>
  <c r="DE21" i="61"/>
  <c r="DB21" i="61"/>
  <c r="CY21" i="61"/>
  <c r="CV21" i="61"/>
  <c r="CS21" i="61"/>
  <c r="CP21" i="61"/>
  <c r="CM21" i="61"/>
  <c r="CJ21" i="61"/>
  <c r="CG21" i="61"/>
  <c r="CD21" i="61"/>
  <c r="CA21" i="61"/>
  <c r="BX21" i="61"/>
  <c r="BU21" i="61"/>
  <c r="BR21" i="61"/>
  <c r="BO21" i="61"/>
  <c r="BL21" i="61"/>
  <c r="BI21" i="61"/>
  <c r="BF21" i="61"/>
  <c r="BC21" i="61"/>
  <c r="AZ21" i="61"/>
  <c r="AW21" i="61"/>
  <c r="AR21" i="61"/>
  <c r="AT21" i="61" s="1"/>
  <c r="AQ21" i="61"/>
  <c r="AL21" i="61"/>
  <c r="AN21" i="61" s="1"/>
  <c r="AK21" i="61"/>
  <c r="AI21" i="61"/>
  <c r="AB21" i="61"/>
  <c r="Y21" i="61"/>
  <c r="EH21" i="61" s="1"/>
  <c r="V21" i="61"/>
  <c r="S21" i="61"/>
  <c r="P21" i="61"/>
  <c r="M21" i="61"/>
  <c r="J21" i="61"/>
  <c r="G21" i="61"/>
  <c r="D21" i="61"/>
  <c r="EL20" i="61"/>
  <c r="EG20" i="61"/>
  <c r="EI20" i="61" s="1"/>
  <c r="DW20" i="61"/>
  <c r="DT20" i="61"/>
  <c r="DQ20" i="61"/>
  <c r="DN20" i="61"/>
  <c r="DK20" i="61"/>
  <c r="DH20" i="61"/>
  <c r="DE20" i="61"/>
  <c r="DB20" i="61"/>
  <c r="CY20" i="61"/>
  <c r="CV20" i="61"/>
  <c r="CS20" i="61"/>
  <c r="CP20" i="61"/>
  <c r="CM20" i="61"/>
  <c r="CJ20" i="61"/>
  <c r="CG20" i="61"/>
  <c r="CD20" i="61"/>
  <c r="CA20" i="61"/>
  <c r="BX20" i="61"/>
  <c r="BU20" i="61"/>
  <c r="BR20" i="61"/>
  <c r="BO20" i="61"/>
  <c r="BL20" i="61"/>
  <c r="BI20" i="61"/>
  <c r="BF20" i="61"/>
  <c r="BC20" i="61"/>
  <c r="AZ20" i="61"/>
  <c r="AW20" i="61"/>
  <c r="AR20" i="61"/>
  <c r="AT20" i="61" s="1"/>
  <c r="AQ20" i="61"/>
  <c r="AL20" i="61"/>
  <c r="AN20" i="61" s="1"/>
  <c r="AI20" i="61"/>
  <c r="AK20" i="61" s="1"/>
  <c r="AB20" i="61"/>
  <c r="EH20" i="61" s="1"/>
  <c r="Y20" i="61"/>
  <c r="V20" i="61"/>
  <c r="S20" i="61"/>
  <c r="P20" i="61"/>
  <c r="M20" i="61"/>
  <c r="J20" i="61"/>
  <c r="G20" i="61"/>
  <c r="D20" i="61"/>
  <c r="EL19" i="61"/>
  <c r="EG19" i="61"/>
  <c r="EI19" i="61" s="1"/>
  <c r="DW19" i="61"/>
  <c r="DT19" i="61"/>
  <c r="DQ19" i="61"/>
  <c r="DN19" i="61"/>
  <c r="DK19" i="61"/>
  <c r="DH19" i="61"/>
  <c r="DE19" i="61"/>
  <c r="DB19" i="61"/>
  <c r="CY19" i="61"/>
  <c r="CV19" i="61"/>
  <c r="CS19" i="61"/>
  <c r="CP19" i="61"/>
  <c r="CM19" i="61"/>
  <c r="CJ19" i="61"/>
  <c r="CG19" i="61"/>
  <c r="CD19" i="61"/>
  <c r="CA19" i="61"/>
  <c r="BX19" i="61"/>
  <c r="BU19" i="61"/>
  <c r="BR19" i="61"/>
  <c r="BO19" i="61"/>
  <c r="BL19" i="61"/>
  <c r="BI19" i="61"/>
  <c r="BF19" i="61"/>
  <c r="BC19" i="61"/>
  <c r="AZ19" i="61"/>
  <c r="AW19" i="61"/>
  <c r="AR19" i="61"/>
  <c r="AT19" i="61" s="1"/>
  <c r="AQ19" i="61"/>
  <c r="AL19" i="61"/>
  <c r="AI19" i="61"/>
  <c r="AB19" i="61"/>
  <c r="Y19" i="61"/>
  <c r="V19" i="61"/>
  <c r="S19" i="61"/>
  <c r="EH19" i="61" s="1"/>
  <c r="P19" i="61"/>
  <c r="M19" i="61"/>
  <c r="J19" i="61"/>
  <c r="G19" i="61"/>
  <c r="D19" i="61"/>
  <c r="EL18" i="61"/>
  <c r="EG18" i="61"/>
  <c r="EI18" i="61" s="1"/>
  <c r="DW18" i="61"/>
  <c r="DT18" i="61"/>
  <c r="DQ18" i="61"/>
  <c r="DN18" i="61"/>
  <c r="DK18" i="61"/>
  <c r="DH18" i="61"/>
  <c r="DE18" i="61"/>
  <c r="DB18" i="61"/>
  <c r="CY18" i="61"/>
  <c r="CV18" i="61"/>
  <c r="CS18" i="61"/>
  <c r="CP18" i="61"/>
  <c r="CM18" i="61"/>
  <c r="CJ18" i="61"/>
  <c r="CG18" i="61"/>
  <c r="CD18" i="61"/>
  <c r="CA18" i="61"/>
  <c r="BX18" i="61"/>
  <c r="BU18" i="61"/>
  <c r="BR18" i="61"/>
  <c r="BO18" i="61"/>
  <c r="BL18" i="61"/>
  <c r="BI18" i="61"/>
  <c r="BF18" i="61"/>
  <c r="BC18" i="61"/>
  <c r="AZ18" i="61"/>
  <c r="AW18" i="61"/>
  <c r="AR18" i="61"/>
  <c r="AT18" i="61" s="1"/>
  <c r="AQ18" i="61"/>
  <c r="AL18" i="61"/>
  <c r="AN18" i="61" s="1"/>
  <c r="AI18" i="61"/>
  <c r="AK18" i="61" s="1"/>
  <c r="AB18" i="61"/>
  <c r="Y18" i="61"/>
  <c r="V18" i="61"/>
  <c r="S18" i="61"/>
  <c r="EH18" i="61" s="1"/>
  <c r="P18" i="61"/>
  <c r="M18" i="61"/>
  <c r="J18" i="61"/>
  <c r="G18" i="61"/>
  <c r="D18" i="61"/>
  <c r="EL17" i="61"/>
  <c r="EG17" i="61"/>
  <c r="EI17" i="61" s="1"/>
  <c r="DW17" i="61"/>
  <c r="DT17" i="61"/>
  <c r="DQ17" i="61"/>
  <c r="DN17" i="61"/>
  <c r="DK17" i="61"/>
  <c r="DH17" i="61"/>
  <c r="DE17" i="61"/>
  <c r="DB17" i="61"/>
  <c r="CY17" i="61"/>
  <c r="CV17" i="61"/>
  <c r="CS17" i="61"/>
  <c r="CP17" i="61"/>
  <c r="CM17" i="61"/>
  <c r="CJ17" i="61"/>
  <c r="CG17" i="61"/>
  <c r="CD17" i="61"/>
  <c r="CA17" i="61"/>
  <c r="BX17" i="61"/>
  <c r="BU17" i="61"/>
  <c r="BR17" i="61"/>
  <c r="BO17" i="61"/>
  <c r="BL17" i="61"/>
  <c r="BI17" i="61"/>
  <c r="BF17" i="61"/>
  <c r="BC17" i="61"/>
  <c r="AZ17" i="61"/>
  <c r="AW17" i="61"/>
  <c r="AR17" i="61"/>
  <c r="EK17" i="61" s="1"/>
  <c r="AQ17" i="61"/>
  <c r="AN17" i="61"/>
  <c r="AI17" i="61"/>
  <c r="AK17" i="61" s="1"/>
  <c r="AB17" i="61"/>
  <c r="Y17" i="61"/>
  <c r="V17" i="61"/>
  <c r="S17" i="61"/>
  <c r="EH17" i="61" s="1"/>
  <c r="P17" i="61"/>
  <c r="M17" i="61"/>
  <c r="J17" i="61"/>
  <c r="G17" i="61"/>
  <c r="D17" i="61"/>
  <c r="EL16" i="61"/>
  <c r="EG16" i="61"/>
  <c r="EI16" i="61" s="1"/>
  <c r="DW16" i="61"/>
  <c r="DT16" i="61"/>
  <c r="DQ16" i="61"/>
  <c r="DN16" i="61"/>
  <c r="DK16" i="61"/>
  <c r="DH16" i="61"/>
  <c r="DE16" i="61"/>
  <c r="DB16" i="61"/>
  <c r="CY16" i="61"/>
  <c r="CV16" i="61"/>
  <c r="CS16" i="61"/>
  <c r="CP16" i="61"/>
  <c r="CM16" i="61"/>
  <c r="CJ16" i="61"/>
  <c r="CG16" i="61"/>
  <c r="CD16" i="61"/>
  <c r="CA16" i="61"/>
  <c r="BX16" i="61"/>
  <c r="BU16" i="61"/>
  <c r="BR16" i="61"/>
  <c r="BO16" i="61"/>
  <c r="BL16" i="61"/>
  <c r="BI16" i="61"/>
  <c r="BF16" i="61"/>
  <c r="BC16" i="61"/>
  <c r="AZ16" i="61"/>
  <c r="AW16" i="61"/>
  <c r="AR16" i="61"/>
  <c r="AQ16" i="61"/>
  <c r="AL16" i="61"/>
  <c r="AI16" i="61"/>
  <c r="AK16" i="61" s="1"/>
  <c r="AB16" i="61"/>
  <c r="Y16" i="61"/>
  <c r="V16" i="61"/>
  <c r="S16" i="61"/>
  <c r="P16" i="61"/>
  <c r="M16" i="61"/>
  <c r="J16" i="61"/>
  <c r="G16" i="61"/>
  <c r="D16" i="61"/>
  <c r="EL15" i="61"/>
  <c r="EG15" i="61"/>
  <c r="EI15" i="61" s="1"/>
  <c r="DW15" i="61"/>
  <c r="DT15" i="61"/>
  <c r="DQ15" i="61"/>
  <c r="DN15" i="61"/>
  <c r="DK15" i="61"/>
  <c r="DH15" i="61"/>
  <c r="DE15" i="61"/>
  <c r="DB15" i="61"/>
  <c r="CY15" i="61"/>
  <c r="CV15" i="61"/>
  <c r="CS15" i="61"/>
  <c r="CP15" i="61"/>
  <c r="CM15" i="61"/>
  <c r="CJ15" i="61"/>
  <c r="CG15" i="61"/>
  <c r="CD15" i="61"/>
  <c r="CA15" i="61"/>
  <c r="BX15" i="61"/>
  <c r="BU15" i="61"/>
  <c r="BR15" i="61"/>
  <c r="BO15" i="61"/>
  <c r="BL15" i="61"/>
  <c r="BI15" i="61"/>
  <c r="BF15" i="61"/>
  <c r="BC15" i="61"/>
  <c r="AZ15" i="61"/>
  <c r="AW15" i="61"/>
  <c r="AR15" i="61"/>
  <c r="EK15" i="61" s="1"/>
  <c r="AQ15" i="61"/>
  <c r="AL15" i="61"/>
  <c r="AN15" i="61" s="1"/>
  <c r="AI15" i="61"/>
  <c r="AK15" i="61" s="1"/>
  <c r="AB15" i="61"/>
  <c r="Y15" i="61"/>
  <c r="V15" i="61"/>
  <c r="S15" i="61"/>
  <c r="EH15" i="61" s="1"/>
  <c r="P15" i="61"/>
  <c r="M15" i="61"/>
  <c r="J15" i="61"/>
  <c r="G15" i="61"/>
  <c r="EL14" i="61"/>
  <c r="EG14" i="61"/>
  <c r="EI14" i="61" s="1"/>
  <c r="DW14" i="61"/>
  <c r="DT14" i="61"/>
  <c r="DQ14" i="61"/>
  <c r="DN14" i="61"/>
  <c r="DK14" i="61"/>
  <c r="DH14" i="61"/>
  <c r="DE14" i="61"/>
  <c r="DB14" i="61"/>
  <c r="CY14" i="61"/>
  <c r="CV14" i="61"/>
  <c r="CS14" i="61"/>
  <c r="CP14" i="61"/>
  <c r="CM14" i="61"/>
  <c r="CJ14" i="61"/>
  <c r="CG14" i="61"/>
  <c r="CD14" i="61"/>
  <c r="CA14" i="61"/>
  <c r="BX14" i="61"/>
  <c r="BU14" i="61"/>
  <c r="BR14" i="61"/>
  <c r="BO14" i="61"/>
  <c r="BL14" i="61"/>
  <c r="BI14" i="61"/>
  <c r="BF14" i="61"/>
  <c r="BC14" i="61"/>
  <c r="AZ14" i="61"/>
  <c r="AW14" i="61"/>
  <c r="AR14" i="61"/>
  <c r="AO14" i="61"/>
  <c r="AQ14" i="61" s="1"/>
  <c r="AL14" i="61"/>
  <c r="AN14" i="61" s="1"/>
  <c r="AK14" i="61"/>
  <c r="AB14" i="61"/>
  <c r="Y14" i="61"/>
  <c r="EH14" i="61" s="1"/>
  <c r="V14" i="61"/>
  <c r="S14" i="61"/>
  <c r="P14" i="61"/>
  <c r="M14" i="61"/>
  <c r="J14" i="61"/>
  <c r="G14" i="61"/>
  <c r="EB14" i="61"/>
  <c r="EL13" i="61"/>
  <c r="EG13" i="61"/>
  <c r="EI13" i="61" s="1"/>
  <c r="DW13" i="61"/>
  <c r="DT13" i="61"/>
  <c r="DQ13" i="61"/>
  <c r="DN13" i="61"/>
  <c r="DK13" i="61"/>
  <c r="DH13" i="61"/>
  <c r="DE13" i="61"/>
  <c r="DB13" i="61"/>
  <c r="CY13" i="61"/>
  <c r="CV13" i="61"/>
  <c r="CS13" i="61"/>
  <c r="CP13" i="61"/>
  <c r="CM13" i="61"/>
  <c r="CJ13" i="61"/>
  <c r="CG13" i="61"/>
  <c r="CD13" i="61"/>
  <c r="CA13" i="61"/>
  <c r="BX13" i="61"/>
  <c r="BU13" i="61"/>
  <c r="BR13" i="61"/>
  <c r="BO13" i="61"/>
  <c r="BL13" i="61"/>
  <c r="BI13" i="61"/>
  <c r="BF13" i="61"/>
  <c r="BC13" i="61"/>
  <c r="AZ13" i="61"/>
  <c r="AW13" i="61"/>
  <c r="AR13" i="61"/>
  <c r="AO13" i="61"/>
  <c r="AQ13" i="61" s="1"/>
  <c r="AL13" i="61"/>
  <c r="AN13" i="61" s="1"/>
  <c r="AK13" i="61"/>
  <c r="AB13" i="61"/>
  <c r="Y13" i="61"/>
  <c r="V13" i="61"/>
  <c r="S13" i="61"/>
  <c r="P13" i="61"/>
  <c r="M13" i="61"/>
  <c r="J13" i="61"/>
  <c r="G13" i="61"/>
  <c r="D13" i="61"/>
  <c r="EL12" i="61"/>
  <c r="EG12" i="61"/>
  <c r="DW12" i="61"/>
  <c r="DT12" i="61"/>
  <c r="DQ12" i="61"/>
  <c r="DN12" i="61"/>
  <c r="DK12" i="61"/>
  <c r="DH12" i="61"/>
  <c r="DE12" i="61"/>
  <c r="DB12" i="61"/>
  <c r="CY12" i="61"/>
  <c r="CV12" i="61"/>
  <c r="CS12" i="61"/>
  <c r="CP12" i="61"/>
  <c r="CM12" i="61"/>
  <c r="CJ12" i="61"/>
  <c r="CG12" i="61"/>
  <c r="CD12" i="61"/>
  <c r="CA12" i="61"/>
  <c r="BX12" i="61"/>
  <c r="BU12" i="61"/>
  <c r="BR12" i="61"/>
  <c r="BO12" i="61"/>
  <c r="BL12" i="61"/>
  <c r="BI12" i="61"/>
  <c r="BF12" i="61"/>
  <c r="BC12" i="61"/>
  <c r="AZ12" i="61"/>
  <c r="AW12" i="61"/>
  <c r="AR12" i="61"/>
  <c r="AT12" i="61" s="1"/>
  <c r="AO12" i="61"/>
  <c r="AQ12" i="61" s="1"/>
  <c r="AL12" i="61"/>
  <c r="EB12" i="61" s="1"/>
  <c r="AK12" i="61"/>
  <c r="AB12" i="61"/>
  <c r="Y12" i="61"/>
  <c r="EH12" i="61" s="1"/>
  <c r="V12" i="61"/>
  <c r="S12" i="61"/>
  <c r="P12" i="61"/>
  <c r="M12" i="61"/>
  <c r="J12" i="61"/>
  <c r="G12" i="61"/>
  <c r="D12" i="61"/>
  <c r="EL11" i="61"/>
  <c r="EG11" i="61"/>
  <c r="EI11" i="61" s="1"/>
  <c r="DW11" i="61"/>
  <c r="DT11" i="61"/>
  <c r="DQ11" i="61"/>
  <c r="DN11" i="61"/>
  <c r="DK11" i="61"/>
  <c r="DH11" i="61"/>
  <c r="DE11" i="61"/>
  <c r="DB11" i="61"/>
  <c r="CY11" i="61"/>
  <c r="CV11" i="61"/>
  <c r="CS11" i="61"/>
  <c r="CP11" i="61"/>
  <c r="CM11" i="61"/>
  <c r="CJ11" i="61"/>
  <c r="CG11" i="61"/>
  <c r="CD11" i="61"/>
  <c r="CA11" i="61"/>
  <c r="BX11" i="61"/>
  <c r="BU11" i="61"/>
  <c r="BR11" i="61"/>
  <c r="BO11" i="61"/>
  <c r="BL11" i="61"/>
  <c r="BI11" i="61"/>
  <c r="BF11" i="61"/>
  <c r="BC11" i="61"/>
  <c r="AZ11" i="61"/>
  <c r="AW11" i="61"/>
  <c r="AR11" i="61"/>
  <c r="AT11" i="61" s="1"/>
  <c r="AO11" i="61"/>
  <c r="AQ11" i="61" s="1"/>
  <c r="AL11" i="61"/>
  <c r="AN11" i="61" s="1"/>
  <c r="AK11" i="61"/>
  <c r="AH42" i="61"/>
  <c r="AE42" i="61"/>
  <c r="AB11" i="61"/>
  <c r="Y11" i="61"/>
  <c r="V11" i="61"/>
  <c r="V42" i="61" s="1"/>
  <c r="S11" i="61"/>
  <c r="P11" i="61"/>
  <c r="M11" i="61"/>
  <c r="J11" i="61"/>
  <c r="G11" i="61"/>
  <c r="D11" i="61"/>
  <c r="EO2" i="61"/>
  <c r="EI2" i="61"/>
  <c r="EM20" i="61" l="1"/>
  <c r="AT24" i="61"/>
  <c r="AN34" i="61"/>
  <c r="CS42" i="61"/>
  <c r="EK13" i="61"/>
  <c r="EK18" i="61"/>
  <c r="EK21" i="61"/>
  <c r="EN21" i="61" s="1"/>
  <c r="EB25" i="61"/>
  <c r="ED26" i="61"/>
  <c r="AW30" i="61"/>
  <c r="EK31" i="61"/>
  <c r="EK32" i="61"/>
  <c r="EH41" i="61"/>
  <c r="BR42" i="61"/>
  <c r="CM42" i="61"/>
  <c r="AB42" i="61"/>
  <c r="BU42" i="61"/>
  <c r="DQ42" i="61"/>
  <c r="AT15" i="61"/>
  <c r="G42" i="61"/>
  <c r="BX42" i="61"/>
  <c r="CV42" i="61"/>
  <c r="EI3" i="61"/>
  <c r="EI4" i="61" s="1"/>
  <c r="EH13" i="61"/>
  <c r="EB16" i="61"/>
  <c r="AN23" i="61"/>
  <c r="EB24" i="61"/>
  <c r="EH33" i="61"/>
  <c r="EK33" i="61"/>
  <c r="EH34" i="61"/>
  <c r="EB35" i="61"/>
  <c r="EC35" i="61" s="1"/>
  <c r="EK35" i="61"/>
  <c r="EH37" i="61"/>
  <c r="B26" i="62"/>
  <c r="C9" i="2"/>
  <c r="C13" i="2" s="1"/>
  <c r="J42" i="61"/>
  <c r="CY42" i="61"/>
  <c r="EB22" i="61"/>
  <c r="EK25" i="61"/>
  <c r="EK29" i="61"/>
  <c r="EK41" i="61"/>
  <c r="C10" i="2"/>
  <c r="AQ42" i="61"/>
  <c r="Y42" i="61"/>
  <c r="BO42" i="61"/>
  <c r="CA42" i="61"/>
  <c r="EB15" i="61"/>
  <c r="EC15" i="61" s="1"/>
  <c r="CD42" i="61"/>
  <c r="S42" i="61"/>
  <c r="ED21" i="61"/>
  <c r="EK23" i="61"/>
  <c r="EK26" i="61"/>
  <c r="AW29" i="61"/>
  <c r="AN30" i="61"/>
  <c r="ED30" i="61" s="1"/>
  <c r="EE30" i="61" s="1"/>
  <c r="EB34" i="61"/>
  <c r="EC34" i="61" s="1"/>
  <c r="EK38" i="61"/>
  <c r="EN38" i="61" s="1"/>
  <c r="EH40" i="61"/>
  <c r="EB41" i="61"/>
  <c r="ED20" i="61"/>
  <c r="DN42" i="61"/>
  <c r="DK42" i="61"/>
  <c r="M42" i="61"/>
  <c r="DB42" i="61"/>
  <c r="EK16" i="61"/>
  <c r="EH22" i="61"/>
  <c r="DE42" i="61"/>
  <c r="EK14" i="61"/>
  <c r="EB19" i="61"/>
  <c r="EH23" i="61"/>
  <c r="EM24" i="61"/>
  <c r="EM26" i="61"/>
  <c r="EN26" i="61" s="1"/>
  <c r="EB29" i="61"/>
  <c r="EH32" i="61"/>
  <c r="ED33" i="61"/>
  <c r="EH36" i="61"/>
  <c r="EK37" i="61"/>
  <c r="H26" i="62"/>
  <c r="EN24" i="61"/>
  <c r="CP42" i="61"/>
  <c r="EB27" i="61"/>
  <c r="BC42" i="61"/>
  <c r="DW42" i="61"/>
  <c r="EB17" i="61"/>
  <c r="BF42" i="61"/>
  <c r="EB11" i="61"/>
  <c r="EE3" i="61" s="1"/>
  <c r="EB13" i="61"/>
  <c r="EC13" i="61" s="1"/>
  <c r="EK19" i="61"/>
  <c r="P42" i="61"/>
  <c r="BI42" i="61"/>
  <c r="CG42" i="61"/>
  <c r="BL42" i="61"/>
  <c r="CJ42" i="61"/>
  <c r="DH42" i="61"/>
  <c r="EM15" i="61"/>
  <c r="EN15" i="61" s="1"/>
  <c r="AN19" i="61"/>
  <c r="EM21" i="61"/>
  <c r="EH26" i="61"/>
  <c r="ED27" i="61"/>
  <c r="EE27" i="61" s="1"/>
  <c r="EM34" i="61"/>
  <c r="AZ37" i="61"/>
  <c r="EK40" i="61"/>
  <c r="I26" i="62"/>
  <c r="M26" i="62"/>
  <c r="L26" i="62"/>
  <c r="EC14" i="61"/>
  <c r="EC16" i="61"/>
  <c r="EC19" i="61"/>
  <c r="EC22" i="61"/>
  <c r="EM27" i="61"/>
  <c r="EN34" i="61"/>
  <c r="EM35" i="61"/>
  <c r="EE2" i="61"/>
  <c r="EQ2" i="61" s="1"/>
  <c r="G4" i="61" s="1"/>
  <c r="EC41" i="61"/>
  <c r="EC29" i="61"/>
  <c r="ED37" i="61"/>
  <c r="EC38" i="61"/>
  <c r="ED40" i="61"/>
  <c r="EN2" i="61"/>
  <c r="EP2" i="61" s="1"/>
  <c r="EM18" i="61"/>
  <c r="EN18" i="61" s="1"/>
  <c r="EC24" i="61"/>
  <c r="ED29" i="61"/>
  <c r="EE29" i="61" s="1"/>
  <c r="ED36" i="61"/>
  <c r="EE36" i="61" s="1"/>
  <c r="ED39" i="61"/>
  <c r="EC25" i="61"/>
  <c r="ED11" i="61"/>
  <c r="EM29" i="61"/>
  <c r="EN29" i="61" s="1"/>
  <c r="EM33" i="61"/>
  <c r="EN33" i="61" s="1"/>
  <c r="ED34" i="61"/>
  <c r="ED35" i="61"/>
  <c r="EM40" i="61"/>
  <c r="EN40" i="61" s="1"/>
  <c r="EM11" i="61"/>
  <c r="ED18" i="61"/>
  <c r="EC23" i="61"/>
  <c r="EN35" i="61"/>
  <c r="EM36" i="61"/>
  <c r="EM37" i="61"/>
  <c r="EN37" i="61" s="1"/>
  <c r="EM39" i="61"/>
  <c r="AT13" i="61"/>
  <c r="ED13" i="61" s="1"/>
  <c r="D14" i="61"/>
  <c r="AN16" i="61"/>
  <c r="ED16" i="61" s="1"/>
  <c r="EE16" i="61" s="1"/>
  <c r="EC17" i="61"/>
  <c r="EB18" i="61"/>
  <c r="AK19" i="61"/>
  <c r="AK42" i="61" s="1"/>
  <c r="AT22" i="61"/>
  <c r="ED22" i="61" s="1"/>
  <c r="EE22" i="61" s="1"/>
  <c r="D23" i="61"/>
  <c r="AN25" i="61"/>
  <c r="EB26" i="61"/>
  <c r="EK27" i="61"/>
  <c r="EN27" i="61" s="1"/>
  <c r="AW28" i="61"/>
  <c r="AW42" i="61" s="1"/>
  <c r="EC30" i="61"/>
  <c r="AZ31" i="61"/>
  <c r="ED31" i="61" s="1"/>
  <c r="EB33" i="61"/>
  <c r="EK36" i="61"/>
  <c r="EN36" i="61" s="1"/>
  <c r="D38" i="61"/>
  <c r="ED38" i="61" s="1"/>
  <c r="EE38" i="61" s="1"/>
  <c r="EK39" i="61"/>
  <c r="D41" i="61"/>
  <c r="EI5" i="61"/>
  <c r="EK11" i="61"/>
  <c r="EI12" i="61"/>
  <c r="AT14" i="61"/>
  <c r="EM14" i="61" s="1"/>
  <c r="EN14" i="61" s="1"/>
  <c r="D15" i="61"/>
  <c r="ED15" i="61" s="1"/>
  <c r="EK20" i="61"/>
  <c r="EN20" i="61" s="1"/>
  <c r="AT23" i="61"/>
  <c r="EM23" i="61" s="1"/>
  <c r="EN23" i="61" s="1"/>
  <c r="D24" i="61"/>
  <c r="ED24" i="61" s="1"/>
  <c r="EE24" i="61" s="1"/>
  <c r="EB39" i="61"/>
  <c r="EK12" i="61"/>
  <c r="EC12" i="61" s="1"/>
  <c r="EB20" i="61"/>
  <c r="EB31" i="61"/>
  <c r="DT42" i="61"/>
  <c r="AN12" i="61"/>
  <c r="AT16" i="61"/>
  <c r="AT17" i="61"/>
  <c r="EM17" i="61" s="1"/>
  <c r="EN17" i="61" s="1"/>
  <c r="EB21" i="61"/>
  <c r="AT25" i="61"/>
  <c r="EM25" i="61" s="1"/>
  <c r="EB28" i="61"/>
  <c r="AZ32" i="61"/>
  <c r="EM32" i="61" s="1"/>
  <c r="EN32" i="61" s="1"/>
  <c r="EH11" i="61"/>
  <c r="EH16" i="61"/>
  <c r="EB37" i="61"/>
  <c r="EB40" i="61"/>
  <c r="EB32" i="61"/>
  <c r="AZ41" i="61"/>
  <c r="EM41" i="61" s="1"/>
  <c r="EN41" i="61" s="1"/>
  <c r="EN25" i="61" l="1"/>
  <c r="EN39" i="61"/>
  <c r="EE34" i="61"/>
  <c r="EM30" i="61"/>
  <c r="EN30" i="61" s="1"/>
  <c r="ED25" i="61"/>
  <c r="EE25" i="61" s="1"/>
  <c r="EE13" i="61"/>
  <c r="EE35" i="61"/>
  <c r="EM16" i="61"/>
  <c r="EN16" i="61" s="1"/>
  <c r="AN42" i="61"/>
  <c r="EE15" i="61"/>
  <c r="ED23" i="61"/>
  <c r="EE23" i="61" s="1"/>
  <c r="EC28" i="61"/>
  <c r="EE31" i="61"/>
  <c r="EC31" i="61"/>
  <c r="EE33" i="61"/>
  <c r="EC33" i="61"/>
  <c r="EM31" i="61"/>
  <c r="EN31" i="61" s="1"/>
  <c r="EM28" i="61"/>
  <c r="EN28" i="61" s="1"/>
  <c r="EE20" i="61"/>
  <c r="EC20" i="61"/>
  <c r="EM22" i="61"/>
  <c r="EN22" i="61" s="1"/>
  <c r="ED17" i="61"/>
  <c r="EE17" i="61" s="1"/>
  <c r="G5" i="61"/>
  <c r="EC32" i="61"/>
  <c r="EE21" i="61"/>
  <c r="EC21" i="61"/>
  <c r="EN3" i="61"/>
  <c r="EN11" i="61"/>
  <c r="EN5" i="61"/>
  <c r="EE18" i="61"/>
  <c r="EC18" i="61"/>
  <c r="EM19" i="61"/>
  <c r="EN19" i="61" s="1"/>
  <c r="EE40" i="61"/>
  <c r="EC40" i="61"/>
  <c r="EE39" i="61"/>
  <c r="EC39" i="61"/>
  <c r="ED12" i="61"/>
  <c r="EE12" i="61" s="1"/>
  <c r="AZ42" i="61"/>
  <c r="D42" i="61"/>
  <c r="EC37" i="61"/>
  <c r="EE37" i="61"/>
  <c r="ED41" i="61"/>
  <c r="EE41" i="61" s="1"/>
  <c r="ED19" i="61"/>
  <c r="EE19" i="61" s="1"/>
  <c r="AT42" i="61"/>
  <c r="EM13" i="61"/>
  <c r="EN13" i="61" s="1"/>
  <c r="ED32" i="61"/>
  <c r="EE32" i="61" s="1"/>
  <c r="EE26" i="61"/>
  <c r="EC26" i="61"/>
  <c r="ED14" i="61"/>
  <c r="EE14" i="61" s="1"/>
  <c r="EM12" i="61"/>
  <c r="EC36" i="61"/>
  <c r="EH42" i="61"/>
  <c r="EC11" i="61"/>
  <c r="ED28" i="61"/>
  <c r="EE28" i="61" s="1"/>
  <c r="EC27" i="61"/>
  <c r="EE11" i="61"/>
  <c r="EE5" i="61"/>
  <c r="G7" i="61" s="1"/>
  <c r="EM42" i="61" l="1"/>
  <c r="EE4" i="61"/>
  <c r="G6" i="61" s="1"/>
  <c r="EN4" i="61"/>
  <c r="ED42" i="61"/>
  <c r="EN12" i="61"/>
  <c r="M28" i="62" l="1"/>
  <c r="N28" i="63"/>
  <c r="N28" i="4"/>
  <c r="EL40" i="60"/>
  <c r="EG40" i="60"/>
  <c r="EI40" i="60" s="1"/>
  <c r="DW40" i="60"/>
  <c r="DT40" i="60"/>
  <c r="DQ40" i="60"/>
  <c r="DN40" i="60"/>
  <c r="DK40" i="60"/>
  <c r="DH40" i="60"/>
  <c r="DE40" i="60"/>
  <c r="DB40" i="60"/>
  <c r="CY40" i="60"/>
  <c r="CV40" i="60"/>
  <c r="CS40" i="60"/>
  <c r="CP40" i="60"/>
  <c r="CM40" i="60"/>
  <c r="CJ40" i="60"/>
  <c r="CG40" i="60"/>
  <c r="CD40" i="60"/>
  <c r="CA40" i="60"/>
  <c r="BX40" i="60"/>
  <c r="BU40" i="60"/>
  <c r="BR40" i="60"/>
  <c r="BO40" i="60"/>
  <c r="BL40" i="60"/>
  <c r="BI40" i="60"/>
  <c r="BF40" i="60"/>
  <c r="BC40" i="60"/>
  <c r="AZ40" i="60"/>
  <c r="AW40" i="60"/>
  <c r="AT40" i="60"/>
  <c r="AO40" i="60"/>
  <c r="AL40" i="60"/>
  <c r="AN40" i="60" s="1"/>
  <c r="AK40" i="60"/>
  <c r="AI40" i="60"/>
  <c r="AB40" i="60"/>
  <c r="Y40" i="60"/>
  <c r="V40" i="60"/>
  <c r="S40" i="60"/>
  <c r="P40" i="60"/>
  <c r="M40" i="60"/>
  <c r="J40" i="60"/>
  <c r="G40" i="60"/>
  <c r="D40" i="60"/>
  <c r="EL39" i="60"/>
  <c r="EI39" i="60"/>
  <c r="EG39" i="60"/>
  <c r="DW39" i="60"/>
  <c r="DT39" i="60"/>
  <c r="DQ39" i="60"/>
  <c r="DN39" i="60"/>
  <c r="DK39" i="60"/>
  <c r="DH39" i="60"/>
  <c r="DE39" i="60"/>
  <c r="DB39" i="60"/>
  <c r="CY39" i="60"/>
  <c r="CV39" i="60"/>
  <c r="CS39" i="60"/>
  <c r="CP39" i="60"/>
  <c r="CM39" i="60"/>
  <c r="CJ39" i="60"/>
  <c r="CG39" i="60"/>
  <c r="CD39" i="60"/>
  <c r="CA39" i="60"/>
  <c r="BX39" i="60"/>
  <c r="BU39" i="60"/>
  <c r="BR39" i="60"/>
  <c r="BO39" i="60"/>
  <c r="BL39" i="60"/>
  <c r="BI39" i="60"/>
  <c r="BF39" i="60"/>
  <c r="BC39" i="60"/>
  <c r="AZ39" i="60"/>
  <c r="AW39" i="60"/>
  <c r="AT39" i="60"/>
  <c r="AO39" i="60"/>
  <c r="AL39" i="60"/>
  <c r="EB39" i="60" s="1"/>
  <c r="AI39" i="60"/>
  <c r="AK39" i="60" s="1"/>
  <c r="AB39" i="60"/>
  <c r="Y39" i="60"/>
  <c r="V39" i="60"/>
  <c r="S39" i="60"/>
  <c r="P39" i="60"/>
  <c r="M39" i="60"/>
  <c r="J39" i="60"/>
  <c r="G39" i="60"/>
  <c r="D39" i="60"/>
  <c r="EL38" i="60"/>
  <c r="EG38" i="60"/>
  <c r="EI38" i="60" s="1"/>
  <c r="DW38" i="60"/>
  <c r="DT38" i="60"/>
  <c r="DQ38" i="60"/>
  <c r="DN38" i="60"/>
  <c r="DK38" i="60"/>
  <c r="DH38" i="60"/>
  <c r="DE38" i="60"/>
  <c r="DB38" i="60"/>
  <c r="CY38" i="60"/>
  <c r="CV38" i="60"/>
  <c r="CS38" i="60"/>
  <c r="CP38" i="60"/>
  <c r="CM38" i="60"/>
  <c r="CJ38" i="60"/>
  <c r="CG38" i="60"/>
  <c r="CD38" i="60"/>
  <c r="CA38" i="60"/>
  <c r="BX38" i="60"/>
  <c r="BU38" i="60"/>
  <c r="BR38" i="60"/>
  <c r="BO38" i="60"/>
  <c r="BL38" i="60"/>
  <c r="BI38" i="60"/>
  <c r="BF38" i="60"/>
  <c r="BC38" i="60"/>
  <c r="AZ38" i="60"/>
  <c r="AW38" i="60"/>
  <c r="AT38" i="60"/>
  <c r="AO38" i="60"/>
  <c r="AL38" i="60"/>
  <c r="AN38" i="60" s="1"/>
  <c r="AI38" i="60"/>
  <c r="AK38" i="60" s="1"/>
  <c r="AB38" i="60"/>
  <c r="Y38" i="60"/>
  <c r="V38" i="60"/>
  <c r="S38" i="60"/>
  <c r="EH38" i="60" s="1"/>
  <c r="P38" i="60"/>
  <c r="M38" i="60"/>
  <c r="J38" i="60"/>
  <c r="G38" i="60"/>
  <c r="D38" i="60"/>
  <c r="EL37" i="60"/>
  <c r="EG37" i="60"/>
  <c r="EI37" i="60" s="1"/>
  <c r="DW37" i="60"/>
  <c r="DT37" i="60"/>
  <c r="DQ37" i="60"/>
  <c r="DN37" i="60"/>
  <c r="DK37" i="60"/>
  <c r="DH37" i="60"/>
  <c r="DE37" i="60"/>
  <c r="DB37" i="60"/>
  <c r="CY37" i="60"/>
  <c r="CV37" i="60"/>
  <c r="CS37" i="60"/>
  <c r="CP37" i="60"/>
  <c r="CM37" i="60"/>
  <c r="CJ37" i="60"/>
  <c r="CG37" i="60"/>
  <c r="CD37" i="60"/>
  <c r="CA37" i="60"/>
  <c r="BX37" i="60"/>
  <c r="BU37" i="60"/>
  <c r="BR37" i="60"/>
  <c r="BO37" i="60"/>
  <c r="BL37" i="60"/>
  <c r="BI37" i="60"/>
  <c r="BF37" i="60"/>
  <c r="BC37" i="60"/>
  <c r="AZ37" i="60"/>
  <c r="AW37" i="60"/>
  <c r="AT37" i="60"/>
  <c r="AQ37" i="60"/>
  <c r="AO37" i="60"/>
  <c r="EK37" i="60" s="1"/>
  <c r="AL37" i="60"/>
  <c r="AN37" i="60" s="1"/>
  <c r="AK37" i="60"/>
  <c r="AB37" i="60"/>
  <c r="Y37" i="60"/>
  <c r="V37" i="60"/>
  <c r="S37" i="60"/>
  <c r="P37" i="60"/>
  <c r="M37" i="60"/>
  <c r="J37" i="60"/>
  <c r="G37" i="60"/>
  <c r="D37" i="60"/>
  <c r="ED37" i="60" s="1"/>
  <c r="EL36" i="60"/>
  <c r="EG36" i="60"/>
  <c r="EI36" i="60" s="1"/>
  <c r="DW36" i="60"/>
  <c r="DT36" i="60"/>
  <c r="DQ36" i="60"/>
  <c r="DN36" i="60"/>
  <c r="DK36" i="60"/>
  <c r="DH36" i="60"/>
  <c r="DE36" i="60"/>
  <c r="DB36" i="60"/>
  <c r="CY36" i="60"/>
  <c r="CV36" i="60"/>
  <c r="CS36" i="60"/>
  <c r="CP36" i="60"/>
  <c r="CM36" i="60"/>
  <c r="CJ36" i="60"/>
  <c r="CG36" i="60"/>
  <c r="CD36" i="60"/>
  <c r="CA36" i="60"/>
  <c r="BX36" i="60"/>
  <c r="BU36" i="60"/>
  <c r="BR36" i="60"/>
  <c r="BO36" i="60"/>
  <c r="BL36" i="60"/>
  <c r="BI36" i="60"/>
  <c r="BF36" i="60"/>
  <c r="BC36" i="60"/>
  <c r="AZ36" i="60"/>
  <c r="AW36" i="60"/>
  <c r="AT36" i="60"/>
  <c r="AO36" i="60"/>
  <c r="AQ36" i="60" s="1"/>
  <c r="AL36" i="60"/>
  <c r="AN36" i="60" s="1"/>
  <c r="AK36" i="60"/>
  <c r="AB36" i="60"/>
  <c r="Y36" i="60"/>
  <c r="EH36" i="60" s="1"/>
  <c r="V36" i="60"/>
  <c r="S36" i="60"/>
  <c r="P36" i="60"/>
  <c r="M36" i="60"/>
  <c r="J36" i="60"/>
  <c r="G36" i="60"/>
  <c r="D36" i="60"/>
  <c r="EL35" i="60"/>
  <c r="EG35" i="60"/>
  <c r="EI35" i="60" s="1"/>
  <c r="DW35" i="60"/>
  <c r="DT35" i="60"/>
  <c r="DQ35" i="60"/>
  <c r="DN35" i="60"/>
  <c r="DK35" i="60"/>
  <c r="DH35" i="60"/>
  <c r="DE35" i="60"/>
  <c r="DB35" i="60"/>
  <c r="CY35" i="60"/>
  <c r="CV35" i="60"/>
  <c r="CS35" i="60"/>
  <c r="CP35" i="60"/>
  <c r="CM35" i="60"/>
  <c r="CJ35" i="60"/>
  <c r="CG35" i="60"/>
  <c r="CD35" i="60"/>
  <c r="CA35" i="60"/>
  <c r="BX35" i="60"/>
  <c r="BU35" i="60"/>
  <c r="BR35" i="60"/>
  <c r="BO35" i="60"/>
  <c r="BL35" i="60"/>
  <c r="BI35" i="60"/>
  <c r="BF35" i="60"/>
  <c r="BC35" i="60"/>
  <c r="AZ35" i="60"/>
  <c r="AW35" i="60"/>
  <c r="AT35" i="60"/>
  <c r="AO35" i="60"/>
  <c r="AQ35" i="60" s="1"/>
  <c r="AL35" i="60"/>
  <c r="AN35" i="60" s="1"/>
  <c r="AK35" i="60"/>
  <c r="AB35" i="60"/>
  <c r="Y35" i="60"/>
  <c r="V35" i="60"/>
  <c r="S35" i="60"/>
  <c r="P35" i="60"/>
  <c r="M35" i="60"/>
  <c r="J35" i="60"/>
  <c r="G35" i="60"/>
  <c r="D35" i="60"/>
  <c r="EL34" i="60"/>
  <c r="EK34" i="60"/>
  <c r="EG34" i="60"/>
  <c r="EI34" i="60" s="1"/>
  <c r="DW34" i="60"/>
  <c r="DT34" i="60"/>
  <c r="DQ34" i="60"/>
  <c r="DN34" i="60"/>
  <c r="DK34" i="60"/>
  <c r="DH34" i="60"/>
  <c r="DE34" i="60"/>
  <c r="DB34" i="60"/>
  <c r="CY34" i="60"/>
  <c r="CV34" i="60"/>
  <c r="CS34" i="60"/>
  <c r="CP34" i="60"/>
  <c r="CM34" i="60"/>
  <c r="CJ34" i="60"/>
  <c r="CG34" i="60"/>
  <c r="CD34" i="60"/>
  <c r="CA34" i="60"/>
  <c r="BX34" i="60"/>
  <c r="BU34" i="60"/>
  <c r="BR34" i="60"/>
  <c r="BO34" i="60"/>
  <c r="BL34" i="60"/>
  <c r="BI34" i="60"/>
  <c r="BF34" i="60"/>
  <c r="BC34" i="60"/>
  <c r="AZ34" i="60"/>
  <c r="AW34" i="60"/>
  <c r="AT34" i="60"/>
  <c r="AO34" i="60"/>
  <c r="AQ34" i="60" s="1"/>
  <c r="AL34" i="60"/>
  <c r="AN34" i="60" s="1"/>
  <c r="AK34" i="60"/>
  <c r="AB34" i="60"/>
  <c r="Y34" i="60"/>
  <c r="EH34" i="60" s="1"/>
  <c r="V34" i="60"/>
  <c r="S34" i="60"/>
  <c r="P34" i="60"/>
  <c r="M34" i="60"/>
  <c r="J34" i="60"/>
  <c r="G34" i="60"/>
  <c r="D34" i="60"/>
  <c r="EL33" i="60"/>
  <c r="EG33" i="60"/>
  <c r="EI33" i="60" s="1"/>
  <c r="DW33" i="60"/>
  <c r="DT33" i="60"/>
  <c r="DQ33" i="60"/>
  <c r="DN33" i="60"/>
  <c r="DK33" i="60"/>
  <c r="DH33" i="60"/>
  <c r="DE33" i="60"/>
  <c r="DB33" i="60"/>
  <c r="CY33" i="60"/>
  <c r="CV33" i="60"/>
  <c r="CS33" i="60"/>
  <c r="CP33" i="60"/>
  <c r="CM33" i="60"/>
  <c r="CJ33" i="60"/>
  <c r="CG33" i="60"/>
  <c r="CD33" i="60"/>
  <c r="CA33" i="60"/>
  <c r="BX33" i="60"/>
  <c r="BU33" i="60"/>
  <c r="BR33" i="60"/>
  <c r="BO33" i="60"/>
  <c r="BL33" i="60"/>
  <c r="BI33" i="60"/>
  <c r="BF33" i="60"/>
  <c r="BC33" i="60"/>
  <c r="AZ33" i="60"/>
  <c r="AW33" i="60"/>
  <c r="AT33" i="60"/>
  <c r="AR33" i="60"/>
  <c r="AO33" i="60"/>
  <c r="AQ33" i="60" s="1"/>
  <c r="AL33" i="60"/>
  <c r="EB33" i="60" s="1"/>
  <c r="AK33" i="60"/>
  <c r="AB33" i="60"/>
  <c r="Y33" i="60"/>
  <c r="V33" i="60"/>
  <c r="S33" i="60"/>
  <c r="P33" i="60"/>
  <c r="M33" i="60"/>
  <c r="J33" i="60"/>
  <c r="G33" i="60"/>
  <c r="D33" i="60"/>
  <c r="EL32" i="60"/>
  <c r="EG32" i="60"/>
  <c r="EI32" i="60" s="1"/>
  <c r="DW32" i="60"/>
  <c r="DT32" i="60"/>
  <c r="DQ32" i="60"/>
  <c r="DN32" i="60"/>
  <c r="DK32" i="60"/>
  <c r="DH32" i="60"/>
  <c r="DE32" i="60"/>
  <c r="DB32" i="60"/>
  <c r="CY32" i="60"/>
  <c r="CV32" i="60"/>
  <c r="CS32" i="60"/>
  <c r="CP32" i="60"/>
  <c r="CM32" i="60"/>
  <c r="CJ32" i="60"/>
  <c r="CG32" i="60"/>
  <c r="CD32" i="60"/>
  <c r="CA32" i="60"/>
  <c r="BX32" i="60"/>
  <c r="BU32" i="60"/>
  <c r="BR32" i="60"/>
  <c r="BO32" i="60"/>
  <c r="BL32" i="60"/>
  <c r="BI32" i="60"/>
  <c r="BF32" i="60"/>
  <c r="BC32" i="60"/>
  <c r="AZ32" i="60"/>
  <c r="AW32" i="60"/>
  <c r="AT32" i="60"/>
  <c r="AQ32" i="60"/>
  <c r="AO32" i="60"/>
  <c r="AL32" i="60"/>
  <c r="AN32" i="60" s="1"/>
  <c r="AK32" i="60"/>
  <c r="AB32" i="60"/>
  <c r="Y32" i="60"/>
  <c r="V32" i="60"/>
  <c r="S32" i="60"/>
  <c r="EH32" i="60" s="1"/>
  <c r="P32" i="60"/>
  <c r="M32" i="60"/>
  <c r="J32" i="60"/>
  <c r="G32" i="60"/>
  <c r="D32" i="60"/>
  <c r="EL31" i="60"/>
  <c r="EG31" i="60"/>
  <c r="EI31" i="60" s="1"/>
  <c r="DW31" i="60"/>
  <c r="DT31" i="60"/>
  <c r="DQ31" i="60"/>
  <c r="DN31" i="60"/>
  <c r="DK31" i="60"/>
  <c r="DH31" i="60"/>
  <c r="DE31" i="60"/>
  <c r="DB31" i="60"/>
  <c r="CY31" i="60"/>
  <c r="CV31" i="60"/>
  <c r="CS31" i="60"/>
  <c r="CP31" i="60"/>
  <c r="CM31" i="60"/>
  <c r="CJ31" i="60"/>
  <c r="CG31" i="60"/>
  <c r="CD31" i="60"/>
  <c r="CA31" i="60"/>
  <c r="BX31" i="60"/>
  <c r="BU31" i="60"/>
  <c r="BR31" i="60"/>
  <c r="BO31" i="60"/>
  <c r="BL31" i="60"/>
  <c r="BI31" i="60"/>
  <c r="BF31" i="60"/>
  <c r="BC31" i="60"/>
  <c r="AZ31" i="60"/>
  <c r="AW31" i="60"/>
  <c r="AT31" i="60"/>
  <c r="AO31" i="60"/>
  <c r="AQ31" i="60" s="1"/>
  <c r="AL31" i="60"/>
  <c r="AN31" i="60" s="1"/>
  <c r="AK31" i="60"/>
  <c r="AB31" i="60"/>
  <c r="Y31" i="60"/>
  <c r="V31" i="60"/>
  <c r="EH31" i="60" s="1"/>
  <c r="S31" i="60"/>
  <c r="P31" i="60"/>
  <c r="M31" i="60"/>
  <c r="J31" i="60"/>
  <c r="G31" i="60"/>
  <c r="D31" i="60"/>
  <c r="EL30" i="60"/>
  <c r="EG30" i="60"/>
  <c r="EI30" i="60" s="1"/>
  <c r="DW30" i="60"/>
  <c r="DT30" i="60"/>
  <c r="DQ30" i="60"/>
  <c r="DN30" i="60"/>
  <c r="DK30" i="60"/>
  <c r="DH30" i="60"/>
  <c r="DE30" i="60"/>
  <c r="DB30" i="60"/>
  <c r="CY30" i="60"/>
  <c r="CV30" i="60"/>
  <c r="CS30" i="60"/>
  <c r="CP30" i="60"/>
  <c r="CM30" i="60"/>
  <c r="CJ30" i="60"/>
  <c r="CG30" i="60"/>
  <c r="CD30" i="60"/>
  <c r="CA30" i="60"/>
  <c r="BX30" i="60"/>
  <c r="BU30" i="60"/>
  <c r="BR30" i="60"/>
  <c r="BO30" i="60"/>
  <c r="BL30" i="60"/>
  <c r="BI30" i="60"/>
  <c r="BF30" i="60"/>
  <c r="BC30" i="60"/>
  <c r="AZ30" i="60"/>
  <c r="AW30" i="60"/>
  <c r="AT30" i="60"/>
  <c r="AQ30" i="60"/>
  <c r="AO30" i="60"/>
  <c r="AL30" i="60"/>
  <c r="AN30" i="60" s="1"/>
  <c r="AK30" i="60"/>
  <c r="AB30" i="60"/>
  <c r="Y30" i="60"/>
  <c r="V30" i="60"/>
  <c r="S30" i="60"/>
  <c r="EH30" i="60" s="1"/>
  <c r="P30" i="60"/>
  <c r="M30" i="60"/>
  <c r="J30" i="60"/>
  <c r="G30" i="60"/>
  <c r="D30" i="60"/>
  <c r="EL29" i="60"/>
  <c r="EG29" i="60"/>
  <c r="EI29" i="60" s="1"/>
  <c r="DW29" i="60"/>
  <c r="DT29" i="60"/>
  <c r="DQ29" i="60"/>
  <c r="DN29" i="60"/>
  <c r="DK29" i="60"/>
  <c r="DH29" i="60"/>
  <c r="DE29" i="60"/>
  <c r="DB29" i="60"/>
  <c r="CY29" i="60"/>
  <c r="CV29" i="60"/>
  <c r="CS29" i="60"/>
  <c r="CP29" i="60"/>
  <c r="CM29" i="60"/>
  <c r="CJ29" i="60"/>
  <c r="CG29" i="60"/>
  <c r="CD29" i="60"/>
  <c r="CA29" i="60"/>
  <c r="BX29" i="60"/>
  <c r="BU29" i="60"/>
  <c r="BR29" i="60"/>
  <c r="BO29" i="60"/>
  <c r="BL29" i="60"/>
  <c r="BI29" i="60"/>
  <c r="BF29" i="60"/>
  <c r="BC29" i="60"/>
  <c r="AZ29" i="60"/>
  <c r="AW29" i="60"/>
  <c r="AT29" i="60"/>
  <c r="AO29" i="60"/>
  <c r="AQ29" i="60" s="1"/>
  <c r="AL29" i="60"/>
  <c r="AN29" i="60" s="1"/>
  <c r="AK29" i="60"/>
  <c r="AB29" i="60"/>
  <c r="Y29" i="60"/>
  <c r="V29" i="60"/>
  <c r="EH29" i="60" s="1"/>
  <c r="S29" i="60"/>
  <c r="P29" i="60"/>
  <c r="M29" i="60"/>
  <c r="J29" i="60"/>
  <c r="G29" i="60"/>
  <c r="D29" i="60"/>
  <c r="EL28" i="60"/>
  <c r="EG28" i="60"/>
  <c r="EI28" i="60" s="1"/>
  <c r="DW28" i="60"/>
  <c r="DT28" i="60"/>
  <c r="DQ28" i="60"/>
  <c r="DN28" i="60"/>
  <c r="DK28" i="60"/>
  <c r="DH28" i="60"/>
  <c r="DE28" i="60"/>
  <c r="DB28" i="60"/>
  <c r="CY28" i="60"/>
  <c r="CV28" i="60"/>
  <c r="CS28" i="60"/>
  <c r="CP28" i="60"/>
  <c r="CM28" i="60"/>
  <c r="CJ28" i="60"/>
  <c r="CG28" i="60"/>
  <c r="CD28" i="60"/>
  <c r="CA28" i="60"/>
  <c r="BX28" i="60"/>
  <c r="BU28" i="60"/>
  <c r="BR28" i="60"/>
  <c r="BO28" i="60"/>
  <c r="BL28" i="60"/>
  <c r="BI28" i="60"/>
  <c r="BF28" i="60"/>
  <c r="BC28" i="60"/>
  <c r="AZ28" i="60"/>
  <c r="AW28" i="60"/>
  <c r="AT28" i="60"/>
  <c r="AO28" i="60"/>
  <c r="AQ28" i="60" s="1"/>
  <c r="AL28" i="60"/>
  <c r="AN28" i="60" s="1"/>
  <c r="AK28" i="60"/>
  <c r="EH28" i="60"/>
  <c r="AB28" i="60"/>
  <c r="Y28" i="60"/>
  <c r="V28" i="60"/>
  <c r="S28" i="60"/>
  <c r="P28" i="60"/>
  <c r="M28" i="60"/>
  <c r="J28" i="60"/>
  <c r="G28" i="60"/>
  <c r="D28" i="60"/>
  <c r="EL27" i="60"/>
  <c r="EG27" i="60"/>
  <c r="EI27" i="60" s="1"/>
  <c r="DW27" i="60"/>
  <c r="DT27" i="60"/>
  <c r="DQ27" i="60"/>
  <c r="DN27" i="60"/>
  <c r="DK27" i="60"/>
  <c r="DH27" i="60"/>
  <c r="DE27" i="60"/>
  <c r="DB27" i="60"/>
  <c r="CY27" i="60"/>
  <c r="CV27" i="60"/>
  <c r="CS27" i="60"/>
  <c r="CP27" i="60"/>
  <c r="CM27" i="60"/>
  <c r="CJ27" i="60"/>
  <c r="CG27" i="60"/>
  <c r="CD27" i="60"/>
  <c r="CA27" i="60"/>
  <c r="BX27" i="60"/>
  <c r="BU27" i="60"/>
  <c r="BR27" i="60"/>
  <c r="BO27" i="60"/>
  <c r="BL27" i="60"/>
  <c r="BI27" i="60"/>
  <c r="BF27" i="60"/>
  <c r="BC27" i="60"/>
  <c r="AZ27" i="60"/>
  <c r="AW27" i="60"/>
  <c r="AT27" i="60"/>
  <c r="AQ27" i="60"/>
  <c r="AO27" i="60"/>
  <c r="AL27" i="60"/>
  <c r="AN27" i="60" s="1"/>
  <c r="AK27" i="60"/>
  <c r="AB27" i="60"/>
  <c r="Y27" i="60"/>
  <c r="V27" i="60"/>
  <c r="S27" i="60"/>
  <c r="EH27" i="60" s="1"/>
  <c r="P27" i="60"/>
  <c r="M27" i="60"/>
  <c r="J27" i="60"/>
  <c r="G27" i="60"/>
  <c r="D27" i="60"/>
  <c r="EL26" i="60"/>
  <c r="EG26" i="60"/>
  <c r="EI26" i="60" s="1"/>
  <c r="DW26" i="60"/>
  <c r="DT26" i="60"/>
  <c r="DQ26" i="60"/>
  <c r="DN26" i="60"/>
  <c r="DK26" i="60"/>
  <c r="DH26" i="60"/>
  <c r="DE26" i="60"/>
  <c r="DB26" i="60"/>
  <c r="CY26" i="60"/>
  <c r="CV26" i="60"/>
  <c r="CS26" i="60"/>
  <c r="CP26" i="60"/>
  <c r="CM26" i="60"/>
  <c r="CJ26" i="60"/>
  <c r="CG26" i="60"/>
  <c r="CD26" i="60"/>
  <c r="CA26" i="60"/>
  <c r="BX26" i="60"/>
  <c r="BU26" i="60"/>
  <c r="BR26" i="60"/>
  <c r="BO26" i="60"/>
  <c r="BL26" i="60"/>
  <c r="BI26" i="60"/>
  <c r="BF26" i="60"/>
  <c r="BC26" i="60"/>
  <c r="AZ26" i="60"/>
  <c r="AW26" i="60"/>
  <c r="AR26" i="60"/>
  <c r="AT26" i="60" s="1"/>
  <c r="AQ26" i="60"/>
  <c r="AO26" i="60"/>
  <c r="AL26" i="60"/>
  <c r="EB26" i="60" s="1"/>
  <c r="AK26" i="60"/>
  <c r="AB26" i="60"/>
  <c r="Y26" i="60"/>
  <c r="V26" i="60"/>
  <c r="S26" i="60"/>
  <c r="EH26" i="60" s="1"/>
  <c r="P26" i="60"/>
  <c r="M26" i="60"/>
  <c r="J26" i="60"/>
  <c r="G26" i="60"/>
  <c r="D26" i="60"/>
  <c r="EL25" i="60"/>
  <c r="EI25" i="60"/>
  <c r="EG25" i="60"/>
  <c r="DW25" i="60"/>
  <c r="DT25" i="60"/>
  <c r="DQ25" i="60"/>
  <c r="DN25" i="60"/>
  <c r="DK25" i="60"/>
  <c r="DH25" i="60"/>
  <c r="DE25" i="60"/>
  <c r="DB25" i="60"/>
  <c r="CY25" i="60"/>
  <c r="CV25" i="60"/>
  <c r="CS25" i="60"/>
  <c r="CP25" i="60"/>
  <c r="CM25" i="60"/>
  <c r="CJ25" i="60"/>
  <c r="CG25" i="60"/>
  <c r="CD25" i="60"/>
  <c r="CA25" i="60"/>
  <c r="BX25" i="60"/>
  <c r="BU25" i="60"/>
  <c r="BR25" i="60"/>
  <c r="BO25" i="60"/>
  <c r="BL25" i="60"/>
  <c r="BI25" i="60"/>
  <c r="BF25" i="60"/>
  <c r="BC25" i="60"/>
  <c r="AZ25" i="60"/>
  <c r="AW25" i="60"/>
  <c r="AT25" i="60"/>
  <c r="AO25" i="60"/>
  <c r="AQ25" i="60" s="1"/>
  <c r="AL25" i="60"/>
  <c r="AN25" i="60" s="1"/>
  <c r="AI25" i="60"/>
  <c r="AK25" i="60" s="1"/>
  <c r="AB25" i="60"/>
  <c r="Y25" i="60"/>
  <c r="V25" i="60"/>
  <c r="S25" i="60"/>
  <c r="P25" i="60"/>
  <c r="M25" i="60"/>
  <c r="J25" i="60"/>
  <c r="G25" i="60"/>
  <c r="D25" i="60"/>
  <c r="EL24" i="60"/>
  <c r="EI24" i="60"/>
  <c r="EG24" i="60"/>
  <c r="DW24" i="60"/>
  <c r="DT24" i="60"/>
  <c r="DQ24" i="60"/>
  <c r="DN24" i="60"/>
  <c r="DK24" i="60"/>
  <c r="DH24" i="60"/>
  <c r="DE24" i="60"/>
  <c r="DB24" i="60"/>
  <c r="CY24" i="60"/>
  <c r="CV24" i="60"/>
  <c r="CS24" i="60"/>
  <c r="CP24" i="60"/>
  <c r="CM24" i="60"/>
  <c r="CJ24" i="60"/>
  <c r="CG24" i="60"/>
  <c r="CD24" i="60"/>
  <c r="CA24" i="60"/>
  <c r="BX24" i="60"/>
  <c r="BU24" i="60"/>
  <c r="BR24" i="60"/>
  <c r="BO24" i="60"/>
  <c r="BL24" i="60"/>
  <c r="BI24" i="60"/>
  <c r="BF24" i="60"/>
  <c r="BC24" i="60"/>
  <c r="AZ24" i="60"/>
  <c r="AW24" i="60"/>
  <c r="AT24" i="60"/>
  <c r="AR24" i="60"/>
  <c r="AO24" i="60"/>
  <c r="AQ24" i="60" s="1"/>
  <c r="AL24" i="60"/>
  <c r="EB24" i="60" s="1"/>
  <c r="AK24" i="60"/>
  <c r="AB24" i="60"/>
  <c r="Y24" i="60"/>
  <c r="V24" i="60"/>
  <c r="S24" i="60"/>
  <c r="P24" i="60"/>
  <c r="M24" i="60"/>
  <c r="J24" i="60"/>
  <c r="G24" i="60"/>
  <c r="D24" i="60"/>
  <c r="EL23" i="60"/>
  <c r="EI23" i="60"/>
  <c r="EG23" i="60"/>
  <c r="DW23" i="60"/>
  <c r="DT23" i="60"/>
  <c r="DQ23" i="60"/>
  <c r="DN23" i="60"/>
  <c r="DK23" i="60"/>
  <c r="DH23" i="60"/>
  <c r="DE23" i="60"/>
  <c r="DB23" i="60"/>
  <c r="CY23" i="60"/>
  <c r="CV23" i="60"/>
  <c r="CS23" i="60"/>
  <c r="CP23" i="60"/>
  <c r="CM23" i="60"/>
  <c r="CJ23" i="60"/>
  <c r="CG23" i="60"/>
  <c r="CD23" i="60"/>
  <c r="CA23" i="60"/>
  <c r="BX23" i="60"/>
  <c r="BU23" i="60"/>
  <c r="BR23" i="60"/>
  <c r="BO23" i="60"/>
  <c r="BL23" i="60"/>
  <c r="BI23" i="60"/>
  <c r="BF23" i="60"/>
  <c r="BC23" i="60"/>
  <c r="AZ23" i="60"/>
  <c r="AW23" i="60"/>
  <c r="AR23" i="60"/>
  <c r="AT23" i="60" s="1"/>
  <c r="AO23" i="60"/>
  <c r="AQ23" i="60" s="1"/>
  <c r="AN23" i="60"/>
  <c r="AL23" i="60"/>
  <c r="AK23" i="60"/>
  <c r="AB23" i="60"/>
  <c r="Y23" i="60"/>
  <c r="V23" i="60"/>
  <c r="S23" i="60"/>
  <c r="P23" i="60"/>
  <c r="M23" i="60"/>
  <c r="J23" i="60"/>
  <c r="G23" i="60"/>
  <c r="D23" i="60"/>
  <c r="EL22" i="60"/>
  <c r="EG22" i="60"/>
  <c r="EI22" i="60" s="1"/>
  <c r="DW22" i="60"/>
  <c r="DT22" i="60"/>
  <c r="DQ22" i="60"/>
  <c r="DN22" i="60"/>
  <c r="DK22" i="60"/>
  <c r="DH22" i="60"/>
  <c r="DE22" i="60"/>
  <c r="DB22" i="60"/>
  <c r="CY22" i="60"/>
  <c r="CV22" i="60"/>
  <c r="CS22" i="60"/>
  <c r="CP22" i="60"/>
  <c r="CM22" i="60"/>
  <c r="CJ22" i="60"/>
  <c r="CG22" i="60"/>
  <c r="CD22" i="60"/>
  <c r="CA22" i="60"/>
  <c r="BX22" i="60"/>
  <c r="BU22" i="60"/>
  <c r="BR22" i="60"/>
  <c r="BO22" i="60"/>
  <c r="BL22" i="60"/>
  <c r="BI22" i="60"/>
  <c r="BF22" i="60"/>
  <c r="BC22" i="60"/>
  <c r="AZ22" i="60"/>
  <c r="AW22" i="60"/>
  <c r="AR22" i="60"/>
  <c r="AO22" i="60"/>
  <c r="AQ22" i="60" s="1"/>
  <c r="AN22" i="60"/>
  <c r="AL22" i="60"/>
  <c r="AK22" i="60"/>
  <c r="AB22" i="60"/>
  <c r="Y22" i="60"/>
  <c r="V22" i="60"/>
  <c r="S22" i="60"/>
  <c r="P22" i="60"/>
  <c r="M22" i="60"/>
  <c r="J22" i="60"/>
  <c r="G22" i="60"/>
  <c r="D22" i="60"/>
  <c r="EL21" i="60"/>
  <c r="EG21" i="60"/>
  <c r="EI21" i="60" s="1"/>
  <c r="DW21" i="60"/>
  <c r="DT21" i="60"/>
  <c r="DQ21" i="60"/>
  <c r="DN21" i="60"/>
  <c r="DK21" i="60"/>
  <c r="DH21" i="60"/>
  <c r="DE21" i="60"/>
  <c r="DB21" i="60"/>
  <c r="CY21" i="60"/>
  <c r="CV21" i="60"/>
  <c r="CS21" i="60"/>
  <c r="CP21" i="60"/>
  <c r="CM21" i="60"/>
  <c r="CJ21" i="60"/>
  <c r="CG21" i="60"/>
  <c r="CD21" i="60"/>
  <c r="CA21" i="60"/>
  <c r="BX21" i="60"/>
  <c r="BU21" i="60"/>
  <c r="BR21" i="60"/>
  <c r="BO21" i="60"/>
  <c r="BL21" i="60"/>
  <c r="BI21" i="60"/>
  <c r="BF21" i="60"/>
  <c r="BC21" i="60"/>
  <c r="AZ21" i="60"/>
  <c r="AW21" i="60"/>
  <c r="AR21" i="60"/>
  <c r="AO21" i="60"/>
  <c r="AQ21" i="60" s="1"/>
  <c r="AL21" i="60"/>
  <c r="AK21" i="60"/>
  <c r="AB21" i="60"/>
  <c r="Y21" i="60"/>
  <c r="V21" i="60"/>
  <c r="S21" i="60"/>
  <c r="P21" i="60"/>
  <c r="M21" i="60"/>
  <c r="J21" i="60"/>
  <c r="G21" i="60"/>
  <c r="D21" i="60"/>
  <c r="EL20" i="60"/>
  <c r="EG20" i="60"/>
  <c r="EI20" i="60" s="1"/>
  <c r="DW20" i="60"/>
  <c r="DT20" i="60"/>
  <c r="DQ20" i="60"/>
  <c r="DN20" i="60"/>
  <c r="DK20" i="60"/>
  <c r="DH20" i="60"/>
  <c r="DE20" i="60"/>
  <c r="DB20" i="60"/>
  <c r="CY20" i="60"/>
  <c r="CV20" i="60"/>
  <c r="CS20" i="60"/>
  <c r="CP20" i="60"/>
  <c r="CM20" i="60"/>
  <c r="CJ20" i="60"/>
  <c r="CG20" i="60"/>
  <c r="CD20" i="60"/>
  <c r="CA20" i="60"/>
  <c r="BX20" i="60"/>
  <c r="BU20" i="60"/>
  <c r="BR20" i="60"/>
  <c r="BO20" i="60"/>
  <c r="BL20" i="60"/>
  <c r="BI20" i="60"/>
  <c r="BF20" i="60"/>
  <c r="BC20" i="60"/>
  <c r="AZ20" i="60"/>
  <c r="AW20" i="60"/>
  <c r="AR20" i="60"/>
  <c r="EK20" i="60" s="1"/>
  <c r="AQ20" i="60"/>
  <c r="AO20" i="60"/>
  <c r="AL20" i="60"/>
  <c r="AN20" i="60" s="1"/>
  <c r="AK20" i="60"/>
  <c r="AB20" i="60"/>
  <c r="Y20" i="60"/>
  <c r="V20" i="60"/>
  <c r="S20" i="60"/>
  <c r="P20" i="60"/>
  <c r="M20" i="60"/>
  <c r="J20" i="60"/>
  <c r="G20" i="60"/>
  <c r="D20" i="60"/>
  <c r="EL19" i="60"/>
  <c r="EG19" i="60"/>
  <c r="EI19" i="60" s="1"/>
  <c r="DW19" i="60"/>
  <c r="DT19" i="60"/>
  <c r="DQ19" i="60"/>
  <c r="DN19" i="60"/>
  <c r="DK19" i="60"/>
  <c r="DH19" i="60"/>
  <c r="DE19" i="60"/>
  <c r="DB19" i="60"/>
  <c r="CY19" i="60"/>
  <c r="CV19" i="60"/>
  <c r="CS19" i="60"/>
  <c r="CP19" i="60"/>
  <c r="CM19" i="60"/>
  <c r="CJ19" i="60"/>
  <c r="CG19" i="60"/>
  <c r="CD19" i="60"/>
  <c r="CA19" i="60"/>
  <c r="BX19" i="60"/>
  <c r="BU19" i="60"/>
  <c r="BR19" i="60"/>
  <c r="BO19" i="60"/>
  <c r="BL19" i="60"/>
  <c r="BI19" i="60"/>
  <c r="BF19" i="60"/>
  <c r="BC19" i="60"/>
  <c r="AZ19" i="60"/>
  <c r="AW19" i="60"/>
  <c r="AR19" i="60"/>
  <c r="AO19" i="60"/>
  <c r="AQ19" i="60" s="1"/>
  <c r="AL19" i="60"/>
  <c r="EB19" i="60" s="1"/>
  <c r="AK19" i="60"/>
  <c r="AB19" i="60"/>
  <c r="Y19" i="60"/>
  <c r="V19" i="60"/>
  <c r="S19" i="60"/>
  <c r="P19" i="60"/>
  <c r="M19" i="60"/>
  <c r="J19" i="60"/>
  <c r="G19" i="60"/>
  <c r="D19" i="60"/>
  <c r="EL18" i="60"/>
  <c r="EG18" i="60"/>
  <c r="EI18" i="60" s="1"/>
  <c r="DW18" i="60"/>
  <c r="DT18" i="60"/>
  <c r="DQ18" i="60"/>
  <c r="DN18" i="60"/>
  <c r="DK18" i="60"/>
  <c r="DH18" i="60"/>
  <c r="DE18" i="60"/>
  <c r="DB18" i="60"/>
  <c r="CY18" i="60"/>
  <c r="CV18" i="60"/>
  <c r="CS18" i="60"/>
  <c r="CP18" i="60"/>
  <c r="CM18" i="60"/>
  <c r="CJ18" i="60"/>
  <c r="CG18" i="60"/>
  <c r="CD18" i="60"/>
  <c r="CA18" i="60"/>
  <c r="BX18" i="60"/>
  <c r="BU18" i="60"/>
  <c r="BR18" i="60"/>
  <c r="BO18" i="60"/>
  <c r="BL18" i="60"/>
  <c r="BI18" i="60"/>
  <c r="BF18" i="60"/>
  <c r="BC18" i="60"/>
  <c r="AZ18" i="60"/>
  <c r="AW18" i="60"/>
  <c r="AR18" i="60"/>
  <c r="AT18" i="60" s="1"/>
  <c r="AQ18" i="60"/>
  <c r="AO18" i="60"/>
  <c r="AL18" i="60"/>
  <c r="AK18" i="60"/>
  <c r="AB18" i="60"/>
  <c r="Y18" i="60"/>
  <c r="V18" i="60"/>
  <c r="S18" i="60"/>
  <c r="EH18" i="60" s="1"/>
  <c r="P18" i="60"/>
  <c r="M18" i="60"/>
  <c r="J18" i="60"/>
  <c r="G18" i="60"/>
  <c r="D18" i="60"/>
  <c r="EL17" i="60"/>
  <c r="EI17" i="60"/>
  <c r="EG17" i="60"/>
  <c r="DW17" i="60"/>
  <c r="DT17" i="60"/>
  <c r="DQ17" i="60"/>
  <c r="DN17" i="60"/>
  <c r="DK17" i="60"/>
  <c r="DH17" i="60"/>
  <c r="DE17" i="60"/>
  <c r="DB17" i="60"/>
  <c r="CY17" i="60"/>
  <c r="CV17" i="60"/>
  <c r="CS17" i="60"/>
  <c r="CP17" i="60"/>
  <c r="CM17" i="60"/>
  <c r="CJ17" i="60"/>
  <c r="CG17" i="60"/>
  <c r="CD17" i="60"/>
  <c r="CA17" i="60"/>
  <c r="BX17" i="60"/>
  <c r="BU17" i="60"/>
  <c r="BR17" i="60"/>
  <c r="BO17" i="60"/>
  <c r="BL17" i="60"/>
  <c r="BI17" i="60"/>
  <c r="BF17" i="60"/>
  <c r="BC17" i="60"/>
  <c r="AZ17" i="60"/>
  <c r="AW17" i="60"/>
  <c r="AR17" i="60"/>
  <c r="AT17" i="60" s="1"/>
  <c r="AO17" i="60"/>
  <c r="AQ17" i="60" s="1"/>
  <c r="AN17" i="60"/>
  <c r="AL17" i="60"/>
  <c r="EB17" i="60" s="1"/>
  <c r="AK17" i="60"/>
  <c r="AB17" i="60"/>
  <c r="Y17" i="60"/>
  <c r="V17" i="60"/>
  <c r="S17" i="60"/>
  <c r="EH17" i="60" s="1"/>
  <c r="P17" i="60"/>
  <c r="M17" i="60"/>
  <c r="J17" i="60"/>
  <c r="G17" i="60"/>
  <c r="D17" i="60"/>
  <c r="EL16" i="60"/>
  <c r="EG16" i="60"/>
  <c r="EI16" i="60" s="1"/>
  <c r="DW16" i="60"/>
  <c r="DT16" i="60"/>
  <c r="DQ16" i="60"/>
  <c r="DN16" i="60"/>
  <c r="DK16" i="60"/>
  <c r="DH16" i="60"/>
  <c r="DE16" i="60"/>
  <c r="DB16" i="60"/>
  <c r="CY16" i="60"/>
  <c r="CV16" i="60"/>
  <c r="CS16" i="60"/>
  <c r="CP16" i="60"/>
  <c r="CM16" i="60"/>
  <c r="CJ16" i="60"/>
  <c r="CG16" i="60"/>
  <c r="CD16" i="60"/>
  <c r="CA16" i="60"/>
  <c r="BX16" i="60"/>
  <c r="BU16" i="60"/>
  <c r="BR16" i="60"/>
  <c r="BO16" i="60"/>
  <c r="BL16" i="60"/>
  <c r="BI16" i="60"/>
  <c r="BF16" i="60"/>
  <c r="BC16" i="60"/>
  <c r="AZ16" i="60"/>
  <c r="AW16" i="60"/>
  <c r="AT16" i="60"/>
  <c r="AR16" i="60"/>
  <c r="EK16" i="60" s="1"/>
  <c r="AQ16" i="60"/>
  <c r="AL16" i="60"/>
  <c r="EB16" i="60" s="1"/>
  <c r="AK16" i="60"/>
  <c r="AB16" i="60"/>
  <c r="Y16" i="60"/>
  <c r="V16" i="60"/>
  <c r="S16" i="60"/>
  <c r="P16" i="60"/>
  <c r="M16" i="60"/>
  <c r="J16" i="60"/>
  <c r="G16" i="60"/>
  <c r="D16" i="60"/>
  <c r="EL15" i="60"/>
  <c r="EG15" i="60"/>
  <c r="EI15" i="60" s="1"/>
  <c r="DW15" i="60"/>
  <c r="DT15" i="60"/>
  <c r="DQ15" i="60"/>
  <c r="DN15" i="60"/>
  <c r="DK15" i="60"/>
  <c r="DH15" i="60"/>
  <c r="DE15" i="60"/>
  <c r="DB15" i="60"/>
  <c r="CY15" i="60"/>
  <c r="CV15" i="60"/>
  <c r="CS15" i="60"/>
  <c r="CP15" i="60"/>
  <c r="CM15" i="60"/>
  <c r="CJ15" i="60"/>
  <c r="CG15" i="60"/>
  <c r="CD15" i="60"/>
  <c r="CA15" i="60"/>
  <c r="BX15" i="60"/>
  <c r="BU15" i="60"/>
  <c r="BR15" i="60"/>
  <c r="BO15" i="60"/>
  <c r="BL15" i="60"/>
  <c r="BI15" i="60"/>
  <c r="BF15" i="60"/>
  <c r="BC15" i="60"/>
  <c r="AZ15" i="60"/>
  <c r="AW15" i="60"/>
  <c r="AT15" i="60"/>
  <c r="AQ15" i="60"/>
  <c r="AL15" i="60"/>
  <c r="AN15" i="60" s="1"/>
  <c r="AK15" i="60"/>
  <c r="AB15" i="60"/>
  <c r="Y15" i="60"/>
  <c r="V15" i="60"/>
  <c r="S15" i="60"/>
  <c r="P15" i="60"/>
  <c r="M15" i="60"/>
  <c r="J15" i="60"/>
  <c r="G15" i="60"/>
  <c r="D15" i="60"/>
  <c r="EL14" i="60"/>
  <c r="EI14" i="60"/>
  <c r="EG14" i="60"/>
  <c r="DW14" i="60"/>
  <c r="DT14" i="60"/>
  <c r="DQ14" i="60"/>
  <c r="DN14" i="60"/>
  <c r="DK14" i="60"/>
  <c r="DH14" i="60"/>
  <c r="DE14" i="60"/>
  <c r="DB14" i="60"/>
  <c r="CY14" i="60"/>
  <c r="CV14" i="60"/>
  <c r="CS14" i="60"/>
  <c r="CP14" i="60"/>
  <c r="CM14" i="60"/>
  <c r="CJ14" i="60"/>
  <c r="CG14" i="60"/>
  <c r="CD14" i="60"/>
  <c r="CA14" i="60"/>
  <c r="BX14" i="60"/>
  <c r="BU14" i="60"/>
  <c r="BR14" i="60"/>
  <c r="BO14" i="60"/>
  <c r="BL14" i="60"/>
  <c r="BI14" i="60"/>
  <c r="BF14" i="60"/>
  <c r="BC14" i="60"/>
  <c r="AZ14" i="60"/>
  <c r="AW14" i="60"/>
  <c r="AT14" i="60"/>
  <c r="AQ14" i="60"/>
  <c r="AL14" i="60"/>
  <c r="AN14" i="60" s="1"/>
  <c r="AK14" i="60"/>
  <c r="AB14" i="60"/>
  <c r="Y14" i="60"/>
  <c r="V14" i="60"/>
  <c r="S14" i="60"/>
  <c r="P14" i="60"/>
  <c r="M14" i="60"/>
  <c r="J14" i="60"/>
  <c r="G14" i="60"/>
  <c r="D14" i="60"/>
  <c r="EL13" i="60"/>
  <c r="EK13" i="60"/>
  <c r="EG13" i="60"/>
  <c r="EI13" i="60" s="1"/>
  <c r="DW13" i="60"/>
  <c r="DT13" i="60"/>
  <c r="DQ13" i="60"/>
  <c r="DN13" i="60"/>
  <c r="DK13" i="60"/>
  <c r="DH13" i="60"/>
  <c r="DE13" i="60"/>
  <c r="DB13" i="60"/>
  <c r="CY13" i="60"/>
  <c r="CV13" i="60"/>
  <c r="CS13" i="60"/>
  <c r="CP13" i="60"/>
  <c r="CM13" i="60"/>
  <c r="CJ13" i="60"/>
  <c r="CG13" i="60"/>
  <c r="CD13" i="60"/>
  <c r="CA13" i="60"/>
  <c r="BX13" i="60"/>
  <c r="BU13" i="60"/>
  <c r="BR13" i="60"/>
  <c r="BO13" i="60"/>
  <c r="BL13" i="60"/>
  <c r="BI13" i="60"/>
  <c r="BF13" i="60"/>
  <c r="BC13" i="60"/>
  <c r="AZ13" i="60"/>
  <c r="AW13" i="60"/>
  <c r="AT13" i="60"/>
  <c r="AQ13" i="60"/>
  <c r="AN13" i="60"/>
  <c r="AL13" i="60"/>
  <c r="EB13" i="60" s="1"/>
  <c r="AK13" i="60"/>
  <c r="AB13" i="60"/>
  <c r="Y13" i="60"/>
  <c r="V13" i="60"/>
  <c r="S13" i="60"/>
  <c r="P13" i="60"/>
  <c r="M13" i="60"/>
  <c r="J13" i="60"/>
  <c r="G13" i="60"/>
  <c r="D13" i="60"/>
  <c r="EL12" i="60"/>
  <c r="EG12" i="60"/>
  <c r="EI12" i="60" s="1"/>
  <c r="DW12" i="60"/>
  <c r="DT12" i="60"/>
  <c r="DQ12" i="60"/>
  <c r="DN12" i="60"/>
  <c r="DK12" i="60"/>
  <c r="DH12" i="60"/>
  <c r="DE12" i="60"/>
  <c r="DB12" i="60"/>
  <c r="CY12" i="60"/>
  <c r="CV12" i="60"/>
  <c r="CS12" i="60"/>
  <c r="CP12" i="60"/>
  <c r="CM12" i="60"/>
  <c r="CJ12" i="60"/>
  <c r="CG12" i="60"/>
  <c r="CD12" i="60"/>
  <c r="CA12" i="60"/>
  <c r="BX12" i="60"/>
  <c r="BU12" i="60"/>
  <c r="BR12" i="60"/>
  <c r="BO12" i="60"/>
  <c r="BL12" i="60"/>
  <c r="BI12" i="60"/>
  <c r="BF12" i="60"/>
  <c r="BC12" i="60"/>
  <c r="AZ12" i="60"/>
  <c r="AW12" i="60"/>
  <c r="AT12" i="60"/>
  <c r="AQ12" i="60"/>
  <c r="AN12" i="60"/>
  <c r="AL12" i="60"/>
  <c r="EB12" i="60" s="1"/>
  <c r="AK12" i="60"/>
  <c r="AB12" i="60"/>
  <c r="Y12" i="60"/>
  <c r="V12" i="60"/>
  <c r="S12" i="60"/>
  <c r="P12" i="60"/>
  <c r="M12" i="60"/>
  <c r="J12" i="60"/>
  <c r="G12" i="60"/>
  <c r="D12" i="60"/>
  <c r="A12" i="60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A38" i="60" s="1"/>
  <c r="A39" i="60" s="1"/>
  <c r="A40" i="60" s="1"/>
  <c r="EL11" i="60"/>
  <c r="EG11" i="60"/>
  <c r="EI11" i="60" s="1"/>
  <c r="DW11" i="60"/>
  <c r="DW41" i="60" s="1"/>
  <c r="DT11" i="60"/>
  <c r="DQ11" i="60"/>
  <c r="DN11" i="60"/>
  <c r="DK11" i="60"/>
  <c r="DH11" i="60"/>
  <c r="DE11" i="60"/>
  <c r="DB11" i="60"/>
  <c r="CY11" i="60"/>
  <c r="CY41" i="60" s="1"/>
  <c r="CV11" i="60"/>
  <c r="CS11" i="60"/>
  <c r="CP11" i="60"/>
  <c r="CM11" i="60"/>
  <c r="CJ11" i="60"/>
  <c r="CG11" i="60"/>
  <c r="CD11" i="60"/>
  <c r="CA11" i="60"/>
  <c r="CA41" i="60" s="1"/>
  <c r="BX11" i="60"/>
  <c r="BU11" i="60"/>
  <c r="BR11" i="60"/>
  <c r="BO11" i="60"/>
  <c r="BL11" i="60"/>
  <c r="BI11" i="60"/>
  <c r="BF11" i="60"/>
  <c r="BC11" i="60"/>
  <c r="BC41" i="60" s="1"/>
  <c r="AZ11" i="60"/>
  <c r="AW11" i="60"/>
  <c r="AR11" i="60"/>
  <c r="EK11" i="60" s="1"/>
  <c r="AQ11" i="60"/>
  <c r="AL11" i="60"/>
  <c r="AK11" i="60"/>
  <c r="AH41" i="60"/>
  <c r="AE41" i="60"/>
  <c r="AB11" i="60"/>
  <c r="Y11" i="60"/>
  <c r="V11" i="60"/>
  <c r="EH11" i="60" s="1"/>
  <c r="S11" i="60"/>
  <c r="P11" i="60"/>
  <c r="M11" i="60"/>
  <c r="J11" i="60"/>
  <c r="J41" i="60" s="1"/>
  <c r="G11" i="60"/>
  <c r="D11" i="60"/>
  <c r="EI2" i="60"/>
  <c r="AK41" i="60" l="1"/>
  <c r="AN39" i="60"/>
  <c r="P41" i="60"/>
  <c r="EB11" i="60"/>
  <c r="BI41" i="60"/>
  <c r="CG41" i="60"/>
  <c r="DE41" i="60"/>
  <c r="EH12" i="60"/>
  <c r="EH20" i="60"/>
  <c r="EB21" i="60"/>
  <c r="EH22" i="60"/>
  <c r="EK22" i="60"/>
  <c r="EK23" i="60"/>
  <c r="EB23" i="60"/>
  <c r="EE23" i="60" s="1"/>
  <c r="ED29" i="60"/>
  <c r="EM29" i="60"/>
  <c r="ED31" i="60"/>
  <c r="EM31" i="60"/>
  <c r="ED35" i="60"/>
  <c r="EK39" i="60"/>
  <c r="ED16" i="60"/>
  <c r="ED23" i="60"/>
  <c r="EI5" i="60"/>
  <c r="ED13" i="60"/>
  <c r="AN16" i="60"/>
  <c r="EH35" i="60"/>
  <c r="EM35" i="60"/>
  <c r="S41" i="60"/>
  <c r="AN11" i="60"/>
  <c r="BL41" i="60"/>
  <c r="CJ41" i="60"/>
  <c r="DH41" i="60"/>
  <c r="ED15" i="60"/>
  <c r="EM15" i="60"/>
  <c r="EH16" i="60"/>
  <c r="AN21" i="60"/>
  <c r="EH24" i="60"/>
  <c r="ED27" i="60"/>
  <c r="EM27" i="60"/>
  <c r="EH39" i="60"/>
  <c r="DB41" i="60"/>
  <c r="DK41" i="60"/>
  <c r="EM14" i="60"/>
  <c r="ED17" i="60"/>
  <c r="EE17" i="60" s="1"/>
  <c r="EM17" i="60"/>
  <c r="EK19" i="60"/>
  <c r="EC19" i="60" s="1"/>
  <c r="EM23" i="60"/>
  <c r="M41" i="60"/>
  <c r="EM16" i="60"/>
  <c r="BO41" i="60"/>
  <c r="ED12" i="60"/>
  <c r="EB18" i="60"/>
  <c r="EH19" i="60"/>
  <c r="AT19" i="60"/>
  <c r="EH23" i="60"/>
  <c r="EM34" i="60"/>
  <c r="EM13" i="60"/>
  <c r="CD41" i="60"/>
  <c r="EH13" i="60"/>
  <c r="CM41" i="60"/>
  <c r="EN13" i="60"/>
  <c r="Y41" i="60"/>
  <c r="CP41" i="60"/>
  <c r="D41" i="60"/>
  <c r="AB41" i="60"/>
  <c r="AW41" i="60"/>
  <c r="BU41" i="60"/>
  <c r="CS41" i="60"/>
  <c r="DQ41" i="60"/>
  <c r="ED14" i="60"/>
  <c r="EE14" i="60" s="1"/>
  <c r="EH14" i="60"/>
  <c r="EB14" i="60"/>
  <c r="EH21" i="60"/>
  <c r="EK21" i="60"/>
  <c r="ED32" i="60"/>
  <c r="EM32" i="60"/>
  <c r="ED34" i="60"/>
  <c r="EK40" i="60"/>
  <c r="EN2" i="60" s="1"/>
  <c r="EP2" i="60" s="1"/>
  <c r="BF41" i="60"/>
  <c r="EM12" i="60"/>
  <c r="EK15" i="60"/>
  <c r="BR41" i="60"/>
  <c r="DN41" i="60"/>
  <c r="G41" i="60"/>
  <c r="AZ41" i="60"/>
  <c r="BX41" i="60"/>
  <c r="CV41" i="60"/>
  <c r="EK12" i="60"/>
  <c r="EN12" i="60" s="1"/>
  <c r="EH15" i="60"/>
  <c r="EH41" i="60" s="1"/>
  <c r="EB20" i="60"/>
  <c r="EC20" i="60" s="1"/>
  <c r="ED21" i="60"/>
  <c r="AT21" i="60"/>
  <c r="EM21" i="60"/>
  <c r="EH25" i="60"/>
  <c r="EH33" i="60"/>
  <c r="EH37" i="60"/>
  <c r="EM37" i="60"/>
  <c r="EN37" i="60" s="1"/>
  <c r="EK38" i="60"/>
  <c r="EH40" i="60"/>
  <c r="EC39" i="60"/>
  <c r="EC12" i="60"/>
  <c r="EE12" i="60"/>
  <c r="EN23" i="60"/>
  <c r="EC11" i="60"/>
  <c r="EE16" i="60"/>
  <c r="EC16" i="60"/>
  <c r="ED25" i="60"/>
  <c r="EN15" i="60"/>
  <c r="EN16" i="60"/>
  <c r="EM25" i="60"/>
  <c r="ED28" i="60"/>
  <c r="EM28" i="60"/>
  <c r="EE21" i="60"/>
  <c r="EC21" i="60"/>
  <c r="ED30" i="60"/>
  <c r="ED36" i="60"/>
  <c r="EE13" i="60"/>
  <c r="EM30" i="60"/>
  <c r="EN34" i="60"/>
  <c r="EM36" i="60"/>
  <c r="EB22" i="60"/>
  <c r="EB40" i="60"/>
  <c r="EK24" i="60"/>
  <c r="AQ38" i="60"/>
  <c r="V41" i="60"/>
  <c r="AT11" i="60"/>
  <c r="EK14" i="60"/>
  <c r="EN14" i="60" s="1"/>
  <c r="EB15" i="60"/>
  <c r="EK17" i="60"/>
  <c r="EN17" i="60" s="1"/>
  <c r="AT20" i="60"/>
  <c r="ED20" i="60" s="1"/>
  <c r="EE20" i="60" s="1"/>
  <c r="AN24" i="60"/>
  <c r="EM24" i="60" s="1"/>
  <c r="EK25" i="60"/>
  <c r="EN25" i="60" s="1"/>
  <c r="AQ39" i="60"/>
  <c r="ED39" i="60" s="1"/>
  <c r="EE39" i="60" s="1"/>
  <c r="EK18" i="60"/>
  <c r="EB25" i="60"/>
  <c r="EK26" i="60"/>
  <c r="EC26" i="60" s="1"/>
  <c r="EK27" i="60"/>
  <c r="EK28" i="60"/>
  <c r="EK29" i="60"/>
  <c r="EN29" i="60" s="1"/>
  <c r="EK30" i="60"/>
  <c r="EN30" i="60" s="1"/>
  <c r="EK31" i="60"/>
  <c r="EN31" i="60" s="1"/>
  <c r="EK32" i="60"/>
  <c r="EN32" i="60" s="1"/>
  <c r="AQ40" i="60"/>
  <c r="ED40" i="60" s="1"/>
  <c r="DT41" i="60"/>
  <c r="EC14" i="60"/>
  <c r="AN18" i="60"/>
  <c r="ED18" i="60" s="1"/>
  <c r="EE18" i="60" s="1"/>
  <c r="AT22" i="60"/>
  <c r="ED22" i="60" s="1"/>
  <c r="AN26" i="60"/>
  <c r="ED26" i="60" s="1"/>
  <c r="EE26" i="60" s="1"/>
  <c r="EB27" i="60"/>
  <c r="EB28" i="60"/>
  <c r="EB29" i="60"/>
  <c r="EB30" i="60"/>
  <c r="EB31" i="60"/>
  <c r="EB32" i="60"/>
  <c r="EK33" i="60"/>
  <c r="EK35" i="60"/>
  <c r="EN35" i="60" s="1"/>
  <c r="EK36" i="60"/>
  <c r="EC13" i="60"/>
  <c r="AN19" i="60"/>
  <c r="EM19" i="60" s="1"/>
  <c r="EN19" i="60" s="1"/>
  <c r="AN33" i="60"/>
  <c r="ED33" i="60" s="1"/>
  <c r="EE33" i="60" s="1"/>
  <c r="EB34" i="60"/>
  <c r="EB35" i="60"/>
  <c r="EB36" i="60"/>
  <c r="EB37" i="60"/>
  <c r="EI3" i="60"/>
  <c r="EI4" i="60" s="1"/>
  <c r="EB38" i="60"/>
  <c r="EN36" i="60" l="1"/>
  <c r="EN21" i="60"/>
  <c r="AQ41" i="60"/>
  <c r="EC17" i="60"/>
  <c r="EN28" i="60"/>
  <c r="EC23" i="60"/>
  <c r="EE5" i="60"/>
  <c r="G7" i="60" s="1"/>
  <c r="EN27" i="60"/>
  <c r="EE27" i="60"/>
  <c r="EC27" i="60"/>
  <c r="EM40" i="60"/>
  <c r="EN40" i="60" s="1"/>
  <c r="EM22" i="60"/>
  <c r="EN22" i="60" s="1"/>
  <c r="EM18" i="60"/>
  <c r="EN18" i="60" s="1"/>
  <c r="ED24" i="60"/>
  <c r="EE24" i="60" s="1"/>
  <c r="EC37" i="60"/>
  <c r="EE37" i="60"/>
  <c r="AT41" i="60"/>
  <c r="AN41" i="60"/>
  <c r="EM20" i="60"/>
  <c r="EN20" i="60" s="1"/>
  <c r="EC36" i="60"/>
  <c r="EE36" i="60"/>
  <c r="EN3" i="60"/>
  <c r="ED19" i="60"/>
  <c r="EE19" i="60" s="1"/>
  <c r="EM26" i="60"/>
  <c r="EN26" i="60" s="1"/>
  <c r="EM39" i="60"/>
  <c r="EN39" i="60" s="1"/>
  <c r="EC35" i="60"/>
  <c r="EE35" i="60"/>
  <c r="EE32" i="60"/>
  <c r="EC32" i="60"/>
  <c r="EM33" i="60"/>
  <c r="EN33" i="60" s="1"/>
  <c r="EN5" i="60"/>
  <c r="EC34" i="60"/>
  <c r="EE34" i="60"/>
  <c r="EE31" i="60"/>
  <c r="EC31" i="60"/>
  <c r="EN24" i="60"/>
  <c r="EC18" i="60"/>
  <c r="EC24" i="60"/>
  <c r="EE30" i="60"/>
  <c r="EC30" i="60"/>
  <c r="EE40" i="60"/>
  <c r="EC40" i="60"/>
  <c r="EE2" i="60"/>
  <c r="EQ2" i="60" s="1"/>
  <c r="G4" i="60" s="1"/>
  <c r="EM38" i="60"/>
  <c r="EN38" i="60" s="1"/>
  <c r="ED38" i="60"/>
  <c r="EE38" i="60" s="1"/>
  <c r="EE29" i="60"/>
  <c r="EC29" i="60"/>
  <c r="EE22" i="60"/>
  <c r="EC22" i="60"/>
  <c r="EC38" i="60"/>
  <c r="EE28" i="60"/>
  <c r="EC28" i="60"/>
  <c r="EE25" i="60"/>
  <c r="EC25" i="60"/>
  <c r="EE15" i="60"/>
  <c r="EC15" i="60"/>
  <c r="ED11" i="60"/>
  <c r="EE3" i="60"/>
  <c r="EC33" i="60"/>
  <c r="EM11" i="60"/>
  <c r="EN4" i="60" l="1"/>
  <c r="EE4" i="60"/>
  <c r="G6" i="60" s="1"/>
  <c r="G5" i="60"/>
  <c r="ED41" i="60"/>
  <c r="EE11" i="60"/>
  <c r="EM41" i="60"/>
  <c r="EN11" i="60"/>
  <c r="L28" i="62" l="1"/>
  <c r="M28" i="63"/>
  <c r="M28" i="4"/>
  <c r="EL41" i="59"/>
  <c r="EK41" i="59"/>
  <c r="EG41" i="59"/>
  <c r="EI41" i="59" s="1"/>
  <c r="EB41" i="59"/>
  <c r="EC41" i="59" s="1"/>
  <c r="DW41" i="59"/>
  <c r="DT41" i="59"/>
  <c r="DQ41" i="59"/>
  <c r="DN41" i="59"/>
  <c r="DK41" i="59"/>
  <c r="DH41" i="59"/>
  <c r="DE41" i="59"/>
  <c r="DB41" i="59"/>
  <c r="CY41" i="59"/>
  <c r="CV41" i="59"/>
  <c r="CS41" i="59"/>
  <c r="CP41" i="59"/>
  <c r="CM41" i="59"/>
  <c r="CJ41" i="59"/>
  <c r="CG41" i="59"/>
  <c r="CD41" i="59"/>
  <c r="CA41" i="59"/>
  <c r="BX41" i="59"/>
  <c r="BU41" i="59"/>
  <c r="BR41" i="59"/>
  <c r="BO41" i="59"/>
  <c r="BL41" i="59"/>
  <c r="BI41" i="59"/>
  <c r="BF41" i="59"/>
  <c r="BC41" i="59"/>
  <c r="AZ41" i="59"/>
  <c r="AW41" i="59"/>
  <c r="AT41" i="59"/>
  <c r="AQ41" i="59"/>
  <c r="AN41" i="59"/>
  <c r="AK41" i="59"/>
  <c r="AB41" i="59"/>
  <c r="Y41" i="59"/>
  <c r="V41" i="59"/>
  <c r="S41" i="59"/>
  <c r="P41" i="59"/>
  <c r="M41" i="59"/>
  <c r="J41" i="59"/>
  <c r="G41" i="59"/>
  <c r="D41" i="59"/>
  <c r="EL40" i="59"/>
  <c r="EK40" i="59"/>
  <c r="EI40" i="59"/>
  <c r="EG40" i="59"/>
  <c r="EB40" i="59"/>
  <c r="DW40" i="59"/>
  <c r="DT40" i="59"/>
  <c r="DQ40" i="59"/>
  <c r="DN40" i="59"/>
  <c r="DK40" i="59"/>
  <c r="DH40" i="59"/>
  <c r="DE40" i="59"/>
  <c r="DB40" i="59"/>
  <c r="CY40" i="59"/>
  <c r="CV40" i="59"/>
  <c r="CS40" i="59"/>
  <c r="CP40" i="59"/>
  <c r="CM40" i="59"/>
  <c r="CJ40" i="59"/>
  <c r="CG40" i="59"/>
  <c r="CD40" i="59"/>
  <c r="CA40" i="59"/>
  <c r="BX40" i="59"/>
  <c r="BU40" i="59"/>
  <c r="BR40" i="59"/>
  <c r="BO40" i="59"/>
  <c r="BL40" i="59"/>
  <c r="BI40" i="59"/>
  <c r="BF40" i="59"/>
  <c r="BC40" i="59"/>
  <c r="AZ40" i="59"/>
  <c r="AW40" i="59"/>
  <c r="AT40" i="59"/>
  <c r="AQ40" i="59"/>
  <c r="AN40" i="59"/>
  <c r="AK40" i="59"/>
  <c r="AB40" i="59"/>
  <c r="Y40" i="59"/>
  <c r="V40" i="59"/>
  <c r="S40" i="59"/>
  <c r="P40" i="59"/>
  <c r="M40" i="59"/>
  <c r="J40" i="59"/>
  <c r="G40" i="59"/>
  <c r="D40" i="59"/>
  <c r="EL39" i="59"/>
  <c r="EK39" i="59"/>
  <c r="EG39" i="59"/>
  <c r="EI39" i="59" s="1"/>
  <c r="EB39" i="59"/>
  <c r="EC39" i="59" s="1"/>
  <c r="DW39" i="59"/>
  <c r="DT39" i="59"/>
  <c r="DQ39" i="59"/>
  <c r="DN39" i="59"/>
  <c r="DK39" i="59"/>
  <c r="DH39" i="59"/>
  <c r="DE39" i="59"/>
  <c r="DB39" i="59"/>
  <c r="CY39" i="59"/>
  <c r="CV39" i="59"/>
  <c r="CS39" i="59"/>
  <c r="CP39" i="59"/>
  <c r="CM39" i="59"/>
  <c r="CJ39" i="59"/>
  <c r="CG39" i="59"/>
  <c r="CD39" i="59"/>
  <c r="CA39" i="59"/>
  <c r="BX39" i="59"/>
  <c r="BU39" i="59"/>
  <c r="BR39" i="59"/>
  <c r="BO39" i="59"/>
  <c r="BL39" i="59"/>
  <c r="BI39" i="59"/>
  <c r="BF39" i="59"/>
  <c r="BC39" i="59"/>
  <c r="AZ39" i="59"/>
  <c r="AW39" i="59"/>
  <c r="AT39" i="59"/>
  <c r="AQ39" i="59"/>
  <c r="AN39" i="59"/>
  <c r="AK39" i="59"/>
  <c r="AB39" i="59"/>
  <c r="Y39" i="59"/>
  <c r="V39" i="59"/>
  <c r="S39" i="59"/>
  <c r="P39" i="59"/>
  <c r="M39" i="59"/>
  <c r="J39" i="59"/>
  <c r="G39" i="59"/>
  <c r="D39" i="59"/>
  <c r="ED39" i="59" s="1"/>
  <c r="EE39" i="59" s="1"/>
  <c r="EL38" i="59"/>
  <c r="EK38" i="59"/>
  <c r="EG38" i="59"/>
  <c r="EI38" i="59" s="1"/>
  <c r="EB38" i="59"/>
  <c r="EC38" i="59" s="1"/>
  <c r="DW38" i="59"/>
  <c r="DT38" i="59"/>
  <c r="DQ38" i="59"/>
  <c r="DN38" i="59"/>
  <c r="DK38" i="59"/>
  <c r="DH38" i="59"/>
  <c r="DE38" i="59"/>
  <c r="DB38" i="59"/>
  <c r="CY38" i="59"/>
  <c r="CV38" i="59"/>
  <c r="CS38" i="59"/>
  <c r="CP38" i="59"/>
  <c r="CM38" i="59"/>
  <c r="CJ38" i="59"/>
  <c r="CG38" i="59"/>
  <c r="CD38" i="59"/>
  <c r="CA38" i="59"/>
  <c r="BX38" i="59"/>
  <c r="BU38" i="59"/>
  <c r="BR38" i="59"/>
  <c r="BO38" i="59"/>
  <c r="BL38" i="59"/>
  <c r="BI38" i="59"/>
  <c r="BF38" i="59"/>
  <c r="BC38" i="59"/>
  <c r="AZ38" i="59"/>
  <c r="AW38" i="59"/>
  <c r="AT38" i="59"/>
  <c r="AQ38" i="59"/>
  <c r="AN38" i="59"/>
  <c r="AK38" i="59"/>
  <c r="AB38" i="59"/>
  <c r="Y38" i="59"/>
  <c r="V38" i="59"/>
  <c r="S38" i="59"/>
  <c r="EH38" i="59" s="1"/>
  <c r="P38" i="59"/>
  <c r="M38" i="59"/>
  <c r="J38" i="59"/>
  <c r="G38" i="59"/>
  <c r="D38" i="59"/>
  <c r="EL37" i="59"/>
  <c r="EK37" i="59"/>
  <c r="EC37" i="59" s="1"/>
  <c r="EG37" i="59"/>
  <c r="EI37" i="59" s="1"/>
  <c r="EB37" i="59"/>
  <c r="DW37" i="59"/>
  <c r="DT37" i="59"/>
  <c r="EM37" i="59" s="1"/>
  <c r="EN37" i="59" s="1"/>
  <c r="DQ37" i="59"/>
  <c r="DN37" i="59"/>
  <c r="DK37" i="59"/>
  <c r="DH37" i="59"/>
  <c r="DE37" i="59"/>
  <c r="DB37" i="59"/>
  <c r="CY37" i="59"/>
  <c r="CV37" i="59"/>
  <c r="CS37" i="59"/>
  <c r="CP37" i="59"/>
  <c r="CM37" i="59"/>
  <c r="CJ37" i="59"/>
  <c r="CG37" i="59"/>
  <c r="CD37" i="59"/>
  <c r="CA37" i="59"/>
  <c r="BX37" i="59"/>
  <c r="BU37" i="59"/>
  <c r="BR37" i="59"/>
  <c r="BO37" i="59"/>
  <c r="BL37" i="59"/>
  <c r="BI37" i="59"/>
  <c r="BF37" i="59"/>
  <c r="BC37" i="59"/>
  <c r="AZ37" i="59"/>
  <c r="AW37" i="59"/>
  <c r="AT37" i="59"/>
  <c r="AQ37" i="59"/>
  <c r="AN37" i="59"/>
  <c r="AK37" i="59"/>
  <c r="AB37" i="59"/>
  <c r="Y37" i="59"/>
  <c r="V37" i="59"/>
  <c r="S37" i="59"/>
  <c r="P37" i="59"/>
  <c r="M37" i="59"/>
  <c r="J37" i="59"/>
  <c r="G37" i="59"/>
  <c r="D37" i="59"/>
  <c r="EL36" i="59"/>
  <c r="EK36" i="59"/>
  <c r="EG36" i="59"/>
  <c r="EI36" i="59" s="1"/>
  <c r="EB36" i="59"/>
  <c r="DW36" i="59"/>
  <c r="DT36" i="59"/>
  <c r="DQ36" i="59"/>
  <c r="DN36" i="59"/>
  <c r="DK36" i="59"/>
  <c r="DH36" i="59"/>
  <c r="DE36" i="59"/>
  <c r="DB36" i="59"/>
  <c r="CY36" i="59"/>
  <c r="CV36" i="59"/>
  <c r="CS36" i="59"/>
  <c r="CP36" i="59"/>
  <c r="CM36" i="59"/>
  <c r="CJ36" i="59"/>
  <c r="CG36" i="59"/>
  <c r="CD36" i="59"/>
  <c r="CA36" i="59"/>
  <c r="BX36" i="59"/>
  <c r="BU36" i="59"/>
  <c r="BR36" i="59"/>
  <c r="BO36" i="59"/>
  <c r="BL36" i="59"/>
  <c r="BI36" i="59"/>
  <c r="BF36" i="59"/>
  <c r="BC36" i="59"/>
  <c r="AZ36" i="59"/>
  <c r="AW36" i="59"/>
  <c r="AT36" i="59"/>
  <c r="AQ36" i="59"/>
  <c r="AN36" i="59"/>
  <c r="AK36" i="59"/>
  <c r="AB36" i="59"/>
  <c r="Y36" i="59"/>
  <c r="V36" i="59"/>
  <c r="S36" i="59"/>
  <c r="P36" i="59"/>
  <c r="M36" i="59"/>
  <c r="J36" i="59"/>
  <c r="G36" i="59"/>
  <c r="D36" i="59"/>
  <c r="ED36" i="59" s="1"/>
  <c r="EL35" i="59"/>
  <c r="EK35" i="59"/>
  <c r="EG35" i="59"/>
  <c r="EI35" i="59" s="1"/>
  <c r="EB35" i="59"/>
  <c r="DW35" i="59"/>
  <c r="DT35" i="59"/>
  <c r="DQ35" i="59"/>
  <c r="DN35" i="59"/>
  <c r="DK35" i="59"/>
  <c r="DH35" i="59"/>
  <c r="DE35" i="59"/>
  <c r="DB35" i="59"/>
  <c r="CY35" i="59"/>
  <c r="CV35" i="59"/>
  <c r="CS35" i="59"/>
  <c r="CP35" i="59"/>
  <c r="CM35" i="59"/>
  <c r="CJ35" i="59"/>
  <c r="CG35" i="59"/>
  <c r="CD35" i="59"/>
  <c r="CA35" i="59"/>
  <c r="BX35" i="59"/>
  <c r="BU35" i="59"/>
  <c r="BR35" i="59"/>
  <c r="BO35" i="59"/>
  <c r="BL35" i="59"/>
  <c r="BI35" i="59"/>
  <c r="BF35" i="59"/>
  <c r="BC35" i="59"/>
  <c r="AZ35" i="59"/>
  <c r="AW35" i="59"/>
  <c r="AT35" i="59"/>
  <c r="AQ35" i="59"/>
  <c r="AN35" i="59"/>
  <c r="AK35" i="59"/>
  <c r="AB35" i="59"/>
  <c r="Y35" i="59"/>
  <c r="EH35" i="59" s="1"/>
  <c r="V35" i="59"/>
  <c r="S35" i="59"/>
  <c r="P35" i="59"/>
  <c r="M35" i="59"/>
  <c r="J35" i="59"/>
  <c r="G35" i="59"/>
  <c r="D35" i="59"/>
  <c r="EL34" i="59"/>
  <c r="EK34" i="59"/>
  <c r="EG34" i="59"/>
  <c r="EI34" i="59" s="1"/>
  <c r="EB34" i="59"/>
  <c r="EC34" i="59" s="1"/>
  <c r="DW34" i="59"/>
  <c r="DT34" i="59"/>
  <c r="DQ34" i="59"/>
  <c r="DN34" i="59"/>
  <c r="DK34" i="59"/>
  <c r="DH34" i="59"/>
  <c r="DE34" i="59"/>
  <c r="DB34" i="59"/>
  <c r="CY34" i="59"/>
  <c r="CV34" i="59"/>
  <c r="CS34" i="59"/>
  <c r="CP34" i="59"/>
  <c r="CM34" i="59"/>
  <c r="CJ34" i="59"/>
  <c r="CG34" i="59"/>
  <c r="CD34" i="59"/>
  <c r="CA34" i="59"/>
  <c r="BX34" i="59"/>
  <c r="BU34" i="59"/>
  <c r="BR34" i="59"/>
  <c r="BO34" i="59"/>
  <c r="BL34" i="59"/>
  <c r="BI34" i="59"/>
  <c r="BF34" i="59"/>
  <c r="BC34" i="59"/>
  <c r="AZ34" i="59"/>
  <c r="AW34" i="59"/>
  <c r="AT34" i="59"/>
  <c r="AQ34" i="59"/>
  <c r="AN34" i="59"/>
  <c r="AK34" i="59"/>
  <c r="AB34" i="59"/>
  <c r="Y34" i="59"/>
  <c r="V34" i="59"/>
  <c r="S34" i="59"/>
  <c r="P34" i="59"/>
  <c r="M34" i="59"/>
  <c r="J34" i="59"/>
  <c r="G34" i="59"/>
  <c r="D34" i="59"/>
  <c r="EL33" i="59"/>
  <c r="EK33" i="59"/>
  <c r="EG33" i="59"/>
  <c r="EI33" i="59" s="1"/>
  <c r="EB33" i="59"/>
  <c r="DW33" i="59"/>
  <c r="DT33" i="59"/>
  <c r="DQ33" i="59"/>
  <c r="DN33" i="59"/>
  <c r="DK33" i="59"/>
  <c r="DH33" i="59"/>
  <c r="DE33" i="59"/>
  <c r="DB33" i="59"/>
  <c r="CY33" i="59"/>
  <c r="CV33" i="59"/>
  <c r="CS33" i="59"/>
  <c r="CP33" i="59"/>
  <c r="CM33" i="59"/>
  <c r="CJ33" i="59"/>
  <c r="CG33" i="59"/>
  <c r="CD33" i="59"/>
  <c r="CA33" i="59"/>
  <c r="BX33" i="59"/>
  <c r="BU33" i="59"/>
  <c r="BR33" i="59"/>
  <c r="BO33" i="59"/>
  <c r="BL33" i="59"/>
  <c r="BI33" i="59"/>
  <c r="BF33" i="59"/>
  <c r="BC33" i="59"/>
  <c r="AZ33" i="59"/>
  <c r="AW33" i="59"/>
  <c r="AT33" i="59"/>
  <c r="AQ33" i="59"/>
  <c r="AN33" i="59"/>
  <c r="AK33" i="59"/>
  <c r="AB33" i="59"/>
  <c r="Y33" i="59"/>
  <c r="V33" i="59"/>
  <c r="S33" i="59"/>
  <c r="EH33" i="59" s="1"/>
  <c r="P33" i="59"/>
  <c r="M33" i="59"/>
  <c r="J33" i="59"/>
  <c r="G33" i="59"/>
  <c r="D33" i="59"/>
  <c r="EL32" i="59"/>
  <c r="EK32" i="59"/>
  <c r="EI32" i="59"/>
  <c r="EG32" i="59"/>
  <c r="EB32" i="59"/>
  <c r="DW32" i="59"/>
  <c r="DT32" i="59"/>
  <c r="DQ32" i="59"/>
  <c r="DN32" i="59"/>
  <c r="DK32" i="59"/>
  <c r="DH32" i="59"/>
  <c r="DE32" i="59"/>
  <c r="DB32" i="59"/>
  <c r="CY32" i="59"/>
  <c r="CV32" i="59"/>
  <c r="CS32" i="59"/>
  <c r="CP32" i="59"/>
  <c r="CM32" i="59"/>
  <c r="CJ32" i="59"/>
  <c r="CG32" i="59"/>
  <c r="CD32" i="59"/>
  <c r="CA32" i="59"/>
  <c r="BX32" i="59"/>
  <c r="BU32" i="59"/>
  <c r="BR32" i="59"/>
  <c r="BO32" i="59"/>
  <c r="BL32" i="59"/>
  <c r="BI32" i="59"/>
  <c r="BF32" i="59"/>
  <c r="BC32" i="59"/>
  <c r="AZ32" i="59"/>
  <c r="AW32" i="59"/>
  <c r="AT32" i="59"/>
  <c r="AQ32" i="59"/>
  <c r="AN32" i="59"/>
  <c r="AK32" i="59"/>
  <c r="AB32" i="59"/>
  <c r="Y32" i="59"/>
  <c r="V32" i="59"/>
  <c r="S32" i="59"/>
  <c r="P32" i="59"/>
  <c r="M32" i="59"/>
  <c r="J32" i="59"/>
  <c r="G32" i="59"/>
  <c r="D32" i="59"/>
  <c r="EL31" i="59"/>
  <c r="EK31" i="59"/>
  <c r="EG31" i="59"/>
  <c r="EI31" i="59" s="1"/>
  <c r="EB31" i="59"/>
  <c r="DW31" i="59"/>
  <c r="DT31" i="59"/>
  <c r="EM31" i="59" s="1"/>
  <c r="DQ31" i="59"/>
  <c r="DN31" i="59"/>
  <c r="DK31" i="59"/>
  <c r="DH31" i="59"/>
  <c r="DE31" i="59"/>
  <c r="DB31" i="59"/>
  <c r="CY31" i="59"/>
  <c r="CV31" i="59"/>
  <c r="CS31" i="59"/>
  <c r="CP31" i="59"/>
  <c r="CM31" i="59"/>
  <c r="CJ31" i="59"/>
  <c r="CG31" i="59"/>
  <c r="CD31" i="59"/>
  <c r="CA31" i="59"/>
  <c r="BX31" i="59"/>
  <c r="BU31" i="59"/>
  <c r="BR31" i="59"/>
  <c r="BO31" i="59"/>
  <c r="BL31" i="59"/>
  <c r="BI31" i="59"/>
  <c r="BF31" i="59"/>
  <c r="BC31" i="59"/>
  <c r="AZ31" i="59"/>
  <c r="AW31" i="59"/>
  <c r="AT31" i="59"/>
  <c r="AQ31" i="59"/>
  <c r="AN31" i="59"/>
  <c r="AK31" i="59"/>
  <c r="AB31" i="59"/>
  <c r="Y31" i="59"/>
  <c r="V31" i="59"/>
  <c r="S31" i="59"/>
  <c r="P31" i="59"/>
  <c r="M31" i="59"/>
  <c r="J31" i="59"/>
  <c r="G31" i="59"/>
  <c r="D31" i="59"/>
  <c r="EL30" i="59"/>
  <c r="EK30" i="59"/>
  <c r="EG30" i="59"/>
  <c r="EI30" i="59" s="1"/>
  <c r="EB30" i="59"/>
  <c r="DW30" i="59"/>
  <c r="DT30" i="59"/>
  <c r="DQ30" i="59"/>
  <c r="DN30" i="59"/>
  <c r="DK30" i="59"/>
  <c r="DH30" i="59"/>
  <c r="DE30" i="59"/>
  <c r="DB30" i="59"/>
  <c r="CY30" i="59"/>
  <c r="CV30" i="59"/>
  <c r="CS30" i="59"/>
  <c r="CP30" i="59"/>
  <c r="CM30" i="59"/>
  <c r="CJ30" i="59"/>
  <c r="CG30" i="59"/>
  <c r="CD30" i="59"/>
  <c r="CA30" i="59"/>
  <c r="BX30" i="59"/>
  <c r="BU30" i="59"/>
  <c r="BR30" i="59"/>
  <c r="BO30" i="59"/>
  <c r="BL30" i="59"/>
  <c r="BI30" i="59"/>
  <c r="BF30" i="59"/>
  <c r="BC30" i="59"/>
  <c r="AZ30" i="59"/>
  <c r="AW30" i="59"/>
  <c r="AT30" i="59"/>
  <c r="AQ30" i="59"/>
  <c r="AN30" i="59"/>
  <c r="AK30" i="59"/>
  <c r="AB30" i="59"/>
  <c r="Y30" i="59"/>
  <c r="V30" i="59"/>
  <c r="S30" i="59"/>
  <c r="EH30" i="59" s="1"/>
  <c r="P30" i="59"/>
  <c r="M30" i="59"/>
  <c r="J30" i="59"/>
  <c r="G30" i="59"/>
  <c r="D30" i="59"/>
  <c r="EL29" i="59"/>
  <c r="EK29" i="59"/>
  <c r="EG29" i="59"/>
  <c r="EI29" i="59" s="1"/>
  <c r="EB29" i="59"/>
  <c r="EC29" i="59" s="1"/>
  <c r="DW29" i="59"/>
  <c r="DT29" i="59"/>
  <c r="EM29" i="59" s="1"/>
  <c r="EN29" i="59" s="1"/>
  <c r="DQ29" i="59"/>
  <c r="DN29" i="59"/>
  <c r="DK29" i="59"/>
  <c r="DH29" i="59"/>
  <c r="DE29" i="59"/>
  <c r="DB29" i="59"/>
  <c r="CY29" i="59"/>
  <c r="CV29" i="59"/>
  <c r="CS29" i="59"/>
  <c r="CP29" i="59"/>
  <c r="CM29" i="59"/>
  <c r="CJ29" i="59"/>
  <c r="CG29" i="59"/>
  <c r="CD29" i="59"/>
  <c r="CA29" i="59"/>
  <c r="BX29" i="59"/>
  <c r="BU29" i="59"/>
  <c r="BR29" i="59"/>
  <c r="BO29" i="59"/>
  <c r="BL29" i="59"/>
  <c r="BI29" i="59"/>
  <c r="BF29" i="59"/>
  <c r="BC29" i="59"/>
  <c r="AZ29" i="59"/>
  <c r="AW29" i="59"/>
  <c r="AT29" i="59"/>
  <c r="AQ29" i="59"/>
  <c r="AN29" i="59"/>
  <c r="AK29" i="59"/>
  <c r="AB29" i="59"/>
  <c r="Y29" i="59"/>
  <c r="V29" i="59"/>
  <c r="S29" i="59"/>
  <c r="P29" i="59"/>
  <c r="M29" i="59"/>
  <c r="J29" i="59"/>
  <c r="G29" i="59"/>
  <c r="D29" i="59"/>
  <c r="EL28" i="59"/>
  <c r="EK28" i="59"/>
  <c r="EG28" i="59"/>
  <c r="EI28" i="59" s="1"/>
  <c r="EB28" i="59"/>
  <c r="DW28" i="59"/>
  <c r="DT28" i="59"/>
  <c r="DQ28" i="59"/>
  <c r="DN28" i="59"/>
  <c r="DK28" i="59"/>
  <c r="DH28" i="59"/>
  <c r="DE28" i="59"/>
  <c r="DB28" i="59"/>
  <c r="CY28" i="59"/>
  <c r="CV28" i="59"/>
  <c r="CS28" i="59"/>
  <c r="CP28" i="59"/>
  <c r="CM28" i="59"/>
  <c r="CJ28" i="59"/>
  <c r="CG28" i="59"/>
  <c r="CD28" i="59"/>
  <c r="CA28" i="59"/>
  <c r="BX28" i="59"/>
  <c r="BU28" i="59"/>
  <c r="BR28" i="59"/>
  <c r="BO28" i="59"/>
  <c r="BL28" i="59"/>
  <c r="BI28" i="59"/>
  <c r="BF28" i="59"/>
  <c r="BC28" i="59"/>
  <c r="AZ28" i="59"/>
  <c r="AW28" i="59"/>
  <c r="AT28" i="59"/>
  <c r="AQ28" i="59"/>
  <c r="AN28" i="59"/>
  <c r="AK28" i="59"/>
  <c r="AB28" i="59"/>
  <c r="Y28" i="59"/>
  <c r="V28" i="59"/>
  <c r="S28" i="59"/>
  <c r="EH28" i="59" s="1"/>
  <c r="P28" i="59"/>
  <c r="M28" i="59"/>
  <c r="J28" i="59"/>
  <c r="G28" i="59"/>
  <c r="D28" i="59"/>
  <c r="EL27" i="59"/>
  <c r="EK27" i="59"/>
  <c r="EG27" i="59"/>
  <c r="EI27" i="59" s="1"/>
  <c r="EB27" i="59"/>
  <c r="DW27" i="59"/>
  <c r="DT27" i="59"/>
  <c r="DQ27" i="59"/>
  <c r="DN27" i="59"/>
  <c r="DK27" i="59"/>
  <c r="DH27" i="59"/>
  <c r="DE27" i="59"/>
  <c r="DB27" i="59"/>
  <c r="CY27" i="59"/>
  <c r="CV27" i="59"/>
  <c r="CS27" i="59"/>
  <c r="CP27" i="59"/>
  <c r="CM27" i="59"/>
  <c r="CJ27" i="59"/>
  <c r="CG27" i="59"/>
  <c r="CD27" i="59"/>
  <c r="CA27" i="59"/>
  <c r="BX27" i="59"/>
  <c r="BU27" i="59"/>
  <c r="BR27" i="59"/>
  <c r="BO27" i="59"/>
  <c r="BL27" i="59"/>
  <c r="BI27" i="59"/>
  <c r="BF27" i="59"/>
  <c r="BC27" i="59"/>
  <c r="AZ27" i="59"/>
  <c r="AW27" i="59"/>
  <c r="AT27" i="59"/>
  <c r="AQ27" i="59"/>
  <c r="AN27" i="59"/>
  <c r="AK27" i="59"/>
  <c r="AB27" i="59"/>
  <c r="Y27" i="59"/>
  <c r="EH27" i="59" s="1"/>
  <c r="V27" i="59"/>
  <c r="S27" i="59"/>
  <c r="P27" i="59"/>
  <c r="M27" i="59"/>
  <c r="J27" i="59"/>
  <c r="G27" i="59"/>
  <c r="D27" i="59"/>
  <c r="EL26" i="59"/>
  <c r="EK26" i="59"/>
  <c r="EG26" i="59"/>
  <c r="EI26" i="59" s="1"/>
  <c r="EB26" i="59"/>
  <c r="DW26" i="59"/>
  <c r="DT26" i="59"/>
  <c r="EM26" i="59" s="1"/>
  <c r="EN26" i="59" s="1"/>
  <c r="DQ26" i="59"/>
  <c r="DN26" i="59"/>
  <c r="DK26" i="59"/>
  <c r="DH26" i="59"/>
  <c r="DE26" i="59"/>
  <c r="DB26" i="59"/>
  <c r="CY26" i="59"/>
  <c r="CV26" i="59"/>
  <c r="CS26" i="59"/>
  <c r="CP26" i="59"/>
  <c r="CM26" i="59"/>
  <c r="CJ26" i="59"/>
  <c r="CG26" i="59"/>
  <c r="CD26" i="59"/>
  <c r="CA26" i="59"/>
  <c r="BX26" i="59"/>
  <c r="BU26" i="59"/>
  <c r="BR26" i="59"/>
  <c r="BO26" i="59"/>
  <c r="BL26" i="59"/>
  <c r="BI26" i="59"/>
  <c r="BF26" i="59"/>
  <c r="BC26" i="59"/>
  <c r="AZ26" i="59"/>
  <c r="AW26" i="59"/>
  <c r="AT26" i="59"/>
  <c r="AQ26" i="59"/>
  <c r="AN26" i="59"/>
  <c r="AK26" i="59"/>
  <c r="AB26" i="59"/>
  <c r="Y26" i="59"/>
  <c r="V26" i="59"/>
  <c r="S26" i="59"/>
  <c r="P26" i="59"/>
  <c r="M26" i="59"/>
  <c r="J26" i="59"/>
  <c r="G26" i="59"/>
  <c r="D26" i="59"/>
  <c r="EL25" i="59"/>
  <c r="EK25" i="59"/>
  <c r="EC25" i="59" s="1"/>
  <c r="EG25" i="59"/>
  <c r="EI25" i="59" s="1"/>
  <c r="EB25" i="59"/>
  <c r="DW25" i="59"/>
  <c r="DT25" i="59"/>
  <c r="DQ25" i="59"/>
  <c r="DN25" i="59"/>
  <c r="DK25" i="59"/>
  <c r="DH25" i="59"/>
  <c r="DE25" i="59"/>
  <c r="DB25" i="59"/>
  <c r="CY25" i="59"/>
  <c r="CV25" i="59"/>
  <c r="CS25" i="59"/>
  <c r="CP25" i="59"/>
  <c r="CM25" i="59"/>
  <c r="CJ25" i="59"/>
  <c r="CG25" i="59"/>
  <c r="CD25" i="59"/>
  <c r="CA25" i="59"/>
  <c r="BX25" i="59"/>
  <c r="BU25" i="59"/>
  <c r="BR25" i="59"/>
  <c r="BO25" i="59"/>
  <c r="BL25" i="59"/>
  <c r="BI25" i="59"/>
  <c r="BF25" i="59"/>
  <c r="BC25" i="59"/>
  <c r="AZ25" i="59"/>
  <c r="AW25" i="59"/>
  <c r="AT25" i="59"/>
  <c r="AQ25" i="59"/>
  <c r="AN25" i="59"/>
  <c r="AK25" i="59"/>
  <c r="AB25" i="59"/>
  <c r="Y25" i="59"/>
  <c r="V25" i="59"/>
  <c r="S25" i="59"/>
  <c r="P25" i="59"/>
  <c r="M25" i="59"/>
  <c r="J25" i="59"/>
  <c r="G25" i="59"/>
  <c r="D25" i="59"/>
  <c r="EL24" i="59"/>
  <c r="EK24" i="59"/>
  <c r="EG24" i="59"/>
  <c r="EI24" i="59" s="1"/>
  <c r="EB24" i="59"/>
  <c r="DW24" i="59"/>
  <c r="DT24" i="59"/>
  <c r="DQ24" i="59"/>
  <c r="DN24" i="59"/>
  <c r="DK24" i="59"/>
  <c r="DH24" i="59"/>
  <c r="DE24" i="59"/>
  <c r="DB24" i="59"/>
  <c r="CY24" i="59"/>
  <c r="CV24" i="59"/>
  <c r="CS24" i="59"/>
  <c r="CP24" i="59"/>
  <c r="CM24" i="59"/>
  <c r="CJ24" i="59"/>
  <c r="CG24" i="59"/>
  <c r="CD24" i="59"/>
  <c r="CA24" i="59"/>
  <c r="BX24" i="59"/>
  <c r="BU24" i="59"/>
  <c r="BR24" i="59"/>
  <c r="BO24" i="59"/>
  <c r="BL24" i="59"/>
  <c r="BI24" i="59"/>
  <c r="BF24" i="59"/>
  <c r="BC24" i="59"/>
  <c r="AZ24" i="59"/>
  <c r="AW24" i="59"/>
  <c r="AT24" i="59"/>
  <c r="AQ24" i="59"/>
  <c r="AN24" i="59"/>
  <c r="AK24" i="59"/>
  <c r="AB24" i="59"/>
  <c r="Y24" i="59"/>
  <c r="V24" i="59"/>
  <c r="S24" i="59"/>
  <c r="P24" i="59"/>
  <c r="M24" i="59"/>
  <c r="J24" i="59"/>
  <c r="G24" i="59"/>
  <c r="D24" i="59"/>
  <c r="ED24" i="59" s="1"/>
  <c r="EL23" i="59"/>
  <c r="EK23" i="59"/>
  <c r="EG23" i="59"/>
  <c r="EI23" i="59" s="1"/>
  <c r="EB23" i="59"/>
  <c r="DW23" i="59"/>
  <c r="DT23" i="59"/>
  <c r="DQ23" i="59"/>
  <c r="DN23" i="59"/>
  <c r="DK23" i="59"/>
  <c r="DH23" i="59"/>
  <c r="DE23" i="59"/>
  <c r="DB23" i="59"/>
  <c r="CY23" i="59"/>
  <c r="CV23" i="59"/>
  <c r="CS23" i="59"/>
  <c r="CP23" i="59"/>
  <c r="CM23" i="59"/>
  <c r="CJ23" i="59"/>
  <c r="CG23" i="59"/>
  <c r="CD23" i="59"/>
  <c r="CA23" i="59"/>
  <c r="BX23" i="59"/>
  <c r="BU23" i="59"/>
  <c r="BR23" i="59"/>
  <c r="BO23" i="59"/>
  <c r="BL23" i="59"/>
  <c r="BI23" i="59"/>
  <c r="BF23" i="59"/>
  <c r="BC23" i="59"/>
  <c r="AZ23" i="59"/>
  <c r="AW23" i="59"/>
  <c r="AT23" i="59"/>
  <c r="AQ23" i="59"/>
  <c r="AN23" i="59"/>
  <c r="AK23" i="59"/>
  <c r="AB23" i="59"/>
  <c r="Y23" i="59"/>
  <c r="EH23" i="59" s="1"/>
  <c r="V23" i="59"/>
  <c r="S23" i="59"/>
  <c r="P23" i="59"/>
  <c r="M23" i="59"/>
  <c r="J23" i="59"/>
  <c r="G23" i="59"/>
  <c r="D23" i="59"/>
  <c r="EL22" i="59"/>
  <c r="EK22" i="59"/>
  <c r="EG22" i="59"/>
  <c r="EI22" i="59" s="1"/>
  <c r="EB22" i="59"/>
  <c r="DW22" i="59"/>
  <c r="DT22" i="59"/>
  <c r="DQ22" i="59"/>
  <c r="DN22" i="59"/>
  <c r="DK22" i="59"/>
  <c r="DH22" i="59"/>
  <c r="DE22" i="59"/>
  <c r="DB22" i="59"/>
  <c r="CY22" i="59"/>
  <c r="CV22" i="59"/>
  <c r="CS22" i="59"/>
  <c r="CP22" i="59"/>
  <c r="CM22" i="59"/>
  <c r="CJ22" i="59"/>
  <c r="CG22" i="59"/>
  <c r="CD22" i="59"/>
  <c r="CA22" i="59"/>
  <c r="BX22" i="59"/>
  <c r="BU22" i="59"/>
  <c r="BR22" i="59"/>
  <c r="BO22" i="59"/>
  <c r="BL22" i="59"/>
  <c r="BI22" i="59"/>
  <c r="BF22" i="59"/>
  <c r="BC22" i="59"/>
  <c r="AZ22" i="59"/>
  <c r="AW22" i="59"/>
  <c r="AT22" i="59"/>
  <c r="AQ22" i="59"/>
  <c r="AN22" i="59"/>
  <c r="AK22" i="59"/>
  <c r="AB22" i="59"/>
  <c r="Y22" i="59"/>
  <c r="V22" i="59"/>
  <c r="S22" i="59"/>
  <c r="P22" i="59"/>
  <c r="M22" i="59"/>
  <c r="J22" i="59"/>
  <c r="G22" i="59"/>
  <c r="D22" i="59"/>
  <c r="EL21" i="59"/>
  <c r="EK21" i="59"/>
  <c r="EG21" i="59"/>
  <c r="EI21" i="59" s="1"/>
  <c r="EC21" i="59"/>
  <c r="EB21" i="59"/>
  <c r="DW21" i="59"/>
  <c r="DT21" i="59"/>
  <c r="DQ21" i="59"/>
  <c r="DN21" i="59"/>
  <c r="DK21" i="59"/>
  <c r="DH21" i="59"/>
  <c r="DE21" i="59"/>
  <c r="DB21" i="59"/>
  <c r="CY21" i="59"/>
  <c r="CV21" i="59"/>
  <c r="CS21" i="59"/>
  <c r="CP21" i="59"/>
  <c r="CM21" i="59"/>
  <c r="CJ21" i="59"/>
  <c r="CG21" i="59"/>
  <c r="CD21" i="59"/>
  <c r="CA21" i="59"/>
  <c r="BX21" i="59"/>
  <c r="BU21" i="59"/>
  <c r="BR21" i="59"/>
  <c r="BO21" i="59"/>
  <c r="BL21" i="59"/>
  <c r="BI21" i="59"/>
  <c r="BF21" i="59"/>
  <c r="BC21" i="59"/>
  <c r="AZ21" i="59"/>
  <c r="AW21" i="59"/>
  <c r="AT21" i="59"/>
  <c r="AQ21" i="59"/>
  <c r="AN21" i="59"/>
  <c r="AK21" i="59"/>
  <c r="AB21" i="59"/>
  <c r="Y21" i="59"/>
  <c r="V21" i="59"/>
  <c r="S21" i="59"/>
  <c r="P21" i="59"/>
  <c r="M21" i="59"/>
  <c r="J21" i="59"/>
  <c r="G21" i="59"/>
  <c r="D21" i="59"/>
  <c r="EL20" i="59"/>
  <c r="EK20" i="59"/>
  <c r="EG20" i="59"/>
  <c r="EI20" i="59" s="1"/>
  <c r="EB20" i="59"/>
  <c r="DW20" i="59"/>
  <c r="DT20" i="59"/>
  <c r="DQ20" i="59"/>
  <c r="DN20" i="59"/>
  <c r="DK20" i="59"/>
  <c r="DH20" i="59"/>
  <c r="DE20" i="59"/>
  <c r="DB20" i="59"/>
  <c r="CY20" i="59"/>
  <c r="CV20" i="59"/>
  <c r="CS20" i="59"/>
  <c r="CP20" i="59"/>
  <c r="CM20" i="59"/>
  <c r="CJ20" i="59"/>
  <c r="CG20" i="59"/>
  <c r="CD20" i="59"/>
  <c r="CA20" i="59"/>
  <c r="BX20" i="59"/>
  <c r="BU20" i="59"/>
  <c r="BR20" i="59"/>
  <c r="BO20" i="59"/>
  <c r="BL20" i="59"/>
  <c r="BI20" i="59"/>
  <c r="BF20" i="59"/>
  <c r="BC20" i="59"/>
  <c r="AZ20" i="59"/>
  <c r="AW20" i="59"/>
  <c r="AT20" i="59"/>
  <c r="AQ20" i="59"/>
  <c r="AN20" i="59"/>
  <c r="AK20" i="59"/>
  <c r="AB20" i="59"/>
  <c r="Y20" i="59"/>
  <c r="V20" i="59"/>
  <c r="S20" i="59"/>
  <c r="P20" i="59"/>
  <c r="M20" i="59"/>
  <c r="J20" i="59"/>
  <c r="G20" i="59"/>
  <c r="D20" i="59"/>
  <c r="EL19" i="59"/>
  <c r="EK19" i="59"/>
  <c r="EG19" i="59"/>
  <c r="EI19" i="59" s="1"/>
  <c r="EB19" i="59"/>
  <c r="DW19" i="59"/>
  <c r="DT19" i="59"/>
  <c r="DQ19" i="59"/>
  <c r="DN19" i="59"/>
  <c r="DK19" i="59"/>
  <c r="DH19" i="59"/>
  <c r="DE19" i="59"/>
  <c r="DB19" i="59"/>
  <c r="CY19" i="59"/>
  <c r="CV19" i="59"/>
  <c r="CS19" i="59"/>
  <c r="CP19" i="59"/>
  <c r="CM19" i="59"/>
  <c r="CJ19" i="59"/>
  <c r="CG19" i="59"/>
  <c r="CD19" i="59"/>
  <c r="CA19" i="59"/>
  <c r="BX19" i="59"/>
  <c r="BU19" i="59"/>
  <c r="BR19" i="59"/>
  <c r="BO19" i="59"/>
  <c r="BL19" i="59"/>
  <c r="BI19" i="59"/>
  <c r="BF19" i="59"/>
  <c r="BC19" i="59"/>
  <c r="AZ19" i="59"/>
  <c r="AW19" i="59"/>
  <c r="AT19" i="59"/>
  <c r="AQ19" i="59"/>
  <c r="AN19" i="59"/>
  <c r="AK19" i="59"/>
  <c r="AB19" i="59"/>
  <c r="Y19" i="59"/>
  <c r="EH19" i="59" s="1"/>
  <c r="V19" i="59"/>
  <c r="S19" i="59"/>
  <c r="P19" i="59"/>
  <c r="M19" i="59"/>
  <c r="J19" i="59"/>
  <c r="G19" i="59"/>
  <c r="D19" i="59"/>
  <c r="EL18" i="59"/>
  <c r="EK18" i="59"/>
  <c r="EG18" i="59"/>
  <c r="EI18" i="59" s="1"/>
  <c r="EB18" i="59"/>
  <c r="DW18" i="59"/>
  <c r="DT18" i="59"/>
  <c r="DQ18" i="59"/>
  <c r="DN18" i="59"/>
  <c r="DK18" i="59"/>
  <c r="DH18" i="59"/>
  <c r="DE18" i="59"/>
  <c r="DB18" i="59"/>
  <c r="CY18" i="59"/>
  <c r="CV18" i="59"/>
  <c r="CS18" i="59"/>
  <c r="CP18" i="59"/>
  <c r="CM18" i="59"/>
  <c r="CJ18" i="59"/>
  <c r="CG18" i="59"/>
  <c r="CD18" i="59"/>
  <c r="CA18" i="59"/>
  <c r="BX18" i="59"/>
  <c r="BU18" i="59"/>
  <c r="BR18" i="59"/>
  <c r="BO18" i="59"/>
  <c r="BL18" i="59"/>
  <c r="BI18" i="59"/>
  <c r="BF18" i="59"/>
  <c r="BC18" i="59"/>
  <c r="AZ18" i="59"/>
  <c r="AW18" i="59"/>
  <c r="AT18" i="59"/>
  <c r="AQ18" i="59"/>
  <c r="AN18" i="59"/>
  <c r="AK18" i="59"/>
  <c r="AB18" i="59"/>
  <c r="Y18" i="59"/>
  <c r="V18" i="59"/>
  <c r="S18" i="59"/>
  <c r="P18" i="59"/>
  <c r="M18" i="59"/>
  <c r="J18" i="59"/>
  <c r="G18" i="59"/>
  <c r="D18" i="59"/>
  <c r="EL17" i="59"/>
  <c r="EK17" i="59"/>
  <c r="EG17" i="59"/>
  <c r="EI17" i="59" s="1"/>
  <c r="EC17" i="59"/>
  <c r="EB17" i="59"/>
  <c r="DW17" i="59"/>
  <c r="DT17" i="59"/>
  <c r="DQ17" i="59"/>
  <c r="DN17" i="59"/>
  <c r="DK17" i="59"/>
  <c r="DH17" i="59"/>
  <c r="DE17" i="59"/>
  <c r="EM17" i="59" s="1"/>
  <c r="EN17" i="59" s="1"/>
  <c r="DB17" i="59"/>
  <c r="CY17" i="59"/>
  <c r="CV17" i="59"/>
  <c r="CS17" i="59"/>
  <c r="CP17" i="59"/>
  <c r="CM17" i="59"/>
  <c r="CJ17" i="59"/>
  <c r="CG17" i="59"/>
  <c r="CD17" i="59"/>
  <c r="CA17" i="59"/>
  <c r="BX17" i="59"/>
  <c r="BU17" i="59"/>
  <c r="BR17" i="59"/>
  <c r="BO17" i="59"/>
  <c r="BL17" i="59"/>
  <c r="BI17" i="59"/>
  <c r="BF17" i="59"/>
  <c r="BC17" i="59"/>
  <c r="AZ17" i="59"/>
  <c r="AW17" i="59"/>
  <c r="AT17" i="59"/>
  <c r="AQ17" i="59"/>
  <c r="AN17" i="59"/>
  <c r="AK17" i="59"/>
  <c r="AB17" i="59"/>
  <c r="Y17" i="59"/>
  <c r="V17" i="59"/>
  <c r="S17" i="59"/>
  <c r="EH17" i="59" s="1"/>
  <c r="P17" i="59"/>
  <c r="M17" i="59"/>
  <c r="J17" i="59"/>
  <c r="G17" i="59"/>
  <c r="D17" i="59"/>
  <c r="EL16" i="59"/>
  <c r="EK16" i="59"/>
  <c r="EG16" i="59"/>
  <c r="EI16" i="59" s="1"/>
  <c r="EB16" i="59"/>
  <c r="DW16" i="59"/>
  <c r="DT16" i="59"/>
  <c r="DQ16" i="59"/>
  <c r="DN16" i="59"/>
  <c r="DK16" i="59"/>
  <c r="DH16" i="59"/>
  <c r="DE16" i="59"/>
  <c r="DB16" i="59"/>
  <c r="CY16" i="59"/>
  <c r="CV16" i="59"/>
  <c r="CS16" i="59"/>
  <c r="CP16" i="59"/>
  <c r="CM16" i="59"/>
  <c r="CJ16" i="59"/>
  <c r="CG16" i="59"/>
  <c r="CD16" i="59"/>
  <c r="CA16" i="59"/>
  <c r="BX16" i="59"/>
  <c r="BU16" i="59"/>
  <c r="BR16" i="59"/>
  <c r="BO16" i="59"/>
  <c r="BL16" i="59"/>
  <c r="BI16" i="59"/>
  <c r="BF16" i="59"/>
  <c r="BC16" i="59"/>
  <c r="AZ16" i="59"/>
  <c r="AW16" i="59"/>
  <c r="AT16" i="59"/>
  <c r="AQ16" i="59"/>
  <c r="AN16" i="59"/>
  <c r="AK16" i="59"/>
  <c r="AB16" i="59"/>
  <c r="Y16" i="59"/>
  <c r="V16" i="59"/>
  <c r="S16" i="59"/>
  <c r="P16" i="59"/>
  <c r="M16" i="59"/>
  <c r="J16" i="59"/>
  <c r="G16" i="59"/>
  <c r="D16" i="59"/>
  <c r="EL15" i="59"/>
  <c r="EK15" i="59"/>
  <c r="EG15" i="59"/>
  <c r="EI15" i="59" s="1"/>
  <c r="EB15" i="59"/>
  <c r="DW15" i="59"/>
  <c r="DT15" i="59"/>
  <c r="DQ15" i="59"/>
  <c r="DN15" i="59"/>
  <c r="DK15" i="59"/>
  <c r="DH15" i="59"/>
  <c r="DE15" i="59"/>
  <c r="DB15" i="59"/>
  <c r="CY15" i="59"/>
  <c r="CV15" i="59"/>
  <c r="CS15" i="59"/>
  <c r="CP15" i="59"/>
  <c r="CM15" i="59"/>
  <c r="CJ15" i="59"/>
  <c r="CG15" i="59"/>
  <c r="CD15" i="59"/>
  <c r="CA15" i="59"/>
  <c r="BX15" i="59"/>
  <c r="BU15" i="59"/>
  <c r="BR15" i="59"/>
  <c r="BO15" i="59"/>
  <c r="BL15" i="59"/>
  <c r="BI15" i="59"/>
  <c r="BF15" i="59"/>
  <c r="BC15" i="59"/>
  <c r="AZ15" i="59"/>
  <c r="AW15" i="59"/>
  <c r="AT15" i="59"/>
  <c r="AQ15" i="59"/>
  <c r="AN15" i="59"/>
  <c r="AK15" i="59"/>
  <c r="AB15" i="59"/>
  <c r="Y15" i="59"/>
  <c r="V15" i="59"/>
  <c r="S15" i="59"/>
  <c r="P15" i="59"/>
  <c r="M15" i="59"/>
  <c r="J15" i="59"/>
  <c r="G15" i="59"/>
  <c r="D15" i="59"/>
  <c r="EL14" i="59"/>
  <c r="EK14" i="59"/>
  <c r="EI14" i="59"/>
  <c r="EG14" i="59"/>
  <c r="EB14" i="59"/>
  <c r="DW14" i="59"/>
  <c r="DT14" i="59"/>
  <c r="DQ14" i="59"/>
  <c r="DN14" i="59"/>
  <c r="DK14" i="59"/>
  <c r="DH14" i="59"/>
  <c r="DE14" i="59"/>
  <c r="DB14" i="59"/>
  <c r="CY14" i="59"/>
  <c r="CV14" i="59"/>
  <c r="CS14" i="59"/>
  <c r="CP14" i="59"/>
  <c r="CM14" i="59"/>
  <c r="CJ14" i="59"/>
  <c r="CG14" i="59"/>
  <c r="CD14" i="59"/>
  <c r="CA14" i="59"/>
  <c r="BX14" i="59"/>
  <c r="BU14" i="59"/>
  <c r="BR14" i="59"/>
  <c r="BO14" i="59"/>
  <c r="BL14" i="59"/>
  <c r="BI14" i="59"/>
  <c r="BF14" i="59"/>
  <c r="BC14" i="59"/>
  <c r="AZ14" i="59"/>
  <c r="AW14" i="59"/>
  <c r="AT14" i="59"/>
  <c r="AQ14" i="59"/>
  <c r="AN14" i="59"/>
  <c r="AK14" i="59"/>
  <c r="AB14" i="59"/>
  <c r="Y14" i="59"/>
  <c r="V14" i="59"/>
  <c r="S14" i="59"/>
  <c r="P14" i="59"/>
  <c r="M14" i="59"/>
  <c r="J14" i="59"/>
  <c r="G14" i="59"/>
  <c r="D14" i="59"/>
  <c r="EL13" i="59"/>
  <c r="EK13" i="59"/>
  <c r="EG13" i="59"/>
  <c r="EI13" i="59" s="1"/>
  <c r="EB13" i="59"/>
  <c r="EC13" i="59" s="1"/>
  <c r="DW13" i="59"/>
  <c r="DT13" i="59"/>
  <c r="DQ13" i="59"/>
  <c r="DN13" i="59"/>
  <c r="DK13" i="59"/>
  <c r="DH13" i="59"/>
  <c r="DE13" i="59"/>
  <c r="DB13" i="59"/>
  <c r="CY13" i="59"/>
  <c r="CV13" i="59"/>
  <c r="CS13" i="59"/>
  <c r="CP13" i="59"/>
  <c r="CM13" i="59"/>
  <c r="CJ13" i="59"/>
  <c r="CG13" i="59"/>
  <c r="CD13" i="59"/>
  <c r="CA13" i="59"/>
  <c r="BX13" i="59"/>
  <c r="BU13" i="59"/>
  <c r="BR13" i="59"/>
  <c r="BR42" i="59" s="1"/>
  <c r="BO13" i="59"/>
  <c r="BL13" i="59"/>
  <c r="BI13" i="59"/>
  <c r="BF13" i="59"/>
  <c r="BC13" i="59"/>
  <c r="AZ13" i="59"/>
  <c r="AW13" i="59"/>
  <c r="AT13" i="59"/>
  <c r="AQ13" i="59"/>
  <c r="AN13" i="59"/>
  <c r="AK13" i="59"/>
  <c r="AB13" i="59"/>
  <c r="Y13" i="59"/>
  <c r="V13" i="59"/>
  <c r="S13" i="59"/>
  <c r="P13" i="59"/>
  <c r="M13" i="59"/>
  <c r="J13" i="59"/>
  <c r="G13" i="59"/>
  <c r="D13" i="59"/>
  <c r="EL12" i="59"/>
  <c r="EK12" i="59"/>
  <c r="EG12" i="59"/>
  <c r="EI12" i="59" s="1"/>
  <c r="EB12" i="59"/>
  <c r="DW12" i="59"/>
  <c r="DT12" i="59"/>
  <c r="DQ12" i="59"/>
  <c r="DN12" i="59"/>
  <c r="DK12" i="59"/>
  <c r="DH12" i="59"/>
  <c r="DE12" i="59"/>
  <c r="DB12" i="59"/>
  <c r="CY12" i="59"/>
  <c r="CV12" i="59"/>
  <c r="CS12" i="59"/>
  <c r="CP12" i="59"/>
  <c r="CM12" i="59"/>
  <c r="CJ12" i="59"/>
  <c r="CG12" i="59"/>
  <c r="CD12" i="59"/>
  <c r="CA12" i="59"/>
  <c r="BX12" i="59"/>
  <c r="BU12" i="59"/>
  <c r="BR12" i="59"/>
  <c r="BO12" i="59"/>
  <c r="BL12" i="59"/>
  <c r="BI12" i="59"/>
  <c r="BF12" i="59"/>
  <c r="BC12" i="59"/>
  <c r="AZ12" i="59"/>
  <c r="AW12" i="59"/>
  <c r="AT12" i="59"/>
  <c r="AQ12" i="59"/>
  <c r="AN12" i="59"/>
  <c r="AK12" i="59"/>
  <c r="AB12" i="59"/>
  <c r="Y12" i="59"/>
  <c r="V12" i="59"/>
  <c r="S12" i="59"/>
  <c r="P12" i="59"/>
  <c r="M12" i="59"/>
  <c r="J12" i="59"/>
  <c r="G12" i="59"/>
  <c r="D12" i="59"/>
  <c r="A12" i="59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EL11" i="59"/>
  <c r="EK11" i="59"/>
  <c r="EG11" i="59"/>
  <c r="EB11" i="59"/>
  <c r="DW11" i="59"/>
  <c r="DT11" i="59"/>
  <c r="DQ11" i="59"/>
  <c r="DN11" i="59"/>
  <c r="DN42" i="59" s="1"/>
  <c r="DK11" i="59"/>
  <c r="DH11" i="59"/>
  <c r="DE11" i="59"/>
  <c r="DB11" i="59"/>
  <c r="CY11" i="59"/>
  <c r="CV11" i="59"/>
  <c r="CV42" i="59" s="1"/>
  <c r="CS11" i="59"/>
  <c r="CP11" i="59"/>
  <c r="CP42" i="59" s="1"/>
  <c r="CM11" i="59"/>
  <c r="CJ11" i="59"/>
  <c r="CG11" i="59"/>
  <c r="CD11" i="59"/>
  <c r="CA11" i="59"/>
  <c r="BX11" i="59"/>
  <c r="BX42" i="59" s="1"/>
  <c r="BU11" i="59"/>
  <c r="BR11" i="59"/>
  <c r="BO11" i="59"/>
  <c r="BL11" i="59"/>
  <c r="BI11" i="59"/>
  <c r="BF11" i="59"/>
  <c r="BC11" i="59"/>
  <c r="AZ11" i="59"/>
  <c r="AZ42" i="59" s="1"/>
  <c r="AW11" i="59"/>
  <c r="AT11" i="59"/>
  <c r="AT42" i="59" s="1"/>
  <c r="AQ11" i="59"/>
  <c r="AN11" i="59"/>
  <c r="AK11" i="59"/>
  <c r="AH42" i="59"/>
  <c r="AE42" i="59"/>
  <c r="AB11" i="59"/>
  <c r="AB42" i="59" s="1"/>
  <c r="Y11" i="59"/>
  <c r="V11" i="59"/>
  <c r="V42" i="59" s="1"/>
  <c r="S11" i="59"/>
  <c r="P11" i="59"/>
  <c r="M11" i="59"/>
  <c r="J11" i="59"/>
  <c r="G11" i="59"/>
  <c r="D11" i="59"/>
  <c r="ED11" i="59" s="1"/>
  <c r="EN2" i="59"/>
  <c r="EP2" i="59" s="1"/>
  <c r="EI2" i="59"/>
  <c r="EE2" i="59"/>
  <c r="EQ2" i="59" s="1"/>
  <c r="G4" i="59" s="1"/>
  <c r="AK42" i="59" l="1"/>
  <c r="CG42" i="59"/>
  <c r="AN42" i="59"/>
  <c r="DH42" i="59"/>
  <c r="S42" i="59"/>
  <c r="CM42" i="59"/>
  <c r="ED13" i="59"/>
  <c r="EH14" i="59"/>
  <c r="ED15" i="59"/>
  <c r="EE15" i="59" s="1"/>
  <c r="EM24" i="59"/>
  <c r="EM25" i="59"/>
  <c r="EN25" i="59" s="1"/>
  <c r="EC30" i="59"/>
  <c r="ED32" i="59"/>
  <c r="EE32" i="59" s="1"/>
  <c r="EM34" i="59"/>
  <c r="EN34" i="59" s="1"/>
  <c r="EM36" i="59"/>
  <c r="ED37" i="59"/>
  <c r="EM39" i="59"/>
  <c r="EH41" i="59"/>
  <c r="EN5" i="59"/>
  <c r="BO42" i="59"/>
  <c r="EH11" i="59"/>
  <c r="AW42" i="59"/>
  <c r="BU42" i="59"/>
  <c r="CS42" i="59"/>
  <c r="DQ42" i="59"/>
  <c r="ED12" i="59"/>
  <c r="ED42" i="59" s="1"/>
  <c r="EM14" i="59"/>
  <c r="EN14" i="59" s="1"/>
  <c r="EH16" i="59"/>
  <c r="EM19" i="59"/>
  <c r="EH21" i="59"/>
  <c r="ED22" i="59"/>
  <c r="EE22" i="59" s="1"/>
  <c r="EC22" i="59"/>
  <c r="ED25" i="59"/>
  <c r="EH26" i="59"/>
  <c r="ED27" i="59"/>
  <c r="EE27" i="59" s="1"/>
  <c r="EH36" i="59"/>
  <c r="ED38" i="59"/>
  <c r="EE38" i="59" s="1"/>
  <c r="EH39" i="59"/>
  <c r="G42" i="59"/>
  <c r="BC42" i="59"/>
  <c r="DW42" i="59"/>
  <c r="EH13" i="59"/>
  <c r="ED14" i="59"/>
  <c r="EE14" i="59" s="1"/>
  <c r="EC14" i="59"/>
  <c r="ED17" i="59"/>
  <c r="EH18" i="59"/>
  <c r="ED19" i="59"/>
  <c r="EM28" i="59"/>
  <c r="EN28" i="59" s="1"/>
  <c r="EH31" i="59"/>
  <c r="EM38" i="59"/>
  <c r="EN38" i="59" s="1"/>
  <c r="EM11" i="59"/>
  <c r="EM16" i="59"/>
  <c r="CA42" i="59"/>
  <c r="CY42" i="59"/>
  <c r="J42" i="59"/>
  <c r="BF42" i="59"/>
  <c r="CD42" i="59"/>
  <c r="DB42" i="59"/>
  <c r="ED16" i="59"/>
  <c r="EM18" i="59"/>
  <c r="EN18" i="59" s="1"/>
  <c r="EH20" i="59"/>
  <c r="EM23" i="59"/>
  <c r="EN23" i="59" s="1"/>
  <c r="EH25" i="59"/>
  <c r="ED26" i="59"/>
  <c r="EE26" i="59" s="1"/>
  <c r="EC26" i="59"/>
  <c r="ED29" i="59"/>
  <c r="ED30" i="59"/>
  <c r="EE30" i="59" s="1"/>
  <c r="ED31" i="59"/>
  <c r="EM35" i="59"/>
  <c r="EH37" i="59"/>
  <c r="EN39" i="59"/>
  <c r="EM40" i="59"/>
  <c r="EN40" i="59" s="1"/>
  <c r="ED41" i="59"/>
  <c r="EM41" i="59"/>
  <c r="EN41" i="59" s="1"/>
  <c r="M42" i="59"/>
  <c r="DE42" i="59"/>
  <c r="EM20" i="59"/>
  <c r="EN20" i="59" s="1"/>
  <c r="EM21" i="59"/>
  <c r="EN21" i="59" s="1"/>
  <c r="ED28" i="59"/>
  <c r="EE28" i="59" s="1"/>
  <c r="EH40" i="59"/>
  <c r="BI42" i="59"/>
  <c r="P42" i="59"/>
  <c r="CJ42" i="59"/>
  <c r="EM15" i="59"/>
  <c r="EN15" i="59" s="1"/>
  <c r="ED18" i="59"/>
  <c r="EE18" i="59" s="1"/>
  <c r="EC18" i="59"/>
  <c r="ED21" i="59"/>
  <c r="EH22" i="59"/>
  <c r="ED23" i="59"/>
  <c r="EM30" i="59"/>
  <c r="EN30" i="59" s="1"/>
  <c r="EM32" i="59"/>
  <c r="ED33" i="59"/>
  <c r="EE33" i="59" s="1"/>
  <c r="EM33" i="59"/>
  <c r="EN33" i="59" s="1"/>
  <c r="EC33" i="59"/>
  <c r="ED34" i="59"/>
  <c r="EE34" i="59" s="1"/>
  <c r="ED35" i="59"/>
  <c r="ED40" i="59"/>
  <c r="EE40" i="59" s="1"/>
  <c r="EI5" i="59"/>
  <c r="BL42" i="59"/>
  <c r="AQ42" i="59"/>
  <c r="DK42" i="59"/>
  <c r="EH12" i="59"/>
  <c r="EM12" i="59"/>
  <c r="EN12" i="59" s="1"/>
  <c r="EM13" i="59"/>
  <c r="EN13" i="59" s="1"/>
  <c r="EH15" i="59"/>
  <c r="EN16" i="59"/>
  <c r="ED20" i="59"/>
  <c r="EE20" i="59" s="1"/>
  <c r="EM22" i="59"/>
  <c r="EN22" i="59" s="1"/>
  <c r="EH24" i="59"/>
  <c r="EM27" i="59"/>
  <c r="EN27" i="59" s="1"/>
  <c r="EH29" i="59"/>
  <c r="EH32" i="59"/>
  <c r="EH34" i="59"/>
  <c r="EE12" i="59"/>
  <c r="EE19" i="59"/>
  <c r="EE25" i="59"/>
  <c r="EE37" i="59"/>
  <c r="EE11" i="59"/>
  <c r="EE24" i="59"/>
  <c r="EE31" i="59"/>
  <c r="EE36" i="59"/>
  <c r="EE17" i="59"/>
  <c r="EN19" i="59"/>
  <c r="EN32" i="59"/>
  <c r="EE13" i="59"/>
  <c r="EE16" i="59"/>
  <c r="EE23" i="59"/>
  <c r="EE29" i="59"/>
  <c r="EN31" i="59"/>
  <c r="EE35" i="59"/>
  <c r="EN24" i="59"/>
  <c r="EN36" i="59"/>
  <c r="EE41" i="59"/>
  <c r="EE21" i="59"/>
  <c r="EN35" i="59"/>
  <c r="EI11" i="59"/>
  <c r="Y42" i="59"/>
  <c r="EC12" i="59"/>
  <c r="EC16" i="59"/>
  <c r="EC20" i="59"/>
  <c r="EC24" i="59"/>
  <c r="EC28" i="59"/>
  <c r="EC32" i="59"/>
  <c r="EC36" i="59"/>
  <c r="EC40" i="59"/>
  <c r="D42" i="59"/>
  <c r="DT42" i="59"/>
  <c r="EE3" i="59"/>
  <c r="EE5" i="59"/>
  <c r="G7" i="59" s="1"/>
  <c r="EC11" i="59"/>
  <c r="EC15" i="59"/>
  <c r="EC19" i="59"/>
  <c r="EC23" i="59"/>
  <c r="EC27" i="59"/>
  <c r="EC31" i="59"/>
  <c r="EC35" i="59"/>
  <c r="EI3" i="59"/>
  <c r="EI4" i="59" s="1"/>
  <c r="EN11" i="59"/>
  <c r="EN3" i="59"/>
  <c r="EN4" i="59" l="1"/>
  <c r="EM42" i="59"/>
  <c r="EH42" i="59"/>
  <c r="G5" i="59"/>
  <c r="EE4" i="59"/>
  <c r="G6" i="59" s="1"/>
  <c r="L28" i="4" l="1"/>
  <c r="L28" i="63"/>
  <c r="K28" i="62"/>
  <c r="EL40" i="58"/>
  <c r="EK40" i="58"/>
  <c r="EG40" i="58"/>
  <c r="EI40" i="58" s="1"/>
  <c r="EB40" i="58"/>
  <c r="EC40" i="58" s="1"/>
  <c r="DW40" i="58"/>
  <c r="DT40" i="58"/>
  <c r="EM40" i="58" s="1"/>
  <c r="DQ40" i="58"/>
  <c r="DN40" i="58"/>
  <c r="DK40" i="58"/>
  <c r="DH40" i="58"/>
  <c r="DE40" i="58"/>
  <c r="DB40" i="58"/>
  <c r="CY40" i="58"/>
  <c r="CV40" i="58"/>
  <c r="CS40" i="58"/>
  <c r="CP40" i="58"/>
  <c r="CM40" i="58"/>
  <c r="CJ40" i="58"/>
  <c r="CG40" i="58"/>
  <c r="CD40" i="58"/>
  <c r="CA40" i="58"/>
  <c r="BX40" i="58"/>
  <c r="BU40" i="58"/>
  <c r="BR40" i="58"/>
  <c r="BO40" i="58"/>
  <c r="BL40" i="58"/>
  <c r="BI40" i="58"/>
  <c r="BF40" i="58"/>
  <c r="BC40" i="58"/>
  <c r="AZ40" i="58"/>
  <c r="AW40" i="58"/>
  <c r="AT40" i="58"/>
  <c r="AQ40" i="58"/>
  <c r="AN40" i="58"/>
  <c r="AK40" i="58"/>
  <c r="AB40" i="58"/>
  <c r="Y40" i="58"/>
  <c r="V40" i="58"/>
  <c r="S40" i="58"/>
  <c r="P40" i="58"/>
  <c r="M40" i="58"/>
  <c r="J40" i="58"/>
  <c r="G40" i="58"/>
  <c r="D40" i="58"/>
  <c r="EL39" i="58"/>
  <c r="EK39" i="58"/>
  <c r="EG39" i="58"/>
  <c r="EI39" i="58" s="1"/>
  <c r="EB39" i="58"/>
  <c r="DW39" i="58"/>
  <c r="DT39" i="58"/>
  <c r="DQ39" i="58"/>
  <c r="DN39" i="58"/>
  <c r="DK39" i="58"/>
  <c r="DH39" i="58"/>
  <c r="DE39" i="58"/>
  <c r="DB39" i="58"/>
  <c r="CY39" i="58"/>
  <c r="CV39" i="58"/>
  <c r="CS39" i="58"/>
  <c r="CP39" i="58"/>
  <c r="CM39" i="58"/>
  <c r="CJ39" i="58"/>
  <c r="CG39" i="58"/>
  <c r="CD39" i="58"/>
  <c r="CA39" i="58"/>
  <c r="BX39" i="58"/>
  <c r="BU39" i="58"/>
  <c r="BR39" i="58"/>
  <c r="BO39" i="58"/>
  <c r="BL39" i="58"/>
  <c r="BI39" i="58"/>
  <c r="BF39" i="58"/>
  <c r="BC39" i="58"/>
  <c r="AZ39" i="58"/>
  <c r="AW39" i="58"/>
  <c r="AT39" i="58"/>
  <c r="AQ39" i="58"/>
  <c r="AN39" i="58"/>
  <c r="AK39" i="58"/>
  <c r="AB39" i="58"/>
  <c r="Y39" i="58"/>
  <c r="V39" i="58"/>
  <c r="S39" i="58"/>
  <c r="P39" i="58"/>
  <c r="M39" i="58"/>
  <c r="J39" i="58"/>
  <c r="G39" i="58"/>
  <c r="D39" i="58"/>
  <c r="EL38" i="58"/>
  <c r="EK38" i="58"/>
  <c r="EG38" i="58"/>
  <c r="EI38" i="58" s="1"/>
  <c r="EB38" i="58"/>
  <c r="EC38" i="58" s="1"/>
  <c r="DW38" i="58"/>
  <c r="DT38" i="58"/>
  <c r="DQ38" i="58"/>
  <c r="DN38" i="58"/>
  <c r="DK38" i="58"/>
  <c r="DH38" i="58"/>
  <c r="DE38" i="58"/>
  <c r="DB38" i="58"/>
  <c r="CY38" i="58"/>
  <c r="CV38" i="58"/>
  <c r="CS38" i="58"/>
  <c r="CP38" i="58"/>
  <c r="CM38" i="58"/>
  <c r="CJ38" i="58"/>
  <c r="CG38" i="58"/>
  <c r="CD38" i="58"/>
  <c r="CA38" i="58"/>
  <c r="BX38" i="58"/>
  <c r="BU38" i="58"/>
  <c r="BR38" i="58"/>
  <c r="BO38" i="58"/>
  <c r="BL38" i="58"/>
  <c r="BI38" i="58"/>
  <c r="BF38" i="58"/>
  <c r="BC38" i="58"/>
  <c r="AZ38" i="58"/>
  <c r="AW38" i="58"/>
  <c r="AT38" i="58"/>
  <c r="AQ38" i="58"/>
  <c r="AN38" i="58"/>
  <c r="AK38" i="58"/>
  <c r="AB38" i="58"/>
  <c r="Y38" i="58"/>
  <c r="EH38" i="58" s="1"/>
  <c r="V38" i="58"/>
  <c r="S38" i="58"/>
  <c r="P38" i="58"/>
  <c r="M38" i="58"/>
  <c r="J38" i="58"/>
  <c r="G38" i="58"/>
  <c r="D38" i="58"/>
  <c r="EL37" i="58"/>
  <c r="EC37" i="58" s="1"/>
  <c r="EK37" i="58"/>
  <c r="EG37" i="58"/>
  <c r="EI37" i="58" s="1"/>
  <c r="EB37" i="58"/>
  <c r="DW37" i="58"/>
  <c r="DT37" i="58"/>
  <c r="DQ37" i="58"/>
  <c r="DN37" i="58"/>
  <c r="DK37" i="58"/>
  <c r="DH37" i="58"/>
  <c r="DE37" i="58"/>
  <c r="DB37" i="58"/>
  <c r="CY37" i="58"/>
  <c r="CV37" i="58"/>
  <c r="CS37" i="58"/>
  <c r="CP37" i="58"/>
  <c r="CM37" i="58"/>
  <c r="CJ37" i="58"/>
  <c r="CG37" i="58"/>
  <c r="CD37" i="58"/>
  <c r="CA37" i="58"/>
  <c r="BX37" i="58"/>
  <c r="BU37" i="58"/>
  <c r="BR37" i="58"/>
  <c r="BO37" i="58"/>
  <c r="BL37" i="58"/>
  <c r="BI37" i="58"/>
  <c r="BF37" i="58"/>
  <c r="BC37" i="58"/>
  <c r="AZ37" i="58"/>
  <c r="AW37" i="58"/>
  <c r="AT37" i="58"/>
  <c r="AQ37" i="58"/>
  <c r="AN37" i="58"/>
  <c r="AK37" i="58"/>
  <c r="AB37" i="58"/>
  <c r="Y37" i="58"/>
  <c r="V37" i="58"/>
  <c r="S37" i="58"/>
  <c r="EH37" i="58" s="1"/>
  <c r="P37" i="58"/>
  <c r="ED37" i="58" s="1"/>
  <c r="EE37" i="58" s="1"/>
  <c r="M37" i="58"/>
  <c r="J37" i="58"/>
  <c r="G37" i="58"/>
  <c r="D37" i="58"/>
  <c r="EL36" i="58"/>
  <c r="EK36" i="58"/>
  <c r="EG36" i="58"/>
  <c r="EI36" i="58" s="1"/>
  <c r="EC36" i="58"/>
  <c r="EB36" i="58"/>
  <c r="DW36" i="58"/>
  <c r="DT36" i="58"/>
  <c r="DQ36" i="58"/>
  <c r="DN36" i="58"/>
  <c r="DK36" i="58"/>
  <c r="DH36" i="58"/>
  <c r="DE36" i="58"/>
  <c r="DB36" i="58"/>
  <c r="CY36" i="58"/>
  <c r="CV36" i="58"/>
  <c r="CS36" i="58"/>
  <c r="CP36" i="58"/>
  <c r="CM36" i="58"/>
  <c r="CJ36" i="58"/>
  <c r="CG36" i="58"/>
  <c r="CD36" i="58"/>
  <c r="CA36" i="58"/>
  <c r="BX36" i="58"/>
  <c r="BU36" i="58"/>
  <c r="BR36" i="58"/>
  <c r="BO36" i="58"/>
  <c r="BL36" i="58"/>
  <c r="BI36" i="58"/>
  <c r="BF36" i="58"/>
  <c r="BC36" i="58"/>
  <c r="AZ36" i="58"/>
  <c r="AW36" i="58"/>
  <c r="AT36" i="58"/>
  <c r="AQ36" i="58"/>
  <c r="AN36" i="58"/>
  <c r="AK36" i="58"/>
  <c r="AB36" i="58"/>
  <c r="Y36" i="58"/>
  <c r="V36" i="58"/>
  <c r="S36" i="58"/>
  <c r="P36" i="58"/>
  <c r="M36" i="58"/>
  <c r="J36" i="58"/>
  <c r="G36" i="58"/>
  <c r="ED36" i="58" s="1"/>
  <c r="D36" i="58"/>
  <c r="EL35" i="58"/>
  <c r="EK35" i="58"/>
  <c r="EG35" i="58"/>
  <c r="EI35" i="58" s="1"/>
  <c r="EB35" i="58"/>
  <c r="DW35" i="58"/>
  <c r="DT35" i="58"/>
  <c r="DQ35" i="58"/>
  <c r="DN35" i="58"/>
  <c r="DK35" i="58"/>
  <c r="DH35" i="58"/>
  <c r="DE35" i="58"/>
  <c r="DB35" i="58"/>
  <c r="CY35" i="58"/>
  <c r="CV35" i="58"/>
  <c r="CS35" i="58"/>
  <c r="CP35" i="58"/>
  <c r="CM35" i="58"/>
  <c r="CJ35" i="58"/>
  <c r="CG35" i="58"/>
  <c r="CD35" i="58"/>
  <c r="CA35" i="58"/>
  <c r="BX35" i="58"/>
  <c r="BU35" i="58"/>
  <c r="BR35" i="58"/>
  <c r="BO35" i="58"/>
  <c r="BL35" i="58"/>
  <c r="BI35" i="58"/>
  <c r="BF35" i="58"/>
  <c r="BC35" i="58"/>
  <c r="AZ35" i="58"/>
  <c r="AW35" i="58"/>
  <c r="AT35" i="58"/>
  <c r="AQ35" i="58"/>
  <c r="AN35" i="58"/>
  <c r="AK35" i="58"/>
  <c r="AB35" i="58"/>
  <c r="Y35" i="58"/>
  <c r="V35" i="58"/>
  <c r="S35" i="58"/>
  <c r="P35" i="58"/>
  <c r="M35" i="58"/>
  <c r="J35" i="58"/>
  <c r="G35" i="58"/>
  <c r="D35" i="58"/>
  <c r="EL34" i="58"/>
  <c r="EK34" i="58"/>
  <c r="EG34" i="58"/>
  <c r="EI34" i="58" s="1"/>
  <c r="EB34" i="58"/>
  <c r="DW34" i="58"/>
  <c r="DT34" i="58"/>
  <c r="DQ34" i="58"/>
  <c r="DN34" i="58"/>
  <c r="DK34" i="58"/>
  <c r="DH34" i="58"/>
  <c r="DE34" i="58"/>
  <c r="DB34" i="58"/>
  <c r="CY34" i="58"/>
  <c r="CV34" i="58"/>
  <c r="CS34" i="58"/>
  <c r="CP34" i="58"/>
  <c r="CM34" i="58"/>
  <c r="CJ34" i="58"/>
  <c r="CG34" i="58"/>
  <c r="CD34" i="58"/>
  <c r="CA34" i="58"/>
  <c r="BX34" i="58"/>
  <c r="BU34" i="58"/>
  <c r="BR34" i="58"/>
  <c r="BO34" i="58"/>
  <c r="BL34" i="58"/>
  <c r="BI34" i="58"/>
  <c r="BF34" i="58"/>
  <c r="BC34" i="58"/>
  <c r="AZ34" i="58"/>
  <c r="AW34" i="58"/>
  <c r="AT34" i="58"/>
  <c r="AQ34" i="58"/>
  <c r="AN34" i="58"/>
  <c r="AK34" i="58"/>
  <c r="AB34" i="58"/>
  <c r="Y34" i="58"/>
  <c r="V34" i="58"/>
  <c r="S34" i="58"/>
  <c r="P34" i="58"/>
  <c r="M34" i="58"/>
  <c r="J34" i="58"/>
  <c r="G34" i="58"/>
  <c r="D34" i="58"/>
  <c r="EL33" i="58"/>
  <c r="EK33" i="58"/>
  <c r="EG33" i="58"/>
  <c r="EI33" i="58" s="1"/>
  <c r="EB33" i="58"/>
  <c r="EC33" i="58" s="1"/>
  <c r="DW33" i="58"/>
  <c r="DT33" i="58"/>
  <c r="DQ33" i="58"/>
  <c r="DN33" i="58"/>
  <c r="DK33" i="58"/>
  <c r="DH33" i="58"/>
  <c r="DE33" i="58"/>
  <c r="DB33" i="58"/>
  <c r="CY33" i="58"/>
  <c r="CV33" i="58"/>
  <c r="CS33" i="58"/>
  <c r="CP33" i="58"/>
  <c r="CM33" i="58"/>
  <c r="CJ33" i="58"/>
  <c r="CG33" i="58"/>
  <c r="CD33" i="58"/>
  <c r="CA33" i="58"/>
  <c r="BX33" i="58"/>
  <c r="BU33" i="58"/>
  <c r="BR33" i="58"/>
  <c r="BO33" i="58"/>
  <c r="BL33" i="58"/>
  <c r="BI33" i="58"/>
  <c r="BF33" i="58"/>
  <c r="BC33" i="58"/>
  <c r="AZ33" i="58"/>
  <c r="AW33" i="58"/>
  <c r="AT33" i="58"/>
  <c r="AQ33" i="58"/>
  <c r="AN33" i="58"/>
  <c r="AK33" i="58"/>
  <c r="AB33" i="58"/>
  <c r="Y33" i="58"/>
  <c r="V33" i="58"/>
  <c r="S33" i="58"/>
  <c r="P33" i="58"/>
  <c r="M33" i="58"/>
  <c r="J33" i="58"/>
  <c r="G33" i="58"/>
  <c r="D33" i="58"/>
  <c r="EL32" i="58"/>
  <c r="EK32" i="58"/>
  <c r="EG32" i="58"/>
  <c r="EI32" i="58" s="1"/>
  <c r="EB32" i="58"/>
  <c r="DW32" i="58"/>
  <c r="DT32" i="58"/>
  <c r="DQ32" i="58"/>
  <c r="DN32" i="58"/>
  <c r="DK32" i="58"/>
  <c r="DH32" i="58"/>
  <c r="DE32" i="58"/>
  <c r="DB32" i="58"/>
  <c r="CY32" i="58"/>
  <c r="CV32" i="58"/>
  <c r="CS32" i="58"/>
  <c r="CP32" i="58"/>
  <c r="CM32" i="58"/>
  <c r="CJ32" i="58"/>
  <c r="CG32" i="58"/>
  <c r="CD32" i="58"/>
  <c r="CA32" i="58"/>
  <c r="BX32" i="58"/>
  <c r="BU32" i="58"/>
  <c r="BR32" i="58"/>
  <c r="BO32" i="58"/>
  <c r="BL32" i="58"/>
  <c r="BI32" i="58"/>
  <c r="BF32" i="58"/>
  <c r="BC32" i="58"/>
  <c r="AZ32" i="58"/>
  <c r="AW32" i="58"/>
  <c r="AT32" i="58"/>
  <c r="AQ32" i="58"/>
  <c r="AN32" i="58"/>
  <c r="AK32" i="58"/>
  <c r="AB32" i="58"/>
  <c r="Y32" i="58"/>
  <c r="V32" i="58"/>
  <c r="S32" i="58"/>
  <c r="EH32" i="58" s="1"/>
  <c r="P32" i="58"/>
  <c r="M32" i="58"/>
  <c r="J32" i="58"/>
  <c r="G32" i="58"/>
  <c r="D32" i="58"/>
  <c r="EL31" i="58"/>
  <c r="EK31" i="58"/>
  <c r="EG31" i="58"/>
  <c r="EI31" i="58" s="1"/>
  <c r="EB31" i="58"/>
  <c r="EE31" i="58" s="1"/>
  <c r="DW31" i="58"/>
  <c r="DT31" i="58"/>
  <c r="DQ31" i="58"/>
  <c r="DN31" i="58"/>
  <c r="DK31" i="58"/>
  <c r="DH31" i="58"/>
  <c r="DE31" i="58"/>
  <c r="DB31" i="58"/>
  <c r="CY31" i="58"/>
  <c r="CV31" i="58"/>
  <c r="CS31" i="58"/>
  <c r="CP31" i="58"/>
  <c r="CM31" i="58"/>
  <c r="CJ31" i="58"/>
  <c r="CG31" i="58"/>
  <c r="CD31" i="58"/>
  <c r="CA31" i="58"/>
  <c r="BX31" i="58"/>
  <c r="BU31" i="58"/>
  <c r="BR31" i="58"/>
  <c r="BO31" i="58"/>
  <c r="BL31" i="58"/>
  <c r="BI31" i="58"/>
  <c r="BF31" i="58"/>
  <c r="BC31" i="58"/>
  <c r="AZ31" i="58"/>
  <c r="AW31" i="58"/>
  <c r="AT31" i="58"/>
  <c r="AQ31" i="58"/>
  <c r="AN31" i="58"/>
  <c r="AK31" i="58"/>
  <c r="AB31" i="58"/>
  <c r="Y31" i="58"/>
  <c r="V31" i="58"/>
  <c r="S31" i="58"/>
  <c r="P31" i="58"/>
  <c r="M31" i="58"/>
  <c r="J31" i="58"/>
  <c r="G31" i="58"/>
  <c r="D31" i="58"/>
  <c r="ED31" i="58" s="1"/>
  <c r="EL30" i="58"/>
  <c r="EK30" i="58"/>
  <c r="EG30" i="58"/>
  <c r="EI30" i="58" s="1"/>
  <c r="EB30" i="58"/>
  <c r="DW30" i="58"/>
  <c r="DT30" i="58"/>
  <c r="DQ30" i="58"/>
  <c r="DN30" i="58"/>
  <c r="DK30" i="58"/>
  <c r="DH30" i="58"/>
  <c r="DE30" i="58"/>
  <c r="DB30" i="58"/>
  <c r="CY30" i="58"/>
  <c r="CV30" i="58"/>
  <c r="CS30" i="58"/>
  <c r="CP30" i="58"/>
  <c r="CM30" i="58"/>
  <c r="CJ30" i="58"/>
  <c r="CG30" i="58"/>
  <c r="CD30" i="58"/>
  <c r="CA30" i="58"/>
  <c r="BX30" i="58"/>
  <c r="BU30" i="58"/>
  <c r="BR30" i="58"/>
  <c r="BO30" i="58"/>
  <c r="BL30" i="58"/>
  <c r="BI30" i="58"/>
  <c r="BF30" i="58"/>
  <c r="BC30" i="58"/>
  <c r="AZ30" i="58"/>
  <c r="AW30" i="58"/>
  <c r="AT30" i="58"/>
  <c r="AQ30" i="58"/>
  <c r="AN30" i="58"/>
  <c r="AK30" i="58"/>
  <c r="AB30" i="58"/>
  <c r="Y30" i="58"/>
  <c r="V30" i="58"/>
  <c r="S30" i="58"/>
  <c r="P30" i="58"/>
  <c r="M30" i="58"/>
  <c r="J30" i="58"/>
  <c r="G30" i="58"/>
  <c r="D30" i="58"/>
  <c r="EL29" i="58"/>
  <c r="EK29" i="58"/>
  <c r="EG29" i="58"/>
  <c r="EI29" i="58" s="1"/>
  <c r="EB29" i="58"/>
  <c r="DW29" i="58"/>
  <c r="DT29" i="58"/>
  <c r="DQ29" i="58"/>
  <c r="DN29" i="58"/>
  <c r="DK29" i="58"/>
  <c r="DH29" i="58"/>
  <c r="DE29" i="58"/>
  <c r="DB29" i="58"/>
  <c r="CY29" i="58"/>
  <c r="CV29" i="58"/>
  <c r="CS29" i="58"/>
  <c r="CP29" i="58"/>
  <c r="CM29" i="58"/>
  <c r="CJ29" i="58"/>
  <c r="CG29" i="58"/>
  <c r="CD29" i="58"/>
  <c r="CA29" i="58"/>
  <c r="BX29" i="58"/>
  <c r="BU29" i="58"/>
  <c r="BR29" i="58"/>
  <c r="BO29" i="58"/>
  <c r="BL29" i="58"/>
  <c r="BI29" i="58"/>
  <c r="BF29" i="58"/>
  <c r="BC29" i="58"/>
  <c r="AZ29" i="58"/>
  <c r="AW29" i="58"/>
  <c r="AT29" i="58"/>
  <c r="AQ29" i="58"/>
  <c r="AN29" i="58"/>
  <c r="AK29" i="58"/>
  <c r="AB29" i="58"/>
  <c r="Y29" i="58"/>
  <c r="V29" i="58"/>
  <c r="S29" i="58"/>
  <c r="P29" i="58"/>
  <c r="M29" i="58"/>
  <c r="J29" i="58"/>
  <c r="G29" i="58"/>
  <c r="D29" i="58"/>
  <c r="EL28" i="58"/>
  <c r="EK28" i="58"/>
  <c r="EG28" i="58"/>
  <c r="EI28" i="58" s="1"/>
  <c r="EB28" i="58"/>
  <c r="EC28" i="58" s="1"/>
  <c r="DW28" i="58"/>
  <c r="DT28" i="58"/>
  <c r="DQ28" i="58"/>
  <c r="DN28" i="58"/>
  <c r="DK28" i="58"/>
  <c r="DH28" i="58"/>
  <c r="DE28" i="58"/>
  <c r="DB28" i="58"/>
  <c r="CY28" i="58"/>
  <c r="CV28" i="58"/>
  <c r="CS28" i="58"/>
  <c r="CP28" i="58"/>
  <c r="CM28" i="58"/>
  <c r="CJ28" i="58"/>
  <c r="CG28" i="58"/>
  <c r="CD28" i="58"/>
  <c r="CA28" i="58"/>
  <c r="BX28" i="58"/>
  <c r="BU28" i="58"/>
  <c r="BR28" i="58"/>
  <c r="BO28" i="58"/>
  <c r="BL28" i="58"/>
  <c r="BI28" i="58"/>
  <c r="BF28" i="58"/>
  <c r="BC28" i="58"/>
  <c r="AZ28" i="58"/>
  <c r="AW28" i="58"/>
  <c r="AT28" i="58"/>
  <c r="AQ28" i="58"/>
  <c r="AN28" i="58"/>
  <c r="AK28" i="58"/>
  <c r="AB28" i="58"/>
  <c r="Y28" i="58"/>
  <c r="V28" i="58"/>
  <c r="S28" i="58"/>
  <c r="P28" i="58"/>
  <c r="M28" i="58"/>
  <c r="J28" i="58"/>
  <c r="G28" i="58"/>
  <c r="D28" i="58"/>
  <c r="EL27" i="58"/>
  <c r="EK27" i="58"/>
  <c r="EI27" i="58"/>
  <c r="EG27" i="58"/>
  <c r="EB27" i="58"/>
  <c r="DW27" i="58"/>
  <c r="DT27" i="58"/>
  <c r="DQ27" i="58"/>
  <c r="DN27" i="58"/>
  <c r="DK27" i="58"/>
  <c r="DH27" i="58"/>
  <c r="DE27" i="58"/>
  <c r="DB27" i="58"/>
  <c r="CY27" i="58"/>
  <c r="CV27" i="58"/>
  <c r="CS27" i="58"/>
  <c r="CP27" i="58"/>
  <c r="CM27" i="58"/>
  <c r="CJ27" i="58"/>
  <c r="CG27" i="58"/>
  <c r="CD27" i="58"/>
  <c r="CA27" i="58"/>
  <c r="BX27" i="58"/>
  <c r="BU27" i="58"/>
  <c r="BR27" i="58"/>
  <c r="BO27" i="58"/>
  <c r="BL27" i="58"/>
  <c r="BI27" i="58"/>
  <c r="BF27" i="58"/>
  <c r="BC27" i="58"/>
  <c r="AZ27" i="58"/>
  <c r="AW27" i="58"/>
  <c r="AT27" i="58"/>
  <c r="AQ27" i="58"/>
  <c r="AN27" i="58"/>
  <c r="AK27" i="58"/>
  <c r="AB27" i="58"/>
  <c r="Y27" i="58"/>
  <c r="V27" i="58"/>
  <c r="S27" i="58"/>
  <c r="EH27" i="58" s="1"/>
  <c r="P27" i="58"/>
  <c r="M27" i="58"/>
  <c r="J27" i="58"/>
  <c r="G27" i="58"/>
  <c r="D27" i="58"/>
  <c r="EL26" i="58"/>
  <c r="EK26" i="58"/>
  <c r="EG26" i="58"/>
  <c r="EI26" i="58" s="1"/>
  <c r="EB26" i="58"/>
  <c r="DW26" i="58"/>
  <c r="DT26" i="58"/>
  <c r="DQ26" i="58"/>
  <c r="DN26" i="58"/>
  <c r="DK26" i="58"/>
  <c r="DH26" i="58"/>
  <c r="DE26" i="58"/>
  <c r="DB26" i="58"/>
  <c r="CY26" i="58"/>
  <c r="CV26" i="58"/>
  <c r="CS26" i="58"/>
  <c r="CP26" i="58"/>
  <c r="CM26" i="58"/>
  <c r="CJ26" i="58"/>
  <c r="CG26" i="58"/>
  <c r="CD26" i="58"/>
  <c r="CA26" i="58"/>
  <c r="BX26" i="58"/>
  <c r="BU26" i="58"/>
  <c r="BR26" i="58"/>
  <c r="BO26" i="58"/>
  <c r="BL26" i="58"/>
  <c r="BI26" i="58"/>
  <c r="BF26" i="58"/>
  <c r="BC26" i="58"/>
  <c r="AZ26" i="58"/>
  <c r="AW26" i="58"/>
  <c r="AT26" i="58"/>
  <c r="AQ26" i="58"/>
  <c r="AN26" i="58"/>
  <c r="AK26" i="58"/>
  <c r="AB26" i="58"/>
  <c r="Y26" i="58"/>
  <c r="EH26" i="58" s="1"/>
  <c r="V26" i="58"/>
  <c r="S26" i="58"/>
  <c r="P26" i="58"/>
  <c r="M26" i="58"/>
  <c r="J26" i="58"/>
  <c r="G26" i="58"/>
  <c r="D26" i="58"/>
  <c r="EL25" i="58"/>
  <c r="EK25" i="58"/>
  <c r="EI25" i="58"/>
  <c r="EG25" i="58"/>
  <c r="EB25" i="58"/>
  <c r="DW25" i="58"/>
  <c r="DT25" i="58"/>
  <c r="DQ25" i="58"/>
  <c r="DN25" i="58"/>
  <c r="DK25" i="58"/>
  <c r="DH25" i="58"/>
  <c r="DE25" i="58"/>
  <c r="DB25" i="58"/>
  <c r="CY25" i="58"/>
  <c r="CV25" i="58"/>
  <c r="CS25" i="58"/>
  <c r="CP25" i="58"/>
  <c r="CM25" i="58"/>
  <c r="CJ25" i="58"/>
  <c r="CG25" i="58"/>
  <c r="CD25" i="58"/>
  <c r="CA25" i="58"/>
  <c r="BX25" i="58"/>
  <c r="BU25" i="58"/>
  <c r="BR25" i="58"/>
  <c r="BO25" i="58"/>
  <c r="BL25" i="58"/>
  <c r="BI25" i="58"/>
  <c r="BF25" i="58"/>
  <c r="BC25" i="58"/>
  <c r="AZ25" i="58"/>
  <c r="AW25" i="58"/>
  <c r="AT25" i="58"/>
  <c r="AQ25" i="58"/>
  <c r="AN25" i="58"/>
  <c r="AK25" i="58"/>
  <c r="AB25" i="58"/>
  <c r="Y25" i="58"/>
  <c r="V25" i="58"/>
  <c r="S25" i="58"/>
  <c r="EH25" i="58" s="1"/>
  <c r="P25" i="58"/>
  <c r="M25" i="58"/>
  <c r="J25" i="58"/>
  <c r="G25" i="58"/>
  <c r="D25" i="58"/>
  <c r="EL24" i="58"/>
  <c r="EK24" i="58"/>
  <c r="EG24" i="58"/>
  <c r="EI24" i="58" s="1"/>
  <c r="EC24" i="58"/>
  <c r="EB24" i="58"/>
  <c r="DW24" i="58"/>
  <c r="DT24" i="58"/>
  <c r="DQ24" i="58"/>
  <c r="DN24" i="58"/>
  <c r="DK24" i="58"/>
  <c r="DH24" i="58"/>
  <c r="DE24" i="58"/>
  <c r="EM24" i="58" s="1"/>
  <c r="EN24" i="58" s="1"/>
  <c r="DB24" i="58"/>
  <c r="CY24" i="58"/>
  <c r="CV24" i="58"/>
  <c r="CS24" i="58"/>
  <c r="CP24" i="58"/>
  <c r="CM24" i="58"/>
  <c r="CJ24" i="58"/>
  <c r="CG24" i="58"/>
  <c r="CD24" i="58"/>
  <c r="CA24" i="58"/>
  <c r="BX24" i="58"/>
  <c r="BU24" i="58"/>
  <c r="BR24" i="58"/>
  <c r="BO24" i="58"/>
  <c r="BL24" i="58"/>
  <c r="BI24" i="58"/>
  <c r="BF24" i="58"/>
  <c r="BC24" i="58"/>
  <c r="AZ24" i="58"/>
  <c r="AW24" i="58"/>
  <c r="AT24" i="58"/>
  <c r="AQ24" i="58"/>
  <c r="AN24" i="58"/>
  <c r="AK24" i="58"/>
  <c r="AB24" i="58"/>
  <c r="Y24" i="58"/>
  <c r="V24" i="58"/>
  <c r="S24" i="58"/>
  <c r="P24" i="58"/>
  <c r="M24" i="58"/>
  <c r="J24" i="58"/>
  <c r="G24" i="58"/>
  <c r="D24" i="58"/>
  <c r="EL23" i="58"/>
  <c r="EK23" i="58"/>
  <c r="EG23" i="58"/>
  <c r="EI23" i="58" s="1"/>
  <c r="EB23" i="58"/>
  <c r="DW23" i="58"/>
  <c r="DT23" i="58"/>
  <c r="EM23" i="58" s="1"/>
  <c r="DQ23" i="58"/>
  <c r="DN23" i="58"/>
  <c r="DK23" i="58"/>
  <c r="DH23" i="58"/>
  <c r="DE23" i="58"/>
  <c r="DB23" i="58"/>
  <c r="CY23" i="58"/>
  <c r="CV23" i="58"/>
  <c r="CS23" i="58"/>
  <c r="CP23" i="58"/>
  <c r="CM23" i="58"/>
  <c r="CJ23" i="58"/>
  <c r="CG23" i="58"/>
  <c r="CD23" i="58"/>
  <c r="CA23" i="58"/>
  <c r="BX23" i="58"/>
  <c r="BU23" i="58"/>
  <c r="BR23" i="58"/>
  <c r="BO23" i="58"/>
  <c r="BL23" i="58"/>
  <c r="BI23" i="58"/>
  <c r="BF23" i="58"/>
  <c r="BC23" i="58"/>
  <c r="AZ23" i="58"/>
  <c r="AW23" i="58"/>
  <c r="AT23" i="58"/>
  <c r="AQ23" i="58"/>
  <c r="AN23" i="58"/>
  <c r="AK23" i="58"/>
  <c r="AB23" i="58"/>
  <c r="Y23" i="58"/>
  <c r="V23" i="58"/>
  <c r="V41" i="58" s="1"/>
  <c r="S23" i="58"/>
  <c r="P23" i="58"/>
  <c r="M23" i="58"/>
  <c r="J23" i="58"/>
  <c r="G23" i="58"/>
  <c r="D23" i="58"/>
  <c r="EL22" i="58"/>
  <c r="EK22" i="58"/>
  <c r="EG22" i="58"/>
  <c r="EI22" i="58" s="1"/>
  <c r="EB22" i="58"/>
  <c r="DW22" i="58"/>
  <c r="DT22" i="58"/>
  <c r="DQ22" i="58"/>
  <c r="DN22" i="58"/>
  <c r="DK22" i="58"/>
  <c r="DH22" i="58"/>
  <c r="DE22" i="58"/>
  <c r="DB22" i="58"/>
  <c r="CY22" i="58"/>
  <c r="CV22" i="58"/>
  <c r="CS22" i="58"/>
  <c r="CP22" i="58"/>
  <c r="CM22" i="58"/>
  <c r="CJ22" i="58"/>
  <c r="CG22" i="58"/>
  <c r="CD22" i="58"/>
  <c r="CA22" i="58"/>
  <c r="BX22" i="58"/>
  <c r="BU22" i="58"/>
  <c r="BR22" i="58"/>
  <c r="BO22" i="58"/>
  <c r="BL22" i="58"/>
  <c r="BI22" i="58"/>
  <c r="BF22" i="58"/>
  <c r="BC22" i="58"/>
  <c r="AZ22" i="58"/>
  <c r="AW22" i="58"/>
  <c r="AT22" i="58"/>
  <c r="AQ22" i="58"/>
  <c r="AN22" i="58"/>
  <c r="AK22" i="58"/>
  <c r="AB22" i="58"/>
  <c r="Y22" i="58"/>
  <c r="V22" i="58"/>
  <c r="S22" i="58"/>
  <c r="P22" i="58"/>
  <c r="M22" i="58"/>
  <c r="J22" i="58"/>
  <c r="G22" i="58"/>
  <c r="D22" i="58"/>
  <c r="EL21" i="58"/>
  <c r="EK21" i="58"/>
  <c r="EG21" i="58"/>
  <c r="EI21" i="58" s="1"/>
  <c r="EB21" i="58"/>
  <c r="EC21" i="58" s="1"/>
  <c r="DW21" i="58"/>
  <c r="DT21" i="58"/>
  <c r="DQ21" i="58"/>
  <c r="DN21" i="58"/>
  <c r="DK21" i="58"/>
  <c r="DH21" i="58"/>
  <c r="DE21" i="58"/>
  <c r="DB21" i="58"/>
  <c r="CY21" i="58"/>
  <c r="CV21" i="58"/>
  <c r="CS21" i="58"/>
  <c r="CP21" i="58"/>
  <c r="CM21" i="58"/>
  <c r="CJ21" i="58"/>
  <c r="CG21" i="58"/>
  <c r="CD21" i="58"/>
  <c r="CA21" i="58"/>
  <c r="BX21" i="58"/>
  <c r="BU21" i="58"/>
  <c r="BR21" i="58"/>
  <c r="BO21" i="58"/>
  <c r="BL21" i="58"/>
  <c r="BI21" i="58"/>
  <c r="BF21" i="58"/>
  <c r="BC21" i="58"/>
  <c r="AZ21" i="58"/>
  <c r="AW21" i="58"/>
  <c r="AT21" i="58"/>
  <c r="AQ21" i="58"/>
  <c r="AN21" i="58"/>
  <c r="AK21" i="58"/>
  <c r="AB21" i="58"/>
  <c r="Y21" i="58"/>
  <c r="V21" i="58"/>
  <c r="S21" i="58"/>
  <c r="P21" i="58"/>
  <c r="M21" i="58"/>
  <c r="J21" i="58"/>
  <c r="G21" i="58"/>
  <c r="D21" i="58"/>
  <c r="EL20" i="58"/>
  <c r="EK20" i="58"/>
  <c r="EG20" i="58"/>
  <c r="EI20" i="58" s="1"/>
  <c r="EB20" i="58"/>
  <c r="EC20" i="58" s="1"/>
  <c r="DW20" i="58"/>
  <c r="DT20" i="58"/>
  <c r="DQ20" i="58"/>
  <c r="DN20" i="58"/>
  <c r="DK20" i="58"/>
  <c r="DH20" i="58"/>
  <c r="DE20" i="58"/>
  <c r="DB20" i="58"/>
  <c r="CY20" i="58"/>
  <c r="CV20" i="58"/>
  <c r="CS20" i="58"/>
  <c r="CP20" i="58"/>
  <c r="CM20" i="58"/>
  <c r="CJ20" i="58"/>
  <c r="CG20" i="58"/>
  <c r="CD20" i="58"/>
  <c r="CA20" i="58"/>
  <c r="BX20" i="58"/>
  <c r="BU20" i="58"/>
  <c r="BR20" i="58"/>
  <c r="BO20" i="58"/>
  <c r="BL20" i="58"/>
  <c r="BI20" i="58"/>
  <c r="BF20" i="58"/>
  <c r="BC20" i="58"/>
  <c r="AZ20" i="58"/>
  <c r="AW20" i="58"/>
  <c r="AT20" i="58"/>
  <c r="AQ20" i="58"/>
  <c r="AN20" i="58"/>
  <c r="AK20" i="58"/>
  <c r="AB20" i="58"/>
  <c r="Y20" i="58"/>
  <c r="V20" i="58"/>
  <c r="S20" i="58"/>
  <c r="EH20" i="58" s="1"/>
  <c r="P20" i="58"/>
  <c r="M20" i="58"/>
  <c r="J20" i="58"/>
  <c r="G20" i="58"/>
  <c r="D20" i="58"/>
  <c r="EL19" i="58"/>
  <c r="EK19" i="58"/>
  <c r="EG19" i="58"/>
  <c r="EI19" i="58" s="1"/>
  <c r="EB19" i="58"/>
  <c r="DW19" i="58"/>
  <c r="DT19" i="58"/>
  <c r="DQ19" i="58"/>
  <c r="DN19" i="58"/>
  <c r="DK19" i="58"/>
  <c r="DH19" i="58"/>
  <c r="DE19" i="58"/>
  <c r="DB19" i="58"/>
  <c r="CY19" i="58"/>
  <c r="CV19" i="58"/>
  <c r="CS19" i="58"/>
  <c r="CP19" i="58"/>
  <c r="CM19" i="58"/>
  <c r="CJ19" i="58"/>
  <c r="CG19" i="58"/>
  <c r="CD19" i="58"/>
  <c r="CA19" i="58"/>
  <c r="BX19" i="58"/>
  <c r="BU19" i="58"/>
  <c r="BR19" i="58"/>
  <c r="BO19" i="58"/>
  <c r="BL19" i="58"/>
  <c r="BI19" i="58"/>
  <c r="BF19" i="58"/>
  <c r="BC19" i="58"/>
  <c r="AZ19" i="58"/>
  <c r="AW19" i="58"/>
  <c r="AT19" i="58"/>
  <c r="AQ19" i="58"/>
  <c r="AN19" i="58"/>
  <c r="AK19" i="58"/>
  <c r="AB19" i="58"/>
  <c r="Y19" i="58"/>
  <c r="V19" i="58"/>
  <c r="S19" i="58"/>
  <c r="P19" i="58"/>
  <c r="M19" i="58"/>
  <c r="J19" i="58"/>
  <c r="G19" i="58"/>
  <c r="D19" i="58"/>
  <c r="EL18" i="58"/>
  <c r="EK18" i="58"/>
  <c r="EG18" i="58"/>
  <c r="EI18" i="58" s="1"/>
  <c r="EB18" i="58"/>
  <c r="DW18" i="58"/>
  <c r="DT18" i="58"/>
  <c r="DQ18" i="58"/>
  <c r="DN18" i="58"/>
  <c r="DK18" i="58"/>
  <c r="DH18" i="58"/>
  <c r="DE18" i="58"/>
  <c r="DB18" i="58"/>
  <c r="CY18" i="58"/>
  <c r="CV18" i="58"/>
  <c r="CS18" i="58"/>
  <c r="CP18" i="58"/>
  <c r="CM18" i="58"/>
  <c r="CJ18" i="58"/>
  <c r="CG18" i="58"/>
  <c r="CD18" i="58"/>
  <c r="CA18" i="58"/>
  <c r="BX18" i="58"/>
  <c r="BU18" i="58"/>
  <c r="BR18" i="58"/>
  <c r="BO18" i="58"/>
  <c r="BL18" i="58"/>
  <c r="BI18" i="58"/>
  <c r="BF18" i="58"/>
  <c r="BC18" i="58"/>
  <c r="AZ18" i="58"/>
  <c r="AW18" i="58"/>
  <c r="AT18" i="58"/>
  <c r="AQ18" i="58"/>
  <c r="AN18" i="58"/>
  <c r="AK18" i="58"/>
  <c r="AB18" i="58"/>
  <c r="Y18" i="58"/>
  <c r="V18" i="58"/>
  <c r="S18" i="58"/>
  <c r="P18" i="58"/>
  <c r="M18" i="58"/>
  <c r="J18" i="58"/>
  <c r="G18" i="58"/>
  <c r="D18" i="58"/>
  <c r="EL17" i="58"/>
  <c r="EK17" i="58"/>
  <c r="EN17" i="58" s="1"/>
  <c r="EI17" i="58"/>
  <c r="EG17" i="58"/>
  <c r="EB17" i="58"/>
  <c r="DW17" i="58"/>
  <c r="DT17" i="58"/>
  <c r="DQ17" i="58"/>
  <c r="DN17" i="58"/>
  <c r="DK17" i="58"/>
  <c r="DH17" i="58"/>
  <c r="DE17" i="58"/>
  <c r="DB17" i="58"/>
  <c r="CY17" i="58"/>
  <c r="CV17" i="58"/>
  <c r="CS17" i="58"/>
  <c r="CP17" i="58"/>
  <c r="CM17" i="58"/>
  <c r="CJ17" i="58"/>
  <c r="CG17" i="58"/>
  <c r="CD17" i="58"/>
  <c r="CA17" i="58"/>
  <c r="BX17" i="58"/>
  <c r="BU17" i="58"/>
  <c r="BR17" i="58"/>
  <c r="BO17" i="58"/>
  <c r="BL17" i="58"/>
  <c r="BI17" i="58"/>
  <c r="BF17" i="58"/>
  <c r="BC17" i="58"/>
  <c r="AZ17" i="58"/>
  <c r="AW17" i="58"/>
  <c r="AT17" i="58"/>
  <c r="AQ17" i="58"/>
  <c r="AN17" i="58"/>
  <c r="AK17" i="58"/>
  <c r="AB17" i="58"/>
  <c r="Y17" i="58"/>
  <c r="V17" i="58"/>
  <c r="S17" i="58"/>
  <c r="EH17" i="58" s="1"/>
  <c r="P17" i="58"/>
  <c r="M17" i="58"/>
  <c r="J17" i="58"/>
  <c r="G17" i="58"/>
  <c r="D17" i="58"/>
  <c r="EL16" i="58"/>
  <c r="EK16" i="58"/>
  <c r="EC16" i="58" s="1"/>
  <c r="EG16" i="58"/>
  <c r="EI16" i="58" s="1"/>
  <c r="EB16" i="58"/>
  <c r="DW16" i="58"/>
  <c r="DT16" i="58"/>
  <c r="DQ16" i="58"/>
  <c r="EM16" i="58" s="1"/>
  <c r="EN16" i="58" s="1"/>
  <c r="DN16" i="58"/>
  <c r="DK16" i="58"/>
  <c r="DH16" i="58"/>
  <c r="DE16" i="58"/>
  <c r="DB16" i="58"/>
  <c r="CY16" i="58"/>
  <c r="CV16" i="58"/>
  <c r="CS16" i="58"/>
  <c r="CP16" i="58"/>
  <c r="CM16" i="58"/>
  <c r="CJ16" i="58"/>
  <c r="CG16" i="58"/>
  <c r="CD16" i="58"/>
  <c r="CA16" i="58"/>
  <c r="BX16" i="58"/>
  <c r="BU16" i="58"/>
  <c r="BR16" i="58"/>
  <c r="BO16" i="58"/>
  <c r="BL16" i="58"/>
  <c r="BI16" i="58"/>
  <c r="BF16" i="58"/>
  <c r="BC16" i="58"/>
  <c r="AZ16" i="58"/>
  <c r="AW16" i="58"/>
  <c r="AT16" i="58"/>
  <c r="AQ16" i="58"/>
  <c r="AN16" i="58"/>
  <c r="AK16" i="58"/>
  <c r="AB16" i="58"/>
  <c r="Y16" i="58"/>
  <c r="V16" i="58"/>
  <c r="S16" i="58"/>
  <c r="P16" i="58"/>
  <c r="M16" i="58"/>
  <c r="J16" i="58"/>
  <c r="G16" i="58"/>
  <c r="D16" i="58"/>
  <c r="EL15" i="58"/>
  <c r="EK15" i="58"/>
  <c r="EG15" i="58"/>
  <c r="EI15" i="58" s="1"/>
  <c r="EB15" i="58"/>
  <c r="DW15" i="58"/>
  <c r="DT15" i="58"/>
  <c r="DQ15" i="58"/>
  <c r="DN15" i="58"/>
  <c r="DK15" i="58"/>
  <c r="DH15" i="58"/>
  <c r="DE15" i="58"/>
  <c r="DB15" i="58"/>
  <c r="CY15" i="58"/>
  <c r="CV15" i="58"/>
  <c r="CS15" i="58"/>
  <c r="CP15" i="58"/>
  <c r="CM15" i="58"/>
  <c r="CJ15" i="58"/>
  <c r="CG15" i="58"/>
  <c r="CD15" i="58"/>
  <c r="CA15" i="58"/>
  <c r="BX15" i="58"/>
  <c r="BU15" i="58"/>
  <c r="BR15" i="58"/>
  <c r="BO15" i="58"/>
  <c r="BL15" i="58"/>
  <c r="BI15" i="58"/>
  <c r="BF15" i="58"/>
  <c r="BC15" i="58"/>
  <c r="AZ15" i="58"/>
  <c r="AW15" i="58"/>
  <c r="AT15" i="58"/>
  <c r="AQ15" i="58"/>
  <c r="AN15" i="58"/>
  <c r="AK15" i="58"/>
  <c r="AB15" i="58"/>
  <c r="Y15" i="58"/>
  <c r="V15" i="58"/>
  <c r="S15" i="58"/>
  <c r="P15" i="58"/>
  <c r="M15" i="58"/>
  <c r="J15" i="58"/>
  <c r="G15" i="58"/>
  <c r="D15" i="58"/>
  <c r="EL14" i="58"/>
  <c r="EK14" i="58"/>
  <c r="EG14" i="58"/>
  <c r="EI14" i="58" s="1"/>
  <c r="EB14" i="58"/>
  <c r="DW14" i="58"/>
  <c r="DT14" i="58"/>
  <c r="DQ14" i="58"/>
  <c r="DN14" i="58"/>
  <c r="DK14" i="58"/>
  <c r="DH14" i="58"/>
  <c r="DE14" i="58"/>
  <c r="DB14" i="58"/>
  <c r="CY14" i="58"/>
  <c r="CV14" i="58"/>
  <c r="CS14" i="58"/>
  <c r="CP14" i="58"/>
  <c r="CM14" i="58"/>
  <c r="CJ14" i="58"/>
  <c r="CG14" i="58"/>
  <c r="CD14" i="58"/>
  <c r="CA14" i="58"/>
  <c r="BX14" i="58"/>
  <c r="BU14" i="58"/>
  <c r="BR14" i="58"/>
  <c r="BO14" i="58"/>
  <c r="BL14" i="58"/>
  <c r="BI14" i="58"/>
  <c r="BF14" i="58"/>
  <c r="BC14" i="58"/>
  <c r="AZ14" i="58"/>
  <c r="AW14" i="58"/>
  <c r="AT14" i="58"/>
  <c r="AQ14" i="58"/>
  <c r="AN14" i="58"/>
  <c r="AK14" i="58"/>
  <c r="AB14" i="58"/>
  <c r="Y14" i="58"/>
  <c r="V14" i="58"/>
  <c r="S14" i="58"/>
  <c r="P14" i="58"/>
  <c r="M14" i="58"/>
  <c r="J14" i="58"/>
  <c r="G14" i="58"/>
  <c r="D14" i="58"/>
  <c r="EL13" i="58"/>
  <c r="EK13" i="58"/>
  <c r="EG13" i="58"/>
  <c r="EI5" i="58" s="1"/>
  <c r="EB13" i="58"/>
  <c r="EC13" i="58" s="1"/>
  <c r="DW13" i="58"/>
  <c r="DT13" i="58"/>
  <c r="DQ13" i="58"/>
  <c r="DN13" i="58"/>
  <c r="DK13" i="58"/>
  <c r="DH13" i="58"/>
  <c r="DE13" i="58"/>
  <c r="DB13" i="58"/>
  <c r="CY13" i="58"/>
  <c r="CV13" i="58"/>
  <c r="CS13" i="58"/>
  <c r="CP13" i="58"/>
  <c r="CM13" i="58"/>
  <c r="CJ13" i="58"/>
  <c r="CG13" i="58"/>
  <c r="CD13" i="58"/>
  <c r="CA13" i="58"/>
  <c r="BX13" i="58"/>
  <c r="BU13" i="58"/>
  <c r="BR13" i="58"/>
  <c r="BO13" i="58"/>
  <c r="BL13" i="58"/>
  <c r="BI13" i="58"/>
  <c r="BF13" i="58"/>
  <c r="BC13" i="58"/>
  <c r="AZ13" i="58"/>
  <c r="AW13" i="58"/>
  <c r="AT13" i="58"/>
  <c r="AQ13" i="58"/>
  <c r="AN13" i="58"/>
  <c r="AK13" i="58"/>
  <c r="AB13" i="58"/>
  <c r="Y13" i="58"/>
  <c r="V13" i="58"/>
  <c r="S13" i="58"/>
  <c r="P13" i="58"/>
  <c r="M13" i="58"/>
  <c r="J13" i="58"/>
  <c r="G13" i="58"/>
  <c r="D13" i="58"/>
  <c r="ED13" i="58" s="1"/>
  <c r="EE13" i="58" s="1"/>
  <c r="EL12" i="58"/>
  <c r="EK12" i="58"/>
  <c r="EG12" i="58"/>
  <c r="EI12" i="58" s="1"/>
  <c r="EB12" i="58"/>
  <c r="EC12" i="58" s="1"/>
  <c r="DW12" i="58"/>
  <c r="DT12" i="58"/>
  <c r="DQ12" i="58"/>
  <c r="DN12" i="58"/>
  <c r="DK12" i="58"/>
  <c r="DH12" i="58"/>
  <c r="DE12" i="58"/>
  <c r="DB12" i="58"/>
  <c r="CY12" i="58"/>
  <c r="CV12" i="58"/>
  <c r="CS12" i="58"/>
  <c r="CP12" i="58"/>
  <c r="CM12" i="58"/>
  <c r="CJ12" i="58"/>
  <c r="CG12" i="58"/>
  <c r="CD12" i="58"/>
  <c r="CA12" i="58"/>
  <c r="BX12" i="58"/>
  <c r="BU12" i="58"/>
  <c r="BR12" i="58"/>
  <c r="BO12" i="58"/>
  <c r="BL12" i="58"/>
  <c r="BI12" i="58"/>
  <c r="BF12" i="58"/>
  <c r="BC12" i="58"/>
  <c r="AZ12" i="58"/>
  <c r="AW12" i="58"/>
  <c r="AT12" i="58"/>
  <c r="AQ12" i="58"/>
  <c r="AN12" i="58"/>
  <c r="AK12" i="58"/>
  <c r="AB12" i="58"/>
  <c r="Y12" i="58"/>
  <c r="V12" i="58"/>
  <c r="S12" i="58"/>
  <c r="EH12" i="58" s="1"/>
  <c r="P12" i="58"/>
  <c r="M12" i="58"/>
  <c r="J12" i="58"/>
  <c r="G12" i="58"/>
  <c r="D12" i="58"/>
  <c r="A12" i="58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0" i="58" s="1"/>
  <c r="EL11" i="58"/>
  <c r="EK11" i="58"/>
  <c r="EI11" i="58"/>
  <c r="EG11" i="58"/>
  <c r="EB11" i="58"/>
  <c r="DW11" i="58"/>
  <c r="DT11" i="58"/>
  <c r="DQ11" i="58"/>
  <c r="DN11" i="58"/>
  <c r="DN41" i="58" s="1"/>
  <c r="DK11" i="58"/>
  <c r="DK41" i="58" s="1"/>
  <c r="DH11" i="58"/>
  <c r="DE11" i="58"/>
  <c r="DB11" i="58"/>
  <c r="CY11" i="58"/>
  <c r="CV11" i="58"/>
  <c r="CS11" i="58"/>
  <c r="CP11" i="58"/>
  <c r="CP41" i="58" s="1"/>
  <c r="CM11" i="58"/>
  <c r="CM41" i="58" s="1"/>
  <c r="CJ11" i="58"/>
  <c r="CG11" i="58"/>
  <c r="CD11" i="58"/>
  <c r="CA11" i="58"/>
  <c r="BX11" i="58"/>
  <c r="BU11" i="58"/>
  <c r="BR11" i="58"/>
  <c r="BR41" i="58" s="1"/>
  <c r="BO11" i="58"/>
  <c r="BO41" i="58" s="1"/>
  <c r="BL11" i="58"/>
  <c r="BI11" i="58"/>
  <c r="BF11" i="58"/>
  <c r="BC11" i="58"/>
  <c r="AZ11" i="58"/>
  <c r="AW11" i="58"/>
  <c r="AT11" i="58"/>
  <c r="AT41" i="58" s="1"/>
  <c r="AQ11" i="58"/>
  <c r="AQ41" i="58" s="1"/>
  <c r="AN11" i="58"/>
  <c r="AK11" i="58"/>
  <c r="AH41" i="58"/>
  <c r="AE41" i="58"/>
  <c r="AB11" i="58"/>
  <c r="Y11" i="58"/>
  <c r="V11" i="58"/>
  <c r="S11" i="58"/>
  <c r="EH11" i="58" s="1"/>
  <c r="P11" i="58"/>
  <c r="M11" i="58"/>
  <c r="J11" i="58"/>
  <c r="G11" i="58"/>
  <c r="D11" i="58"/>
  <c r="EI3" i="58"/>
  <c r="EI4" i="58" s="1"/>
  <c r="EP2" i="58"/>
  <c r="EN2" i="58"/>
  <c r="EI2" i="58"/>
  <c r="EE2" i="58"/>
  <c r="EQ2" i="58" s="1"/>
  <c r="G4" i="58" s="1"/>
  <c r="EM37" i="58" l="1"/>
  <c r="EN37" i="58" s="1"/>
  <c r="EM18" i="58"/>
  <c r="EN18" i="58" s="1"/>
  <c r="ED21" i="58"/>
  <c r="EE21" i="58" s="1"/>
  <c r="ED38" i="58"/>
  <c r="EE38" i="58" s="1"/>
  <c r="EM33" i="58"/>
  <c r="EN33" i="58" s="1"/>
  <c r="ED15" i="58"/>
  <c r="ED23" i="58"/>
  <c r="EM25" i="58"/>
  <c r="EN25" i="58" s="1"/>
  <c r="ED28" i="58"/>
  <c r="EM30" i="58"/>
  <c r="EN30" i="58" s="1"/>
  <c r="ED35" i="58"/>
  <c r="EM35" i="58"/>
  <c r="AW41" i="58"/>
  <c r="EI13" i="58"/>
  <c r="EM17" i="58"/>
  <c r="ED11" i="58"/>
  <c r="BX41" i="58"/>
  <c r="DT41" i="58"/>
  <c r="EM14" i="58"/>
  <c r="EN14" i="58" s="1"/>
  <c r="EH16" i="58"/>
  <c r="ED18" i="58"/>
  <c r="EM27" i="58"/>
  <c r="EN27" i="58" s="1"/>
  <c r="EM28" i="58"/>
  <c r="EN28" i="58" s="1"/>
  <c r="EH30" i="58"/>
  <c r="EM39" i="58"/>
  <c r="ED40" i="58"/>
  <c r="EM36" i="58"/>
  <c r="ED26" i="58"/>
  <c r="EH35" i="58"/>
  <c r="BU41" i="58"/>
  <c r="AB41" i="58"/>
  <c r="AZ41" i="58"/>
  <c r="CV41" i="58"/>
  <c r="ED12" i="58"/>
  <c r="G41" i="58"/>
  <c r="BC41" i="58"/>
  <c r="CA41" i="58"/>
  <c r="CY41" i="58"/>
  <c r="DW41" i="58"/>
  <c r="EM12" i="58"/>
  <c r="EN12" i="58" s="1"/>
  <c r="EH14" i="58"/>
  <c r="ED17" i="58"/>
  <c r="EC17" i="58"/>
  <c r="EH19" i="58"/>
  <c r="ED20" i="58"/>
  <c r="EM22" i="58"/>
  <c r="EN22" i="58" s="1"/>
  <c r="EH24" i="58"/>
  <c r="ED25" i="58"/>
  <c r="EE25" i="58" s="1"/>
  <c r="EC25" i="58"/>
  <c r="EH29" i="58"/>
  <c r="ED30" i="58"/>
  <c r="EM34" i="58"/>
  <c r="EH36" i="58"/>
  <c r="EH39" i="58"/>
  <c r="CS41" i="58"/>
  <c r="EH18" i="58"/>
  <c r="CD41" i="58"/>
  <c r="DB41" i="58"/>
  <c r="EH13" i="58"/>
  <c r="ED14" i="58"/>
  <c r="EE14" i="58"/>
  <c r="EE17" i="58"/>
  <c r="EM19" i="58"/>
  <c r="EN19" i="58" s="1"/>
  <c r="EM20" i="58"/>
  <c r="EN20" i="58" s="1"/>
  <c r="EH22" i="58"/>
  <c r="ED27" i="58"/>
  <c r="EM29" i="58"/>
  <c r="EN29" i="58" s="1"/>
  <c r="EH31" i="58"/>
  <c r="ED32" i="58"/>
  <c r="EE32" i="58" s="1"/>
  <c r="EH34" i="58"/>
  <c r="ED39" i="58"/>
  <c r="EN40" i="58"/>
  <c r="EN39" i="58"/>
  <c r="EE26" i="58"/>
  <c r="Y41" i="58"/>
  <c r="DQ41" i="58"/>
  <c r="J41" i="58"/>
  <c r="BF41" i="58"/>
  <c r="M41" i="58"/>
  <c r="AK41" i="58"/>
  <c r="BI41" i="58"/>
  <c r="CG41" i="58"/>
  <c r="DE41" i="58"/>
  <c r="EM13" i="58"/>
  <c r="EN13" i="58" s="1"/>
  <c r="EH15" i="58"/>
  <c r="ED16" i="58"/>
  <c r="EE16" i="58"/>
  <c r="EH21" i="58"/>
  <c r="ED22" i="58"/>
  <c r="ED41" i="58" s="1"/>
  <c r="EM31" i="58"/>
  <c r="EN31" i="58" s="1"/>
  <c r="EM32" i="58"/>
  <c r="EN32" i="58" s="1"/>
  <c r="EC32" i="58"/>
  <c r="ED33" i="58"/>
  <c r="EE33" i="58" s="1"/>
  <c r="ED34" i="58"/>
  <c r="EE3" i="58"/>
  <c r="P41" i="58"/>
  <c r="AN41" i="58"/>
  <c r="BL41" i="58"/>
  <c r="CJ41" i="58"/>
  <c r="DH41" i="58"/>
  <c r="EM15" i="58"/>
  <c r="EN15" i="58" s="1"/>
  <c r="ED19" i="58"/>
  <c r="EE19" i="58"/>
  <c r="EM21" i="58"/>
  <c r="EN21" i="58" s="1"/>
  <c r="EH23" i="58"/>
  <c r="EH41" i="58" s="1"/>
  <c r="ED24" i="58"/>
  <c r="EM26" i="58"/>
  <c r="EN26" i="58" s="1"/>
  <c r="EH28" i="58"/>
  <c r="ED29" i="58"/>
  <c r="EE29" i="58" s="1"/>
  <c r="EC29" i="58"/>
  <c r="EH33" i="58"/>
  <c r="EM38" i="58"/>
  <c r="EN38" i="58" s="1"/>
  <c r="EH40" i="58"/>
  <c r="EE15" i="58"/>
  <c r="EE18" i="58"/>
  <c r="EE24" i="58"/>
  <c r="EE36" i="58"/>
  <c r="EE23" i="58"/>
  <c r="EE30" i="58"/>
  <c r="EE35" i="58"/>
  <c r="EE28" i="58"/>
  <c r="EE34" i="58"/>
  <c r="EN36" i="58"/>
  <c r="EE40" i="58"/>
  <c r="EN11" i="58"/>
  <c r="EE11" i="58"/>
  <c r="EE12" i="58"/>
  <c r="EN23" i="58"/>
  <c r="EE27" i="58"/>
  <c r="EN35" i="58"/>
  <c r="EE39" i="58"/>
  <c r="EE20" i="58"/>
  <c r="EN34" i="58"/>
  <c r="S41" i="58"/>
  <c r="G5" i="58"/>
  <c r="EE5" i="58"/>
  <c r="G7" i="58" s="1"/>
  <c r="EC11" i="58"/>
  <c r="EM11" i="58"/>
  <c r="EC15" i="58"/>
  <c r="EC19" i="58"/>
  <c r="EC23" i="58"/>
  <c r="EC27" i="58"/>
  <c r="EC31" i="58"/>
  <c r="EC35" i="58"/>
  <c r="EC39" i="58"/>
  <c r="D41" i="58"/>
  <c r="EN3" i="58"/>
  <c r="EN4" i="58" s="1"/>
  <c r="EN5" i="58"/>
  <c r="EC14" i="58"/>
  <c r="EC18" i="58"/>
  <c r="EC22" i="58"/>
  <c r="EC26" i="58"/>
  <c r="EC30" i="58"/>
  <c r="EC34" i="58"/>
  <c r="EE22" i="58" l="1"/>
  <c r="EE4" i="58"/>
  <c r="G6" i="58" s="1"/>
  <c r="EM41" i="58"/>
  <c r="EL41" i="57"/>
  <c r="EK41" i="57"/>
  <c r="EG41" i="57"/>
  <c r="EI41" i="57" s="1"/>
  <c r="EB41" i="57"/>
  <c r="DW41" i="57"/>
  <c r="DT41" i="57"/>
  <c r="DQ41" i="57"/>
  <c r="DN41" i="57"/>
  <c r="DK41" i="57"/>
  <c r="DH41" i="57"/>
  <c r="DE41" i="57"/>
  <c r="DB41" i="57"/>
  <c r="CY41" i="57"/>
  <c r="CV41" i="57"/>
  <c r="CS41" i="57"/>
  <c r="CP41" i="57"/>
  <c r="CM41" i="57"/>
  <c r="CJ41" i="57"/>
  <c r="CG41" i="57"/>
  <c r="CD41" i="57"/>
  <c r="CA41" i="57"/>
  <c r="BX41" i="57"/>
  <c r="BU41" i="57"/>
  <c r="BR41" i="57"/>
  <c r="BO41" i="57"/>
  <c r="BL41" i="57"/>
  <c r="BI41" i="57"/>
  <c r="BF41" i="57"/>
  <c r="BC41" i="57"/>
  <c r="AZ41" i="57"/>
  <c r="AW41" i="57"/>
  <c r="AT41" i="57"/>
  <c r="AQ41" i="57"/>
  <c r="AN41" i="57"/>
  <c r="AK41" i="57"/>
  <c r="AB41" i="57"/>
  <c r="Y41" i="57"/>
  <c r="V41" i="57"/>
  <c r="S41" i="57"/>
  <c r="P41" i="57"/>
  <c r="M41" i="57"/>
  <c r="J41" i="57"/>
  <c r="G41" i="57"/>
  <c r="D41" i="57"/>
  <c r="EL40" i="57"/>
  <c r="EG40" i="57"/>
  <c r="EI40" i="57" s="1"/>
  <c r="DW40" i="57"/>
  <c r="DT40" i="57"/>
  <c r="DQ40" i="57"/>
  <c r="DN40" i="57"/>
  <c r="DK40" i="57"/>
  <c r="DH40" i="57"/>
  <c r="DE40" i="57"/>
  <c r="DB40" i="57"/>
  <c r="CY40" i="57"/>
  <c r="CV40" i="57"/>
  <c r="CS40" i="57"/>
  <c r="CP40" i="57"/>
  <c r="CM40" i="57"/>
  <c r="CJ40" i="57"/>
  <c r="CG40" i="57"/>
  <c r="CD40" i="57"/>
  <c r="CA40" i="57"/>
  <c r="BX40" i="57"/>
  <c r="BU40" i="57"/>
  <c r="BR40" i="57"/>
  <c r="BO40" i="57"/>
  <c r="BJ40" i="57"/>
  <c r="BL40" i="57" s="1"/>
  <c r="BI40" i="57"/>
  <c r="BF40" i="57"/>
  <c r="BC40" i="57"/>
  <c r="AZ40" i="57"/>
  <c r="AW40" i="57"/>
  <c r="AT40" i="57"/>
  <c r="AQ40" i="57"/>
  <c r="AN40" i="57"/>
  <c r="AK40" i="57"/>
  <c r="AB40" i="57"/>
  <c r="Y40" i="57"/>
  <c r="V40" i="57"/>
  <c r="S40" i="57"/>
  <c r="P40" i="57"/>
  <c r="M40" i="57"/>
  <c r="J40" i="57"/>
  <c r="G40" i="57"/>
  <c r="D40" i="57"/>
  <c r="EL39" i="57"/>
  <c r="EI39" i="57"/>
  <c r="EG39" i="57"/>
  <c r="DW39" i="57"/>
  <c r="DT39" i="57"/>
  <c r="DQ39" i="57"/>
  <c r="DN39" i="57"/>
  <c r="DK39" i="57"/>
  <c r="DH39" i="57"/>
  <c r="DE39" i="57"/>
  <c r="DB39" i="57"/>
  <c r="CY39" i="57"/>
  <c r="CV39" i="57"/>
  <c r="CS39" i="57"/>
  <c r="CP39" i="57"/>
  <c r="CM39" i="57"/>
  <c r="CJ39" i="57"/>
  <c r="CG39" i="57"/>
  <c r="CD39" i="57"/>
  <c r="CA39" i="57"/>
  <c r="BX39" i="57"/>
  <c r="BU39" i="57"/>
  <c r="BR39" i="57"/>
  <c r="BO39" i="57"/>
  <c r="BJ39" i="57"/>
  <c r="BL39" i="57" s="1"/>
  <c r="BI39" i="57"/>
  <c r="BF39" i="57"/>
  <c r="BC39" i="57"/>
  <c r="AZ39" i="57"/>
  <c r="AW39" i="57"/>
  <c r="AT39" i="57"/>
  <c r="AQ39" i="57"/>
  <c r="AN39" i="57"/>
  <c r="AK39" i="57"/>
  <c r="AB39" i="57"/>
  <c r="EH39" i="57" s="1"/>
  <c r="Y39" i="57"/>
  <c r="V39" i="57"/>
  <c r="S39" i="57"/>
  <c r="P39" i="57"/>
  <c r="M39" i="57"/>
  <c r="J39" i="57"/>
  <c r="G39" i="57"/>
  <c r="D39" i="57"/>
  <c r="EL38" i="57"/>
  <c r="EG38" i="57"/>
  <c r="EI38" i="57" s="1"/>
  <c r="DW38" i="57"/>
  <c r="DT38" i="57"/>
  <c r="DQ38" i="57"/>
  <c r="DN38" i="57"/>
  <c r="DK38" i="57"/>
  <c r="DH38" i="57"/>
  <c r="DE38" i="57"/>
  <c r="DB38" i="57"/>
  <c r="CY38" i="57"/>
  <c r="CV38" i="57"/>
  <c r="CS38" i="57"/>
  <c r="CP38" i="57"/>
  <c r="CM38" i="57"/>
  <c r="CJ38" i="57"/>
  <c r="CG38" i="57"/>
  <c r="CD38" i="57"/>
  <c r="CA38" i="57"/>
  <c r="BX38" i="57"/>
  <c r="BU38" i="57"/>
  <c r="BR38" i="57"/>
  <c r="BO38" i="57"/>
  <c r="BJ38" i="57"/>
  <c r="BL38" i="57" s="1"/>
  <c r="BI38" i="57"/>
  <c r="BF38" i="57"/>
  <c r="BC38" i="57"/>
  <c r="AZ38" i="57"/>
  <c r="AW38" i="57"/>
  <c r="AT38" i="57"/>
  <c r="AQ38" i="57"/>
  <c r="AN38" i="57"/>
  <c r="AK38" i="57"/>
  <c r="AB38" i="57"/>
  <c r="Y38" i="57"/>
  <c r="V38" i="57"/>
  <c r="S38" i="57"/>
  <c r="P38" i="57"/>
  <c r="M38" i="57"/>
  <c r="J38" i="57"/>
  <c r="G38" i="57"/>
  <c r="D38" i="57"/>
  <c r="EL37" i="57"/>
  <c r="EK37" i="57"/>
  <c r="EI37" i="57"/>
  <c r="EG37" i="57"/>
  <c r="DW37" i="57"/>
  <c r="DT37" i="57"/>
  <c r="DQ37" i="57"/>
  <c r="DN37" i="57"/>
  <c r="DK37" i="57"/>
  <c r="DH37" i="57"/>
  <c r="DE37" i="57"/>
  <c r="DB37" i="57"/>
  <c r="CY37" i="57"/>
  <c r="CV37" i="57"/>
  <c r="CS37" i="57"/>
  <c r="CP37" i="57"/>
  <c r="CM37" i="57"/>
  <c r="CJ37" i="57"/>
  <c r="CG37" i="57"/>
  <c r="CD37" i="57"/>
  <c r="CA37" i="57"/>
  <c r="BX37" i="57"/>
  <c r="BU37" i="57"/>
  <c r="BR37" i="57"/>
  <c r="BO37" i="57"/>
  <c r="BL37" i="57"/>
  <c r="BJ37" i="57"/>
  <c r="EB37" i="57" s="1"/>
  <c r="EC37" i="57" s="1"/>
  <c r="BI37" i="57"/>
  <c r="BF37" i="57"/>
  <c r="BC37" i="57"/>
  <c r="AZ37" i="57"/>
  <c r="AW37" i="57"/>
  <c r="AT37" i="57"/>
  <c r="AQ37" i="57"/>
  <c r="AN37" i="57"/>
  <c r="AK37" i="57"/>
  <c r="AB37" i="57"/>
  <c r="Y37" i="57"/>
  <c r="V37" i="57"/>
  <c r="S37" i="57"/>
  <c r="P37" i="57"/>
  <c r="M37" i="57"/>
  <c r="J37" i="57"/>
  <c r="G37" i="57"/>
  <c r="D37" i="57"/>
  <c r="EL36" i="57"/>
  <c r="EG36" i="57"/>
  <c r="EI36" i="57" s="1"/>
  <c r="DW36" i="57"/>
  <c r="DT36" i="57"/>
  <c r="DQ36" i="57"/>
  <c r="DN36" i="57"/>
  <c r="DK36" i="57"/>
  <c r="DH36" i="57"/>
  <c r="DE36" i="57"/>
  <c r="DB36" i="57"/>
  <c r="CY36" i="57"/>
  <c r="CV36" i="57"/>
  <c r="CS36" i="57"/>
  <c r="CP36" i="57"/>
  <c r="CM36" i="57"/>
  <c r="CJ36" i="57"/>
  <c r="CG36" i="57"/>
  <c r="CD36" i="57"/>
  <c r="CA36" i="57"/>
  <c r="BX36" i="57"/>
  <c r="BU36" i="57"/>
  <c r="BR36" i="57"/>
  <c r="BO36" i="57"/>
  <c r="BJ36" i="57"/>
  <c r="EB36" i="57" s="1"/>
  <c r="BI36" i="57"/>
  <c r="BF36" i="57"/>
  <c r="BC36" i="57"/>
  <c r="AZ36" i="57"/>
  <c r="AW36" i="57"/>
  <c r="AT36" i="57"/>
  <c r="AQ36" i="57"/>
  <c r="AN36" i="57"/>
  <c r="AK36" i="57"/>
  <c r="AB36" i="57"/>
  <c r="Y36" i="57"/>
  <c r="V36" i="57"/>
  <c r="S36" i="57"/>
  <c r="P36" i="57"/>
  <c r="M36" i="57"/>
  <c r="J36" i="57"/>
  <c r="G36" i="57"/>
  <c r="D36" i="57"/>
  <c r="EL35" i="57"/>
  <c r="EG35" i="57"/>
  <c r="EI35" i="57" s="1"/>
  <c r="DW35" i="57"/>
  <c r="DT35" i="57"/>
  <c r="DQ35" i="57"/>
  <c r="DN35" i="57"/>
  <c r="DK35" i="57"/>
  <c r="DH35" i="57"/>
  <c r="DE35" i="57"/>
  <c r="DB35" i="57"/>
  <c r="CY35" i="57"/>
  <c r="CV35" i="57"/>
  <c r="CS35" i="57"/>
  <c r="CP35" i="57"/>
  <c r="CM35" i="57"/>
  <c r="CJ35" i="57"/>
  <c r="CG35" i="57"/>
  <c r="CD35" i="57"/>
  <c r="CA35" i="57"/>
  <c r="BX35" i="57"/>
  <c r="BU35" i="57"/>
  <c r="BR35" i="57"/>
  <c r="BO35" i="57"/>
  <c r="BJ35" i="57"/>
  <c r="EB35" i="57" s="1"/>
  <c r="BI35" i="57"/>
  <c r="BF35" i="57"/>
  <c r="BC35" i="57"/>
  <c r="AZ35" i="57"/>
  <c r="AW35" i="57"/>
  <c r="AT35" i="57"/>
  <c r="AQ35" i="57"/>
  <c r="AN35" i="57"/>
  <c r="AK35" i="57"/>
  <c r="AB35" i="57"/>
  <c r="Y35" i="57"/>
  <c r="V35" i="57"/>
  <c r="S35" i="57"/>
  <c r="P35" i="57"/>
  <c r="M35" i="57"/>
  <c r="J35" i="57"/>
  <c r="G35" i="57"/>
  <c r="D35" i="57"/>
  <c r="EL34" i="57"/>
  <c r="EG34" i="57"/>
  <c r="EI34" i="57" s="1"/>
  <c r="DW34" i="57"/>
  <c r="DT34" i="57"/>
  <c r="DQ34" i="57"/>
  <c r="DN34" i="57"/>
  <c r="DK34" i="57"/>
  <c r="DH34" i="57"/>
  <c r="DE34" i="57"/>
  <c r="DB34" i="57"/>
  <c r="CY34" i="57"/>
  <c r="CV34" i="57"/>
  <c r="CS34" i="57"/>
  <c r="CP34" i="57"/>
  <c r="CM34" i="57"/>
  <c r="CJ34" i="57"/>
  <c r="CG34" i="57"/>
  <c r="CD34" i="57"/>
  <c r="CA34" i="57"/>
  <c r="BX34" i="57"/>
  <c r="BU34" i="57"/>
  <c r="BR34" i="57"/>
  <c r="BO34" i="57"/>
  <c r="BJ34" i="57"/>
  <c r="EK34" i="57" s="1"/>
  <c r="BI34" i="57"/>
  <c r="BF34" i="57"/>
  <c r="BC34" i="57"/>
  <c r="AZ34" i="57"/>
  <c r="AW34" i="57"/>
  <c r="AT34" i="57"/>
  <c r="AQ34" i="57"/>
  <c r="AN34" i="57"/>
  <c r="AK34" i="57"/>
  <c r="AB34" i="57"/>
  <c r="Y34" i="57"/>
  <c r="V34" i="57"/>
  <c r="S34" i="57"/>
  <c r="P34" i="57"/>
  <c r="M34" i="57"/>
  <c r="J34" i="57"/>
  <c r="G34" i="57"/>
  <c r="D34" i="57"/>
  <c r="EL33" i="57"/>
  <c r="EG33" i="57"/>
  <c r="EI33" i="57" s="1"/>
  <c r="DW33" i="57"/>
  <c r="DT33" i="57"/>
  <c r="DQ33" i="57"/>
  <c r="DN33" i="57"/>
  <c r="DK33" i="57"/>
  <c r="DH33" i="57"/>
  <c r="DE33" i="57"/>
  <c r="DB33" i="57"/>
  <c r="CY33" i="57"/>
  <c r="CV33" i="57"/>
  <c r="CS33" i="57"/>
  <c r="CP33" i="57"/>
  <c r="CM33" i="57"/>
  <c r="CJ33" i="57"/>
  <c r="CG33" i="57"/>
  <c r="CD33" i="57"/>
  <c r="CA33" i="57"/>
  <c r="BX33" i="57"/>
  <c r="BU33" i="57"/>
  <c r="BR33" i="57"/>
  <c r="BO33" i="57"/>
  <c r="BJ33" i="57"/>
  <c r="EK33" i="57" s="1"/>
  <c r="BI33" i="57"/>
  <c r="BF33" i="57"/>
  <c r="BC33" i="57"/>
  <c r="AZ33" i="57"/>
  <c r="AW33" i="57"/>
  <c r="AT33" i="57"/>
  <c r="AQ33" i="57"/>
  <c r="AN33" i="57"/>
  <c r="AK33" i="57"/>
  <c r="AB33" i="57"/>
  <c r="Y33" i="57"/>
  <c r="V33" i="57"/>
  <c r="S33" i="57"/>
  <c r="EH33" i="57" s="1"/>
  <c r="P33" i="57"/>
  <c r="M33" i="57"/>
  <c r="J33" i="57"/>
  <c r="G33" i="57"/>
  <c r="D33" i="57"/>
  <c r="EL32" i="57"/>
  <c r="EG32" i="57"/>
  <c r="EI32" i="57" s="1"/>
  <c r="DW32" i="57"/>
  <c r="DT32" i="57"/>
  <c r="DQ32" i="57"/>
  <c r="DN32" i="57"/>
  <c r="DK32" i="57"/>
  <c r="DH32" i="57"/>
  <c r="DE32" i="57"/>
  <c r="DB32" i="57"/>
  <c r="CY32" i="57"/>
  <c r="CV32" i="57"/>
  <c r="CS32" i="57"/>
  <c r="CP32" i="57"/>
  <c r="CM32" i="57"/>
  <c r="CJ32" i="57"/>
  <c r="CG32" i="57"/>
  <c r="CD32" i="57"/>
  <c r="CA32" i="57"/>
  <c r="BX32" i="57"/>
  <c r="BU32" i="57"/>
  <c r="BR32" i="57"/>
  <c r="BO32" i="57"/>
  <c r="BJ32" i="57"/>
  <c r="BL32" i="57" s="1"/>
  <c r="BI32" i="57"/>
  <c r="BF32" i="57"/>
  <c r="BC32" i="57"/>
  <c r="AZ32" i="57"/>
  <c r="AW32" i="57"/>
  <c r="AT32" i="57"/>
  <c r="AQ32" i="57"/>
  <c r="AN32" i="57"/>
  <c r="AK32" i="57"/>
  <c r="AB32" i="57"/>
  <c r="Y32" i="57"/>
  <c r="V32" i="57"/>
  <c r="S32" i="57"/>
  <c r="P32" i="57"/>
  <c r="M32" i="57"/>
  <c r="J32" i="57"/>
  <c r="G32" i="57"/>
  <c r="D32" i="57"/>
  <c r="EL31" i="57"/>
  <c r="EG31" i="57"/>
  <c r="EI31" i="57" s="1"/>
  <c r="DW31" i="57"/>
  <c r="DT31" i="57"/>
  <c r="DQ31" i="57"/>
  <c r="DN31" i="57"/>
  <c r="DK31" i="57"/>
  <c r="DH31" i="57"/>
  <c r="DE31" i="57"/>
  <c r="DB31" i="57"/>
  <c r="CY31" i="57"/>
  <c r="CV31" i="57"/>
  <c r="CS31" i="57"/>
  <c r="CP31" i="57"/>
  <c r="CM31" i="57"/>
  <c r="CJ31" i="57"/>
  <c r="CG31" i="57"/>
  <c r="CD31" i="57"/>
  <c r="CA31" i="57"/>
  <c r="BX31" i="57"/>
  <c r="BU31" i="57"/>
  <c r="BR31" i="57"/>
  <c r="BO31" i="57"/>
  <c r="BJ31" i="57"/>
  <c r="BL31" i="57" s="1"/>
  <c r="BI31" i="57"/>
  <c r="BF31" i="57"/>
  <c r="BC31" i="57"/>
  <c r="AZ31" i="57"/>
  <c r="AW31" i="57"/>
  <c r="AT31" i="57"/>
  <c r="AQ31" i="57"/>
  <c r="AN31" i="57"/>
  <c r="AK31" i="57"/>
  <c r="AB31" i="57"/>
  <c r="Y31" i="57"/>
  <c r="V31" i="57"/>
  <c r="S31" i="57"/>
  <c r="P31" i="57"/>
  <c r="M31" i="57"/>
  <c r="J31" i="57"/>
  <c r="G31" i="57"/>
  <c r="D31" i="57"/>
  <c r="EL30" i="57"/>
  <c r="EG30" i="57"/>
  <c r="EI30" i="57" s="1"/>
  <c r="DW30" i="57"/>
  <c r="DT30" i="57"/>
  <c r="DQ30" i="57"/>
  <c r="DN30" i="57"/>
  <c r="DK30" i="57"/>
  <c r="DH30" i="57"/>
  <c r="DE30" i="57"/>
  <c r="DB30" i="57"/>
  <c r="CY30" i="57"/>
  <c r="CV30" i="57"/>
  <c r="CS30" i="57"/>
  <c r="CP30" i="57"/>
  <c r="CM30" i="57"/>
  <c r="CJ30" i="57"/>
  <c r="CG30" i="57"/>
  <c r="CD30" i="57"/>
  <c r="CA30" i="57"/>
  <c r="BX30" i="57"/>
  <c r="BU30" i="57"/>
  <c r="BR30" i="57"/>
  <c r="BO30" i="57"/>
  <c r="BJ30" i="57"/>
  <c r="EK30" i="57" s="1"/>
  <c r="BI30" i="57"/>
  <c r="BF30" i="57"/>
  <c r="BC30" i="57"/>
  <c r="AZ30" i="57"/>
  <c r="AW30" i="57"/>
  <c r="AT30" i="57"/>
  <c r="AQ30" i="57"/>
  <c r="AN30" i="57"/>
  <c r="AK30" i="57"/>
  <c r="AB30" i="57"/>
  <c r="Y30" i="57"/>
  <c r="EH30" i="57" s="1"/>
  <c r="V30" i="57"/>
  <c r="S30" i="57"/>
  <c r="P30" i="57"/>
  <c r="M30" i="57"/>
  <c r="J30" i="57"/>
  <c r="G30" i="57"/>
  <c r="D30" i="57"/>
  <c r="EL29" i="57"/>
  <c r="EK29" i="57"/>
  <c r="EI29" i="57"/>
  <c r="EG29" i="57"/>
  <c r="EB29" i="57"/>
  <c r="DW29" i="57"/>
  <c r="DT29" i="57"/>
  <c r="DQ29" i="57"/>
  <c r="DN29" i="57"/>
  <c r="DK29" i="57"/>
  <c r="DH29" i="57"/>
  <c r="DE29" i="57"/>
  <c r="DB29" i="57"/>
  <c r="CY29" i="57"/>
  <c r="CV29" i="57"/>
  <c r="CS29" i="57"/>
  <c r="CP29" i="57"/>
  <c r="CM29" i="57"/>
  <c r="CJ29" i="57"/>
  <c r="CG29" i="57"/>
  <c r="CD29" i="57"/>
  <c r="CA29" i="57"/>
  <c r="BX29" i="57"/>
  <c r="BU29" i="57"/>
  <c r="BR29" i="57"/>
  <c r="BO29" i="57"/>
  <c r="BL29" i="57"/>
  <c r="BJ29" i="57"/>
  <c r="BI29" i="57"/>
  <c r="BF29" i="57"/>
  <c r="BC29" i="57"/>
  <c r="AZ29" i="57"/>
  <c r="AW29" i="57"/>
  <c r="AT29" i="57"/>
  <c r="AQ29" i="57"/>
  <c r="AN29" i="57"/>
  <c r="AK29" i="57"/>
  <c r="AB29" i="57"/>
  <c r="Y29" i="57"/>
  <c r="V29" i="57"/>
  <c r="S29" i="57"/>
  <c r="EH29" i="57" s="1"/>
  <c r="P29" i="57"/>
  <c r="M29" i="57"/>
  <c r="J29" i="57"/>
  <c r="G29" i="57"/>
  <c r="D29" i="57"/>
  <c r="EL28" i="57"/>
  <c r="EG28" i="57"/>
  <c r="EI28" i="57" s="1"/>
  <c r="DW28" i="57"/>
  <c r="DT28" i="57"/>
  <c r="DQ28" i="57"/>
  <c r="DN28" i="57"/>
  <c r="DK28" i="57"/>
  <c r="DH28" i="57"/>
  <c r="DE28" i="57"/>
  <c r="DB28" i="57"/>
  <c r="CY28" i="57"/>
  <c r="CV28" i="57"/>
  <c r="CS28" i="57"/>
  <c r="CP28" i="57"/>
  <c r="CM28" i="57"/>
  <c r="CJ28" i="57"/>
  <c r="CG28" i="57"/>
  <c r="CD28" i="57"/>
  <c r="CA28" i="57"/>
  <c r="BX28" i="57"/>
  <c r="BU28" i="57"/>
  <c r="BR28" i="57"/>
  <c r="BO28" i="57"/>
  <c r="BJ28" i="57"/>
  <c r="EB28" i="57" s="1"/>
  <c r="BI28" i="57"/>
  <c r="BF28" i="57"/>
  <c r="BC28" i="57"/>
  <c r="AZ28" i="57"/>
  <c r="AW28" i="57"/>
  <c r="AT28" i="57"/>
  <c r="AQ28" i="57"/>
  <c r="AN28" i="57"/>
  <c r="AK28" i="57"/>
  <c r="AB28" i="57"/>
  <c r="Y28" i="57"/>
  <c r="V28" i="57"/>
  <c r="S28" i="57"/>
  <c r="P28" i="57"/>
  <c r="M28" i="57"/>
  <c r="J28" i="57"/>
  <c r="G28" i="57"/>
  <c r="D28" i="57"/>
  <c r="EL27" i="57"/>
  <c r="EG27" i="57"/>
  <c r="EI27" i="57" s="1"/>
  <c r="DW27" i="57"/>
  <c r="DT27" i="57"/>
  <c r="DQ27" i="57"/>
  <c r="DN27" i="57"/>
  <c r="DK27" i="57"/>
  <c r="DH27" i="57"/>
  <c r="DE27" i="57"/>
  <c r="DB27" i="57"/>
  <c r="CY27" i="57"/>
  <c r="CV27" i="57"/>
  <c r="CS27" i="57"/>
  <c r="CP27" i="57"/>
  <c r="CM27" i="57"/>
  <c r="CJ27" i="57"/>
  <c r="CG27" i="57"/>
  <c r="CD27" i="57"/>
  <c r="CA27" i="57"/>
  <c r="BX27" i="57"/>
  <c r="BU27" i="57"/>
  <c r="BR27" i="57"/>
  <c r="BO27" i="57"/>
  <c r="BJ27" i="57"/>
  <c r="EB27" i="57" s="1"/>
  <c r="BI27" i="57"/>
  <c r="BF27" i="57"/>
  <c r="BC27" i="57"/>
  <c r="AZ27" i="57"/>
  <c r="AW27" i="57"/>
  <c r="AT27" i="57"/>
  <c r="AQ27" i="57"/>
  <c r="AN27" i="57"/>
  <c r="AK27" i="57"/>
  <c r="AB27" i="57"/>
  <c r="Y27" i="57"/>
  <c r="V27" i="57"/>
  <c r="S27" i="57"/>
  <c r="P27" i="57"/>
  <c r="M27" i="57"/>
  <c r="J27" i="57"/>
  <c r="G27" i="57"/>
  <c r="D27" i="57"/>
  <c r="EL26" i="57"/>
  <c r="EG26" i="57"/>
  <c r="EI26" i="57" s="1"/>
  <c r="DW26" i="57"/>
  <c r="DT26" i="57"/>
  <c r="DQ26" i="57"/>
  <c r="DN26" i="57"/>
  <c r="DK26" i="57"/>
  <c r="DH26" i="57"/>
  <c r="DE26" i="57"/>
  <c r="DB26" i="57"/>
  <c r="CY26" i="57"/>
  <c r="CV26" i="57"/>
  <c r="CS26" i="57"/>
  <c r="CP26" i="57"/>
  <c r="CM26" i="57"/>
  <c r="CJ26" i="57"/>
  <c r="CG26" i="57"/>
  <c r="CD26" i="57"/>
  <c r="CA26" i="57"/>
  <c r="BX26" i="57"/>
  <c r="BU26" i="57"/>
  <c r="BR26" i="57"/>
  <c r="BO26" i="57"/>
  <c r="BJ26" i="57"/>
  <c r="EK26" i="57" s="1"/>
  <c r="BI26" i="57"/>
  <c r="BF26" i="57"/>
  <c r="BC26" i="57"/>
  <c r="AZ26" i="57"/>
  <c r="AW26" i="57"/>
  <c r="AT26" i="57"/>
  <c r="AQ26" i="57"/>
  <c r="AN26" i="57"/>
  <c r="AK26" i="57"/>
  <c r="AB26" i="57"/>
  <c r="Y26" i="57"/>
  <c r="V26" i="57"/>
  <c r="S26" i="57"/>
  <c r="EH26" i="57" s="1"/>
  <c r="P26" i="57"/>
  <c r="M26" i="57"/>
  <c r="J26" i="57"/>
  <c r="G26" i="57"/>
  <c r="D26" i="57"/>
  <c r="EL25" i="57"/>
  <c r="EK25" i="57"/>
  <c r="EI25" i="57"/>
  <c r="EG25" i="57"/>
  <c r="DW25" i="57"/>
  <c r="DT25" i="57"/>
  <c r="DQ25" i="57"/>
  <c r="DN25" i="57"/>
  <c r="DK25" i="57"/>
  <c r="DH25" i="57"/>
  <c r="DE25" i="57"/>
  <c r="DB25" i="57"/>
  <c r="CY25" i="57"/>
  <c r="CV25" i="57"/>
  <c r="CS25" i="57"/>
  <c r="CP25" i="57"/>
  <c r="CM25" i="57"/>
  <c r="CJ25" i="57"/>
  <c r="CG25" i="57"/>
  <c r="CD25" i="57"/>
  <c r="CA25" i="57"/>
  <c r="BX25" i="57"/>
  <c r="BU25" i="57"/>
  <c r="BR25" i="57"/>
  <c r="BO25" i="57"/>
  <c r="BL25" i="57"/>
  <c r="BJ25" i="57"/>
  <c r="EB25" i="57" s="1"/>
  <c r="BI25" i="57"/>
  <c r="BF25" i="57"/>
  <c r="BC25" i="57"/>
  <c r="AZ25" i="57"/>
  <c r="AW25" i="57"/>
  <c r="AT25" i="57"/>
  <c r="AQ25" i="57"/>
  <c r="AN25" i="57"/>
  <c r="AK25" i="57"/>
  <c r="AB25" i="57"/>
  <c r="Y25" i="57"/>
  <c r="V25" i="57"/>
  <c r="S25" i="57"/>
  <c r="P25" i="57"/>
  <c r="M25" i="57"/>
  <c r="J25" i="57"/>
  <c r="G25" i="57"/>
  <c r="D25" i="57"/>
  <c r="EL24" i="57"/>
  <c r="EG24" i="57"/>
  <c r="EI24" i="57" s="1"/>
  <c r="DW24" i="57"/>
  <c r="DT24" i="57"/>
  <c r="DQ24" i="57"/>
  <c r="DN24" i="57"/>
  <c r="DK24" i="57"/>
  <c r="DH24" i="57"/>
  <c r="DE24" i="57"/>
  <c r="DB24" i="57"/>
  <c r="CY24" i="57"/>
  <c r="CV24" i="57"/>
  <c r="CS24" i="57"/>
  <c r="CP24" i="57"/>
  <c r="CM24" i="57"/>
  <c r="CJ24" i="57"/>
  <c r="CG24" i="57"/>
  <c r="CD24" i="57"/>
  <c r="CA24" i="57"/>
  <c r="BX24" i="57"/>
  <c r="BU24" i="57"/>
  <c r="BR24" i="57"/>
  <c r="BO24" i="57"/>
  <c r="BJ24" i="57"/>
  <c r="BL24" i="57" s="1"/>
  <c r="BI24" i="57"/>
  <c r="BF24" i="57"/>
  <c r="BC24" i="57"/>
  <c r="AZ24" i="57"/>
  <c r="AW24" i="57"/>
  <c r="AT24" i="57"/>
  <c r="AQ24" i="57"/>
  <c r="AN24" i="57"/>
  <c r="AK24" i="57"/>
  <c r="AB24" i="57"/>
  <c r="Y24" i="57"/>
  <c r="V24" i="57"/>
  <c r="S24" i="57"/>
  <c r="P24" i="57"/>
  <c r="M24" i="57"/>
  <c r="J24" i="57"/>
  <c r="G24" i="57"/>
  <c r="D24" i="57"/>
  <c r="EL23" i="57"/>
  <c r="EI23" i="57"/>
  <c r="EG23" i="57"/>
  <c r="DW23" i="57"/>
  <c r="DT23" i="57"/>
  <c r="DQ23" i="57"/>
  <c r="DN23" i="57"/>
  <c r="DK23" i="57"/>
  <c r="DH23" i="57"/>
  <c r="DE23" i="57"/>
  <c r="DB23" i="57"/>
  <c r="CY23" i="57"/>
  <c r="CV23" i="57"/>
  <c r="CS23" i="57"/>
  <c r="CP23" i="57"/>
  <c r="CM23" i="57"/>
  <c r="CJ23" i="57"/>
  <c r="CG23" i="57"/>
  <c r="CD23" i="57"/>
  <c r="CA23" i="57"/>
  <c r="BX23" i="57"/>
  <c r="BU23" i="57"/>
  <c r="BR23" i="57"/>
  <c r="BO23" i="57"/>
  <c r="BJ23" i="57"/>
  <c r="BL23" i="57" s="1"/>
  <c r="BI23" i="57"/>
  <c r="BF23" i="57"/>
  <c r="BC23" i="57"/>
  <c r="AZ23" i="57"/>
  <c r="AW23" i="57"/>
  <c r="AT23" i="57"/>
  <c r="AQ23" i="57"/>
  <c r="AN23" i="57"/>
  <c r="AK23" i="57"/>
  <c r="AB23" i="57"/>
  <c r="Y23" i="57"/>
  <c r="V23" i="57"/>
  <c r="S23" i="57"/>
  <c r="P23" i="57"/>
  <c r="M23" i="57"/>
  <c r="J23" i="57"/>
  <c r="G23" i="57"/>
  <c r="D23" i="57"/>
  <c r="EL22" i="57"/>
  <c r="EG22" i="57"/>
  <c r="EI22" i="57" s="1"/>
  <c r="DW22" i="57"/>
  <c r="DT22" i="57"/>
  <c r="DQ22" i="57"/>
  <c r="DN22" i="57"/>
  <c r="DK22" i="57"/>
  <c r="DH22" i="57"/>
  <c r="DE22" i="57"/>
  <c r="DB22" i="57"/>
  <c r="CY22" i="57"/>
  <c r="CV22" i="57"/>
  <c r="CS22" i="57"/>
  <c r="CP22" i="57"/>
  <c r="CM22" i="57"/>
  <c r="CJ22" i="57"/>
  <c r="CG22" i="57"/>
  <c r="CD22" i="57"/>
  <c r="CA22" i="57"/>
  <c r="BX22" i="57"/>
  <c r="BU22" i="57"/>
  <c r="BR22" i="57"/>
  <c r="BO22" i="57"/>
  <c r="BJ22" i="57"/>
  <c r="BL22" i="57" s="1"/>
  <c r="BI22" i="57"/>
  <c r="BF22" i="57"/>
  <c r="BC22" i="57"/>
  <c r="AZ22" i="57"/>
  <c r="AW22" i="57"/>
  <c r="AT22" i="57"/>
  <c r="AQ22" i="57"/>
  <c r="AN22" i="57"/>
  <c r="AK22" i="57"/>
  <c r="AB22" i="57"/>
  <c r="Y22" i="57"/>
  <c r="V22" i="57"/>
  <c r="S22" i="57"/>
  <c r="P22" i="57"/>
  <c r="M22" i="57"/>
  <c r="J22" i="57"/>
  <c r="G22" i="57"/>
  <c r="D22" i="57"/>
  <c r="EL21" i="57"/>
  <c r="EK21" i="57"/>
  <c r="EI21" i="57"/>
  <c r="EG21" i="57"/>
  <c r="EB21" i="57"/>
  <c r="DW21" i="57"/>
  <c r="DT21" i="57"/>
  <c r="DQ21" i="57"/>
  <c r="DN21" i="57"/>
  <c r="DK21" i="57"/>
  <c r="DH21" i="57"/>
  <c r="DE21" i="57"/>
  <c r="DB21" i="57"/>
  <c r="CY21" i="57"/>
  <c r="CV21" i="57"/>
  <c r="CS21" i="57"/>
  <c r="CP21" i="57"/>
  <c r="CM21" i="57"/>
  <c r="CJ21" i="57"/>
  <c r="CG21" i="57"/>
  <c r="CD21" i="57"/>
  <c r="CA21" i="57"/>
  <c r="BX21" i="57"/>
  <c r="BU21" i="57"/>
  <c r="BR21" i="57"/>
  <c r="BO21" i="57"/>
  <c r="BL21" i="57"/>
  <c r="BJ21" i="57"/>
  <c r="BI21" i="57"/>
  <c r="BF21" i="57"/>
  <c r="BC21" i="57"/>
  <c r="AZ21" i="57"/>
  <c r="AW21" i="57"/>
  <c r="AT21" i="57"/>
  <c r="AQ21" i="57"/>
  <c r="AN21" i="57"/>
  <c r="AK21" i="57"/>
  <c r="AB21" i="57"/>
  <c r="Y21" i="57"/>
  <c r="V21" i="57"/>
  <c r="S21" i="57"/>
  <c r="EH21" i="57" s="1"/>
  <c r="P21" i="57"/>
  <c r="M21" i="57"/>
  <c r="J21" i="57"/>
  <c r="G21" i="57"/>
  <c r="D21" i="57"/>
  <c r="EL20" i="57"/>
  <c r="EG20" i="57"/>
  <c r="EI20" i="57" s="1"/>
  <c r="DW20" i="57"/>
  <c r="DT20" i="57"/>
  <c r="DQ20" i="57"/>
  <c r="DN20" i="57"/>
  <c r="DK20" i="57"/>
  <c r="DH20" i="57"/>
  <c r="DE20" i="57"/>
  <c r="DB20" i="57"/>
  <c r="CY20" i="57"/>
  <c r="CV20" i="57"/>
  <c r="CS20" i="57"/>
  <c r="CP20" i="57"/>
  <c r="CM20" i="57"/>
  <c r="CJ20" i="57"/>
  <c r="CG20" i="57"/>
  <c r="CD20" i="57"/>
  <c r="CA20" i="57"/>
  <c r="BX20" i="57"/>
  <c r="BU20" i="57"/>
  <c r="BR20" i="57"/>
  <c r="BO20" i="57"/>
  <c r="BJ20" i="57"/>
  <c r="EB20" i="57" s="1"/>
  <c r="BI20" i="57"/>
  <c r="BF20" i="57"/>
  <c r="BC20" i="57"/>
  <c r="AZ20" i="57"/>
  <c r="AW20" i="57"/>
  <c r="AT20" i="57"/>
  <c r="AQ20" i="57"/>
  <c r="AN20" i="57"/>
  <c r="AK20" i="57"/>
  <c r="AB20" i="57"/>
  <c r="Y20" i="57"/>
  <c r="V20" i="57"/>
  <c r="S20" i="57"/>
  <c r="P20" i="57"/>
  <c r="M20" i="57"/>
  <c r="J20" i="57"/>
  <c r="G20" i="57"/>
  <c r="D20" i="57"/>
  <c r="EL19" i="57"/>
  <c r="EG19" i="57"/>
  <c r="EI19" i="57" s="1"/>
  <c r="DW19" i="57"/>
  <c r="DT19" i="57"/>
  <c r="DQ19" i="57"/>
  <c r="DN19" i="57"/>
  <c r="DK19" i="57"/>
  <c r="DH19" i="57"/>
  <c r="DE19" i="57"/>
  <c r="DB19" i="57"/>
  <c r="CY19" i="57"/>
  <c r="CV19" i="57"/>
  <c r="CS19" i="57"/>
  <c r="CP19" i="57"/>
  <c r="CM19" i="57"/>
  <c r="CJ19" i="57"/>
  <c r="CG19" i="57"/>
  <c r="CD19" i="57"/>
  <c r="CA19" i="57"/>
  <c r="BX19" i="57"/>
  <c r="BU19" i="57"/>
  <c r="BR19" i="57"/>
  <c r="BO19" i="57"/>
  <c r="BJ19" i="57"/>
  <c r="EB19" i="57" s="1"/>
  <c r="BI19" i="57"/>
  <c r="BF19" i="57"/>
  <c r="BC19" i="57"/>
  <c r="AZ19" i="57"/>
  <c r="AW19" i="57"/>
  <c r="AT19" i="57"/>
  <c r="AQ19" i="57"/>
  <c r="AN19" i="57"/>
  <c r="AK19" i="57"/>
  <c r="AB19" i="57"/>
  <c r="Y19" i="57"/>
  <c r="V19" i="57"/>
  <c r="S19" i="57"/>
  <c r="P19" i="57"/>
  <c r="M19" i="57"/>
  <c r="J19" i="57"/>
  <c r="G19" i="57"/>
  <c r="D19" i="57"/>
  <c r="EL18" i="57"/>
  <c r="EK18" i="57"/>
  <c r="EG18" i="57"/>
  <c r="EI18" i="57" s="1"/>
  <c r="EB18" i="57"/>
  <c r="DW18" i="57"/>
  <c r="DT18" i="57"/>
  <c r="DQ18" i="57"/>
  <c r="DN18" i="57"/>
  <c r="DK18" i="57"/>
  <c r="DH18" i="57"/>
  <c r="DE18" i="57"/>
  <c r="DB18" i="57"/>
  <c r="CY18" i="57"/>
  <c r="CV18" i="57"/>
  <c r="CS18" i="57"/>
  <c r="CP18" i="57"/>
  <c r="CM18" i="57"/>
  <c r="CJ18" i="57"/>
  <c r="CG18" i="57"/>
  <c r="CD18" i="57"/>
  <c r="CA18" i="57"/>
  <c r="BX18" i="57"/>
  <c r="BU18" i="57"/>
  <c r="BR18" i="57"/>
  <c r="BO18" i="57"/>
  <c r="BL18" i="57"/>
  <c r="BI18" i="57"/>
  <c r="BF18" i="57"/>
  <c r="BC18" i="57"/>
  <c r="AZ18" i="57"/>
  <c r="AW18" i="57"/>
  <c r="AT18" i="57"/>
  <c r="AQ18" i="57"/>
  <c r="AN18" i="57"/>
  <c r="AK18" i="57"/>
  <c r="AB18" i="57"/>
  <c r="Y18" i="57"/>
  <c r="V18" i="57"/>
  <c r="S18" i="57"/>
  <c r="P18" i="57"/>
  <c r="M18" i="57"/>
  <c r="J18" i="57"/>
  <c r="G18" i="57"/>
  <c r="D18" i="57"/>
  <c r="EL17" i="57"/>
  <c r="EC17" i="57" s="1"/>
  <c r="EK17" i="57"/>
  <c r="EG17" i="57"/>
  <c r="EI17" i="57" s="1"/>
  <c r="EB17" i="57"/>
  <c r="DW17" i="57"/>
  <c r="DT17" i="57"/>
  <c r="DQ17" i="57"/>
  <c r="DN17" i="57"/>
  <c r="DK17" i="57"/>
  <c r="DH17" i="57"/>
  <c r="DE17" i="57"/>
  <c r="DB17" i="57"/>
  <c r="CY17" i="57"/>
  <c r="CV17" i="57"/>
  <c r="CS17" i="57"/>
  <c r="CP17" i="57"/>
  <c r="CM17" i="57"/>
  <c r="CJ17" i="57"/>
  <c r="CG17" i="57"/>
  <c r="CD17" i="57"/>
  <c r="CA17" i="57"/>
  <c r="BX17" i="57"/>
  <c r="BU17" i="57"/>
  <c r="BR17" i="57"/>
  <c r="BO17" i="57"/>
  <c r="BL17" i="57"/>
  <c r="BI17" i="57"/>
  <c r="BF17" i="57"/>
  <c r="BC17" i="57"/>
  <c r="AZ17" i="57"/>
  <c r="AW17" i="57"/>
  <c r="AT17" i="57"/>
  <c r="AQ17" i="57"/>
  <c r="AN17" i="57"/>
  <c r="AK17" i="57"/>
  <c r="AB17" i="57"/>
  <c r="Y17" i="57"/>
  <c r="V17" i="57"/>
  <c r="S17" i="57"/>
  <c r="P17" i="57"/>
  <c r="M17" i="57"/>
  <c r="J17" i="57"/>
  <c r="G17" i="57"/>
  <c r="D17" i="57"/>
  <c r="EL16" i="57"/>
  <c r="EK16" i="57"/>
  <c r="EG16" i="57"/>
  <c r="EI16" i="57" s="1"/>
  <c r="EB16" i="57"/>
  <c r="DW16" i="57"/>
  <c r="DT16" i="57"/>
  <c r="DQ16" i="57"/>
  <c r="DN16" i="57"/>
  <c r="DK16" i="57"/>
  <c r="DH16" i="57"/>
  <c r="DE16" i="57"/>
  <c r="DB16" i="57"/>
  <c r="CY16" i="57"/>
  <c r="CV16" i="57"/>
  <c r="CS16" i="57"/>
  <c r="CP16" i="57"/>
  <c r="CM16" i="57"/>
  <c r="CJ16" i="57"/>
  <c r="CG16" i="57"/>
  <c r="CD16" i="57"/>
  <c r="CA16" i="57"/>
  <c r="BX16" i="57"/>
  <c r="BU16" i="57"/>
  <c r="BR16" i="57"/>
  <c r="BO16" i="57"/>
  <c r="BL16" i="57"/>
  <c r="BI16" i="57"/>
  <c r="BF16" i="57"/>
  <c r="BC16" i="57"/>
  <c r="AZ16" i="57"/>
  <c r="AW16" i="57"/>
  <c r="AT16" i="57"/>
  <c r="AQ16" i="57"/>
  <c r="AN16" i="57"/>
  <c r="AK16" i="57"/>
  <c r="AB16" i="57"/>
  <c r="Y16" i="57"/>
  <c r="V16" i="57"/>
  <c r="EH16" i="57" s="1"/>
  <c r="S16" i="57"/>
  <c r="P16" i="57"/>
  <c r="M16" i="57"/>
  <c r="J16" i="57"/>
  <c r="G16" i="57"/>
  <c r="D16" i="57"/>
  <c r="EL15" i="57"/>
  <c r="EK15" i="57"/>
  <c r="EI15" i="57"/>
  <c r="EG15" i="57"/>
  <c r="EB15" i="57"/>
  <c r="DW15" i="57"/>
  <c r="DT15" i="57"/>
  <c r="DQ15" i="57"/>
  <c r="DN15" i="57"/>
  <c r="DK15" i="57"/>
  <c r="DH15" i="57"/>
  <c r="DE15" i="57"/>
  <c r="DB15" i="57"/>
  <c r="CY15" i="57"/>
  <c r="CV15" i="57"/>
  <c r="CS15" i="57"/>
  <c r="CP15" i="57"/>
  <c r="CM15" i="57"/>
  <c r="CJ15" i="57"/>
  <c r="CG15" i="57"/>
  <c r="CD15" i="57"/>
  <c r="CA15" i="57"/>
  <c r="BX15" i="57"/>
  <c r="BU15" i="57"/>
  <c r="BR15" i="57"/>
  <c r="BO15" i="57"/>
  <c r="BL15" i="57"/>
  <c r="BI15" i="57"/>
  <c r="BF15" i="57"/>
  <c r="BC15" i="57"/>
  <c r="AZ15" i="57"/>
  <c r="AW15" i="57"/>
  <c r="AT15" i="57"/>
  <c r="AQ15" i="57"/>
  <c r="AN15" i="57"/>
  <c r="AK15" i="57"/>
  <c r="AB15" i="57"/>
  <c r="Y15" i="57"/>
  <c r="V15" i="57"/>
  <c r="S15" i="57"/>
  <c r="P15" i="57"/>
  <c r="M15" i="57"/>
  <c r="J15" i="57"/>
  <c r="G15" i="57"/>
  <c r="D15" i="57"/>
  <c r="EL14" i="57"/>
  <c r="EK14" i="57"/>
  <c r="EG14" i="57"/>
  <c r="EI14" i="57" s="1"/>
  <c r="EB14" i="57"/>
  <c r="DW14" i="57"/>
  <c r="DT14" i="57"/>
  <c r="DQ14" i="57"/>
  <c r="DN14" i="57"/>
  <c r="DK14" i="57"/>
  <c r="DH14" i="57"/>
  <c r="DE14" i="57"/>
  <c r="DB14" i="57"/>
  <c r="CY14" i="57"/>
  <c r="CV14" i="57"/>
  <c r="CS14" i="57"/>
  <c r="CP14" i="57"/>
  <c r="CM14" i="57"/>
  <c r="CJ14" i="57"/>
  <c r="CG14" i="57"/>
  <c r="CD14" i="57"/>
  <c r="CA14" i="57"/>
  <c r="BX14" i="57"/>
  <c r="BU14" i="57"/>
  <c r="BR14" i="57"/>
  <c r="BO14" i="57"/>
  <c r="BL14" i="57"/>
  <c r="BI14" i="57"/>
  <c r="BF14" i="57"/>
  <c r="BC14" i="57"/>
  <c r="AZ14" i="57"/>
  <c r="AW14" i="57"/>
  <c r="AT14" i="57"/>
  <c r="AQ14" i="57"/>
  <c r="AN14" i="57"/>
  <c r="AK14" i="57"/>
  <c r="AB14" i="57"/>
  <c r="Y14" i="57"/>
  <c r="V14" i="57"/>
  <c r="S14" i="57"/>
  <c r="P14" i="57"/>
  <c r="M14" i="57"/>
  <c r="J14" i="57"/>
  <c r="G14" i="57"/>
  <c r="D14" i="57"/>
  <c r="EL13" i="57"/>
  <c r="EK13" i="57"/>
  <c r="EG13" i="57"/>
  <c r="EI13" i="57" s="1"/>
  <c r="EB13" i="57"/>
  <c r="EC13" i="57" s="1"/>
  <c r="DW13" i="57"/>
  <c r="DT13" i="57"/>
  <c r="DQ13" i="57"/>
  <c r="DN13" i="57"/>
  <c r="DK13" i="57"/>
  <c r="DH13" i="57"/>
  <c r="DE13" i="57"/>
  <c r="DB13" i="57"/>
  <c r="CY13" i="57"/>
  <c r="CV13" i="57"/>
  <c r="CS13" i="57"/>
  <c r="CP13" i="57"/>
  <c r="CM13" i="57"/>
  <c r="CJ13" i="57"/>
  <c r="CG13" i="57"/>
  <c r="CD13" i="57"/>
  <c r="CA13" i="57"/>
  <c r="BX13" i="57"/>
  <c r="BU13" i="57"/>
  <c r="BR13" i="57"/>
  <c r="BO13" i="57"/>
  <c r="BL13" i="57"/>
  <c r="BI13" i="57"/>
  <c r="BF13" i="57"/>
  <c r="BC13" i="57"/>
  <c r="AZ13" i="57"/>
  <c r="AW13" i="57"/>
  <c r="AT13" i="57"/>
  <c r="AQ13" i="57"/>
  <c r="AN13" i="57"/>
  <c r="AK13" i="57"/>
  <c r="AB13" i="57"/>
  <c r="AB42" i="57" s="1"/>
  <c r="Y13" i="57"/>
  <c r="V13" i="57"/>
  <c r="S13" i="57"/>
  <c r="P13" i="57"/>
  <c r="M13" i="57"/>
  <c r="J13" i="57"/>
  <c r="G13" i="57"/>
  <c r="D13" i="57"/>
  <c r="D42" i="57" s="1"/>
  <c r="EL12" i="57"/>
  <c r="EK12" i="57"/>
  <c r="EG12" i="57"/>
  <c r="EI12" i="57" s="1"/>
  <c r="EB12" i="57"/>
  <c r="DW12" i="57"/>
  <c r="DT12" i="57"/>
  <c r="DQ12" i="57"/>
  <c r="DN12" i="57"/>
  <c r="DK12" i="57"/>
  <c r="DH12" i="57"/>
  <c r="DE12" i="57"/>
  <c r="DB12" i="57"/>
  <c r="CY12" i="57"/>
  <c r="CV12" i="57"/>
  <c r="CS12" i="57"/>
  <c r="CP12" i="57"/>
  <c r="CM12" i="57"/>
  <c r="CJ12" i="57"/>
  <c r="CG12" i="57"/>
  <c r="CD12" i="57"/>
  <c r="CA12" i="57"/>
  <c r="BX12" i="57"/>
  <c r="BU12" i="57"/>
  <c r="BR12" i="57"/>
  <c r="BO12" i="57"/>
  <c r="BL12" i="57"/>
  <c r="BI12" i="57"/>
  <c r="BF12" i="57"/>
  <c r="BC12" i="57"/>
  <c r="AZ12" i="57"/>
  <c r="AW12" i="57"/>
  <c r="AT12" i="57"/>
  <c r="AQ12" i="57"/>
  <c r="AN12" i="57"/>
  <c r="AK12" i="57"/>
  <c r="AB12" i="57"/>
  <c r="Y12" i="57"/>
  <c r="V12" i="57"/>
  <c r="S12" i="57"/>
  <c r="P12" i="57"/>
  <c r="M12" i="57"/>
  <c r="J12" i="57"/>
  <c r="G12" i="57"/>
  <c r="D12" i="57"/>
  <c r="A12" i="57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EL11" i="57"/>
  <c r="EK11" i="57"/>
  <c r="EI11" i="57"/>
  <c r="EG11" i="57"/>
  <c r="EI3" i="57" s="1"/>
  <c r="EI4" i="57" s="1"/>
  <c r="EB11" i="57"/>
  <c r="DW11" i="57"/>
  <c r="DW42" i="57" s="1"/>
  <c r="DT11" i="57"/>
  <c r="DQ11" i="57"/>
  <c r="DN11" i="57"/>
  <c r="DK11" i="57"/>
  <c r="DH11" i="57"/>
  <c r="DH42" i="57" s="1"/>
  <c r="DE11" i="57"/>
  <c r="DB11" i="57"/>
  <c r="CY11" i="57"/>
  <c r="CY42" i="57" s="1"/>
  <c r="CV11" i="57"/>
  <c r="CS11" i="57"/>
  <c r="CP11" i="57"/>
  <c r="CM11" i="57"/>
  <c r="CJ11" i="57"/>
  <c r="CJ42" i="57" s="1"/>
  <c r="CG11" i="57"/>
  <c r="CD11" i="57"/>
  <c r="CA11" i="57"/>
  <c r="CA42" i="57" s="1"/>
  <c r="BX11" i="57"/>
  <c r="BU11" i="57"/>
  <c r="BR11" i="57"/>
  <c r="BO11" i="57"/>
  <c r="BL11" i="57"/>
  <c r="BI11" i="57"/>
  <c r="BF11" i="57"/>
  <c r="BC11" i="57"/>
  <c r="BC42" i="57" s="1"/>
  <c r="AZ11" i="57"/>
  <c r="AW11" i="57"/>
  <c r="AT11" i="57"/>
  <c r="AQ11" i="57"/>
  <c r="AN11" i="57"/>
  <c r="AN42" i="57" s="1"/>
  <c r="AK11" i="57"/>
  <c r="AH42" i="57"/>
  <c r="AE42" i="57"/>
  <c r="AB11" i="57"/>
  <c r="Y11" i="57"/>
  <c r="V11" i="57"/>
  <c r="S11" i="57"/>
  <c r="EH11" i="57" s="1"/>
  <c r="P11" i="57"/>
  <c r="P42" i="57" s="1"/>
  <c r="M11" i="57"/>
  <c r="J11" i="57"/>
  <c r="G11" i="57"/>
  <c r="D11" i="57"/>
  <c r="EN2" i="57"/>
  <c r="EP2" i="57" s="1"/>
  <c r="EI2" i="57"/>
  <c r="EM11" i="57" l="1"/>
  <c r="J42" i="57"/>
  <c r="BF42" i="57"/>
  <c r="CD42" i="57"/>
  <c r="DB42" i="57"/>
  <c r="EC11" i="57"/>
  <c r="EN12" i="57"/>
  <c r="AZ42" i="57"/>
  <c r="BX42" i="57"/>
  <c r="CV42" i="57"/>
  <c r="EM13" i="57"/>
  <c r="ED14" i="57"/>
  <c r="ED15" i="57"/>
  <c r="EE15" i="57" s="1"/>
  <c r="EH18" i="57"/>
  <c r="EH23" i="57"/>
  <c r="EB23" i="57"/>
  <c r="ED12" i="57"/>
  <c r="G42" i="57"/>
  <c r="M42" i="57"/>
  <c r="AK42" i="57"/>
  <c r="BI42" i="57"/>
  <c r="CG42" i="57"/>
  <c r="DE42" i="57"/>
  <c r="ED16" i="57"/>
  <c r="EH24" i="57"/>
  <c r="ED25" i="57"/>
  <c r="ED31" i="57"/>
  <c r="EH31" i="57"/>
  <c r="EB31" i="57"/>
  <c r="EH36" i="57"/>
  <c r="EB39" i="57"/>
  <c r="ED41" i="57"/>
  <c r="EM15" i="57"/>
  <c r="EN15" i="57" s="1"/>
  <c r="EH17" i="57"/>
  <c r="BO42" i="57"/>
  <c r="CM42" i="57"/>
  <c r="DK42" i="57"/>
  <c r="EM24" i="57"/>
  <c r="EB33" i="57"/>
  <c r="EH15" i="57"/>
  <c r="EM17" i="57"/>
  <c r="ED18" i="57"/>
  <c r="EE18" i="57"/>
  <c r="EH22" i="57"/>
  <c r="EM38" i="57"/>
  <c r="EN41" i="57"/>
  <c r="V42" i="57"/>
  <c r="AT42" i="57"/>
  <c r="BR42" i="57"/>
  <c r="CP42" i="57"/>
  <c r="DN42" i="57"/>
  <c r="EH12" i="57"/>
  <c r="EM12" i="57"/>
  <c r="EC15" i="57"/>
  <c r="EH19" i="57"/>
  <c r="AQ42" i="57"/>
  <c r="BL20" i="57"/>
  <c r="ED20" i="57" s="1"/>
  <c r="EE20" i="57" s="1"/>
  <c r="EK20" i="57"/>
  <c r="EB22" i="57"/>
  <c r="ED24" i="57"/>
  <c r="EH25" i="57"/>
  <c r="ED30" i="57"/>
  <c r="EK31" i="57"/>
  <c r="BL33" i="57"/>
  <c r="ED33" i="57" s="1"/>
  <c r="EE33" i="57" s="1"/>
  <c r="EH34" i="57"/>
  <c r="EH37" i="57"/>
  <c r="EH38" i="57"/>
  <c r="EK39" i="57"/>
  <c r="EM41" i="57"/>
  <c r="EM14" i="57"/>
  <c r="EI5" i="57"/>
  <c r="Y42" i="57"/>
  <c r="AW42" i="57"/>
  <c r="BU42" i="57"/>
  <c r="CS42" i="57"/>
  <c r="DQ42" i="57"/>
  <c r="EH14" i="57"/>
  <c r="ED17" i="57"/>
  <c r="EE17" i="57" s="1"/>
  <c r="EM21" i="57"/>
  <c r="EB26" i="57"/>
  <c r="EH27" i="57"/>
  <c r="BL28" i="57"/>
  <c r="EM28" i="57" s="1"/>
  <c r="EM29" i="57"/>
  <c r="EB30" i="57"/>
  <c r="ED38" i="57"/>
  <c r="EB38" i="57"/>
  <c r="EC38" i="57" s="1"/>
  <c r="EN13" i="57"/>
  <c r="EM16" i="57"/>
  <c r="EM18" i="57"/>
  <c r="EN18" i="57" s="1"/>
  <c r="S42" i="57"/>
  <c r="ED21" i="57"/>
  <c r="EE21" i="57" s="1"/>
  <c r="EK22" i="57"/>
  <c r="EM25" i="57"/>
  <c r="ED29" i="57"/>
  <c r="EE29" i="57" s="1"/>
  <c r="EH32" i="57"/>
  <c r="EM37" i="57"/>
  <c r="EN37" i="57" s="1"/>
  <c r="EH40" i="57"/>
  <c r="EH41" i="57"/>
  <c r="J28" i="62"/>
  <c r="K28" i="63"/>
  <c r="K28" i="4"/>
  <c r="EH13" i="57"/>
  <c r="EH42" i="57" s="1"/>
  <c r="EC21" i="57"/>
  <c r="ED28" i="57"/>
  <c r="EE28" i="57" s="1"/>
  <c r="EC29" i="57"/>
  <c r="BL30" i="57"/>
  <c r="EM30" i="57" s="1"/>
  <c r="EN30" i="57" s="1"/>
  <c r="EM31" i="57"/>
  <c r="EB34" i="57"/>
  <c r="EH35" i="57"/>
  <c r="BL36" i="57"/>
  <c r="EM36" i="57" s="1"/>
  <c r="ED37" i="57"/>
  <c r="EE37" i="57" s="1"/>
  <c r="EK38" i="57"/>
  <c r="EN38" i="57" s="1"/>
  <c r="EE22" i="57"/>
  <c r="EE16" i="57"/>
  <c r="EE25" i="57"/>
  <c r="EN16" i="57"/>
  <c r="EN17" i="57"/>
  <c r="EC20" i="57"/>
  <c r="EE41" i="57"/>
  <c r="EN11" i="57"/>
  <c r="EN21" i="57"/>
  <c r="ED23" i="57"/>
  <c r="EM23" i="57"/>
  <c r="EN29" i="57"/>
  <c r="ED32" i="57"/>
  <c r="EM32" i="57"/>
  <c r="ED40" i="57"/>
  <c r="EM40" i="57"/>
  <c r="EN25" i="57"/>
  <c r="ED39" i="57"/>
  <c r="EE39" i="57" s="1"/>
  <c r="EM39" i="57"/>
  <c r="EN39" i="57" s="1"/>
  <c r="EE12" i="57"/>
  <c r="EN14" i="57"/>
  <c r="ED22" i="57"/>
  <c r="EM22" i="57"/>
  <c r="EN22" i="57" s="1"/>
  <c r="EE23" i="57"/>
  <c r="EC14" i="57"/>
  <c r="EC18" i="57"/>
  <c r="BL19" i="57"/>
  <c r="EM19" i="57" s="1"/>
  <c r="EC26" i="57"/>
  <c r="EK32" i="57"/>
  <c r="EN32" i="57" s="1"/>
  <c r="EC34" i="57"/>
  <c r="BL35" i="57"/>
  <c r="EM35" i="57" s="1"/>
  <c r="EK40" i="57"/>
  <c r="EN40" i="57" s="1"/>
  <c r="EC41" i="57"/>
  <c r="ED11" i="57"/>
  <c r="EK24" i="57"/>
  <c r="EN24" i="57" s="1"/>
  <c r="BL27" i="57"/>
  <c r="EM27" i="57" s="1"/>
  <c r="EE2" i="57"/>
  <c r="EQ2" i="57" s="1"/>
  <c r="G4" i="57" s="1"/>
  <c r="EK23" i="57"/>
  <c r="EB24" i="57"/>
  <c r="EE3" i="57" s="1"/>
  <c r="EC25" i="57"/>
  <c r="BL26" i="57"/>
  <c r="ED26" i="57" s="1"/>
  <c r="EE26" i="57" s="1"/>
  <c r="EB32" i="57"/>
  <c r="EC33" i="57"/>
  <c r="BL34" i="57"/>
  <c r="ED34" i="57" s="1"/>
  <c r="EE34" i="57" s="1"/>
  <c r="EB40" i="57"/>
  <c r="ED36" i="57"/>
  <c r="EE36" i="57" s="1"/>
  <c r="EH28" i="57"/>
  <c r="DT42" i="57"/>
  <c r="ED13" i="57"/>
  <c r="EE13" i="57" s="1"/>
  <c r="EC31" i="57"/>
  <c r="EC39" i="57"/>
  <c r="EH20" i="57"/>
  <c r="EC12" i="57"/>
  <c r="EC16" i="57"/>
  <c r="EC22" i="57"/>
  <c r="EK28" i="57"/>
  <c r="EC30" i="57"/>
  <c r="EK36" i="57"/>
  <c r="EK19" i="57"/>
  <c r="EK27" i="57"/>
  <c r="EC27" i="57" s="1"/>
  <c r="EK35" i="57"/>
  <c r="EN35" i="57" s="1"/>
  <c r="EE14" i="57"/>
  <c r="EM20" i="57" l="1"/>
  <c r="EN20" i="57" s="1"/>
  <c r="EN31" i="57"/>
  <c r="EC35" i="57"/>
  <c r="EE38" i="57"/>
  <c r="EN23" i="57"/>
  <c r="EN36" i="57"/>
  <c r="EE30" i="57"/>
  <c r="EM33" i="57"/>
  <c r="EN33" i="57" s="1"/>
  <c r="EN28" i="57"/>
  <c r="EC23" i="57"/>
  <c r="EE31" i="57"/>
  <c r="G5" i="57"/>
  <c r="EC28" i="57"/>
  <c r="ED35" i="57"/>
  <c r="EE35" i="57" s="1"/>
  <c r="BL42" i="57"/>
  <c r="EE40" i="57"/>
  <c r="EC40" i="57"/>
  <c r="EC32" i="57"/>
  <c r="EE32" i="57"/>
  <c r="EE11" i="57"/>
  <c r="EM26" i="57"/>
  <c r="EN26" i="57" s="1"/>
  <c r="EN3" i="57"/>
  <c r="EN19" i="57"/>
  <c r="EN5" i="57"/>
  <c r="ED27" i="57"/>
  <c r="EE27" i="57" s="1"/>
  <c r="EC24" i="57"/>
  <c r="EE24" i="57"/>
  <c r="EC36" i="57"/>
  <c r="ED19" i="57"/>
  <c r="EE19" i="57" s="1"/>
  <c r="EN27" i="57"/>
  <c r="EM34" i="57"/>
  <c r="EN34" i="57" s="1"/>
  <c r="EE5" i="57"/>
  <c r="G7" i="57" s="1"/>
  <c r="EC19" i="57"/>
  <c r="EN4" i="57" l="1"/>
  <c r="ED42" i="57"/>
  <c r="EM42" i="57"/>
  <c r="EE4" i="57"/>
  <c r="G6" i="57" s="1"/>
  <c r="J28" i="63" l="1"/>
  <c r="J28" i="4"/>
  <c r="I28" i="62"/>
  <c r="EL38" i="56"/>
  <c r="EK38" i="56"/>
  <c r="EG38" i="56"/>
  <c r="EI38" i="56" s="1"/>
  <c r="EC38" i="56"/>
  <c r="EB38" i="56"/>
  <c r="DW38" i="56"/>
  <c r="DT38" i="56"/>
  <c r="DQ38" i="56"/>
  <c r="DN38" i="56"/>
  <c r="DK38" i="56"/>
  <c r="DH38" i="56"/>
  <c r="DE38" i="56"/>
  <c r="DB38" i="56"/>
  <c r="CY38" i="56"/>
  <c r="CV38" i="56"/>
  <c r="CS38" i="56"/>
  <c r="CP38" i="56"/>
  <c r="CM38" i="56"/>
  <c r="CJ38" i="56"/>
  <c r="CG38" i="56"/>
  <c r="CD38" i="56"/>
  <c r="CA38" i="56"/>
  <c r="BX38" i="56"/>
  <c r="BU38" i="56"/>
  <c r="BR38" i="56"/>
  <c r="BO38" i="56"/>
  <c r="BL38" i="56"/>
  <c r="BI38" i="56"/>
  <c r="BF38" i="56"/>
  <c r="BC38" i="56"/>
  <c r="AZ38" i="56"/>
  <c r="AW38" i="56"/>
  <c r="AT38" i="56"/>
  <c r="AQ38" i="56"/>
  <c r="AN38" i="56"/>
  <c r="AK38" i="56"/>
  <c r="AB38" i="56"/>
  <c r="Y38" i="56"/>
  <c r="EH38" i="56" s="1"/>
  <c r="V38" i="56"/>
  <c r="S38" i="56"/>
  <c r="P38" i="56"/>
  <c r="M38" i="56"/>
  <c r="J38" i="56"/>
  <c r="G38" i="56"/>
  <c r="D38" i="56"/>
  <c r="EL37" i="56"/>
  <c r="EK37" i="56"/>
  <c r="EG37" i="56"/>
  <c r="EI37" i="56" s="1"/>
  <c r="EB37" i="56"/>
  <c r="EC37" i="56" s="1"/>
  <c r="DW37" i="56"/>
  <c r="DT37" i="56"/>
  <c r="DQ37" i="56"/>
  <c r="DN37" i="56"/>
  <c r="DK37" i="56"/>
  <c r="DH37" i="56"/>
  <c r="DE37" i="56"/>
  <c r="DB37" i="56"/>
  <c r="CY37" i="56"/>
  <c r="CV37" i="56"/>
  <c r="CS37" i="56"/>
  <c r="CP37" i="56"/>
  <c r="CM37" i="56"/>
  <c r="CJ37" i="56"/>
  <c r="CG37" i="56"/>
  <c r="CD37" i="56"/>
  <c r="CA37" i="56"/>
  <c r="BX37" i="56"/>
  <c r="BU37" i="56"/>
  <c r="BR37" i="56"/>
  <c r="BO37" i="56"/>
  <c r="BL37" i="56"/>
  <c r="BI37" i="56"/>
  <c r="BF37" i="56"/>
  <c r="BC37" i="56"/>
  <c r="AZ37" i="56"/>
  <c r="AW37" i="56"/>
  <c r="AT37" i="56"/>
  <c r="AQ37" i="56"/>
  <c r="AN37" i="56"/>
  <c r="AK37" i="56"/>
  <c r="AB37" i="56"/>
  <c r="Y37" i="56"/>
  <c r="V37" i="56"/>
  <c r="S37" i="56"/>
  <c r="P37" i="56"/>
  <c r="M37" i="56"/>
  <c r="J37" i="56"/>
  <c r="G37" i="56"/>
  <c r="D37" i="56"/>
  <c r="EL36" i="56"/>
  <c r="EK36" i="56"/>
  <c r="EI36" i="56"/>
  <c r="EG36" i="56"/>
  <c r="EB36" i="56"/>
  <c r="EC36" i="56" s="1"/>
  <c r="DW36" i="56"/>
  <c r="DT36" i="56"/>
  <c r="DQ36" i="56"/>
  <c r="DN36" i="56"/>
  <c r="DK36" i="56"/>
  <c r="DH36" i="56"/>
  <c r="DE36" i="56"/>
  <c r="DB36" i="56"/>
  <c r="CY36" i="56"/>
  <c r="CV36" i="56"/>
  <c r="CS36" i="56"/>
  <c r="CP36" i="56"/>
  <c r="CM36" i="56"/>
  <c r="CJ36" i="56"/>
  <c r="CG36" i="56"/>
  <c r="CD36" i="56"/>
  <c r="CA36" i="56"/>
  <c r="BX36" i="56"/>
  <c r="BU36" i="56"/>
  <c r="BR36" i="56"/>
  <c r="BO36" i="56"/>
  <c r="BL36" i="56"/>
  <c r="BI36" i="56"/>
  <c r="BF36" i="56"/>
  <c r="BC36" i="56"/>
  <c r="AZ36" i="56"/>
  <c r="AW36" i="56"/>
  <c r="AT36" i="56"/>
  <c r="AQ36" i="56"/>
  <c r="AN36" i="56"/>
  <c r="AK36" i="56"/>
  <c r="AB36" i="56"/>
  <c r="Y36" i="56"/>
  <c r="V36" i="56"/>
  <c r="S36" i="56"/>
  <c r="P36" i="56"/>
  <c r="M36" i="56"/>
  <c r="ED36" i="56" s="1"/>
  <c r="EE36" i="56" s="1"/>
  <c r="J36" i="56"/>
  <c r="G36" i="56"/>
  <c r="D36" i="56"/>
  <c r="EL35" i="56"/>
  <c r="EK35" i="56"/>
  <c r="EG35" i="56"/>
  <c r="EI35" i="56" s="1"/>
  <c r="EB35" i="56"/>
  <c r="DW35" i="56"/>
  <c r="DT35" i="56"/>
  <c r="DQ35" i="56"/>
  <c r="DN35" i="56"/>
  <c r="DK35" i="56"/>
  <c r="DH35" i="56"/>
  <c r="DE35" i="56"/>
  <c r="DB35" i="56"/>
  <c r="CY35" i="56"/>
  <c r="CV35" i="56"/>
  <c r="CS35" i="56"/>
  <c r="CP35" i="56"/>
  <c r="CM35" i="56"/>
  <c r="CJ35" i="56"/>
  <c r="CG35" i="56"/>
  <c r="CD35" i="56"/>
  <c r="CA35" i="56"/>
  <c r="BX35" i="56"/>
  <c r="BU35" i="56"/>
  <c r="BR35" i="56"/>
  <c r="BO35" i="56"/>
  <c r="BL35" i="56"/>
  <c r="BI35" i="56"/>
  <c r="BF35" i="56"/>
  <c r="BC35" i="56"/>
  <c r="AZ35" i="56"/>
  <c r="AW35" i="56"/>
  <c r="AT35" i="56"/>
  <c r="AQ35" i="56"/>
  <c r="AN35" i="56"/>
  <c r="AK35" i="56"/>
  <c r="AB35" i="56"/>
  <c r="Y35" i="56"/>
  <c r="V35" i="56"/>
  <c r="S35" i="56"/>
  <c r="P35" i="56"/>
  <c r="M35" i="56"/>
  <c r="J35" i="56"/>
  <c r="G35" i="56"/>
  <c r="D35" i="56"/>
  <c r="EL34" i="56"/>
  <c r="EK34" i="56"/>
  <c r="EG34" i="56"/>
  <c r="EI34" i="56" s="1"/>
  <c r="EB34" i="56"/>
  <c r="EC34" i="56" s="1"/>
  <c r="DW34" i="56"/>
  <c r="DT34" i="56"/>
  <c r="DQ34" i="56"/>
  <c r="DN34" i="56"/>
  <c r="DK34" i="56"/>
  <c r="DH34" i="56"/>
  <c r="DE34" i="56"/>
  <c r="DB34" i="56"/>
  <c r="CY34" i="56"/>
  <c r="CV34" i="56"/>
  <c r="CS34" i="56"/>
  <c r="CP34" i="56"/>
  <c r="CM34" i="56"/>
  <c r="CJ34" i="56"/>
  <c r="CG34" i="56"/>
  <c r="CD34" i="56"/>
  <c r="CA34" i="56"/>
  <c r="BX34" i="56"/>
  <c r="BU34" i="56"/>
  <c r="BR34" i="56"/>
  <c r="BO34" i="56"/>
  <c r="BL34" i="56"/>
  <c r="BI34" i="56"/>
  <c r="BF34" i="56"/>
  <c r="BC34" i="56"/>
  <c r="AZ34" i="56"/>
  <c r="AW34" i="56"/>
  <c r="AT34" i="56"/>
  <c r="AQ34" i="56"/>
  <c r="AN34" i="56"/>
  <c r="AK34" i="56"/>
  <c r="AB34" i="56"/>
  <c r="Y34" i="56"/>
  <c r="V34" i="56"/>
  <c r="S34" i="56"/>
  <c r="P34" i="56"/>
  <c r="M34" i="56"/>
  <c r="J34" i="56"/>
  <c r="G34" i="56"/>
  <c r="D34" i="56"/>
  <c r="EL33" i="56"/>
  <c r="EK33" i="56"/>
  <c r="EG33" i="56"/>
  <c r="EI33" i="56" s="1"/>
  <c r="EB33" i="56"/>
  <c r="DW33" i="56"/>
  <c r="DT33" i="56"/>
  <c r="DQ33" i="56"/>
  <c r="DN33" i="56"/>
  <c r="DK33" i="56"/>
  <c r="DH33" i="56"/>
  <c r="DE33" i="56"/>
  <c r="DB33" i="56"/>
  <c r="CY33" i="56"/>
  <c r="CV33" i="56"/>
  <c r="CS33" i="56"/>
  <c r="CP33" i="56"/>
  <c r="CM33" i="56"/>
  <c r="CJ33" i="56"/>
  <c r="CG33" i="56"/>
  <c r="CD33" i="56"/>
  <c r="CA33" i="56"/>
  <c r="BX33" i="56"/>
  <c r="BU33" i="56"/>
  <c r="BR33" i="56"/>
  <c r="BO33" i="56"/>
  <c r="BL33" i="56"/>
  <c r="BI33" i="56"/>
  <c r="BF33" i="56"/>
  <c r="BC33" i="56"/>
  <c r="AZ33" i="56"/>
  <c r="AW33" i="56"/>
  <c r="AT33" i="56"/>
  <c r="AQ33" i="56"/>
  <c r="AN33" i="56"/>
  <c r="AK33" i="56"/>
  <c r="AB33" i="56"/>
  <c r="Y33" i="56"/>
  <c r="V33" i="56"/>
  <c r="S33" i="56"/>
  <c r="P33" i="56"/>
  <c r="M33" i="56"/>
  <c r="J33" i="56"/>
  <c r="G33" i="56"/>
  <c r="D33" i="56"/>
  <c r="EL32" i="56"/>
  <c r="EK32" i="56"/>
  <c r="EG32" i="56"/>
  <c r="EI32" i="56" s="1"/>
  <c r="EB32" i="56"/>
  <c r="EC32" i="56" s="1"/>
  <c r="DW32" i="56"/>
  <c r="DT32" i="56"/>
  <c r="DQ32" i="56"/>
  <c r="DN32" i="56"/>
  <c r="DK32" i="56"/>
  <c r="DH32" i="56"/>
  <c r="DE32" i="56"/>
  <c r="DB32" i="56"/>
  <c r="CY32" i="56"/>
  <c r="CV32" i="56"/>
  <c r="CS32" i="56"/>
  <c r="CP32" i="56"/>
  <c r="CM32" i="56"/>
  <c r="CJ32" i="56"/>
  <c r="CG32" i="56"/>
  <c r="CD32" i="56"/>
  <c r="CA32" i="56"/>
  <c r="BX32" i="56"/>
  <c r="BU32" i="56"/>
  <c r="BR32" i="56"/>
  <c r="BO32" i="56"/>
  <c r="BL32" i="56"/>
  <c r="BI32" i="56"/>
  <c r="BF32" i="56"/>
  <c r="BC32" i="56"/>
  <c r="AZ32" i="56"/>
  <c r="AW32" i="56"/>
  <c r="AT32" i="56"/>
  <c r="AQ32" i="56"/>
  <c r="AN32" i="56"/>
  <c r="AK32" i="56"/>
  <c r="AB32" i="56"/>
  <c r="Y32" i="56"/>
  <c r="EH32" i="56" s="1"/>
  <c r="V32" i="56"/>
  <c r="S32" i="56"/>
  <c r="P32" i="56"/>
  <c r="M32" i="56"/>
  <c r="J32" i="56"/>
  <c r="G32" i="56"/>
  <c r="D32" i="56"/>
  <c r="EL31" i="56"/>
  <c r="EK31" i="56"/>
  <c r="EG31" i="56"/>
  <c r="EI31" i="56" s="1"/>
  <c r="EB31" i="56"/>
  <c r="DW31" i="56"/>
  <c r="DT31" i="56"/>
  <c r="DQ31" i="56"/>
  <c r="DN31" i="56"/>
  <c r="DK31" i="56"/>
  <c r="EM31" i="56" s="1"/>
  <c r="DH31" i="56"/>
  <c r="DE31" i="56"/>
  <c r="DB31" i="56"/>
  <c r="CY31" i="56"/>
  <c r="CV31" i="56"/>
  <c r="CS31" i="56"/>
  <c r="CP31" i="56"/>
  <c r="CM31" i="56"/>
  <c r="CJ31" i="56"/>
  <c r="CG31" i="56"/>
  <c r="CD31" i="56"/>
  <c r="CA31" i="56"/>
  <c r="BX31" i="56"/>
  <c r="BU31" i="56"/>
  <c r="BR31" i="56"/>
  <c r="BO31" i="56"/>
  <c r="BL31" i="56"/>
  <c r="BI31" i="56"/>
  <c r="BF31" i="56"/>
  <c r="BC31" i="56"/>
  <c r="AZ31" i="56"/>
  <c r="AW31" i="56"/>
  <c r="AT31" i="56"/>
  <c r="AQ31" i="56"/>
  <c r="AN31" i="56"/>
  <c r="AK31" i="56"/>
  <c r="AB31" i="56"/>
  <c r="Y31" i="56"/>
  <c r="V31" i="56"/>
  <c r="S31" i="56"/>
  <c r="EH31" i="56" s="1"/>
  <c r="P31" i="56"/>
  <c r="M31" i="56"/>
  <c r="J31" i="56"/>
  <c r="G31" i="56"/>
  <c r="D31" i="56"/>
  <c r="EL30" i="56"/>
  <c r="EK30" i="56"/>
  <c r="EG30" i="56"/>
  <c r="EI30" i="56" s="1"/>
  <c r="EC30" i="56"/>
  <c r="EB30" i="56"/>
  <c r="DW30" i="56"/>
  <c r="DT30" i="56"/>
  <c r="DQ30" i="56"/>
  <c r="DN30" i="56"/>
  <c r="DK30" i="56"/>
  <c r="DH30" i="56"/>
  <c r="DE30" i="56"/>
  <c r="DB30" i="56"/>
  <c r="CY30" i="56"/>
  <c r="CV30" i="56"/>
  <c r="CS30" i="56"/>
  <c r="CP30" i="56"/>
  <c r="CM30" i="56"/>
  <c r="CJ30" i="56"/>
  <c r="CG30" i="56"/>
  <c r="CD30" i="56"/>
  <c r="CA30" i="56"/>
  <c r="BX30" i="56"/>
  <c r="BU30" i="56"/>
  <c r="BR30" i="56"/>
  <c r="BO30" i="56"/>
  <c r="BL30" i="56"/>
  <c r="BI30" i="56"/>
  <c r="BF30" i="56"/>
  <c r="BC30" i="56"/>
  <c r="AZ30" i="56"/>
  <c r="AW30" i="56"/>
  <c r="AT30" i="56"/>
  <c r="AQ30" i="56"/>
  <c r="AN30" i="56"/>
  <c r="AK30" i="56"/>
  <c r="AB30" i="56"/>
  <c r="Y30" i="56"/>
  <c r="V30" i="56"/>
  <c r="S30" i="56"/>
  <c r="P30" i="56"/>
  <c r="M30" i="56"/>
  <c r="J30" i="56"/>
  <c r="G30" i="56"/>
  <c r="D30" i="56"/>
  <c r="EL29" i="56"/>
  <c r="EK29" i="56"/>
  <c r="EG29" i="56"/>
  <c r="EI29" i="56" s="1"/>
  <c r="EB29" i="56"/>
  <c r="EC29" i="56" s="1"/>
  <c r="DW29" i="56"/>
  <c r="DT29" i="56"/>
  <c r="DQ29" i="56"/>
  <c r="DN29" i="56"/>
  <c r="DK29" i="56"/>
  <c r="DH29" i="56"/>
  <c r="DE29" i="56"/>
  <c r="DB29" i="56"/>
  <c r="CY29" i="56"/>
  <c r="CV29" i="56"/>
  <c r="CS29" i="56"/>
  <c r="CP29" i="56"/>
  <c r="CM29" i="56"/>
  <c r="CJ29" i="56"/>
  <c r="CG29" i="56"/>
  <c r="CD29" i="56"/>
  <c r="CA29" i="56"/>
  <c r="BX29" i="56"/>
  <c r="BU29" i="56"/>
  <c r="BR29" i="56"/>
  <c r="BO29" i="56"/>
  <c r="BL29" i="56"/>
  <c r="BI29" i="56"/>
  <c r="BF29" i="56"/>
  <c r="BC29" i="56"/>
  <c r="AZ29" i="56"/>
  <c r="AW29" i="56"/>
  <c r="AT29" i="56"/>
  <c r="AQ29" i="56"/>
  <c r="AN29" i="56"/>
  <c r="AK29" i="56"/>
  <c r="AB29" i="56"/>
  <c r="Y29" i="56"/>
  <c r="V29" i="56"/>
  <c r="S29" i="56"/>
  <c r="EH29" i="56" s="1"/>
  <c r="P29" i="56"/>
  <c r="M29" i="56"/>
  <c r="J29" i="56"/>
  <c r="G29" i="56"/>
  <c r="D29" i="56"/>
  <c r="EL28" i="56"/>
  <c r="EK28" i="56"/>
  <c r="EI28" i="56"/>
  <c r="EG28" i="56"/>
  <c r="EB28" i="56"/>
  <c r="EC28" i="56" s="1"/>
  <c r="DW28" i="56"/>
  <c r="DT28" i="56"/>
  <c r="DQ28" i="56"/>
  <c r="DN28" i="56"/>
  <c r="DK28" i="56"/>
  <c r="DH28" i="56"/>
  <c r="DE28" i="56"/>
  <c r="DB28" i="56"/>
  <c r="CY28" i="56"/>
  <c r="CV28" i="56"/>
  <c r="CS28" i="56"/>
  <c r="CP28" i="56"/>
  <c r="CM28" i="56"/>
  <c r="CJ28" i="56"/>
  <c r="CG28" i="56"/>
  <c r="CD28" i="56"/>
  <c r="CA28" i="56"/>
  <c r="BX28" i="56"/>
  <c r="BU28" i="56"/>
  <c r="BR28" i="56"/>
  <c r="BO28" i="56"/>
  <c r="BL28" i="56"/>
  <c r="BI28" i="56"/>
  <c r="BF28" i="56"/>
  <c r="BC28" i="56"/>
  <c r="AZ28" i="56"/>
  <c r="AW28" i="56"/>
  <c r="AT28" i="56"/>
  <c r="AQ28" i="56"/>
  <c r="AN28" i="56"/>
  <c r="AK28" i="56"/>
  <c r="AB28" i="56"/>
  <c r="Y28" i="56"/>
  <c r="V28" i="56"/>
  <c r="S28" i="56"/>
  <c r="P28" i="56"/>
  <c r="M28" i="56"/>
  <c r="ED28" i="56" s="1"/>
  <c r="EE28" i="56" s="1"/>
  <c r="J28" i="56"/>
  <c r="G28" i="56"/>
  <c r="D28" i="56"/>
  <c r="EL27" i="56"/>
  <c r="EK27" i="56"/>
  <c r="EG27" i="56"/>
  <c r="EI27" i="56" s="1"/>
  <c r="EB27" i="56"/>
  <c r="DW27" i="56"/>
  <c r="DT27" i="56"/>
  <c r="DQ27" i="56"/>
  <c r="DN27" i="56"/>
  <c r="DK27" i="56"/>
  <c r="DH27" i="56"/>
  <c r="DE27" i="56"/>
  <c r="DB27" i="56"/>
  <c r="CY27" i="56"/>
  <c r="CV27" i="56"/>
  <c r="CS27" i="56"/>
  <c r="CP27" i="56"/>
  <c r="CM27" i="56"/>
  <c r="CJ27" i="56"/>
  <c r="CG27" i="56"/>
  <c r="CD27" i="56"/>
  <c r="CA27" i="56"/>
  <c r="BX27" i="56"/>
  <c r="BU27" i="56"/>
  <c r="BR27" i="56"/>
  <c r="BO27" i="56"/>
  <c r="BL27" i="56"/>
  <c r="BI27" i="56"/>
  <c r="BF27" i="56"/>
  <c r="BC27" i="56"/>
  <c r="AZ27" i="56"/>
  <c r="AW27" i="56"/>
  <c r="AT27" i="56"/>
  <c r="AQ27" i="56"/>
  <c r="AN27" i="56"/>
  <c r="AK27" i="56"/>
  <c r="AB27" i="56"/>
  <c r="Y27" i="56"/>
  <c r="V27" i="56"/>
  <c r="S27" i="56"/>
  <c r="P27" i="56"/>
  <c r="M27" i="56"/>
  <c r="J27" i="56"/>
  <c r="G27" i="56"/>
  <c r="D27" i="56"/>
  <c r="EL26" i="56"/>
  <c r="EK26" i="56"/>
  <c r="EG26" i="56"/>
  <c r="EI26" i="56" s="1"/>
  <c r="EB26" i="56"/>
  <c r="EC26" i="56" s="1"/>
  <c r="DW26" i="56"/>
  <c r="DT26" i="56"/>
  <c r="DQ26" i="56"/>
  <c r="DN26" i="56"/>
  <c r="DK26" i="56"/>
  <c r="DH26" i="56"/>
  <c r="DE26" i="56"/>
  <c r="DB26" i="56"/>
  <c r="CY26" i="56"/>
  <c r="CV26" i="56"/>
  <c r="CS26" i="56"/>
  <c r="CP26" i="56"/>
  <c r="CM26" i="56"/>
  <c r="CJ26" i="56"/>
  <c r="CG26" i="56"/>
  <c r="CD26" i="56"/>
  <c r="CA26" i="56"/>
  <c r="BX26" i="56"/>
  <c r="BU26" i="56"/>
  <c r="BR26" i="56"/>
  <c r="BO26" i="56"/>
  <c r="BL26" i="56"/>
  <c r="BI26" i="56"/>
  <c r="BF26" i="56"/>
  <c r="BC26" i="56"/>
  <c r="AZ26" i="56"/>
  <c r="AW26" i="56"/>
  <c r="AT26" i="56"/>
  <c r="AQ26" i="56"/>
  <c r="AN26" i="56"/>
  <c r="AK26" i="56"/>
  <c r="AB26" i="56"/>
  <c r="Y26" i="56"/>
  <c r="V26" i="56"/>
  <c r="S26" i="56"/>
  <c r="P26" i="56"/>
  <c r="M26" i="56"/>
  <c r="J26" i="56"/>
  <c r="G26" i="56"/>
  <c r="D26" i="56"/>
  <c r="EL25" i="56"/>
  <c r="EK25" i="56"/>
  <c r="EG25" i="56"/>
  <c r="EI25" i="56" s="1"/>
  <c r="EB25" i="56"/>
  <c r="DW25" i="56"/>
  <c r="DT25" i="56"/>
  <c r="DQ25" i="56"/>
  <c r="DN25" i="56"/>
  <c r="DK25" i="56"/>
  <c r="DH25" i="56"/>
  <c r="DE25" i="56"/>
  <c r="DB25" i="56"/>
  <c r="CY25" i="56"/>
  <c r="CV25" i="56"/>
  <c r="CS25" i="56"/>
  <c r="CP25" i="56"/>
  <c r="CM25" i="56"/>
  <c r="CJ25" i="56"/>
  <c r="CG25" i="56"/>
  <c r="CD25" i="56"/>
  <c r="CA25" i="56"/>
  <c r="BX25" i="56"/>
  <c r="BU25" i="56"/>
  <c r="BR25" i="56"/>
  <c r="BO25" i="56"/>
  <c r="BL25" i="56"/>
  <c r="BI25" i="56"/>
  <c r="BF25" i="56"/>
  <c r="BC25" i="56"/>
  <c r="AZ25" i="56"/>
  <c r="AW25" i="56"/>
  <c r="AT25" i="56"/>
  <c r="AQ25" i="56"/>
  <c r="AN25" i="56"/>
  <c r="AK25" i="56"/>
  <c r="AB25" i="56"/>
  <c r="Y25" i="56"/>
  <c r="V25" i="56"/>
  <c r="S25" i="56"/>
  <c r="P25" i="56"/>
  <c r="M25" i="56"/>
  <c r="J25" i="56"/>
  <c r="G25" i="56"/>
  <c r="D25" i="56"/>
  <c r="EL24" i="56"/>
  <c r="EK24" i="56"/>
  <c r="EG24" i="56"/>
  <c r="EI24" i="56" s="1"/>
  <c r="EB24" i="56"/>
  <c r="EC24" i="56" s="1"/>
  <c r="DW24" i="56"/>
  <c r="DT24" i="56"/>
  <c r="DQ24" i="56"/>
  <c r="DN24" i="56"/>
  <c r="DK24" i="56"/>
  <c r="DH24" i="56"/>
  <c r="DE24" i="56"/>
  <c r="DB24" i="56"/>
  <c r="CY24" i="56"/>
  <c r="CV24" i="56"/>
  <c r="CS24" i="56"/>
  <c r="CP24" i="56"/>
  <c r="CM24" i="56"/>
  <c r="CJ24" i="56"/>
  <c r="CG24" i="56"/>
  <c r="CD24" i="56"/>
  <c r="CA24" i="56"/>
  <c r="BX24" i="56"/>
  <c r="BU24" i="56"/>
  <c r="BR24" i="56"/>
  <c r="BO24" i="56"/>
  <c r="BL24" i="56"/>
  <c r="BI24" i="56"/>
  <c r="BF24" i="56"/>
  <c r="BC24" i="56"/>
  <c r="AZ24" i="56"/>
  <c r="AW24" i="56"/>
  <c r="AT24" i="56"/>
  <c r="AQ24" i="56"/>
  <c r="AN24" i="56"/>
  <c r="AK24" i="56"/>
  <c r="AB24" i="56"/>
  <c r="Y24" i="56"/>
  <c r="EH24" i="56" s="1"/>
  <c r="V24" i="56"/>
  <c r="S24" i="56"/>
  <c r="P24" i="56"/>
  <c r="M24" i="56"/>
  <c r="J24" i="56"/>
  <c r="G24" i="56"/>
  <c r="D24" i="56"/>
  <c r="EL23" i="56"/>
  <c r="EK23" i="56"/>
  <c r="EG23" i="56"/>
  <c r="EI23" i="56" s="1"/>
  <c r="EB23" i="56"/>
  <c r="DW23" i="56"/>
  <c r="DT23" i="56"/>
  <c r="DQ23" i="56"/>
  <c r="DN23" i="56"/>
  <c r="DK23" i="56"/>
  <c r="DH23" i="56"/>
  <c r="DE23" i="56"/>
  <c r="DB23" i="56"/>
  <c r="CY23" i="56"/>
  <c r="CV23" i="56"/>
  <c r="CS23" i="56"/>
  <c r="CP23" i="56"/>
  <c r="CM23" i="56"/>
  <c r="CJ23" i="56"/>
  <c r="CG23" i="56"/>
  <c r="CD23" i="56"/>
  <c r="CA23" i="56"/>
  <c r="BX23" i="56"/>
  <c r="BU23" i="56"/>
  <c r="BR23" i="56"/>
  <c r="BO23" i="56"/>
  <c r="BL23" i="56"/>
  <c r="BI23" i="56"/>
  <c r="BF23" i="56"/>
  <c r="BC23" i="56"/>
  <c r="AZ23" i="56"/>
  <c r="AW23" i="56"/>
  <c r="AT23" i="56"/>
  <c r="AQ23" i="56"/>
  <c r="AN23" i="56"/>
  <c r="AK23" i="56"/>
  <c r="AB23" i="56"/>
  <c r="Y23" i="56"/>
  <c r="V23" i="56"/>
  <c r="S23" i="56"/>
  <c r="EH23" i="56" s="1"/>
  <c r="P23" i="56"/>
  <c r="M23" i="56"/>
  <c r="J23" i="56"/>
  <c r="G23" i="56"/>
  <c r="D23" i="56"/>
  <c r="EL22" i="56"/>
  <c r="EK22" i="56"/>
  <c r="EG22" i="56"/>
  <c r="EI22" i="56" s="1"/>
  <c r="EB22" i="56"/>
  <c r="EC22" i="56" s="1"/>
  <c r="DW22" i="56"/>
  <c r="DT22" i="56"/>
  <c r="DQ22" i="56"/>
  <c r="DN22" i="56"/>
  <c r="DK22" i="56"/>
  <c r="DH22" i="56"/>
  <c r="DE22" i="56"/>
  <c r="DB22" i="56"/>
  <c r="CY22" i="56"/>
  <c r="CV22" i="56"/>
  <c r="CS22" i="56"/>
  <c r="CP22" i="56"/>
  <c r="CM22" i="56"/>
  <c r="CJ22" i="56"/>
  <c r="CG22" i="56"/>
  <c r="CD22" i="56"/>
  <c r="CA22" i="56"/>
  <c r="BX22" i="56"/>
  <c r="BU22" i="56"/>
  <c r="BR22" i="56"/>
  <c r="BO22" i="56"/>
  <c r="BL22" i="56"/>
  <c r="BI22" i="56"/>
  <c r="BF22" i="56"/>
  <c r="BC22" i="56"/>
  <c r="AZ22" i="56"/>
  <c r="AW22" i="56"/>
  <c r="AT22" i="56"/>
  <c r="AQ22" i="56"/>
  <c r="AN22" i="56"/>
  <c r="AK22" i="56"/>
  <c r="AB22" i="56"/>
  <c r="Y22" i="56"/>
  <c r="V22" i="56"/>
  <c r="S22" i="56"/>
  <c r="P22" i="56"/>
  <c r="M22" i="56"/>
  <c r="J22" i="56"/>
  <c r="G22" i="56"/>
  <c r="D22" i="56"/>
  <c r="EL21" i="56"/>
  <c r="EK21" i="56"/>
  <c r="EG21" i="56"/>
  <c r="EI21" i="56" s="1"/>
  <c r="EB21" i="56"/>
  <c r="EC21" i="56" s="1"/>
  <c r="DW21" i="56"/>
  <c r="DT21" i="56"/>
  <c r="EM21" i="56" s="1"/>
  <c r="DQ21" i="56"/>
  <c r="DN21" i="56"/>
  <c r="DK21" i="56"/>
  <c r="DH21" i="56"/>
  <c r="DE21" i="56"/>
  <c r="DB21" i="56"/>
  <c r="CY21" i="56"/>
  <c r="CV21" i="56"/>
  <c r="CS21" i="56"/>
  <c r="CP21" i="56"/>
  <c r="CM21" i="56"/>
  <c r="CJ21" i="56"/>
  <c r="CG21" i="56"/>
  <c r="CD21" i="56"/>
  <c r="CA21" i="56"/>
  <c r="BX21" i="56"/>
  <c r="BU21" i="56"/>
  <c r="BR21" i="56"/>
  <c r="BO21" i="56"/>
  <c r="BL21" i="56"/>
  <c r="BI21" i="56"/>
  <c r="BF21" i="56"/>
  <c r="BC21" i="56"/>
  <c r="AZ21" i="56"/>
  <c r="AW21" i="56"/>
  <c r="AT21" i="56"/>
  <c r="AQ21" i="56"/>
  <c r="AN21" i="56"/>
  <c r="AK21" i="56"/>
  <c r="AB21" i="56"/>
  <c r="Y21" i="56"/>
  <c r="V21" i="56"/>
  <c r="S21" i="56"/>
  <c r="P21" i="56"/>
  <c r="M21" i="56"/>
  <c r="J21" i="56"/>
  <c r="G21" i="56"/>
  <c r="D21" i="56"/>
  <c r="EL20" i="56"/>
  <c r="EK20" i="56"/>
  <c r="EG20" i="56"/>
  <c r="EI20" i="56" s="1"/>
  <c r="EB20" i="56"/>
  <c r="EC20" i="56" s="1"/>
  <c r="DW20" i="56"/>
  <c r="DT20" i="56"/>
  <c r="DQ20" i="56"/>
  <c r="DN20" i="56"/>
  <c r="DK20" i="56"/>
  <c r="DH20" i="56"/>
  <c r="DE20" i="56"/>
  <c r="DB20" i="56"/>
  <c r="CY20" i="56"/>
  <c r="CV20" i="56"/>
  <c r="CS20" i="56"/>
  <c r="CP20" i="56"/>
  <c r="CM20" i="56"/>
  <c r="CJ20" i="56"/>
  <c r="CG20" i="56"/>
  <c r="CD20" i="56"/>
  <c r="CA20" i="56"/>
  <c r="BX20" i="56"/>
  <c r="BU20" i="56"/>
  <c r="BR20" i="56"/>
  <c r="BO20" i="56"/>
  <c r="BL20" i="56"/>
  <c r="BI20" i="56"/>
  <c r="BF20" i="56"/>
  <c r="BC20" i="56"/>
  <c r="AZ20" i="56"/>
  <c r="AW20" i="56"/>
  <c r="AT20" i="56"/>
  <c r="AQ20" i="56"/>
  <c r="AN20" i="56"/>
  <c r="AK20" i="56"/>
  <c r="AB20" i="56"/>
  <c r="Y20" i="56"/>
  <c r="V20" i="56"/>
  <c r="S20" i="56"/>
  <c r="P20" i="56"/>
  <c r="M20" i="56"/>
  <c r="ED20" i="56" s="1"/>
  <c r="EE20" i="56" s="1"/>
  <c r="J20" i="56"/>
  <c r="G20" i="56"/>
  <c r="D20" i="56"/>
  <c r="EL19" i="56"/>
  <c r="EK19" i="56"/>
  <c r="EG19" i="56"/>
  <c r="EI19" i="56" s="1"/>
  <c r="EB19" i="56"/>
  <c r="EC19" i="56" s="1"/>
  <c r="DW19" i="56"/>
  <c r="DT19" i="56"/>
  <c r="DQ19" i="56"/>
  <c r="DN19" i="56"/>
  <c r="DK19" i="56"/>
  <c r="DH19" i="56"/>
  <c r="DE19" i="56"/>
  <c r="DB19" i="56"/>
  <c r="CY19" i="56"/>
  <c r="CV19" i="56"/>
  <c r="CS19" i="56"/>
  <c r="CP19" i="56"/>
  <c r="CM19" i="56"/>
  <c r="CJ19" i="56"/>
  <c r="CG19" i="56"/>
  <c r="CD19" i="56"/>
  <c r="CA19" i="56"/>
  <c r="BX19" i="56"/>
  <c r="BU19" i="56"/>
  <c r="BR19" i="56"/>
  <c r="BO19" i="56"/>
  <c r="BL19" i="56"/>
  <c r="BI19" i="56"/>
  <c r="BF19" i="56"/>
  <c r="BC19" i="56"/>
  <c r="AZ19" i="56"/>
  <c r="AW19" i="56"/>
  <c r="AT19" i="56"/>
  <c r="AQ19" i="56"/>
  <c r="AN19" i="56"/>
  <c r="AK19" i="56"/>
  <c r="AB19" i="56"/>
  <c r="Y19" i="56"/>
  <c r="V19" i="56"/>
  <c r="S19" i="56"/>
  <c r="P19" i="56"/>
  <c r="M19" i="56"/>
  <c r="J19" i="56"/>
  <c r="G19" i="56"/>
  <c r="D19" i="56"/>
  <c r="EL18" i="56"/>
  <c r="EK18" i="56"/>
  <c r="EI18" i="56"/>
  <c r="EG18" i="56"/>
  <c r="EB18" i="56"/>
  <c r="EC18" i="56" s="1"/>
  <c r="DW18" i="56"/>
  <c r="DT18" i="56"/>
  <c r="DQ18" i="56"/>
  <c r="DN18" i="56"/>
  <c r="DK18" i="56"/>
  <c r="DH18" i="56"/>
  <c r="DE18" i="56"/>
  <c r="DB18" i="56"/>
  <c r="CY18" i="56"/>
  <c r="CV18" i="56"/>
  <c r="CS18" i="56"/>
  <c r="CP18" i="56"/>
  <c r="CM18" i="56"/>
  <c r="CJ18" i="56"/>
  <c r="CG18" i="56"/>
  <c r="CD18" i="56"/>
  <c r="CA18" i="56"/>
  <c r="BX18" i="56"/>
  <c r="BU18" i="56"/>
  <c r="BR18" i="56"/>
  <c r="BO18" i="56"/>
  <c r="BL18" i="56"/>
  <c r="BI18" i="56"/>
  <c r="BF18" i="56"/>
  <c r="BC18" i="56"/>
  <c r="AZ18" i="56"/>
  <c r="AW18" i="56"/>
  <c r="AT18" i="56"/>
  <c r="AQ18" i="56"/>
  <c r="AN18" i="56"/>
  <c r="AK18" i="56"/>
  <c r="AB18" i="56"/>
  <c r="Y18" i="56"/>
  <c r="V18" i="56"/>
  <c r="S18" i="56"/>
  <c r="P18" i="56"/>
  <c r="M18" i="56"/>
  <c r="J18" i="56"/>
  <c r="G18" i="56"/>
  <c r="D18" i="56"/>
  <c r="EL17" i="56"/>
  <c r="EK17" i="56"/>
  <c r="EG17" i="56"/>
  <c r="EI17" i="56" s="1"/>
  <c r="EB17" i="56"/>
  <c r="DW17" i="56"/>
  <c r="DT17" i="56"/>
  <c r="DQ17" i="56"/>
  <c r="DN17" i="56"/>
  <c r="DK17" i="56"/>
  <c r="DH17" i="56"/>
  <c r="DE17" i="56"/>
  <c r="DB17" i="56"/>
  <c r="CY17" i="56"/>
  <c r="CV17" i="56"/>
  <c r="CS17" i="56"/>
  <c r="CP17" i="56"/>
  <c r="CM17" i="56"/>
  <c r="CJ17" i="56"/>
  <c r="CG17" i="56"/>
  <c r="CD17" i="56"/>
  <c r="CA17" i="56"/>
  <c r="BX17" i="56"/>
  <c r="BU17" i="56"/>
  <c r="BR17" i="56"/>
  <c r="BO17" i="56"/>
  <c r="BL17" i="56"/>
  <c r="BI17" i="56"/>
  <c r="BF17" i="56"/>
  <c r="BC17" i="56"/>
  <c r="AZ17" i="56"/>
  <c r="AW17" i="56"/>
  <c r="AT17" i="56"/>
  <c r="AQ17" i="56"/>
  <c r="AN17" i="56"/>
  <c r="AK17" i="56"/>
  <c r="AB17" i="56"/>
  <c r="Y17" i="56"/>
  <c r="V17" i="56"/>
  <c r="S17" i="56"/>
  <c r="EH17" i="56" s="1"/>
  <c r="P17" i="56"/>
  <c r="M17" i="56"/>
  <c r="J17" i="56"/>
  <c r="G17" i="56"/>
  <c r="D17" i="56"/>
  <c r="EL16" i="56"/>
  <c r="EK16" i="56"/>
  <c r="EG16" i="56"/>
  <c r="EI16" i="56" s="1"/>
  <c r="EB16" i="56"/>
  <c r="EC16" i="56" s="1"/>
  <c r="DW16" i="56"/>
  <c r="DT16" i="56"/>
  <c r="DQ16" i="56"/>
  <c r="DN16" i="56"/>
  <c r="DK16" i="56"/>
  <c r="DH16" i="56"/>
  <c r="DE16" i="56"/>
  <c r="DB16" i="56"/>
  <c r="CY16" i="56"/>
  <c r="CV16" i="56"/>
  <c r="CS16" i="56"/>
  <c r="CP16" i="56"/>
  <c r="CM16" i="56"/>
  <c r="CJ16" i="56"/>
  <c r="CG16" i="56"/>
  <c r="CD16" i="56"/>
  <c r="CA16" i="56"/>
  <c r="BX16" i="56"/>
  <c r="BU16" i="56"/>
  <c r="BR16" i="56"/>
  <c r="BO16" i="56"/>
  <c r="BL16" i="56"/>
  <c r="BI16" i="56"/>
  <c r="BF16" i="56"/>
  <c r="BC16" i="56"/>
  <c r="AZ16" i="56"/>
  <c r="AW16" i="56"/>
  <c r="AT16" i="56"/>
  <c r="AQ16" i="56"/>
  <c r="AN16" i="56"/>
  <c r="AK16" i="56"/>
  <c r="AB16" i="56"/>
  <c r="Y16" i="56"/>
  <c r="EH16" i="56" s="1"/>
  <c r="V16" i="56"/>
  <c r="S16" i="56"/>
  <c r="P16" i="56"/>
  <c r="M16" i="56"/>
  <c r="J16" i="56"/>
  <c r="G16" i="56"/>
  <c r="D16" i="56"/>
  <c r="EL15" i="56"/>
  <c r="EK15" i="56"/>
  <c r="EG15" i="56"/>
  <c r="EI15" i="56" s="1"/>
  <c r="EB15" i="56"/>
  <c r="DW15" i="56"/>
  <c r="DT15" i="56"/>
  <c r="DQ15" i="56"/>
  <c r="DN15" i="56"/>
  <c r="DK15" i="56"/>
  <c r="DH15" i="56"/>
  <c r="DE15" i="56"/>
  <c r="DB15" i="56"/>
  <c r="CY15" i="56"/>
  <c r="CV15" i="56"/>
  <c r="CS15" i="56"/>
  <c r="CP15" i="56"/>
  <c r="CM15" i="56"/>
  <c r="CJ15" i="56"/>
  <c r="CG15" i="56"/>
  <c r="CD15" i="56"/>
  <c r="CA15" i="56"/>
  <c r="BX15" i="56"/>
  <c r="BU15" i="56"/>
  <c r="BR15" i="56"/>
  <c r="BO15" i="56"/>
  <c r="BL15" i="56"/>
  <c r="BI15" i="56"/>
  <c r="BF15" i="56"/>
  <c r="BC15" i="56"/>
  <c r="AZ15" i="56"/>
  <c r="AW15" i="56"/>
  <c r="AT15" i="56"/>
  <c r="AQ15" i="56"/>
  <c r="AN15" i="56"/>
  <c r="AK15" i="56"/>
  <c r="AB15" i="56"/>
  <c r="Y15" i="56"/>
  <c r="V15" i="56"/>
  <c r="S15" i="56"/>
  <c r="EH15" i="56" s="1"/>
  <c r="P15" i="56"/>
  <c r="M15" i="56"/>
  <c r="J15" i="56"/>
  <c r="G15" i="56"/>
  <c r="D15" i="56"/>
  <c r="EL14" i="56"/>
  <c r="EK14" i="56"/>
  <c r="EG14" i="56"/>
  <c r="EI14" i="56" s="1"/>
  <c r="EB14" i="56"/>
  <c r="EC14" i="56" s="1"/>
  <c r="DW14" i="56"/>
  <c r="DT14" i="56"/>
  <c r="DQ14" i="56"/>
  <c r="DN14" i="56"/>
  <c r="DK14" i="56"/>
  <c r="DH14" i="56"/>
  <c r="DE14" i="56"/>
  <c r="DB14" i="56"/>
  <c r="CY14" i="56"/>
  <c r="CV14" i="56"/>
  <c r="CS14" i="56"/>
  <c r="CP14" i="56"/>
  <c r="CM14" i="56"/>
  <c r="CJ14" i="56"/>
  <c r="CG14" i="56"/>
  <c r="CD14" i="56"/>
  <c r="CA14" i="56"/>
  <c r="BX14" i="56"/>
  <c r="BU14" i="56"/>
  <c r="BR14" i="56"/>
  <c r="BO14" i="56"/>
  <c r="BL14" i="56"/>
  <c r="BI14" i="56"/>
  <c r="BF14" i="56"/>
  <c r="BC14" i="56"/>
  <c r="AZ14" i="56"/>
  <c r="AW14" i="56"/>
  <c r="AT14" i="56"/>
  <c r="AQ14" i="56"/>
  <c r="AN14" i="56"/>
  <c r="AK14" i="56"/>
  <c r="AB14" i="56"/>
  <c r="Y14" i="56"/>
  <c r="V14" i="56"/>
  <c r="S14" i="56"/>
  <c r="P14" i="56"/>
  <c r="M14" i="56"/>
  <c r="J14" i="56"/>
  <c r="G14" i="56"/>
  <c r="D14" i="56"/>
  <c r="EL13" i="56"/>
  <c r="EK13" i="56"/>
  <c r="EG13" i="56"/>
  <c r="EI13" i="56" s="1"/>
  <c r="EB13" i="56"/>
  <c r="EC13" i="56" s="1"/>
  <c r="DW13" i="56"/>
  <c r="DT13" i="56"/>
  <c r="EM13" i="56" s="1"/>
  <c r="DQ13" i="56"/>
  <c r="DN13" i="56"/>
  <c r="DK13" i="56"/>
  <c r="DH13" i="56"/>
  <c r="DE13" i="56"/>
  <c r="DB13" i="56"/>
  <c r="CY13" i="56"/>
  <c r="CV13" i="56"/>
  <c r="CS13" i="56"/>
  <c r="CP13" i="56"/>
  <c r="CM13" i="56"/>
  <c r="CJ13" i="56"/>
  <c r="CG13" i="56"/>
  <c r="CD13" i="56"/>
  <c r="CA13" i="56"/>
  <c r="BX13" i="56"/>
  <c r="BU13" i="56"/>
  <c r="BR13" i="56"/>
  <c r="BO13" i="56"/>
  <c r="BL13" i="56"/>
  <c r="BI13" i="56"/>
  <c r="BF13" i="56"/>
  <c r="BC13" i="56"/>
  <c r="AZ13" i="56"/>
  <c r="AW13" i="56"/>
  <c r="AT13" i="56"/>
  <c r="AQ13" i="56"/>
  <c r="AN13" i="56"/>
  <c r="AK13" i="56"/>
  <c r="AB13" i="56"/>
  <c r="Y13" i="56"/>
  <c r="V13" i="56"/>
  <c r="V39" i="56" s="1"/>
  <c r="S13" i="56"/>
  <c r="P13" i="56"/>
  <c r="M13" i="56"/>
  <c r="J13" i="56"/>
  <c r="G13" i="56"/>
  <c r="D13" i="56"/>
  <c r="EL12" i="56"/>
  <c r="EK12" i="56"/>
  <c r="EG12" i="56"/>
  <c r="EI12" i="56" s="1"/>
  <c r="EB12" i="56"/>
  <c r="EC12" i="56" s="1"/>
  <c r="DW12" i="56"/>
  <c r="DT12" i="56"/>
  <c r="DQ12" i="56"/>
  <c r="DN12" i="56"/>
  <c r="DK12" i="56"/>
  <c r="DH12" i="56"/>
  <c r="DE12" i="56"/>
  <c r="DB12" i="56"/>
  <c r="CY12" i="56"/>
  <c r="CV12" i="56"/>
  <c r="CS12" i="56"/>
  <c r="CP12" i="56"/>
  <c r="CM12" i="56"/>
  <c r="CJ12" i="56"/>
  <c r="CG12" i="56"/>
  <c r="CD12" i="56"/>
  <c r="CA12" i="56"/>
  <c r="BX12" i="56"/>
  <c r="BU12" i="56"/>
  <c r="BR12" i="56"/>
  <c r="BO12" i="56"/>
  <c r="BL12" i="56"/>
  <c r="BI12" i="56"/>
  <c r="BF12" i="56"/>
  <c r="BC12" i="56"/>
  <c r="AZ12" i="56"/>
  <c r="AW12" i="56"/>
  <c r="AT12" i="56"/>
  <c r="AQ12" i="56"/>
  <c r="AN12" i="56"/>
  <c r="AK12" i="56"/>
  <c r="AB12" i="56"/>
  <c r="Y12" i="56"/>
  <c r="V12" i="56"/>
  <c r="S12" i="56"/>
  <c r="P12" i="56"/>
  <c r="M12" i="56"/>
  <c r="ED12" i="56" s="1"/>
  <c r="EE12" i="56" s="1"/>
  <c r="J12" i="56"/>
  <c r="G12" i="56"/>
  <c r="D12" i="56"/>
  <c r="A12" i="56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38" i="56" s="1"/>
  <c r="EL11" i="56"/>
  <c r="EK11" i="56"/>
  <c r="EG11" i="56"/>
  <c r="EI11" i="56" s="1"/>
  <c r="EB11" i="56"/>
  <c r="DW11" i="56"/>
  <c r="DT11" i="56"/>
  <c r="DQ11" i="56"/>
  <c r="DN11" i="56"/>
  <c r="DK11" i="56"/>
  <c r="DH11" i="56"/>
  <c r="DE11" i="56"/>
  <c r="DE39" i="56" s="1"/>
  <c r="DB11" i="56"/>
  <c r="CY11" i="56"/>
  <c r="CV11" i="56"/>
  <c r="CS11" i="56"/>
  <c r="CP11" i="56"/>
  <c r="CM11" i="56"/>
  <c r="CJ11" i="56"/>
  <c r="CG11" i="56"/>
  <c r="CG39" i="56" s="1"/>
  <c r="CD11" i="56"/>
  <c r="CA11" i="56"/>
  <c r="BX11" i="56"/>
  <c r="BU11" i="56"/>
  <c r="BR11" i="56"/>
  <c r="BO11" i="56"/>
  <c r="BL11" i="56"/>
  <c r="BI11" i="56"/>
  <c r="BI39" i="56" s="1"/>
  <c r="BF11" i="56"/>
  <c r="BC11" i="56"/>
  <c r="AZ11" i="56"/>
  <c r="AW11" i="56"/>
  <c r="AT11" i="56"/>
  <c r="AQ11" i="56"/>
  <c r="AN11" i="56"/>
  <c r="AK11" i="56"/>
  <c r="AK39" i="56" s="1"/>
  <c r="AH39" i="56"/>
  <c r="AE39" i="56"/>
  <c r="AB11" i="56"/>
  <c r="Y11" i="56"/>
  <c r="V11" i="56"/>
  <c r="S11" i="56"/>
  <c r="EH11" i="56" s="1"/>
  <c r="P11" i="56"/>
  <c r="M11" i="56"/>
  <c r="M39" i="56" s="1"/>
  <c r="J11" i="56"/>
  <c r="G11" i="56"/>
  <c r="D11" i="56"/>
  <c r="EN2" i="56"/>
  <c r="EP2" i="56" s="1"/>
  <c r="EI2" i="56"/>
  <c r="EE2" i="56"/>
  <c r="EQ2" i="56" s="1"/>
  <c r="G4" i="56" s="1"/>
  <c r="BL39" i="56" l="1"/>
  <c r="EN3" i="56"/>
  <c r="EM16" i="56"/>
  <c r="EN16" i="56" s="1"/>
  <c r="ED18" i="56"/>
  <c r="EH37" i="56"/>
  <c r="ED29" i="56"/>
  <c r="EE29" i="56" s="1"/>
  <c r="ED37" i="56"/>
  <c r="EE37" i="56" s="1"/>
  <c r="Y39" i="56"/>
  <c r="AW39" i="56"/>
  <c r="BU39" i="56"/>
  <c r="CS39" i="56"/>
  <c r="DQ39" i="56"/>
  <c r="EH12" i="56"/>
  <c r="EM14" i="56"/>
  <c r="ED15" i="56"/>
  <c r="EC15" i="56"/>
  <c r="ED16" i="56"/>
  <c r="EE16" i="56" s="1"/>
  <c r="EM17" i="56"/>
  <c r="EN17" i="56" s="1"/>
  <c r="EH20" i="56"/>
  <c r="ED23" i="56"/>
  <c r="EE23" i="56" s="1"/>
  <c r="ED24" i="56"/>
  <c r="EE24" i="56" s="1"/>
  <c r="EH25" i="56"/>
  <c r="EM25" i="56"/>
  <c r="EN25" i="56" s="1"/>
  <c r="EM26" i="56"/>
  <c r="EM27" i="56"/>
  <c r="EH28" i="56"/>
  <c r="ED32" i="56"/>
  <c r="EE32" i="56" s="1"/>
  <c r="EH33" i="56"/>
  <c r="EM33" i="56"/>
  <c r="EN33" i="56" s="1"/>
  <c r="EM34" i="56"/>
  <c r="EM35" i="56"/>
  <c r="EN35" i="56" s="1"/>
  <c r="EH36" i="56"/>
  <c r="EM29" i="56"/>
  <c r="EM30" i="56"/>
  <c r="EM37" i="56"/>
  <c r="EM38" i="56"/>
  <c r="EN38" i="56" s="1"/>
  <c r="AN39" i="56"/>
  <c r="ED35" i="56"/>
  <c r="EE35" i="56" s="1"/>
  <c r="ED21" i="56"/>
  <c r="EE21" i="56" s="1"/>
  <c r="EH34" i="56"/>
  <c r="ED26" i="56"/>
  <c r="EE26" i="56" s="1"/>
  <c r="D39" i="56"/>
  <c r="EH14" i="56"/>
  <c r="EH19" i="56"/>
  <c r="EH22" i="56"/>
  <c r="ED31" i="56"/>
  <c r="EE31" i="56" s="1"/>
  <c r="ED19" i="56"/>
  <c r="EE19" i="56" s="1"/>
  <c r="DH39" i="56"/>
  <c r="AQ39" i="56"/>
  <c r="EM11" i="56"/>
  <c r="ED13" i="56"/>
  <c r="EE13" i="56" s="1"/>
  <c r="EM19" i="56"/>
  <c r="EN19" i="56" s="1"/>
  <c r="EN27" i="56"/>
  <c r="EC35" i="56"/>
  <c r="AZ39" i="56"/>
  <c r="CV39" i="56"/>
  <c r="DW39" i="56"/>
  <c r="AT39" i="56"/>
  <c r="CP39" i="56"/>
  <c r="ED14" i="56"/>
  <c r="EE14" i="56" s="1"/>
  <c r="ED17" i="56"/>
  <c r="EE17" i="56" s="1"/>
  <c r="EC17" i="56"/>
  <c r="EN18" i="56"/>
  <c r="ED22" i="56"/>
  <c r="EM24" i="56"/>
  <c r="EN24" i="56" s="1"/>
  <c r="EH27" i="56"/>
  <c r="EH30" i="56"/>
  <c r="EM32" i="56"/>
  <c r="EN32" i="56" s="1"/>
  <c r="EH35" i="56"/>
  <c r="P39" i="56"/>
  <c r="CJ39" i="56"/>
  <c r="EH18" i="56"/>
  <c r="ED27" i="56"/>
  <c r="EE27" i="56" s="1"/>
  <c r="BO39" i="56"/>
  <c r="CM39" i="56"/>
  <c r="EM20" i="56"/>
  <c r="EN20" i="56" s="1"/>
  <c r="EH26" i="56"/>
  <c r="EM28" i="56"/>
  <c r="EN28" i="56" s="1"/>
  <c r="EM36" i="56"/>
  <c r="EN36" i="56" s="1"/>
  <c r="ED34" i="56"/>
  <c r="EE34" i="56" s="1"/>
  <c r="AB39" i="56"/>
  <c r="BX39" i="56"/>
  <c r="DT39" i="56"/>
  <c r="G39" i="56"/>
  <c r="BC39" i="56"/>
  <c r="CA39" i="56"/>
  <c r="CY39" i="56"/>
  <c r="EM12" i="56"/>
  <c r="EN12" i="56" s="1"/>
  <c r="BR39" i="56"/>
  <c r="DN39" i="56"/>
  <c r="J39" i="56"/>
  <c r="BF39" i="56"/>
  <c r="CD39" i="56"/>
  <c r="DB39" i="56"/>
  <c r="EE3" i="56"/>
  <c r="EH13" i="56"/>
  <c r="EH39" i="56" s="1"/>
  <c r="EM15" i="56"/>
  <c r="EM18" i="56"/>
  <c r="EH21" i="56"/>
  <c r="EM22" i="56"/>
  <c r="EN22" i="56" s="1"/>
  <c r="EM23" i="56"/>
  <c r="EC23" i="56"/>
  <c r="ED25" i="56"/>
  <c r="EE25" i="56" s="1"/>
  <c r="EC25" i="56"/>
  <c r="ED30" i="56"/>
  <c r="EE30" i="56" s="1"/>
  <c r="EC31" i="56"/>
  <c r="ED33" i="56"/>
  <c r="EE33" i="56" s="1"/>
  <c r="EC33" i="56"/>
  <c r="ED38" i="56"/>
  <c r="EE38" i="56" s="1"/>
  <c r="EE22" i="56"/>
  <c r="EN26" i="56"/>
  <c r="EN34" i="56"/>
  <c r="G5" i="56"/>
  <c r="EN15" i="56"/>
  <c r="EN21" i="56"/>
  <c r="EN13" i="56"/>
  <c r="EN14" i="56"/>
  <c r="EE18" i="56"/>
  <c r="EN29" i="56"/>
  <c r="EN30" i="56"/>
  <c r="EN37" i="56"/>
  <c r="EE5" i="56"/>
  <c r="G7" i="56" s="1"/>
  <c r="EC11" i="56"/>
  <c r="EC27" i="56"/>
  <c r="EI3" i="56"/>
  <c r="EI4" i="56" s="1"/>
  <c r="EI5" i="56"/>
  <c r="ED11" i="56"/>
  <c r="EN11" i="56"/>
  <c r="EN23" i="56"/>
  <c r="EN31" i="56"/>
  <c r="S39" i="56"/>
  <c r="DK39" i="56"/>
  <c r="EN5" i="56"/>
  <c r="EE15" i="56"/>
  <c r="ED39" i="56" l="1"/>
  <c r="EM39" i="56"/>
  <c r="EN4" i="56"/>
  <c r="EE11" i="56"/>
  <c r="EE4" i="56"/>
  <c r="G6" i="56" s="1"/>
  <c r="I28" i="4" l="1"/>
  <c r="I28" i="63"/>
  <c r="H28" i="62"/>
  <c r="EL41" i="55"/>
  <c r="EG41" i="55"/>
  <c r="EI41" i="55" s="1"/>
  <c r="DW41" i="55"/>
  <c r="DT41" i="55"/>
  <c r="DQ41" i="55"/>
  <c r="DN41" i="55"/>
  <c r="DK41" i="55"/>
  <c r="DH41" i="55"/>
  <c r="DE41" i="55"/>
  <c r="DB41" i="55"/>
  <c r="CY41" i="55"/>
  <c r="CV41" i="55"/>
  <c r="CS41" i="55"/>
  <c r="CP41" i="55"/>
  <c r="CM41" i="55"/>
  <c r="CJ41" i="55"/>
  <c r="CG41" i="55"/>
  <c r="CD41" i="55"/>
  <c r="CA41" i="55"/>
  <c r="BX41" i="55"/>
  <c r="BU41" i="55"/>
  <c r="BR41" i="55"/>
  <c r="BO41" i="55"/>
  <c r="BL41" i="55"/>
  <c r="BI41" i="55"/>
  <c r="BD41" i="55"/>
  <c r="BC41" i="55"/>
  <c r="BA41" i="55"/>
  <c r="AZ41" i="55"/>
  <c r="AU41" i="55"/>
  <c r="AW41" i="55" s="1"/>
  <c r="AT41" i="55"/>
  <c r="AO41" i="55"/>
  <c r="EB41" i="55" s="1"/>
  <c r="AN41" i="55"/>
  <c r="AI41" i="55"/>
  <c r="AK41" i="55" s="1"/>
  <c r="AB41" i="55"/>
  <c r="Y41" i="55"/>
  <c r="V41" i="55"/>
  <c r="S41" i="55"/>
  <c r="EH41" i="55" s="1"/>
  <c r="P41" i="55"/>
  <c r="M41" i="55"/>
  <c r="J41" i="55"/>
  <c r="G41" i="55"/>
  <c r="D41" i="55"/>
  <c r="EL40" i="55"/>
  <c r="EG40" i="55"/>
  <c r="EI2" i="55" s="1"/>
  <c r="DW40" i="55"/>
  <c r="DT40" i="55"/>
  <c r="DQ40" i="55"/>
  <c r="DN40" i="55"/>
  <c r="DK40" i="55"/>
  <c r="DH40" i="55"/>
  <c r="DE40" i="55"/>
  <c r="DB40" i="55"/>
  <c r="CY40" i="55"/>
  <c r="CV40" i="55"/>
  <c r="CS40" i="55"/>
  <c r="CP40" i="55"/>
  <c r="CM40" i="55"/>
  <c r="CJ40" i="55"/>
  <c r="CG40" i="55"/>
  <c r="CD40" i="55"/>
  <c r="CA40" i="55"/>
  <c r="BX40" i="55"/>
  <c r="BU40" i="55"/>
  <c r="BR40" i="55"/>
  <c r="BO40" i="55"/>
  <c r="BL40" i="55"/>
  <c r="BI40" i="55"/>
  <c r="BF40" i="55"/>
  <c r="BA40" i="55"/>
  <c r="EK40" i="55" s="1"/>
  <c r="AZ40" i="55"/>
  <c r="AU40" i="55"/>
  <c r="AW40" i="55" s="1"/>
  <c r="AT40" i="55"/>
  <c r="AO40" i="55"/>
  <c r="AN40" i="55"/>
  <c r="AK40" i="55"/>
  <c r="AB40" i="55"/>
  <c r="Y40" i="55"/>
  <c r="V40" i="55"/>
  <c r="S40" i="55"/>
  <c r="P40" i="55"/>
  <c r="M40" i="55"/>
  <c r="J40" i="55"/>
  <c r="G40" i="55"/>
  <c r="D40" i="55"/>
  <c r="EL39" i="55"/>
  <c r="EG39" i="55"/>
  <c r="EI39" i="55" s="1"/>
  <c r="DW39" i="55"/>
  <c r="DT39" i="55"/>
  <c r="DQ39" i="55"/>
  <c r="DN39" i="55"/>
  <c r="DK39" i="55"/>
  <c r="DH39" i="55"/>
  <c r="DE39" i="55"/>
  <c r="DB39" i="55"/>
  <c r="CY39" i="55"/>
  <c r="CV39" i="55"/>
  <c r="CS39" i="55"/>
  <c r="CP39" i="55"/>
  <c r="CM39" i="55"/>
  <c r="CJ39" i="55"/>
  <c r="CG39" i="55"/>
  <c r="CD39" i="55"/>
  <c r="CA39" i="55"/>
  <c r="BX39" i="55"/>
  <c r="BU39" i="55"/>
  <c r="BR39" i="55"/>
  <c r="BO39" i="55"/>
  <c r="BL39" i="55"/>
  <c r="BI39" i="55"/>
  <c r="BF39" i="55"/>
  <c r="BA39" i="55"/>
  <c r="BC39" i="55" s="1"/>
  <c r="AZ39" i="55"/>
  <c r="AU39" i="55"/>
  <c r="AW39" i="55" s="1"/>
  <c r="AT39" i="55"/>
  <c r="AO39" i="55"/>
  <c r="AQ39" i="55" s="1"/>
  <c r="AN39" i="55"/>
  <c r="AK39" i="55"/>
  <c r="AB39" i="55"/>
  <c r="Y39" i="55"/>
  <c r="V39" i="55"/>
  <c r="EH39" i="55" s="1"/>
  <c r="S39" i="55"/>
  <c r="P39" i="55"/>
  <c r="M39" i="55"/>
  <c r="J39" i="55"/>
  <c r="G39" i="55"/>
  <c r="D39" i="55"/>
  <c r="EL38" i="55"/>
  <c r="EI38" i="55"/>
  <c r="EG38" i="55"/>
  <c r="DW38" i="55"/>
  <c r="DT38" i="55"/>
  <c r="DQ38" i="55"/>
  <c r="DN38" i="55"/>
  <c r="DK38" i="55"/>
  <c r="DH38" i="55"/>
  <c r="DE38" i="55"/>
  <c r="DB38" i="55"/>
  <c r="CY38" i="55"/>
  <c r="CV38" i="55"/>
  <c r="CS38" i="55"/>
  <c r="CP38" i="55"/>
  <c r="CM38" i="55"/>
  <c r="CJ38" i="55"/>
  <c r="CG38" i="55"/>
  <c r="CD38" i="55"/>
  <c r="CA38" i="55"/>
  <c r="BX38" i="55"/>
  <c r="BU38" i="55"/>
  <c r="BR38" i="55"/>
  <c r="BO38" i="55"/>
  <c r="BL38" i="55"/>
  <c r="BI38" i="55"/>
  <c r="BF38" i="55"/>
  <c r="BA38" i="55"/>
  <c r="EK38" i="55" s="1"/>
  <c r="AZ38" i="55"/>
  <c r="AW38" i="55"/>
  <c r="AU38" i="55"/>
  <c r="AT38" i="55"/>
  <c r="AO38" i="55"/>
  <c r="AN38" i="55"/>
  <c r="AK38" i="55"/>
  <c r="AB38" i="55"/>
  <c r="Y38" i="55"/>
  <c r="V38" i="55"/>
  <c r="S38" i="55"/>
  <c r="EH38" i="55" s="1"/>
  <c r="P38" i="55"/>
  <c r="M38" i="55"/>
  <c r="J38" i="55"/>
  <c r="G38" i="55"/>
  <c r="D38" i="55"/>
  <c r="EL37" i="55"/>
  <c r="EI37" i="55"/>
  <c r="EG37" i="55"/>
  <c r="DW37" i="55"/>
  <c r="DT37" i="55"/>
  <c r="DQ37" i="55"/>
  <c r="DN37" i="55"/>
  <c r="DK37" i="55"/>
  <c r="DH37" i="55"/>
  <c r="DE37" i="55"/>
  <c r="DB37" i="55"/>
  <c r="CY37" i="55"/>
  <c r="CV37" i="55"/>
  <c r="CS37" i="55"/>
  <c r="CP37" i="55"/>
  <c r="CM37" i="55"/>
  <c r="CJ37" i="55"/>
  <c r="CG37" i="55"/>
  <c r="CD37" i="55"/>
  <c r="CA37" i="55"/>
  <c r="BX37" i="55"/>
  <c r="BU37" i="55"/>
  <c r="BR37" i="55"/>
  <c r="BO37" i="55"/>
  <c r="BL37" i="55"/>
  <c r="BI37" i="55"/>
  <c r="BF37" i="55"/>
  <c r="BA37" i="55"/>
  <c r="AZ37" i="55"/>
  <c r="AU37" i="55"/>
  <c r="AW37" i="55" s="1"/>
  <c r="AT37" i="55"/>
  <c r="AO37" i="55"/>
  <c r="AN37" i="55"/>
  <c r="AK37" i="55"/>
  <c r="AB37" i="55"/>
  <c r="Y37" i="55"/>
  <c r="V37" i="55"/>
  <c r="S37" i="55"/>
  <c r="EH37" i="55" s="1"/>
  <c r="P37" i="55"/>
  <c r="M37" i="55"/>
  <c r="J37" i="55"/>
  <c r="G37" i="55"/>
  <c r="D37" i="55"/>
  <c r="EL36" i="55"/>
  <c r="EI36" i="55"/>
  <c r="EG36" i="55"/>
  <c r="DW36" i="55"/>
  <c r="DT36" i="55"/>
  <c r="DQ36" i="55"/>
  <c r="DN36" i="55"/>
  <c r="DK36" i="55"/>
  <c r="DH36" i="55"/>
  <c r="DE36" i="55"/>
  <c r="DB36" i="55"/>
  <c r="CY36" i="55"/>
  <c r="CV36" i="55"/>
  <c r="CS36" i="55"/>
  <c r="CP36" i="55"/>
  <c r="CM36" i="55"/>
  <c r="CJ36" i="55"/>
  <c r="CG36" i="55"/>
  <c r="CD36" i="55"/>
  <c r="CA36" i="55"/>
  <c r="BX36" i="55"/>
  <c r="BU36" i="55"/>
  <c r="BR36" i="55"/>
  <c r="BO36" i="55"/>
  <c r="BL36" i="55"/>
  <c r="BI36" i="55"/>
  <c r="BF36" i="55"/>
  <c r="BC36" i="55"/>
  <c r="BA36" i="55"/>
  <c r="AZ36" i="55"/>
  <c r="AW36" i="55"/>
  <c r="AU36" i="55"/>
  <c r="AT36" i="55"/>
  <c r="AO36" i="55"/>
  <c r="AQ36" i="55" s="1"/>
  <c r="AN36" i="55"/>
  <c r="AK36" i="55"/>
  <c r="AB36" i="55"/>
  <c r="Y36" i="55"/>
  <c r="V36" i="55"/>
  <c r="S36" i="55"/>
  <c r="P36" i="55"/>
  <c r="M36" i="55"/>
  <c r="J36" i="55"/>
  <c r="G36" i="55"/>
  <c r="D36" i="55"/>
  <c r="EL35" i="55"/>
  <c r="EI35" i="55"/>
  <c r="EG35" i="55"/>
  <c r="DW35" i="55"/>
  <c r="DT35" i="55"/>
  <c r="DQ35" i="55"/>
  <c r="DN35" i="55"/>
  <c r="DK35" i="55"/>
  <c r="DH35" i="55"/>
  <c r="DE35" i="55"/>
  <c r="DB35" i="55"/>
  <c r="CY35" i="55"/>
  <c r="CV35" i="55"/>
  <c r="CS35" i="55"/>
  <c r="CP35" i="55"/>
  <c r="CM35" i="55"/>
  <c r="CJ35" i="55"/>
  <c r="CG35" i="55"/>
  <c r="CD35" i="55"/>
  <c r="CA35" i="55"/>
  <c r="BX35" i="55"/>
  <c r="BU35" i="55"/>
  <c r="BR35" i="55"/>
  <c r="BO35" i="55"/>
  <c r="BL35" i="55"/>
  <c r="BI35" i="55"/>
  <c r="BF35" i="55"/>
  <c r="BC35" i="55"/>
  <c r="BA35" i="55"/>
  <c r="AZ35" i="55"/>
  <c r="AU35" i="55"/>
  <c r="AW35" i="55" s="1"/>
  <c r="AT35" i="55"/>
  <c r="AO35" i="55"/>
  <c r="AQ35" i="55" s="1"/>
  <c r="AN35" i="55"/>
  <c r="AK35" i="55"/>
  <c r="AB35" i="55"/>
  <c r="Y35" i="55"/>
  <c r="V35" i="55"/>
  <c r="S35" i="55"/>
  <c r="P35" i="55"/>
  <c r="M35" i="55"/>
  <c r="J35" i="55"/>
  <c r="G35" i="55"/>
  <c r="D35" i="55"/>
  <c r="EL34" i="55"/>
  <c r="EG34" i="55"/>
  <c r="EI34" i="55" s="1"/>
  <c r="DW34" i="55"/>
  <c r="DT34" i="55"/>
  <c r="DQ34" i="55"/>
  <c r="DN34" i="55"/>
  <c r="DK34" i="55"/>
  <c r="DH34" i="55"/>
  <c r="DE34" i="55"/>
  <c r="DB34" i="55"/>
  <c r="CY34" i="55"/>
  <c r="CV34" i="55"/>
  <c r="CS34" i="55"/>
  <c r="CP34" i="55"/>
  <c r="CM34" i="55"/>
  <c r="CJ34" i="55"/>
  <c r="CG34" i="55"/>
  <c r="CD34" i="55"/>
  <c r="CA34" i="55"/>
  <c r="BX34" i="55"/>
  <c r="BU34" i="55"/>
  <c r="BR34" i="55"/>
  <c r="BO34" i="55"/>
  <c r="BL34" i="55"/>
  <c r="BI34" i="55"/>
  <c r="BF34" i="55"/>
  <c r="BA34" i="55"/>
  <c r="BC34" i="55" s="1"/>
  <c r="AZ34" i="55"/>
  <c r="AU34" i="55"/>
  <c r="EK34" i="55" s="1"/>
  <c r="AT34" i="55"/>
  <c r="AO34" i="55"/>
  <c r="AN34" i="55"/>
  <c r="AK34" i="55"/>
  <c r="AB34" i="55"/>
  <c r="Y34" i="55"/>
  <c r="V34" i="55"/>
  <c r="S34" i="55"/>
  <c r="EH34" i="55" s="1"/>
  <c r="P34" i="55"/>
  <c r="M34" i="55"/>
  <c r="J34" i="55"/>
  <c r="G34" i="55"/>
  <c r="D34" i="55"/>
  <c r="EL33" i="55"/>
  <c r="EG33" i="55"/>
  <c r="EI33" i="55" s="1"/>
  <c r="DW33" i="55"/>
  <c r="DT33" i="55"/>
  <c r="DQ33" i="55"/>
  <c r="DN33" i="55"/>
  <c r="DK33" i="55"/>
  <c r="DH33" i="55"/>
  <c r="DE33" i="55"/>
  <c r="DB33" i="55"/>
  <c r="CY33" i="55"/>
  <c r="CV33" i="55"/>
  <c r="CS33" i="55"/>
  <c r="CP33" i="55"/>
  <c r="CM33" i="55"/>
  <c r="CJ33" i="55"/>
  <c r="CG33" i="55"/>
  <c r="CD33" i="55"/>
  <c r="CA33" i="55"/>
  <c r="BX33" i="55"/>
  <c r="BU33" i="55"/>
  <c r="BR33" i="55"/>
  <c r="BO33" i="55"/>
  <c r="BL33" i="55"/>
  <c r="BI33" i="55"/>
  <c r="BF33" i="55"/>
  <c r="BA33" i="55"/>
  <c r="EK33" i="55" s="1"/>
  <c r="AZ33" i="55"/>
  <c r="AU33" i="55"/>
  <c r="AW33" i="55" s="1"/>
  <c r="AT33" i="55"/>
  <c r="AO33" i="55"/>
  <c r="AQ33" i="55" s="1"/>
  <c r="AN33" i="55"/>
  <c r="AI33" i="55"/>
  <c r="AK33" i="55" s="1"/>
  <c r="AB33" i="55"/>
  <c r="Y33" i="55"/>
  <c r="V33" i="55"/>
  <c r="S33" i="55"/>
  <c r="P33" i="55"/>
  <c r="M33" i="55"/>
  <c r="J33" i="55"/>
  <c r="G33" i="55"/>
  <c r="D33" i="55"/>
  <c r="EL32" i="55"/>
  <c r="EG32" i="55"/>
  <c r="EI32" i="55" s="1"/>
  <c r="DW32" i="55"/>
  <c r="DT32" i="55"/>
  <c r="DQ32" i="55"/>
  <c r="DN32" i="55"/>
  <c r="DK32" i="55"/>
  <c r="DH32" i="55"/>
  <c r="DE32" i="55"/>
  <c r="DB32" i="55"/>
  <c r="CY32" i="55"/>
  <c r="CV32" i="55"/>
  <c r="CS32" i="55"/>
  <c r="CP32" i="55"/>
  <c r="CM32" i="55"/>
  <c r="CJ32" i="55"/>
  <c r="CG32" i="55"/>
  <c r="CD32" i="55"/>
  <c r="CA32" i="55"/>
  <c r="BX32" i="55"/>
  <c r="BU32" i="55"/>
  <c r="BR32" i="55"/>
  <c r="BO32" i="55"/>
  <c r="BL32" i="55"/>
  <c r="BI32" i="55"/>
  <c r="BF32" i="55"/>
  <c r="BC32" i="55"/>
  <c r="BA32" i="55"/>
  <c r="AZ32" i="55"/>
  <c r="AW32" i="55"/>
  <c r="AU32" i="55"/>
  <c r="AT32" i="55"/>
  <c r="AO32" i="55"/>
  <c r="AQ32" i="55" s="1"/>
  <c r="AN32" i="55"/>
  <c r="AI32" i="55"/>
  <c r="AB32" i="55"/>
  <c r="Y32" i="55"/>
  <c r="V32" i="55"/>
  <c r="S32" i="55"/>
  <c r="EH32" i="55" s="1"/>
  <c r="P32" i="55"/>
  <c r="M32" i="55"/>
  <c r="J32" i="55"/>
  <c r="G32" i="55"/>
  <c r="D32" i="55"/>
  <c r="EL31" i="55"/>
  <c r="EG31" i="55"/>
  <c r="EI31" i="55" s="1"/>
  <c r="DW31" i="55"/>
  <c r="DT31" i="55"/>
  <c r="DQ31" i="55"/>
  <c r="DN31" i="55"/>
  <c r="DK31" i="55"/>
  <c r="DH31" i="55"/>
  <c r="DE31" i="55"/>
  <c r="DB31" i="55"/>
  <c r="CY31" i="55"/>
  <c r="CV31" i="55"/>
  <c r="CS31" i="55"/>
  <c r="CP31" i="55"/>
  <c r="CM31" i="55"/>
  <c r="CJ31" i="55"/>
  <c r="CG31" i="55"/>
  <c r="CD31" i="55"/>
  <c r="CA31" i="55"/>
  <c r="BX31" i="55"/>
  <c r="BU31" i="55"/>
  <c r="BR31" i="55"/>
  <c r="BO31" i="55"/>
  <c r="BL31" i="55"/>
  <c r="BI31" i="55"/>
  <c r="BF31" i="55"/>
  <c r="BA31" i="55"/>
  <c r="AZ31" i="55"/>
  <c r="AW31" i="55"/>
  <c r="AU31" i="55"/>
  <c r="AT31" i="55"/>
  <c r="AQ31" i="55"/>
  <c r="AO31" i="55"/>
  <c r="AN31" i="55"/>
  <c r="AK31" i="55"/>
  <c r="AI31" i="55"/>
  <c r="AB31" i="55"/>
  <c r="Y31" i="55"/>
  <c r="V31" i="55"/>
  <c r="S31" i="55"/>
  <c r="EH31" i="55" s="1"/>
  <c r="P31" i="55"/>
  <c r="M31" i="55"/>
  <c r="J31" i="55"/>
  <c r="G31" i="55"/>
  <c r="D31" i="55"/>
  <c r="EL30" i="55"/>
  <c r="EG30" i="55"/>
  <c r="EI30" i="55" s="1"/>
  <c r="DW30" i="55"/>
  <c r="DT30" i="55"/>
  <c r="DQ30" i="55"/>
  <c r="DN30" i="55"/>
  <c r="DK30" i="55"/>
  <c r="DH30" i="55"/>
  <c r="DE30" i="55"/>
  <c r="DB30" i="55"/>
  <c r="CY30" i="55"/>
  <c r="CV30" i="55"/>
  <c r="CS30" i="55"/>
  <c r="CP30" i="55"/>
  <c r="CM30" i="55"/>
  <c r="CJ30" i="55"/>
  <c r="CG30" i="55"/>
  <c r="CD30" i="55"/>
  <c r="CA30" i="55"/>
  <c r="BX30" i="55"/>
  <c r="BU30" i="55"/>
  <c r="BR30" i="55"/>
  <c r="BO30" i="55"/>
  <c r="BL30" i="55"/>
  <c r="BI30" i="55"/>
  <c r="BF30" i="55"/>
  <c r="BA30" i="55"/>
  <c r="EK30" i="55" s="1"/>
  <c r="AZ30" i="55"/>
  <c r="AW30" i="55"/>
  <c r="AT30" i="55"/>
  <c r="AO30" i="55"/>
  <c r="AQ30" i="55" s="1"/>
  <c r="AN30" i="55"/>
  <c r="AI30" i="55"/>
  <c r="AK30" i="55" s="1"/>
  <c r="AB30" i="55"/>
  <c r="Y30" i="55"/>
  <c r="V30" i="55"/>
  <c r="S30" i="55"/>
  <c r="P30" i="55"/>
  <c r="M30" i="55"/>
  <c r="J30" i="55"/>
  <c r="G30" i="55"/>
  <c r="D30" i="55"/>
  <c r="EL29" i="55"/>
  <c r="EG29" i="55"/>
  <c r="EI29" i="55" s="1"/>
  <c r="DW29" i="55"/>
  <c r="DT29" i="55"/>
  <c r="DQ29" i="55"/>
  <c r="DN29" i="55"/>
  <c r="DK29" i="55"/>
  <c r="DH29" i="55"/>
  <c r="DE29" i="55"/>
  <c r="DB29" i="55"/>
  <c r="CY29" i="55"/>
  <c r="CV29" i="55"/>
  <c r="CS29" i="55"/>
  <c r="CP29" i="55"/>
  <c r="CM29" i="55"/>
  <c r="CJ29" i="55"/>
  <c r="CG29" i="55"/>
  <c r="CD29" i="55"/>
  <c r="CA29" i="55"/>
  <c r="BX29" i="55"/>
  <c r="BU29" i="55"/>
  <c r="BR29" i="55"/>
  <c r="BO29" i="55"/>
  <c r="BL29" i="55"/>
  <c r="BI29" i="55"/>
  <c r="BF29" i="55"/>
  <c r="BA29" i="55"/>
  <c r="BC29" i="55" s="1"/>
  <c r="AZ29" i="55"/>
  <c r="AW29" i="55"/>
  <c r="AT29" i="55"/>
  <c r="AO29" i="55"/>
  <c r="AN29" i="55"/>
  <c r="AK29" i="55"/>
  <c r="AI29" i="55"/>
  <c r="AB29" i="55"/>
  <c r="Y29" i="55"/>
  <c r="V29" i="55"/>
  <c r="S29" i="55"/>
  <c r="P29" i="55"/>
  <c r="M29" i="55"/>
  <c r="J29" i="55"/>
  <c r="G29" i="55"/>
  <c r="D29" i="55"/>
  <c r="EL28" i="55"/>
  <c r="EG28" i="55"/>
  <c r="EI28" i="55" s="1"/>
  <c r="DW28" i="55"/>
  <c r="DT28" i="55"/>
  <c r="DQ28" i="55"/>
  <c r="DN28" i="55"/>
  <c r="DK28" i="55"/>
  <c r="DH28" i="55"/>
  <c r="DE28" i="55"/>
  <c r="DB28" i="55"/>
  <c r="CY28" i="55"/>
  <c r="CV28" i="55"/>
  <c r="CS28" i="55"/>
  <c r="CP28" i="55"/>
  <c r="CM28" i="55"/>
  <c r="CJ28" i="55"/>
  <c r="CG28" i="55"/>
  <c r="CD28" i="55"/>
  <c r="CA28" i="55"/>
  <c r="BX28" i="55"/>
  <c r="BU28" i="55"/>
  <c r="BR28" i="55"/>
  <c r="BO28" i="55"/>
  <c r="BL28" i="55"/>
  <c r="BI28" i="55"/>
  <c r="BF28" i="55"/>
  <c r="BA28" i="55"/>
  <c r="EK28" i="55" s="1"/>
  <c r="AZ28" i="55"/>
  <c r="AW28" i="55"/>
  <c r="AT28" i="55"/>
  <c r="AO28" i="55"/>
  <c r="AN28" i="55"/>
  <c r="AI28" i="55"/>
  <c r="AK28" i="55" s="1"/>
  <c r="AB28" i="55"/>
  <c r="Y28" i="55"/>
  <c r="V28" i="55"/>
  <c r="S28" i="55"/>
  <c r="P28" i="55"/>
  <c r="M28" i="55"/>
  <c r="J28" i="55"/>
  <c r="G28" i="55"/>
  <c r="D28" i="55"/>
  <c r="EL27" i="55"/>
  <c r="EG27" i="55"/>
  <c r="EI27" i="55" s="1"/>
  <c r="DW27" i="55"/>
  <c r="DT27" i="55"/>
  <c r="DQ27" i="55"/>
  <c r="DN27" i="55"/>
  <c r="DK27" i="55"/>
  <c r="DH27" i="55"/>
  <c r="DE27" i="55"/>
  <c r="DB27" i="55"/>
  <c r="CY27" i="55"/>
  <c r="CV27" i="55"/>
  <c r="CS27" i="55"/>
  <c r="CP27" i="55"/>
  <c r="CM27" i="55"/>
  <c r="CJ27" i="55"/>
  <c r="CG27" i="55"/>
  <c r="CD27" i="55"/>
  <c r="CA27" i="55"/>
  <c r="BX27" i="55"/>
  <c r="BU27" i="55"/>
  <c r="BR27" i="55"/>
  <c r="BO27" i="55"/>
  <c r="BL27" i="55"/>
  <c r="BI27" i="55"/>
  <c r="BF27" i="55"/>
  <c r="BA27" i="55"/>
  <c r="AZ27" i="55"/>
  <c r="AW27" i="55"/>
  <c r="AT27" i="55"/>
  <c r="AO27" i="55"/>
  <c r="AQ27" i="55" s="1"/>
  <c r="AN27" i="55"/>
  <c r="AK27" i="55"/>
  <c r="AB27" i="55"/>
  <c r="Y27" i="55"/>
  <c r="V27" i="55"/>
  <c r="S27" i="55"/>
  <c r="P27" i="55"/>
  <c r="M27" i="55"/>
  <c r="J27" i="55"/>
  <c r="G27" i="55"/>
  <c r="D27" i="55"/>
  <c r="EL26" i="55"/>
  <c r="EG26" i="55"/>
  <c r="EI26" i="55" s="1"/>
  <c r="DW26" i="55"/>
  <c r="DT26" i="55"/>
  <c r="DQ26" i="55"/>
  <c r="DN26" i="55"/>
  <c r="DK26" i="55"/>
  <c r="DH26" i="55"/>
  <c r="DE26" i="55"/>
  <c r="DB26" i="55"/>
  <c r="CY26" i="55"/>
  <c r="CV26" i="55"/>
  <c r="CS26" i="55"/>
  <c r="CP26" i="55"/>
  <c r="CM26" i="55"/>
  <c r="CJ26" i="55"/>
  <c r="CG26" i="55"/>
  <c r="CD26" i="55"/>
  <c r="CA26" i="55"/>
  <c r="BX26" i="55"/>
  <c r="BU26" i="55"/>
  <c r="BR26" i="55"/>
  <c r="BO26" i="55"/>
  <c r="BL26" i="55"/>
  <c r="BI26" i="55"/>
  <c r="BF26" i="55"/>
  <c r="BA26" i="55"/>
  <c r="AZ26" i="55"/>
  <c r="AW26" i="55"/>
  <c r="AT26" i="55"/>
  <c r="AO26" i="55"/>
  <c r="AQ26" i="55" s="1"/>
  <c r="AN26" i="55"/>
  <c r="AK26" i="55"/>
  <c r="AB26" i="55"/>
  <c r="Y26" i="55"/>
  <c r="V26" i="55"/>
  <c r="S26" i="55"/>
  <c r="EH26" i="55" s="1"/>
  <c r="P26" i="55"/>
  <c r="M26" i="55"/>
  <c r="J26" i="55"/>
  <c r="G26" i="55"/>
  <c r="D26" i="55"/>
  <c r="EL25" i="55"/>
  <c r="EG25" i="55"/>
  <c r="EI25" i="55" s="1"/>
  <c r="DW25" i="55"/>
  <c r="DT25" i="55"/>
  <c r="DQ25" i="55"/>
  <c r="DN25" i="55"/>
  <c r="DK25" i="55"/>
  <c r="DH25" i="55"/>
  <c r="DE25" i="55"/>
  <c r="DB25" i="55"/>
  <c r="CY25" i="55"/>
  <c r="CV25" i="55"/>
  <c r="CS25" i="55"/>
  <c r="CP25" i="55"/>
  <c r="CM25" i="55"/>
  <c r="CJ25" i="55"/>
  <c r="CG25" i="55"/>
  <c r="CD25" i="55"/>
  <c r="CA25" i="55"/>
  <c r="BX25" i="55"/>
  <c r="BU25" i="55"/>
  <c r="BR25" i="55"/>
  <c r="BO25" i="55"/>
  <c r="BL25" i="55"/>
  <c r="BI25" i="55"/>
  <c r="BF25" i="55"/>
  <c r="BA25" i="55"/>
  <c r="EK25" i="55" s="1"/>
  <c r="AZ25" i="55"/>
  <c r="AW25" i="55"/>
  <c r="AT25" i="55"/>
  <c r="AO25" i="55"/>
  <c r="AQ25" i="55" s="1"/>
  <c r="AN25" i="55"/>
  <c r="AK25" i="55"/>
  <c r="AB25" i="55"/>
  <c r="Y25" i="55"/>
  <c r="V25" i="55"/>
  <c r="S25" i="55"/>
  <c r="P25" i="55"/>
  <c r="M25" i="55"/>
  <c r="J25" i="55"/>
  <c r="G25" i="55"/>
  <c r="D25" i="55"/>
  <c r="EL24" i="55"/>
  <c r="EG24" i="55"/>
  <c r="EI24" i="55" s="1"/>
  <c r="DW24" i="55"/>
  <c r="DT24" i="55"/>
  <c r="DQ24" i="55"/>
  <c r="DN24" i="55"/>
  <c r="DK24" i="55"/>
  <c r="DH24" i="55"/>
  <c r="DE24" i="55"/>
  <c r="DB24" i="55"/>
  <c r="CY24" i="55"/>
  <c r="CV24" i="55"/>
  <c r="CS24" i="55"/>
  <c r="CP24" i="55"/>
  <c r="CM24" i="55"/>
  <c r="CJ24" i="55"/>
  <c r="CG24" i="55"/>
  <c r="CD24" i="55"/>
  <c r="CA24" i="55"/>
  <c r="BX24" i="55"/>
  <c r="BU24" i="55"/>
  <c r="BR24" i="55"/>
  <c r="BO24" i="55"/>
  <c r="BL24" i="55"/>
  <c r="BI24" i="55"/>
  <c r="BF24" i="55"/>
  <c r="BA24" i="55"/>
  <c r="EK24" i="55" s="1"/>
  <c r="AZ24" i="55"/>
  <c r="AW24" i="55"/>
  <c r="AT24" i="55"/>
  <c r="AO24" i="55"/>
  <c r="AQ24" i="55" s="1"/>
  <c r="AN24" i="55"/>
  <c r="AK24" i="55"/>
  <c r="AB24" i="55"/>
  <c r="Y24" i="55"/>
  <c r="V24" i="55"/>
  <c r="S24" i="55"/>
  <c r="P24" i="55"/>
  <c r="M24" i="55"/>
  <c r="J24" i="55"/>
  <c r="G24" i="55"/>
  <c r="D24" i="55"/>
  <c r="EL23" i="55"/>
  <c r="EG23" i="55"/>
  <c r="EI23" i="55" s="1"/>
  <c r="DW23" i="55"/>
  <c r="DT23" i="55"/>
  <c r="DQ23" i="55"/>
  <c r="DN23" i="55"/>
  <c r="DK23" i="55"/>
  <c r="DH23" i="55"/>
  <c r="DE23" i="55"/>
  <c r="DB23" i="55"/>
  <c r="CY23" i="55"/>
  <c r="CV23" i="55"/>
  <c r="CS23" i="55"/>
  <c r="CP23" i="55"/>
  <c r="CM23" i="55"/>
  <c r="CJ23" i="55"/>
  <c r="CG23" i="55"/>
  <c r="CD23" i="55"/>
  <c r="CA23" i="55"/>
  <c r="BX23" i="55"/>
  <c r="BU23" i="55"/>
  <c r="BR23" i="55"/>
  <c r="BO23" i="55"/>
  <c r="BL23" i="55"/>
  <c r="BI23" i="55"/>
  <c r="BF23" i="55"/>
  <c r="BA23" i="55"/>
  <c r="AZ23" i="55"/>
  <c r="AW23" i="55"/>
  <c r="AT23" i="55"/>
  <c r="AO23" i="55"/>
  <c r="AQ23" i="55" s="1"/>
  <c r="AN23" i="55"/>
  <c r="AI23" i="55"/>
  <c r="AK23" i="55" s="1"/>
  <c r="AB23" i="55"/>
  <c r="Y23" i="55"/>
  <c r="V23" i="55"/>
  <c r="S23" i="55"/>
  <c r="P23" i="55"/>
  <c r="M23" i="55"/>
  <c r="J23" i="55"/>
  <c r="G23" i="55"/>
  <c r="D23" i="55"/>
  <c r="EL22" i="55"/>
  <c r="EG22" i="55"/>
  <c r="EI22" i="55" s="1"/>
  <c r="DW22" i="55"/>
  <c r="DT22" i="55"/>
  <c r="DQ22" i="55"/>
  <c r="DN22" i="55"/>
  <c r="DK22" i="55"/>
  <c r="DH22" i="55"/>
  <c r="DE22" i="55"/>
  <c r="DB22" i="55"/>
  <c r="CY22" i="55"/>
  <c r="CV22" i="55"/>
  <c r="CS22" i="55"/>
  <c r="CP22" i="55"/>
  <c r="CM22" i="55"/>
  <c r="CJ22" i="55"/>
  <c r="CG22" i="55"/>
  <c r="CD22" i="55"/>
  <c r="CA22" i="55"/>
  <c r="BX22" i="55"/>
  <c r="BU22" i="55"/>
  <c r="BR22" i="55"/>
  <c r="BO22" i="55"/>
  <c r="BL22" i="55"/>
  <c r="BI22" i="55"/>
  <c r="BF22" i="55"/>
  <c r="BA22" i="55"/>
  <c r="EK22" i="55" s="1"/>
  <c r="AZ22" i="55"/>
  <c r="AW22" i="55"/>
  <c r="AT22" i="55"/>
  <c r="AO22" i="55"/>
  <c r="AQ22" i="55" s="1"/>
  <c r="AN22" i="55"/>
  <c r="AI22" i="55"/>
  <c r="AK22" i="55" s="1"/>
  <c r="AB22" i="55"/>
  <c r="EH22" i="55" s="1"/>
  <c r="Y22" i="55"/>
  <c r="V22" i="55"/>
  <c r="S22" i="55"/>
  <c r="P22" i="55"/>
  <c r="M22" i="55"/>
  <c r="J22" i="55"/>
  <c r="G22" i="55"/>
  <c r="D22" i="55"/>
  <c r="EL21" i="55"/>
  <c r="EG21" i="55"/>
  <c r="EI21" i="55" s="1"/>
  <c r="DW21" i="55"/>
  <c r="DT21" i="55"/>
  <c r="DQ21" i="55"/>
  <c r="DN21" i="55"/>
  <c r="DK21" i="55"/>
  <c r="DH21" i="55"/>
  <c r="DE21" i="55"/>
  <c r="DB21" i="55"/>
  <c r="CY21" i="55"/>
  <c r="CV21" i="55"/>
  <c r="CS21" i="55"/>
  <c r="CP21" i="55"/>
  <c r="CM21" i="55"/>
  <c r="CJ21" i="55"/>
  <c r="CG21" i="55"/>
  <c r="CD21" i="55"/>
  <c r="CA21" i="55"/>
  <c r="BX21" i="55"/>
  <c r="BU21" i="55"/>
  <c r="BR21" i="55"/>
  <c r="BO21" i="55"/>
  <c r="BL21" i="55"/>
  <c r="BI21" i="55"/>
  <c r="BF21" i="55"/>
  <c r="BA21" i="55"/>
  <c r="AZ21" i="55"/>
  <c r="AW21" i="55"/>
  <c r="AR21" i="55"/>
  <c r="AT21" i="55" s="1"/>
  <c r="AO21" i="55"/>
  <c r="EB21" i="55" s="1"/>
  <c r="AN21" i="55"/>
  <c r="AK21" i="55"/>
  <c r="AB21" i="55"/>
  <c r="Y21" i="55"/>
  <c r="V21" i="55"/>
  <c r="S21" i="55"/>
  <c r="EH21" i="55" s="1"/>
  <c r="P21" i="55"/>
  <c r="M21" i="55"/>
  <c r="J21" i="55"/>
  <c r="G21" i="55"/>
  <c r="D21" i="55"/>
  <c r="EL20" i="55"/>
  <c r="EG20" i="55"/>
  <c r="EI20" i="55" s="1"/>
  <c r="DW20" i="55"/>
  <c r="DT20" i="55"/>
  <c r="DQ20" i="55"/>
  <c r="DN20" i="55"/>
  <c r="DK20" i="55"/>
  <c r="DH20" i="55"/>
  <c r="DE20" i="55"/>
  <c r="DB20" i="55"/>
  <c r="CY20" i="55"/>
  <c r="CV20" i="55"/>
  <c r="CS20" i="55"/>
  <c r="CP20" i="55"/>
  <c r="CM20" i="55"/>
  <c r="CJ20" i="55"/>
  <c r="CG20" i="55"/>
  <c r="CD20" i="55"/>
  <c r="CA20" i="55"/>
  <c r="BX20" i="55"/>
  <c r="BU20" i="55"/>
  <c r="BR20" i="55"/>
  <c r="BO20" i="55"/>
  <c r="BL20" i="55"/>
  <c r="BI20" i="55"/>
  <c r="BF20" i="55"/>
  <c r="BA20" i="55"/>
  <c r="AZ20" i="55"/>
  <c r="AW20" i="55"/>
  <c r="AT20" i="55"/>
  <c r="AO20" i="55"/>
  <c r="AQ20" i="55" s="1"/>
  <c r="AN20" i="55"/>
  <c r="AI20" i="55"/>
  <c r="AK20" i="55" s="1"/>
  <c r="AB20" i="55"/>
  <c r="Y20" i="55"/>
  <c r="V20" i="55"/>
  <c r="S20" i="55"/>
  <c r="P20" i="55"/>
  <c r="M20" i="55"/>
  <c r="J20" i="55"/>
  <c r="G20" i="55"/>
  <c r="D20" i="55"/>
  <c r="EL19" i="55"/>
  <c r="EG19" i="55"/>
  <c r="EI19" i="55" s="1"/>
  <c r="DW19" i="55"/>
  <c r="DT19" i="55"/>
  <c r="DQ19" i="55"/>
  <c r="DN19" i="55"/>
  <c r="DK19" i="55"/>
  <c r="DH19" i="55"/>
  <c r="DE19" i="55"/>
  <c r="DB19" i="55"/>
  <c r="CY19" i="55"/>
  <c r="CV19" i="55"/>
  <c r="CS19" i="55"/>
  <c r="CP19" i="55"/>
  <c r="CM19" i="55"/>
  <c r="CJ19" i="55"/>
  <c r="CG19" i="55"/>
  <c r="CD19" i="55"/>
  <c r="CA19" i="55"/>
  <c r="BX19" i="55"/>
  <c r="BU19" i="55"/>
  <c r="BR19" i="55"/>
  <c r="BO19" i="55"/>
  <c r="BL19" i="55"/>
  <c r="BI19" i="55"/>
  <c r="BF19" i="55"/>
  <c r="BA19" i="55"/>
  <c r="EK19" i="55" s="1"/>
  <c r="AZ19" i="55"/>
  <c r="AU19" i="55"/>
  <c r="AW19" i="55" s="1"/>
  <c r="AT19" i="55"/>
  <c r="AO19" i="55"/>
  <c r="AQ19" i="55" s="1"/>
  <c r="AN19" i="55"/>
  <c r="AK19" i="55"/>
  <c r="AB19" i="55"/>
  <c r="Y19" i="55"/>
  <c r="V19" i="55"/>
  <c r="S19" i="55"/>
  <c r="EH19" i="55" s="1"/>
  <c r="P19" i="55"/>
  <c r="M19" i="55"/>
  <c r="J19" i="55"/>
  <c r="G19" i="55"/>
  <c r="D19" i="55"/>
  <c r="EL18" i="55"/>
  <c r="EG18" i="55"/>
  <c r="EI18" i="55" s="1"/>
  <c r="DW18" i="55"/>
  <c r="DT18" i="55"/>
  <c r="DQ18" i="55"/>
  <c r="DN18" i="55"/>
  <c r="DK18" i="55"/>
  <c r="DH18" i="55"/>
  <c r="DE18" i="55"/>
  <c r="DB18" i="55"/>
  <c r="CY18" i="55"/>
  <c r="CV18" i="55"/>
  <c r="CS18" i="55"/>
  <c r="CP18" i="55"/>
  <c r="CM18" i="55"/>
  <c r="CJ18" i="55"/>
  <c r="CG18" i="55"/>
  <c r="CD18" i="55"/>
  <c r="CA18" i="55"/>
  <c r="BX18" i="55"/>
  <c r="BU18" i="55"/>
  <c r="BR18" i="55"/>
  <c r="BO18" i="55"/>
  <c r="BL18" i="55"/>
  <c r="BI18" i="55"/>
  <c r="BF18" i="55"/>
  <c r="BC18" i="55"/>
  <c r="BA18" i="55"/>
  <c r="AZ18" i="55"/>
  <c r="AU18" i="55"/>
  <c r="AW18" i="55" s="1"/>
  <c r="AT18" i="55"/>
  <c r="AO18" i="55"/>
  <c r="AQ18" i="55" s="1"/>
  <c r="AN18" i="55"/>
  <c r="AK18" i="55"/>
  <c r="AB18" i="55"/>
  <c r="Y18" i="55"/>
  <c r="V18" i="55"/>
  <c r="S18" i="55"/>
  <c r="P18" i="55"/>
  <c r="M18" i="55"/>
  <c r="J18" i="55"/>
  <c r="G18" i="55"/>
  <c r="D18" i="55"/>
  <c r="EL17" i="55"/>
  <c r="EG17" i="55"/>
  <c r="EI17" i="55" s="1"/>
  <c r="DW17" i="55"/>
  <c r="DT17" i="55"/>
  <c r="DQ17" i="55"/>
  <c r="DN17" i="55"/>
  <c r="DK17" i="55"/>
  <c r="DH17" i="55"/>
  <c r="DE17" i="55"/>
  <c r="DB17" i="55"/>
  <c r="CY17" i="55"/>
  <c r="CV17" i="55"/>
  <c r="CS17" i="55"/>
  <c r="CP17" i="55"/>
  <c r="CM17" i="55"/>
  <c r="CJ17" i="55"/>
  <c r="CG17" i="55"/>
  <c r="CD17" i="55"/>
  <c r="CA17" i="55"/>
  <c r="BX17" i="55"/>
  <c r="BU17" i="55"/>
  <c r="BR17" i="55"/>
  <c r="BO17" i="55"/>
  <c r="BL17" i="55"/>
  <c r="BI17" i="55"/>
  <c r="BF17" i="55"/>
  <c r="BA17" i="55"/>
  <c r="AZ17" i="55"/>
  <c r="AU17" i="55"/>
  <c r="AW17" i="55" s="1"/>
  <c r="AT17" i="55"/>
  <c r="AQ17" i="55"/>
  <c r="AO17" i="55"/>
  <c r="AN17" i="55"/>
  <c r="AK17" i="55"/>
  <c r="AB17" i="55"/>
  <c r="Y17" i="55"/>
  <c r="V17" i="55"/>
  <c r="S17" i="55"/>
  <c r="P17" i="55"/>
  <c r="M17" i="55"/>
  <c r="J17" i="55"/>
  <c r="G17" i="55"/>
  <c r="D17" i="55"/>
  <c r="EL16" i="55"/>
  <c r="EG16" i="55"/>
  <c r="EI16" i="55" s="1"/>
  <c r="DW16" i="55"/>
  <c r="DT16" i="55"/>
  <c r="DQ16" i="55"/>
  <c r="DN16" i="55"/>
  <c r="DK16" i="55"/>
  <c r="DH16" i="55"/>
  <c r="DE16" i="55"/>
  <c r="DB16" i="55"/>
  <c r="CY16" i="55"/>
  <c r="CV16" i="55"/>
  <c r="CS16" i="55"/>
  <c r="CP16" i="55"/>
  <c r="CM16" i="55"/>
  <c r="CJ16" i="55"/>
  <c r="CG16" i="55"/>
  <c r="CD16" i="55"/>
  <c r="CA16" i="55"/>
  <c r="BX16" i="55"/>
  <c r="BU16" i="55"/>
  <c r="BR16" i="55"/>
  <c r="BO16" i="55"/>
  <c r="BL16" i="55"/>
  <c r="BI16" i="55"/>
  <c r="BF16" i="55"/>
  <c r="BC16" i="55"/>
  <c r="BA16" i="55"/>
  <c r="AZ16" i="55"/>
  <c r="AW16" i="55"/>
  <c r="AT16" i="55"/>
  <c r="AO16" i="55"/>
  <c r="AL16" i="55"/>
  <c r="EB16" i="55" s="1"/>
  <c r="AK16" i="55"/>
  <c r="AB16" i="55"/>
  <c r="Y16" i="55"/>
  <c r="V16" i="55"/>
  <c r="S16" i="55"/>
  <c r="P16" i="55"/>
  <c r="M16" i="55"/>
  <c r="J16" i="55"/>
  <c r="G16" i="55"/>
  <c r="D16" i="55"/>
  <c r="EL15" i="55"/>
  <c r="EG15" i="55"/>
  <c r="EI15" i="55" s="1"/>
  <c r="DW15" i="55"/>
  <c r="DT15" i="55"/>
  <c r="DQ15" i="55"/>
  <c r="DN15" i="55"/>
  <c r="DK15" i="55"/>
  <c r="DH15" i="55"/>
  <c r="DE15" i="55"/>
  <c r="DB15" i="55"/>
  <c r="CY15" i="55"/>
  <c r="CV15" i="55"/>
  <c r="CS15" i="55"/>
  <c r="CP15" i="55"/>
  <c r="CM15" i="55"/>
  <c r="CJ15" i="55"/>
  <c r="CG15" i="55"/>
  <c r="CD15" i="55"/>
  <c r="CA15" i="55"/>
  <c r="BX15" i="55"/>
  <c r="BU15" i="55"/>
  <c r="BR15" i="55"/>
  <c r="BO15" i="55"/>
  <c r="BL15" i="55"/>
  <c r="BI15" i="55"/>
  <c r="BF15" i="55"/>
  <c r="BC15" i="55"/>
  <c r="AZ15" i="55"/>
  <c r="AW15" i="55"/>
  <c r="AT15" i="55"/>
  <c r="AQ15" i="55"/>
  <c r="AO15" i="55"/>
  <c r="EK15" i="55" s="1"/>
  <c r="AL15" i="55"/>
  <c r="AN15" i="55" s="1"/>
  <c r="AK15" i="55"/>
  <c r="AB15" i="55"/>
  <c r="Y15" i="55"/>
  <c r="V15" i="55"/>
  <c r="S15" i="55"/>
  <c r="P15" i="55"/>
  <c r="M15" i="55"/>
  <c r="J15" i="55"/>
  <c r="G15" i="55"/>
  <c r="D15" i="55"/>
  <c r="EL14" i="55"/>
  <c r="EG14" i="55"/>
  <c r="EI14" i="55" s="1"/>
  <c r="DW14" i="55"/>
  <c r="DT14" i="55"/>
  <c r="DQ14" i="55"/>
  <c r="DN14" i="55"/>
  <c r="DK14" i="55"/>
  <c r="DH14" i="55"/>
  <c r="DE14" i="55"/>
  <c r="DB14" i="55"/>
  <c r="CY14" i="55"/>
  <c r="CV14" i="55"/>
  <c r="CS14" i="55"/>
  <c r="CP14" i="55"/>
  <c r="CM14" i="55"/>
  <c r="CJ14" i="55"/>
  <c r="CG14" i="55"/>
  <c r="CD14" i="55"/>
  <c r="CA14" i="55"/>
  <c r="BX14" i="55"/>
  <c r="BU14" i="55"/>
  <c r="BR14" i="55"/>
  <c r="BO14" i="55"/>
  <c r="BL14" i="55"/>
  <c r="BI14" i="55"/>
  <c r="BF14" i="55"/>
  <c r="BC14" i="55"/>
  <c r="AZ14" i="55"/>
  <c r="AW14" i="55"/>
  <c r="AT14" i="55"/>
  <c r="AO14" i="55"/>
  <c r="AL14" i="55"/>
  <c r="AN14" i="55" s="1"/>
  <c r="AK14" i="55"/>
  <c r="AB14" i="55"/>
  <c r="Y14" i="55"/>
  <c r="V14" i="55"/>
  <c r="S14" i="55"/>
  <c r="P14" i="55"/>
  <c r="M14" i="55"/>
  <c r="J14" i="55"/>
  <c r="G14" i="55"/>
  <c r="D14" i="55"/>
  <c r="EL13" i="55"/>
  <c r="EG13" i="55"/>
  <c r="EI13" i="55" s="1"/>
  <c r="DW13" i="55"/>
  <c r="DT13" i="55"/>
  <c r="DQ13" i="55"/>
  <c r="DN13" i="55"/>
  <c r="DK13" i="55"/>
  <c r="DH13" i="55"/>
  <c r="DE13" i="55"/>
  <c r="DB13" i="55"/>
  <c r="CY13" i="55"/>
  <c r="CV13" i="55"/>
  <c r="CS13" i="55"/>
  <c r="CP13" i="55"/>
  <c r="CM13" i="55"/>
  <c r="CJ13" i="55"/>
  <c r="CG13" i="55"/>
  <c r="CD13" i="55"/>
  <c r="CA13" i="55"/>
  <c r="BX13" i="55"/>
  <c r="BU13" i="55"/>
  <c r="BR13" i="55"/>
  <c r="BO13" i="55"/>
  <c r="BL13" i="55"/>
  <c r="BI13" i="55"/>
  <c r="BF13" i="55"/>
  <c r="BC13" i="55"/>
  <c r="AZ13" i="55"/>
  <c r="AW13" i="55"/>
  <c r="AR13" i="55"/>
  <c r="AO13" i="55"/>
  <c r="AQ13" i="55" s="1"/>
  <c r="AL13" i="55"/>
  <c r="EB13" i="55" s="1"/>
  <c r="AK13" i="55"/>
  <c r="AB13" i="55"/>
  <c r="Y13" i="55"/>
  <c r="V13" i="55"/>
  <c r="S13" i="55"/>
  <c r="P13" i="55"/>
  <c r="M13" i="55"/>
  <c r="J13" i="55"/>
  <c r="G13" i="55"/>
  <c r="D13" i="55"/>
  <c r="EL12" i="55"/>
  <c r="EG12" i="55"/>
  <c r="DW12" i="55"/>
  <c r="DT12" i="55"/>
  <c r="DQ12" i="55"/>
  <c r="DN12" i="55"/>
  <c r="DK12" i="55"/>
  <c r="DH12" i="55"/>
  <c r="DE12" i="55"/>
  <c r="DB12" i="55"/>
  <c r="CY12" i="55"/>
  <c r="CV12" i="55"/>
  <c r="CS12" i="55"/>
  <c r="CP12" i="55"/>
  <c r="CM12" i="55"/>
  <c r="CJ12" i="55"/>
  <c r="CG12" i="55"/>
  <c r="CD12" i="55"/>
  <c r="CA12" i="55"/>
  <c r="BX12" i="55"/>
  <c r="BU12" i="55"/>
  <c r="BR12" i="55"/>
  <c r="BO12" i="55"/>
  <c r="BL12" i="55"/>
  <c r="BI12" i="55"/>
  <c r="BF12" i="55"/>
  <c r="BC12" i="55"/>
  <c r="AZ12" i="55"/>
  <c r="AW12" i="55"/>
  <c r="AT12" i="55"/>
  <c r="AO12" i="55"/>
  <c r="AQ12" i="55" s="1"/>
  <c r="AL12" i="55"/>
  <c r="AN12" i="55" s="1"/>
  <c r="AI12" i="55"/>
  <c r="AK12" i="55" s="1"/>
  <c r="AB12" i="55"/>
  <c r="Y12" i="55"/>
  <c r="V12" i="55"/>
  <c r="S12" i="55"/>
  <c r="EH12" i="55" s="1"/>
  <c r="P12" i="55"/>
  <c r="M12" i="55"/>
  <c r="J12" i="55"/>
  <c r="G12" i="55"/>
  <c r="D12" i="55"/>
  <c r="A12" i="55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EL11" i="55"/>
  <c r="EI11" i="55"/>
  <c r="EG11" i="55"/>
  <c r="DW11" i="55"/>
  <c r="DT11" i="55"/>
  <c r="DQ11" i="55"/>
  <c r="DN11" i="55"/>
  <c r="DK11" i="55"/>
  <c r="DH11" i="55"/>
  <c r="DH42" i="55" s="1"/>
  <c r="DE11" i="55"/>
  <c r="DB11" i="55"/>
  <c r="CY11" i="55"/>
  <c r="CV11" i="55"/>
  <c r="CS11" i="55"/>
  <c r="CP11" i="55"/>
  <c r="CM11" i="55"/>
  <c r="CJ11" i="55"/>
  <c r="CJ42" i="55" s="1"/>
  <c r="CG11" i="55"/>
  <c r="CD11" i="55"/>
  <c r="CA11" i="55"/>
  <c r="BX11" i="55"/>
  <c r="BU11" i="55"/>
  <c r="BR11" i="55"/>
  <c r="BO11" i="55"/>
  <c r="BL11" i="55"/>
  <c r="BL42" i="55" s="1"/>
  <c r="BI11" i="55"/>
  <c r="BF11" i="55"/>
  <c r="BC11" i="55"/>
  <c r="AZ11" i="55"/>
  <c r="AW11" i="55"/>
  <c r="AT11" i="55"/>
  <c r="AO11" i="55"/>
  <c r="AQ11" i="55" s="1"/>
  <c r="AL11" i="55"/>
  <c r="EB11" i="55" s="1"/>
  <c r="AI11" i="55"/>
  <c r="AK11" i="55" s="1"/>
  <c r="AH42" i="55"/>
  <c r="AE42" i="55"/>
  <c r="AB11" i="55"/>
  <c r="Y11" i="55"/>
  <c r="V11" i="55"/>
  <c r="S11" i="55"/>
  <c r="P11" i="55"/>
  <c r="M11" i="55"/>
  <c r="J11" i="55"/>
  <c r="G11" i="55"/>
  <c r="D11" i="55"/>
  <c r="EK16" i="55" l="1"/>
  <c r="BC22" i="55"/>
  <c r="BC28" i="55"/>
  <c r="BC30" i="55"/>
  <c r="EH33" i="55"/>
  <c r="EB35" i="55"/>
  <c r="ED36" i="55"/>
  <c r="EK36" i="55"/>
  <c r="EK39" i="55"/>
  <c r="EK41" i="55"/>
  <c r="EM15" i="55"/>
  <c r="AQ16" i="55"/>
  <c r="EH23" i="55"/>
  <c r="EK26" i="55"/>
  <c r="EB30" i="55"/>
  <c r="EC30" i="55" s="1"/>
  <c r="EB31" i="55"/>
  <c r="AW34" i="55"/>
  <c r="EH36" i="55"/>
  <c r="AQ41" i="55"/>
  <c r="BF41" i="55"/>
  <c r="BU42" i="55"/>
  <c r="BX42" i="55"/>
  <c r="EH13" i="55"/>
  <c r="EK14" i="55"/>
  <c r="EK17" i="55"/>
  <c r="BC19" i="55"/>
  <c r="EK21" i="55"/>
  <c r="EB28" i="55"/>
  <c r="EB38" i="55"/>
  <c r="EH40" i="55"/>
  <c r="EM28" i="55"/>
  <c r="EN28" i="55" s="1"/>
  <c r="CS42" i="55"/>
  <c r="AZ42" i="55"/>
  <c r="DT42" i="55"/>
  <c r="CA42" i="55"/>
  <c r="CY42" i="55"/>
  <c r="DW42" i="55"/>
  <c r="EK12" i="55"/>
  <c r="EN12" i="55" s="1"/>
  <c r="AQ14" i="55"/>
  <c r="EB19" i="55"/>
  <c r="EK23" i="55"/>
  <c r="EK27" i="55"/>
  <c r="AQ28" i="55"/>
  <c r="EM18" i="55"/>
  <c r="DQ42" i="55"/>
  <c r="CV42" i="55"/>
  <c r="G42" i="55"/>
  <c r="J42" i="55"/>
  <c r="EH16" i="55"/>
  <c r="EB17" i="55"/>
  <c r="EC17" i="55" s="1"/>
  <c r="EK18" i="55"/>
  <c r="EH20" i="55"/>
  <c r="EH30" i="55"/>
  <c r="EH35" i="55"/>
  <c r="ED30" i="55"/>
  <c r="M42" i="55"/>
  <c r="BI42" i="55"/>
  <c r="CG42" i="55"/>
  <c r="DE42" i="55"/>
  <c r="AB42" i="55"/>
  <c r="ED18" i="55"/>
  <c r="EH25" i="55"/>
  <c r="EH28" i="55"/>
  <c r="EK32" i="55"/>
  <c r="EB34" i="55"/>
  <c r="EB37" i="55"/>
  <c r="EB40" i="55"/>
  <c r="AQ34" i="55"/>
  <c r="ED34" i="55" s="1"/>
  <c r="EM34" i="55"/>
  <c r="EN34" i="55" s="1"/>
  <c r="AQ37" i="55"/>
  <c r="AQ40" i="55"/>
  <c r="BC20" i="55"/>
  <c r="ED20" i="55" s="1"/>
  <c r="EK20" i="55"/>
  <c r="EK13" i="55"/>
  <c r="AT13" i="55"/>
  <c r="Y42" i="55"/>
  <c r="AW42" i="55"/>
  <c r="ED12" i="55"/>
  <c r="EM12" i="55"/>
  <c r="EH15" i="55"/>
  <c r="EH14" i="55"/>
  <c r="EK37" i="55"/>
  <c r="BC37" i="55"/>
  <c r="BF42" i="55"/>
  <c r="CD42" i="55"/>
  <c r="DB42" i="55"/>
  <c r="EI12" i="55"/>
  <c r="EI5" i="55"/>
  <c r="EI3" i="55"/>
  <c r="EI4" i="55" s="1"/>
  <c r="BO42" i="55"/>
  <c r="CM42" i="55"/>
  <c r="DK42" i="55"/>
  <c r="ED15" i="55"/>
  <c r="EM19" i="55"/>
  <c r="EN19" i="55" s="1"/>
  <c r="EC21" i="55"/>
  <c r="EM35" i="55"/>
  <c r="EC37" i="55"/>
  <c r="ED22" i="55"/>
  <c r="ED39" i="55"/>
  <c r="EC38" i="55"/>
  <c r="P42" i="55"/>
  <c r="EM14" i="55"/>
  <c r="EN14" i="55" s="1"/>
  <c r="EB18" i="55"/>
  <c r="ED19" i="55"/>
  <c r="EE19" i="55" s="1"/>
  <c r="EN2" i="55"/>
  <c r="EP2" i="55" s="1"/>
  <c r="EN41" i="55"/>
  <c r="ED14" i="55"/>
  <c r="D42" i="55"/>
  <c r="EC16" i="55"/>
  <c r="EM22" i="55"/>
  <c r="EN22" i="55" s="1"/>
  <c r="EH24" i="55"/>
  <c r="ED28" i="55"/>
  <c r="EE28" i="55" s="1"/>
  <c r="EE30" i="55"/>
  <c r="EK31" i="55"/>
  <c r="BC31" i="55"/>
  <c r="ED31" i="55" s="1"/>
  <c r="EE31" i="55" s="1"/>
  <c r="EM39" i="55"/>
  <c r="EN39" i="55" s="1"/>
  <c r="AT42" i="55"/>
  <c r="BR42" i="55"/>
  <c r="CP42" i="55"/>
  <c r="DN42" i="55"/>
  <c r="EH17" i="55"/>
  <c r="EH18" i="55"/>
  <c r="S42" i="55"/>
  <c r="ED25" i="55"/>
  <c r="EM25" i="55"/>
  <c r="EN25" i="55" s="1"/>
  <c r="EC28" i="55"/>
  <c r="EH29" i="55"/>
  <c r="EM30" i="55"/>
  <c r="EN30" i="55" s="1"/>
  <c r="ED35" i="55"/>
  <c r="EM41" i="55"/>
  <c r="EH11" i="55"/>
  <c r="EN15" i="55"/>
  <c r="V42" i="55"/>
  <c r="EH27" i="55"/>
  <c r="EB29" i="55"/>
  <c r="EK29" i="55"/>
  <c r="AQ29" i="55"/>
  <c r="EM29" i="55" s="1"/>
  <c r="EC31" i="55"/>
  <c r="EK35" i="55"/>
  <c r="EN35" i="55" s="1"/>
  <c r="EM36" i="55"/>
  <c r="EN36" i="55" s="1"/>
  <c r="EC40" i="55"/>
  <c r="ED41" i="55"/>
  <c r="EE41" i="55" s="1"/>
  <c r="EB36" i="55"/>
  <c r="EC41" i="55"/>
  <c r="EK11" i="55"/>
  <c r="EC19" i="55"/>
  <c r="EB20" i="55"/>
  <c r="BC21" i="55"/>
  <c r="EM21" i="55" s="1"/>
  <c r="EN21" i="55" s="1"/>
  <c r="AK32" i="55"/>
  <c r="EM32" i="55" s="1"/>
  <c r="EN32" i="55" s="1"/>
  <c r="BC38" i="55"/>
  <c r="EE2" i="55"/>
  <c r="EQ2" i="55" s="1"/>
  <c r="G4" i="55" s="1"/>
  <c r="AN11" i="55"/>
  <c r="ED11" i="55" s="1"/>
  <c r="EB12" i="55"/>
  <c r="AQ21" i="55"/>
  <c r="EB22" i="55"/>
  <c r="BC23" i="55"/>
  <c r="ED23" i="55" s="1"/>
  <c r="BC24" i="55"/>
  <c r="ED24" i="55" s="1"/>
  <c r="BC25" i="55"/>
  <c r="BC26" i="55"/>
  <c r="ED26" i="55" s="1"/>
  <c r="BC27" i="55"/>
  <c r="ED27" i="55" s="1"/>
  <c r="EB32" i="55"/>
  <c r="AQ38" i="55"/>
  <c r="ED38" i="55" s="1"/>
  <c r="EE38" i="55" s="1"/>
  <c r="EB39" i="55"/>
  <c r="BC40" i="55"/>
  <c r="ED40" i="55" s="1"/>
  <c r="EE40" i="55" s="1"/>
  <c r="EI40" i="55"/>
  <c r="AN13" i="55"/>
  <c r="ED13" i="55" s="1"/>
  <c r="EE13" i="55" s="1"/>
  <c r="EB14" i="55"/>
  <c r="EB15" i="55"/>
  <c r="EB23" i="55"/>
  <c r="EB24" i="55"/>
  <c r="EB25" i="55"/>
  <c r="EB26" i="55"/>
  <c r="EB27" i="55"/>
  <c r="BC33" i="55"/>
  <c r="ED33" i="55" s="1"/>
  <c r="AN16" i="55"/>
  <c r="ED16" i="55" s="1"/>
  <c r="EE16" i="55" s="1"/>
  <c r="BC17" i="55"/>
  <c r="EM17" i="55" s="1"/>
  <c r="EN17" i="55" s="1"/>
  <c r="EB33" i="55"/>
  <c r="EM11" i="55" l="1"/>
  <c r="EE35" i="55"/>
  <c r="ED37" i="55"/>
  <c r="EE37" i="55" s="1"/>
  <c r="EN18" i="55"/>
  <c r="EE34" i="55"/>
  <c r="EM38" i="55"/>
  <c r="EN38" i="55" s="1"/>
  <c r="EM13" i="55"/>
  <c r="EN13" i="55" s="1"/>
  <c r="EC34" i="55"/>
  <c r="ED21" i="55"/>
  <c r="EE21" i="55" s="1"/>
  <c r="EE11" i="55"/>
  <c r="EC26" i="55"/>
  <c r="EE26" i="55"/>
  <c r="EN29" i="55"/>
  <c r="EH42" i="55"/>
  <c r="EN20" i="55"/>
  <c r="EC25" i="55"/>
  <c r="EE25" i="55"/>
  <c r="EE39" i="55"/>
  <c r="EC39" i="55"/>
  <c r="EE22" i="55"/>
  <c r="EC22" i="55"/>
  <c r="EE29" i="55"/>
  <c r="EC29" i="55"/>
  <c r="EE18" i="55"/>
  <c r="EC18" i="55"/>
  <c r="EM24" i="55"/>
  <c r="EN24" i="55" s="1"/>
  <c r="EC24" i="55"/>
  <c r="EE24" i="55"/>
  <c r="EE20" i="55"/>
  <c r="EC20" i="55"/>
  <c r="EM37" i="55"/>
  <c r="EN37" i="55" s="1"/>
  <c r="ED29" i="55"/>
  <c r="EM16" i="55"/>
  <c r="EN16" i="55" s="1"/>
  <c r="BC42" i="55"/>
  <c r="EC27" i="55"/>
  <c r="EE27" i="55"/>
  <c r="EC33" i="55"/>
  <c r="EE33" i="55"/>
  <c r="EC23" i="55"/>
  <c r="EE23" i="55"/>
  <c r="EC32" i="55"/>
  <c r="EE12" i="55"/>
  <c r="EC12" i="55"/>
  <c r="EM40" i="55"/>
  <c r="EN40" i="55" s="1"/>
  <c r="EC35" i="55"/>
  <c r="EM27" i="55"/>
  <c r="EN27" i="55" s="1"/>
  <c r="EC15" i="55"/>
  <c r="EE15" i="55"/>
  <c r="EN5" i="55"/>
  <c r="EN11" i="55"/>
  <c r="EN3" i="55"/>
  <c r="EM33" i="55"/>
  <c r="EN33" i="55" s="1"/>
  <c r="AQ42" i="55"/>
  <c r="EM31" i="55"/>
  <c r="EN31" i="55" s="1"/>
  <c r="EE3" i="55"/>
  <c r="EM20" i="55"/>
  <c r="EC14" i="55"/>
  <c r="EE14" i="55"/>
  <c r="AN42" i="55"/>
  <c r="EM26" i="55"/>
  <c r="EN26" i="55" s="1"/>
  <c r="EE5" i="55"/>
  <c r="G7" i="55" s="1"/>
  <c r="EC13" i="55"/>
  <c r="EM23" i="55"/>
  <c r="EN23" i="55" s="1"/>
  <c r="ED32" i="55"/>
  <c r="EE32" i="55" s="1"/>
  <c r="EE36" i="55"/>
  <c r="EC36" i="55"/>
  <c r="ED17" i="55"/>
  <c r="EE17" i="55" s="1"/>
  <c r="AK42" i="55"/>
  <c r="EC11" i="55"/>
  <c r="EM42" i="55" l="1"/>
  <c r="EN4" i="55"/>
  <c r="EE4" i="55"/>
  <c r="G6" i="55" s="1"/>
  <c r="G5" i="55"/>
  <c r="ED42" i="55"/>
  <c r="G28" i="62" l="1"/>
  <c r="H28" i="63"/>
  <c r="H28" i="4"/>
  <c r="EL41" i="54"/>
  <c r="EG41" i="54"/>
  <c r="EI41" i="54" s="1"/>
  <c r="DW41" i="54"/>
  <c r="DT41" i="54"/>
  <c r="DQ41" i="54"/>
  <c r="DN41" i="54"/>
  <c r="DK41" i="54"/>
  <c r="DH41" i="54"/>
  <c r="DE41" i="54"/>
  <c r="DB41" i="54"/>
  <c r="CY41" i="54"/>
  <c r="CV41" i="54"/>
  <c r="CS41" i="54"/>
  <c r="CP41" i="54"/>
  <c r="CM41" i="54"/>
  <c r="CJ41" i="54"/>
  <c r="CG41" i="54"/>
  <c r="CD41" i="54"/>
  <c r="CA41" i="54"/>
  <c r="BX41" i="54"/>
  <c r="BU41" i="54"/>
  <c r="BR41" i="54"/>
  <c r="BO41" i="54"/>
  <c r="BL41" i="54"/>
  <c r="BI41" i="54"/>
  <c r="BF41" i="54"/>
  <c r="BC41" i="54"/>
  <c r="AZ41" i="54"/>
  <c r="AW41" i="54"/>
  <c r="AR41" i="54"/>
  <c r="AO41" i="54"/>
  <c r="EB41" i="54" s="1"/>
  <c r="AN41" i="54"/>
  <c r="AL41" i="54"/>
  <c r="AK41" i="54"/>
  <c r="AB41" i="54"/>
  <c r="Y41" i="54"/>
  <c r="V41" i="54"/>
  <c r="S41" i="54"/>
  <c r="EH41" i="54" s="1"/>
  <c r="P41" i="54"/>
  <c r="M41" i="54"/>
  <c r="J41" i="54"/>
  <c r="G41" i="54"/>
  <c r="D41" i="54"/>
  <c r="EL40" i="54"/>
  <c r="EG40" i="54"/>
  <c r="EI40" i="54" s="1"/>
  <c r="DW40" i="54"/>
  <c r="DT40" i="54"/>
  <c r="DQ40" i="54"/>
  <c r="DN40" i="54"/>
  <c r="DK40" i="54"/>
  <c r="DH40" i="54"/>
  <c r="DE40" i="54"/>
  <c r="DB40" i="54"/>
  <c r="CY40" i="54"/>
  <c r="CV40" i="54"/>
  <c r="CS40" i="54"/>
  <c r="CP40" i="54"/>
  <c r="CM40" i="54"/>
  <c r="CJ40" i="54"/>
  <c r="CG40" i="54"/>
  <c r="CD40" i="54"/>
  <c r="CA40" i="54"/>
  <c r="BX40" i="54"/>
  <c r="BU40" i="54"/>
  <c r="BR40" i="54"/>
  <c r="BO40" i="54"/>
  <c r="BL40" i="54"/>
  <c r="BI40" i="54"/>
  <c r="BF40" i="54"/>
  <c r="BC40" i="54"/>
  <c r="AZ40" i="54"/>
  <c r="AW40" i="54"/>
  <c r="AR40" i="54"/>
  <c r="EK40" i="54" s="1"/>
  <c r="AQ40" i="54"/>
  <c r="AL40" i="54"/>
  <c r="EB40" i="54" s="1"/>
  <c r="AK40" i="54"/>
  <c r="AB40" i="54"/>
  <c r="Y40" i="54"/>
  <c r="V40" i="54"/>
  <c r="S40" i="54"/>
  <c r="P40" i="54"/>
  <c r="M40" i="54"/>
  <c r="J40" i="54"/>
  <c r="G40" i="54"/>
  <c r="D40" i="54"/>
  <c r="EL39" i="54"/>
  <c r="EG39" i="54"/>
  <c r="EI39" i="54" s="1"/>
  <c r="DW39" i="54"/>
  <c r="DT39" i="54"/>
  <c r="DQ39" i="54"/>
  <c r="DN39" i="54"/>
  <c r="DK39" i="54"/>
  <c r="DH39" i="54"/>
  <c r="DE39" i="54"/>
  <c r="DB39" i="54"/>
  <c r="CY39" i="54"/>
  <c r="CV39" i="54"/>
  <c r="CS39" i="54"/>
  <c r="CP39" i="54"/>
  <c r="CM39" i="54"/>
  <c r="CJ39" i="54"/>
  <c r="CG39" i="54"/>
  <c r="CD39" i="54"/>
  <c r="CA39" i="54"/>
  <c r="BX39" i="54"/>
  <c r="BU39" i="54"/>
  <c r="BR39" i="54"/>
  <c r="BO39" i="54"/>
  <c r="BL39" i="54"/>
  <c r="BI39" i="54"/>
  <c r="BF39" i="54"/>
  <c r="BC39" i="54"/>
  <c r="AZ39" i="54"/>
  <c r="AW39" i="54"/>
  <c r="AT39" i="54"/>
  <c r="AO39" i="54"/>
  <c r="AQ39" i="54" s="1"/>
  <c r="AL39" i="54"/>
  <c r="EB39" i="54" s="1"/>
  <c r="AK39" i="54"/>
  <c r="AB39" i="54"/>
  <c r="Y39" i="54"/>
  <c r="V39" i="54"/>
  <c r="S39" i="54"/>
  <c r="P39" i="54"/>
  <c r="M39" i="54"/>
  <c r="J39" i="54"/>
  <c r="G39" i="54"/>
  <c r="D39" i="54"/>
  <c r="EL38" i="54"/>
  <c r="EG38" i="54"/>
  <c r="EI38" i="54" s="1"/>
  <c r="DW38" i="54"/>
  <c r="DT38" i="54"/>
  <c r="DQ38" i="54"/>
  <c r="DN38" i="54"/>
  <c r="DK38" i="54"/>
  <c r="DH38" i="54"/>
  <c r="DE38" i="54"/>
  <c r="DB38" i="54"/>
  <c r="CY38" i="54"/>
  <c r="CV38" i="54"/>
  <c r="CS38" i="54"/>
  <c r="CP38" i="54"/>
  <c r="CM38" i="54"/>
  <c r="CJ38" i="54"/>
  <c r="CG38" i="54"/>
  <c r="CD38" i="54"/>
  <c r="CA38" i="54"/>
  <c r="BX38" i="54"/>
  <c r="BU38" i="54"/>
  <c r="BR38" i="54"/>
  <c r="BO38" i="54"/>
  <c r="BL38" i="54"/>
  <c r="BI38" i="54"/>
  <c r="BF38" i="54"/>
  <c r="BC38" i="54"/>
  <c r="AZ38" i="54"/>
  <c r="AW38" i="54"/>
  <c r="AT38" i="54"/>
  <c r="AO38" i="54"/>
  <c r="AL38" i="54"/>
  <c r="EB38" i="54" s="1"/>
  <c r="AK38" i="54"/>
  <c r="AB38" i="54"/>
  <c r="Y38" i="54"/>
  <c r="V38" i="54"/>
  <c r="S38" i="54"/>
  <c r="P38" i="54"/>
  <c r="M38" i="54"/>
  <c r="J38" i="54"/>
  <c r="G38" i="54"/>
  <c r="D38" i="54"/>
  <c r="EL37" i="54"/>
  <c r="EG37" i="54"/>
  <c r="EI37" i="54" s="1"/>
  <c r="DW37" i="54"/>
  <c r="DT37" i="54"/>
  <c r="DQ37" i="54"/>
  <c r="DN37" i="54"/>
  <c r="DK37" i="54"/>
  <c r="DH37" i="54"/>
  <c r="DE37" i="54"/>
  <c r="DB37" i="54"/>
  <c r="CY37" i="54"/>
  <c r="CV37" i="54"/>
  <c r="CS37" i="54"/>
  <c r="CP37" i="54"/>
  <c r="CM37" i="54"/>
  <c r="CJ37" i="54"/>
  <c r="CG37" i="54"/>
  <c r="CD37" i="54"/>
  <c r="CA37" i="54"/>
  <c r="BX37" i="54"/>
  <c r="BU37" i="54"/>
  <c r="BR37" i="54"/>
  <c r="BO37" i="54"/>
  <c r="BL37" i="54"/>
  <c r="BI37" i="54"/>
  <c r="BF37" i="54"/>
  <c r="BC37" i="54"/>
  <c r="AZ37" i="54"/>
  <c r="AW37" i="54"/>
  <c r="AT37" i="54"/>
  <c r="AO37" i="54"/>
  <c r="EK37" i="54" s="1"/>
  <c r="AN37" i="54"/>
  <c r="AL37" i="54"/>
  <c r="EB37" i="54" s="1"/>
  <c r="AK37" i="54"/>
  <c r="AB37" i="54"/>
  <c r="Y37" i="54"/>
  <c r="V37" i="54"/>
  <c r="S37" i="54"/>
  <c r="P37" i="54"/>
  <c r="M37" i="54"/>
  <c r="J37" i="54"/>
  <c r="G37" i="54"/>
  <c r="D37" i="54"/>
  <c r="EL36" i="54"/>
  <c r="EG36" i="54"/>
  <c r="EI36" i="54" s="1"/>
  <c r="DW36" i="54"/>
  <c r="DT36" i="54"/>
  <c r="DQ36" i="54"/>
  <c r="DN36" i="54"/>
  <c r="DK36" i="54"/>
  <c r="DH36" i="54"/>
  <c r="DE36" i="54"/>
  <c r="DB36" i="54"/>
  <c r="CY36" i="54"/>
  <c r="CV36" i="54"/>
  <c r="CS36" i="54"/>
  <c r="CP36" i="54"/>
  <c r="CM36" i="54"/>
  <c r="CJ36" i="54"/>
  <c r="CG36" i="54"/>
  <c r="CD36" i="54"/>
  <c r="CA36" i="54"/>
  <c r="BX36" i="54"/>
  <c r="BU36" i="54"/>
  <c r="BR36" i="54"/>
  <c r="BO36" i="54"/>
  <c r="BL36" i="54"/>
  <c r="BI36" i="54"/>
  <c r="BF36" i="54"/>
  <c r="BC36" i="54"/>
  <c r="AZ36" i="54"/>
  <c r="AW36" i="54"/>
  <c r="AT36" i="54"/>
  <c r="AQ36" i="54"/>
  <c r="AN36" i="54"/>
  <c r="AL36" i="54"/>
  <c r="EB36" i="54" s="1"/>
  <c r="AI36" i="54"/>
  <c r="AK36" i="54" s="1"/>
  <c r="AB36" i="54"/>
  <c r="Y36" i="54"/>
  <c r="V36" i="54"/>
  <c r="S36" i="54"/>
  <c r="P36" i="54"/>
  <c r="M36" i="54"/>
  <c r="J36" i="54"/>
  <c r="G36" i="54"/>
  <c r="D36" i="54"/>
  <c r="EL35" i="54"/>
  <c r="EG35" i="54"/>
  <c r="EI35" i="54" s="1"/>
  <c r="DW35" i="54"/>
  <c r="DT35" i="54"/>
  <c r="DQ35" i="54"/>
  <c r="DN35" i="54"/>
  <c r="DK35" i="54"/>
  <c r="DH35" i="54"/>
  <c r="DE35" i="54"/>
  <c r="DB35" i="54"/>
  <c r="CY35" i="54"/>
  <c r="CV35" i="54"/>
  <c r="CS35" i="54"/>
  <c r="CP35" i="54"/>
  <c r="CM35" i="54"/>
  <c r="CJ35" i="54"/>
  <c r="CG35" i="54"/>
  <c r="CD35" i="54"/>
  <c r="CA35" i="54"/>
  <c r="BX35" i="54"/>
  <c r="BU35" i="54"/>
  <c r="BR35" i="54"/>
  <c r="BO35" i="54"/>
  <c r="BL35" i="54"/>
  <c r="BI35" i="54"/>
  <c r="BF35" i="54"/>
  <c r="BC35" i="54"/>
  <c r="AZ35" i="54"/>
  <c r="AW35" i="54"/>
  <c r="AT35" i="54"/>
  <c r="AQ35" i="54"/>
  <c r="AN35" i="54"/>
  <c r="AL35" i="54"/>
  <c r="EB35" i="54" s="1"/>
  <c r="AI35" i="54"/>
  <c r="AK35" i="54" s="1"/>
  <c r="AB35" i="54"/>
  <c r="Y35" i="54"/>
  <c r="V35" i="54"/>
  <c r="EH35" i="54" s="1"/>
  <c r="S35" i="54"/>
  <c r="P35" i="54"/>
  <c r="M35" i="54"/>
  <c r="J35" i="54"/>
  <c r="G35" i="54"/>
  <c r="D35" i="54"/>
  <c r="EL34" i="54"/>
  <c r="EG34" i="54"/>
  <c r="EI34" i="54" s="1"/>
  <c r="DW34" i="54"/>
  <c r="DT34" i="54"/>
  <c r="DQ34" i="54"/>
  <c r="DN34" i="54"/>
  <c r="DK34" i="54"/>
  <c r="DH34" i="54"/>
  <c r="DE34" i="54"/>
  <c r="DB34" i="54"/>
  <c r="CY34" i="54"/>
  <c r="CV34" i="54"/>
  <c r="CS34" i="54"/>
  <c r="CP34" i="54"/>
  <c r="CM34" i="54"/>
  <c r="CJ34" i="54"/>
  <c r="CG34" i="54"/>
  <c r="CD34" i="54"/>
  <c r="CA34" i="54"/>
  <c r="BX34" i="54"/>
  <c r="BU34" i="54"/>
  <c r="BR34" i="54"/>
  <c r="BO34" i="54"/>
  <c r="BL34" i="54"/>
  <c r="BI34" i="54"/>
  <c r="BF34" i="54"/>
  <c r="BC34" i="54"/>
  <c r="AZ34" i="54"/>
  <c r="AW34" i="54"/>
  <c r="AT34" i="54"/>
  <c r="AQ34" i="54"/>
  <c r="AN34" i="54"/>
  <c r="AL34" i="54"/>
  <c r="AI34" i="54"/>
  <c r="AK34" i="54" s="1"/>
  <c r="AB34" i="54"/>
  <c r="Y34" i="54"/>
  <c r="V34" i="54"/>
  <c r="S34" i="54"/>
  <c r="P34" i="54"/>
  <c r="M34" i="54"/>
  <c r="J34" i="54"/>
  <c r="G34" i="54"/>
  <c r="D34" i="54"/>
  <c r="EL33" i="54"/>
  <c r="EG33" i="54"/>
  <c r="EI33" i="54" s="1"/>
  <c r="DW33" i="54"/>
  <c r="DT33" i="54"/>
  <c r="DQ33" i="54"/>
  <c r="DN33" i="54"/>
  <c r="DK33" i="54"/>
  <c r="DH33" i="54"/>
  <c r="DE33" i="54"/>
  <c r="DB33" i="54"/>
  <c r="CY33" i="54"/>
  <c r="CV33" i="54"/>
  <c r="CS33" i="54"/>
  <c r="CP33" i="54"/>
  <c r="CM33" i="54"/>
  <c r="CJ33" i="54"/>
  <c r="CG33" i="54"/>
  <c r="CD33" i="54"/>
  <c r="CA33" i="54"/>
  <c r="BX33" i="54"/>
  <c r="BU33" i="54"/>
  <c r="BR33" i="54"/>
  <c r="BO33" i="54"/>
  <c r="BL33" i="54"/>
  <c r="BI33" i="54"/>
  <c r="BF33" i="54"/>
  <c r="BC33" i="54"/>
  <c r="AZ33" i="54"/>
  <c r="AW33" i="54"/>
  <c r="AT33" i="54"/>
  <c r="AQ33" i="54"/>
  <c r="AN33" i="54"/>
  <c r="AL33" i="54"/>
  <c r="AI33" i="54"/>
  <c r="AK33" i="54" s="1"/>
  <c r="AB33" i="54"/>
  <c r="Y33" i="54"/>
  <c r="V33" i="54"/>
  <c r="S33" i="54"/>
  <c r="P33" i="54"/>
  <c r="M33" i="54"/>
  <c r="J33" i="54"/>
  <c r="G33" i="54"/>
  <c r="D33" i="54"/>
  <c r="EL32" i="54"/>
  <c r="EG32" i="54"/>
  <c r="EI32" i="54" s="1"/>
  <c r="DW32" i="54"/>
  <c r="DT32" i="54"/>
  <c r="DQ32" i="54"/>
  <c r="DN32" i="54"/>
  <c r="DK32" i="54"/>
  <c r="DH32" i="54"/>
  <c r="DE32" i="54"/>
  <c r="DB32" i="54"/>
  <c r="CY32" i="54"/>
  <c r="CV32" i="54"/>
  <c r="CS32" i="54"/>
  <c r="CP32" i="54"/>
  <c r="CM32" i="54"/>
  <c r="CJ32" i="54"/>
  <c r="CG32" i="54"/>
  <c r="CD32" i="54"/>
  <c r="CA32" i="54"/>
  <c r="BX32" i="54"/>
  <c r="BU32" i="54"/>
  <c r="BR32" i="54"/>
  <c r="BO32" i="54"/>
  <c r="BL32" i="54"/>
  <c r="BI32" i="54"/>
  <c r="BF32" i="54"/>
  <c r="BC32" i="54"/>
  <c r="AZ32" i="54"/>
  <c r="AW32" i="54"/>
  <c r="AT32" i="54"/>
  <c r="AQ32" i="54"/>
  <c r="AN32" i="54"/>
  <c r="AL32" i="54"/>
  <c r="AI32" i="54"/>
  <c r="AK32" i="54" s="1"/>
  <c r="AB32" i="54"/>
  <c r="Y32" i="54"/>
  <c r="V32" i="54"/>
  <c r="S32" i="54"/>
  <c r="P32" i="54"/>
  <c r="M32" i="54"/>
  <c r="J32" i="54"/>
  <c r="G32" i="54"/>
  <c r="D32" i="54"/>
  <c r="EL31" i="54"/>
  <c r="EG31" i="54"/>
  <c r="EI31" i="54" s="1"/>
  <c r="DW31" i="54"/>
  <c r="DT31" i="54"/>
  <c r="DQ31" i="54"/>
  <c r="DN31" i="54"/>
  <c r="DK31" i="54"/>
  <c r="DH31" i="54"/>
  <c r="DE31" i="54"/>
  <c r="DB31" i="54"/>
  <c r="CY31" i="54"/>
  <c r="CV31" i="54"/>
  <c r="CS31" i="54"/>
  <c r="CP31" i="54"/>
  <c r="CM31" i="54"/>
  <c r="CJ31" i="54"/>
  <c r="CG31" i="54"/>
  <c r="CD31" i="54"/>
  <c r="CA31" i="54"/>
  <c r="BX31" i="54"/>
  <c r="BU31" i="54"/>
  <c r="BR31" i="54"/>
  <c r="BO31" i="54"/>
  <c r="BL31" i="54"/>
  <c r="BI31" i="54"/>
  <c r="BF31" i="54"/>
  <c r="BC31" i="54"/>
  <c r="AZ31" i="54"/>
  <c r="AW31" i="54"/>
  <c r="AT31" i="54"/>
  <c r="AQ31" i="54"/>
  <c r="AL31" i="54"/>
  <c r="EB31" i="54" s="1"/>
  <c r="AI31" i="54"/>
  <c r="AK31" i="54" s="1"/>
  <c r="AB31" i="54"/>
  <c r="Y31" i="54"/>
  <c r="V31" i="54"/>
  <c r="S31" i="54"/>
  <c r="P31" i="54"/>
  <c r="M31" i="54"/>
  <c r="J31" i="54"/>
  <c r="G31" i="54"/>
  <c r="D31" i="54"/>
  <c r="EL30" i="54"/>
  <c r="EG30" i="54"/>
  <c r="EI30" i="54" s="1"/>
  <c r="DW30" i="54"/>
  <c r="DT30" i="54"/>
  <c r="DQ30" i="54"/>
  <c r="DN30" i="54"/>
  <c r="DK30" i="54"/>
  <c r="DH30" i="54"/>
  <c r="DE30" i="54"/>
  <c r="DB30" i="54"/>
  <c r="CY30" i="54"/>
  <c r="CV30" i="54"/>
  <c r="CS30" i="54"/>
  <c r="CP30" i="54"/>
  <c r="CM30" i="54"/>
  <c r="CJ30" i="54"/>
  <c r="CG30" i="54"/>
  <c r="CD30" i="54"/>
  <c r="CA30" i="54"/>
  <c r="BX30" i="54"/>
  <c r="BU30" i="54"/>
  <c r="BR30" i="54"/>
  <c r="BO30" i="54"/>
  <c r="BL30" i="54"/>
  <c r="BI30" i="54"/>
  <c r="BF30" i="54"/>
  <c r="BC30" i="54"/>
  <c r="AZ30" i="54"/>
  <c r="AW30" i="54"/>
  <c r="AT30" i="54"/>
  <c r="AQ30" i="54"/>
  <c r="AN30" i="54"/>
  <c r="AL30" i="54"/>
  <c r="EB30" i="54" s="1"/>
  <c r="AK30" i="54"/>
  <c r="AB30" i="54"/>
  <c r="Y30" i="54"/>
  <c r="V30" i="54"/>
  <c r="S30" i="54"/>
  <c r="P30" i="54"/>
  <c r="M30" i="54"/>
  <c r="J30" i="54"/>
  <c r="G30" i="54"/>
  <c r="D30" i="54"/>
  <c r="EL29" i="54"/>
  <c r="EI29" i="54"/>
  <c r="EG29" i="54"/>
  <c r="DW29" i="54"/>
  <c r="DT29" i="54"/>
  <c r="DQ29" i="54"/>
  <c r="DN29" i="54"/>
  <c r="DK29" i="54"/>
  <c r="DH29" i="54"/>
  <c r="DE29" i="54"/>
  <c r="DB29" i="54"/>
  <c r="CY29" i="54"/>
  <c r="CV29" i="54"/>
  <c r="CS29" i="54"/>
  <c r="CP29" i="54"/>
  <c r="CM29" i="54"/>
  <c r="CJ29" i="54"/>
  <c r="CG29" i="54"/>
  <c r="CD29" i="54"/>
  <c r="CA29" i="54"/>
  <c r="BX29" i="54"/>
  <c r="BU29" i="54"/>
  <c r="BR29" i="54"/>
  <c r="BO29" i="54"/>
  <c r="BL29" i="54"/>
  <c r="BI29" i="54"/>
  <c r="BF29" i="54"/>
  <c r="BC29" i="54"/>
  <c r="AZ29" i="54"/>
  <c r="AW29" i="54"/>
  <c r="AT29" i="54"/>
  <c r="AQ29" i="54"/>
  <c r="AL29" i="54"/>
  <c r="AI29" i="54"/>
  <c r="AK29" i="54" s="1"/>
  <c r="AB29" i="54"/>
  <c r="Y29" i="54"/>
  <c r="V29" i="54"/>
  <c r="S29" i="54"/>
  <c r="P29" i="54"/>
  <c r="M29" i="54"/>
  <c r="J29" i="54"/>
  <c r="G29" i="54"/>
  <c r="D29" i="54"/>
  <c r="EL28" i="54"/>
  <c r="EI28" i="54"/>
  <c r="EG28" i="54"/>
  <c r="DW28" i="54"/>
  <c r="DT28" i="54"/>
  <c r="DQ28" i="54"/>
  <c r="DN28" i="54"/>
  <c r="DK28" i="54"/>
  <c r="DH28" i="54"/>
  <c r="DE28" i="54"/>
  <c r="DB28" i="54"/>
  <c r="CY28" i="54"/>
  <c r="CV28" i="54"/>
  <c r="CS28" i="54"/>
  <c r="CP28" i="54"/>
  <c r="CM28" i="54"/>
  <c r="CJ28" i="54"/>
  <c r="CG28" i="54"/>
  <c r="CD28" i="54"/>
  <c r="CA28" i="54"/>
  <c r="BX28" i="54"/>
  <c r="BU28" i="54"/>
  <c r="BR28" i="54"/>
  <c r="BO28" i="54"/>
  <c r="BL28" i="54"/>
  <c r="BI28" i="54"/>
  <c r="BF28" i="54"/>
  <c r="BC28" i="54"/>
  <c r="AZ28" i="54"/>
  <c r="AW28" i="54"/>
  <c r="AT28" i="54"/>
  <c r="AQ28" i="54"/>
  <c r="AL28" i="54"/>
  <c r="AI28" i="54"/>
  <c r="AK28" i="54" s="1"/>
  <c r="AB28" i="54"/>
  <c r="Y28" i="54"/>
  <c r="V28" i="54"/>
  <c r="S28" i="54"/>
  <c r="P28" i="54"/>
  <c r="M28" i="54"/>
  <c r="J28" i="54"/>
  <c r="G28" i="54"/>
  <c r="D28" i="54"/>
  <c r="EL27" i="54"/>
  <c r="EI27" i="54"/>
  <c r="EG27" i="54"/>
  <c r="DW27" i="54"/>
  <c r="DT27" i="54"/>
  <c r="DQ27" i="54"/>
  <c r="DN27" i="54"/>
  <c r="DK27" i="54"/>
  <c r="DH27" i="54"/>
  <c r="DE27" i="54"/>
  <c r="DB27" i="54"/>
  <c r="CY27" i="54"/>
  <c r="CV27" i="54"/>
  <c r="CS27" i="54"/>
  <c r="CP27" i="54"/>
  <c r="CM27" i="54"/>
  <c r="CJ27" i="54"/>
  <c r="CG27" i="54"/>
  <c r="CD27" i="54"/>
  <c r="CA27" i="54"/>
  <c r="BX27" i="54"/>
  <c r="BU27" i="54"/>
  <c r="BR27" i="54"/>
  <c r="BO27" i="54"/>
  <c r="BL27" i="54"/>
  <c r="BI27" i="54"/>
  <c r="BF27" i="54"/>
  <c r="BC27" i="54"/>
  <c r="AZ27" i="54"/>
  <c r="AW27" i="54"/>
  <c r="AT27" i="54"/>
  <c r="AQ27" i="54"/>
  <c r="AL27" i="54"/>
  <c r="EK27" i="54" s="1"/>
  <c r="AI27" i="54"/>
  <c r="AK27" i="54" s="1"/>
  <c r="AB27" i="54"/>
  <c r="Y27" i="54"/>
  <c r="V27" i="54"/>
  <c r="S27" i="54"/>
  <c r="P27" i="54"/>
  <c r="M27" i="54"/>
  <c r="J27" i="54"/>
  <c r="G27" i="54"/>
  <c r="D27" i="54"/>
  <c r="EL26" i="54"/>
  <c r="EI26" i="54"/>
  <c r="EG26" i="54"/>
  <c r="DW26" i="54"/>
  <c r="DT26" i="54"/>
  <c r="DQ26" i="54"/>
  <c r="DN26" i="54"/>
  <c r="DK26" i="54"/>
  <c r="DH26" i="54"/>
  <c r="DE26" i="54"/>
  <c r="DB26" i="54"/>
  <c r="CY26" i="54"/>
  <c r="CV26" i="54"/>
  <c r="CS26" i="54"/>
  <c r="CP26" i="54"/>
  <c r="CM26" i="54"/>
  <c r="CJ26" i="54"/>
  <c r="CG26" i="54"/>
  <c r="CD26" i="54"/>
  <c r="CA26" i="54"/>
  <c r="BX26" i="54"/>
  <c r="BU26" i="54"/>
  <c r="BR26" i="54"/>
  <c r="BO26" i="54"/>
  <c r="BL26" i="54"/>
  <c r="BI26" i="54"/>
  <c r="BF26" i="54"/>
  <c r="BC26" i="54"/>
  <c r="AZ26" i="54"/>
  <c r="AW26" i="54"/>
  <c r="AT26" i="54"/>
  <c r="AQ26" i="54"/>
  <c r="AN26" i="54"/>
  <c r="AK26" i="54"/>
  <c r="AI26" i="54"/>
  <c r="EK26" i="54" s="1"/>
  <c r="AB26" i="54"/>
  <c r="Y26" i="54"/>
  <c r="V26" i="54"/>
  <c r="S26" i="54"/>
  <c r="P26" i="54"/>
  <c r="M26" i="54"/>
  <c r="J26" i="54"/>
  <c r="G26" i="54"/>
  <c r="D26" i="54"/>
  <c r="EL25" i="54"/>
  <c r="EG25" i="54"/>
  <c r="EI25" i="54" s="1"/>
  <c r="DW25" i="54"/>
  <c r="DT25" i="54"/>
  <c r="DQ25" i="54"/>
  <c r="DN25" i="54"/>
  <c r="DK25" i="54"/>
  <c r="DH25" i="54"/>
  <c r="DE25" i="54"/>
  <c r="DB25" i="54"/>
  <c r="CY25" i="54"/>
  <c r="CV25" i="54"/>
  <c r="CS25" i="54"/>
  <c r="CP25" i="54"/>
  <c r="CM25" i="54"/>
  <c r="CJ25" i="54"/>
  <c r="CG25" i="54"/>
  <c r="CD25" i="54"/>
  <c r="CA25" i="54"/>
  <c r="BX25" i="54"/>
  <c r="BU25" i="54"/>
  <c r="BR25" i="54"/>
  <c r="BO25" i="54"/>
  <c r="BL25" i="54"/>
  <c r="BI25" i="54"/>
  <c r="BF25" i="54"/>
  <c r="BC25" i="54"/>
  <c r="AZ25" i="54"/>
  <c r="AW25" i="54"/>
  <c r="AT25" i="54"/>
  <c r="AQ25" i="54"/>
  <c r="AN25" i="54"/>
  <c r="AI25" i="54"/>
  <c r="AK25" i="54" s="1"/>
  <c r="AB25" i="54"/>
  <c r="Y25" i="54"/>
  <c r="V25" i="54"/>
  <c r="S25" i="54"/>
  <c r="P25" i="54"/>
  <c r="M25" i="54"/>
  <c r="ED25" i="54" s="1"/>
  <c r="J25" i="54"/>
  <c r="G25" i="54"/>
  <c r="D25" i="54"/>
  <c r="EL24" i="54"/>
  <c r="EK24" i="54"/>
  <c r="EG24" i="54"/>
  <c r="EI24" i="54" s="1"/>
  <c r="EB24" i="54"/>
  <c r="DW24" i="54"/>
  <c r="DT24" i="54"/>
  <c r="DQ24" i="54"/>
  <c r="DN24" i="54"/>
  <c r="DK24" i="54"/>
  <c r="DH24" i="54"/>
  <c r="DE24" i="54"/>
  <c r="DB24" i="54"/>
  <c r="CY24" i="54"/>
  <c r="CV24" i="54"/>
  <c r="CS24" i="54"/>
  <c r="CP24" i="54"/>
  <c r="CM24" i="54"/>
  <c r="CJ24" i="54"/>
  <c r="CG24" i="54"/>
  <c r="CD24" i="54"/>
  <c r="CA24" i="54"/>
  <c r="BX24" i="54"/>
  <c r="BU24" i="54"/>
  <c r="BR24" i="54"/>
  <c r="BO24" i="54"/>
  <c r="BL24" i="54"/>
  <c r="BI24" i="54"/>
  <c r="BF24" i="54"/>
  <c r="BC24" i="54"/>
  <c r="AZ24" i="54"/>
  <c r="AW24" i="54"/>
  <c r="AT24" i="54"/>
  <c r="AQ24" i="54"/>
  <c r="AN24" i="54"/>
  <c r="AK24" i="54"/>
  <c r="AB24" i="54"/>
  <c r="Y24" i="54"/>
  <c r="V24" i="54"/>
  <c r="S24" i="54"/>
  <c r="P24" i="54"/>
  <c r="M24" i="54"/>
  <c r="J24" i="54"/>
  <c r="G24" i="54"/>
  <c r="D24" i="54"/>
  <c r="EL23" i="54"/>
  <c r="EK23" i="54"/>
  <c r="EI23" i="54"/>
  <c r="EG23" i="54"/>
  <c r="EB23" i="54"/>
  <c r="DW23" i="54"/>
  <c r="DT23" i="54"/>
  <c r="DQ23" i="54"/>
  <c r="DN23" i="54"/>
  <c r="DK23" i="54"/>
  <c r="DH23" i="54"/>
  <c r="DE23" i="54"/>
  <c r="DB23" i="54"/>
  <c r="CY23" i="54"/>
  <c r="CV23" i="54"/>
  <c r="CS23" i="54"/>
  <c r="CP23" i="54"/>
  <c r="CM23" i="54"/>
  <c r="CJ23" i="54"/>
  <c r="CG23" i="54"/>
  <c r="CD23" i="54"/>
  <c r="CA23" i="54"/>
  <c r="BX23" i="54"/>
  <c r="BU23" i="54"/>
  <c r="BR23" i="54"/>
  <c r="BO23" i="54"/>
  <c r="BL23" i="54"/>
  <c r="BI23" i="54"/>
  <c r="BF23" i="54"/>
  <c r="BC23" i="54"/>
  <c r="AZ23" i="54"/>
  <c r="AW23" i="54"/>
  <c r="AT23" i="54"/>
  <c r="AQ23" i="54"/>
  <c r="AN23" i="54"/>
  <c r="AK23" i="54"/>
  <c r="AB23" i="54"/>
  <c r="Y23" i="54"/>
  <c r="EH23" i="54" s="1"/>
  <c r="V23" i="54"/>
  <c r="S23" i="54"/>
  <c r="P23" i="54"/>
  <c r="M23" i="54"/>
  <c r="J23" i="54"/>
  <c r="G23" i="54"/>
  <c r="D23" i="54"/>
  <c r="EL22" i="54"/>
  <c r="EK22" i="54"/>
  <c r="EG22" i="54"/>
  <c r="EI22" i="54" s="1"/>
  <c r="EB22" i="54"/>
  <c r="EC22" i="54" s="1"/>
  <c r="DW22" i="54"/>
  <c r="DT22" i="54"/>
  <c r="DQ22" i="54"/>
  <c r="DN22" i="54"/>
  <c r="DK22" i="54"/>
  <c r="DH22" i="54"/>
  <c r="DE22" i="54"/>
  <c r="DB22" i="54"/>
  <c r="CY22" i="54"/>
  <c r="CV22" i="54"/>
  <c r="CS22" i="54"/>
  <c r="CP22" i="54"/>
  <c r="CM22" i="54"/>
  <c r="CJ22" i="54"/>
  <c r="CG22" i="54"/>
  <c r="CD22" i="54"/>
  <c r="CA22" i="54"/>
  <c r="BX22" i="54"/>
  <c r="BU22" i="54"/>
  <c r="BR22" i="54"/>
  <c r="BO22" i="54"/>
  <c r="BL22" i="54"/>
  <c r="BI22" i="54"/>
  <c r="BF22" i="54"/>
  <c r="BC22" i="54"/>
  <c r="AZ22" i="54"/>
  <c r="AW22" i="54"/>
  <c r="AT22" i="54"/>
  <c r="AQ22" i="54"/>
  <c r="AN22" i="54"/>
  <c r="AK22" i="54"/>
  <c r="AB22" i="54"/>
  <c r="Y22" i="54"/>
  <c r="V22" i="54"/>
  <c r="S22" i="54"/>
  <c r="P22" i="54"/>
  <c r="M22" i="54"/>
  <c r="J22" i="54"/>
  <c r="G22" i="54"/>
  <c r="D22" i="54"/>
  <c r="ED22" i="54" s="1"/>
  <c r="EE22" i="54" s="1"/>
  <c r="EL21" i="54"/>
  <c r="EK21" i="54"/>
  <c r="EG21" i="54"/>
  <c r="EI21" i="54" s="1"/>
  <c r="EB21" i="54"/>
  <c r="EC21" i="54" s="1"/>
  <c r="DW21" i="54"/>
  <c r="DT21" i="54"/>
  <c r="DQ21" i="54"/>
  <c r="DN21" i="54"/>
  <c r="DK21" i="54"/>
  <c r="DH21" i="54"/>
  <c r="DE21" i="54"/>
  <c r="DB21" i="54"/>
  <c r="CY21" i="54"/>
  <c r="CV21" i="54"/>
  <c r="CS21" i="54"/>
  <c r="CP21" i="54"/>
  <c r="CM21" i="54"/>
  <c r="CJ21" i="54"/>
  <c r="CG21" i="54"/>
  <c r="CD21" i="54"/>
  <c r="CA21" i="54"/>
  <c r="BX21" i="54"/>
  <c r="BU21" i="54"/>
  <c r="BR21" i="54"/>
  <c r="BO21" i="54"/>
  <c r="BL21" i="54"/>
  <c r="BI21" i="54"/>
  <c r="BF21" i="54"/>
  <c r="BC21" i="54"/>
  <c r="AZ21" i="54"/>
  <c r="AW21" i="54"/>
  <c r="AT21" i="54"/>
  <c r="AQ21" i="54"/>
  <c r="AN21" i="54"/>
  <c r="AK21" i="54"/>
  <c r="AB21" i="54"/>
  <c r="Y21" i="54"/>
  <c r="V21" i="54"/>
  <c r="S21" i="54"/>
  <c r="EH21" i="54" s="1"/>
  <c r="P21" i="54"/>
  <c r="M21" i="54"/>
  <c r="J21" i="54"/>
  <c r="G21" i="54"/>
  <c r="D21" i="54"/>
  <c r="EL20" i="54"/>
  <c r="EK20" i="54"/>
  <c r="EI20" i="54"/>
  <c r="EG20" i="54"/>
  <c r="EB20" i="54"/>
  <c r="DW20" i="54"/>
  <c r="DT20" i="54"/>
  <c r="DQ20" i="54"/>
  <c r="DN20" i="54"/>
  <c r="DK20" i="54"/>
  <c r="DH20" i="54"/>
  <c r="DE20" i="54"/>
  <c r="DB20" i="54"/>
  <c r="CY20" i="54"/>
  <c r="CV20" i="54"/>
  <c r="CS20" i="54"/>
  <c r="CP20" i="54"/>
  <c r="CM20" i="54"/>
  <c r="CJ20" i="54"/>
  <c r="CG20" i="54"/>
  <c r="CD20" i="54"/>
  <c r="CA20" i="54"/>
  <c r="BX20" i="54"/>
  <c r="BU20" i="54"/>
  <c r="BR20" i="54"/>
  <c r="BO20" i="54"/>
  <c r="BL20" i="54"/>
  <c r="BI20" i="54"/>
  <c r="BF20" i="54"/>
  <c r="BC20" i="54"/>
  <c r="AZ20" i="54"/>
  <c r="AW20" i="54"/>
  <c r="AT20" i="54"/>
  <c r="AQ20" i="54"/>
  <c r="AN20" i="54"/>
  <c r="AK20" i="54"/>
  <c r="AB20" i="54"/>
  <c r="Y20" i="54"/>
  <c r="V20" i="54"/>
  <c r="S20" i="54"/>
  <c r="EH20" i="54" s="1"/>
  <c r="P20" i="54"/>
  <c r="M20" i="54"/>
  <c r="J20" i="54"/>
  <c r="G20" i="54"/>
  <c r="D20" i="54"/>
  <c r="EL19" i="54"/>
  <c r="EK19" i="54"/>
  <c r="EI19" i="54"/>
  <c r="EG19" i="54"/>
  <c r="EB19" i="54"/>
  <c r="DW19" i="54"/>
  <c r="DT19" i="54"/>
  <c r="DQ19" i="54"/>
  <c r="DN19" i="54"/>
  <c r="DK19" i="54"/>
  <c r="DH19" i="54"/>
  <c r="DE19" i="54"/>
  <c r="DB19" i="54"/>
  <c r="CY19" i="54"/>
  <c r="CV19" i="54"/>
  <c r="CS19" i="54"/>
  <c r="CP19" i="54"/>
  <c r="CM19" i="54"/>
  <c r="CJ19" i="54"/>
  <c r="CG19" i="54"/>
  <c r="CD19" i="54"/>
  <c r="CA19" i="54"/>
  <c r="BX19" i="54"/>
  <c r="BU19" i="54"/>
  <c r="BR19" i="54"/>
  <c r="BO19" i="54"/>
  <c r="BL19" i="54"/>
  <c r="BI19" i="54"/>
  <c r="BF19" i="54"/>
  <c r="BC19" i="54"/>
  <c r="AZ19" i="54"/>
  <c r="AW19" i="54"/>
  <c r="AT19" i="54"/>
  <c r="AQ19" i="54"/>
  <c r="AN19" i="54"/>
  <c r="AK19" i="54"/>
  <c r="AB19" i="54"/>
  <c r="Y19" i="54"/>
  <c r="EH19" i="54" s="1"/>
  <c r="V19" i="54"/>
  <c r="S19" i="54"/>
  <c r="P19" i="54"/>
  <c r="M19" i="54"/>
  <c r="J19" i="54"/>
  <c r="G19" i="54"/>
  <c r="D19" i="54"/>
  <c r="EL18" i="54"/>
  <c r="EK18" i="54"/>
  <c r="EG18" i="54"/>
  <c r="EI18" i="54" s="1"/>
  <c r="EB18" i="54"/>
  <c r="DW18" i="54"/>
  <c r="DT18" i="54"/>
  <c r="DQ18" i="54"/>
  <c r="DN18" i="54"/>
  <c r="DK18" i="54"/>
  <c r="DH18" i="54"/>
  <c r="DE18" i="54"/>
  <c r="DB18" i="54"/>
  <c r="CY18" i="54"/>
  <c r="CV18" i="54"/>
  <c r="CS18" i="54"/>
  <c r="CP18" i="54"/>
  <c r="CM18" i="54"/>
  <c r="CJ18" i="54"/>
  <c r="CG18" i="54"/>
  <c r="CD18" i="54"/>
  <c r="CA18" i="54"/>
  <c r="BX18" i="54"/>
  <c r="BU18" i="54"/>
  <c r="BR18" i="54"/>
  <c r="BO18" i="54"/>
  <c r="BL18" i="54"/>
  <c r="BI18" i="54"/>
  <c r="BF18" i="54"/>
  <c r="BC18" i="54"/>
  <c r="AZ18" i="54"/>
  <c r="AW18" i="54"/>
  <c r="AT18" i="54"/>
  <c r="AQ18" i="54"/>
  <c r="AN18" i="54"/>
  <c r="AK18" i="54"/>
  <c r="AB18" i="54"/>
  <c r="Y18" i="54"/>
  <c r="V18" i="54"/>
  <c r="S18" i="54"/>
  <c r="P18" i="54"/>
  <c r="M18" i="54"/>
  <c r="J18" i="54"/>
  <c r="G18" i="54"/>
  <c r="D18" i="54"/>
  <c r="EL17" i="54"/>
  <c r="EK17" i="54"/>
  <c r="EG17" i="54"/>
  <c r="EI17" i="54" s="1"/>
  <c r="EB17" i="54"/>
  <c r="EC17" i="54" s="1"/>
  <c r="DW17" i="54"/>
  <c r="DT17" i="54"/>
  <c r="DQ17" i="54"/>
  <c r="DN17" i="54"/>
  <c r="DK17" i="54"/>
  <c r="DH17" i="54"/>
  <c r="DE17" i="54"/>
  <c r="DB17" i="54"/>
  <c r="CY17" i="54"/>
  <c r="CV17" i="54"/>
  <c r="CS17" i="54"/>
  <c r="CP17" i="54"/>
  <c r="CM17" i="54"/>
  <c r="CJ17" i="54"/>
  <c r="CG17" i="54"/>
  <c r="CD17" i="54"/>
  <c r="CA17" i="54"/>
  <c r="BX17" i="54"/>
  <c r="BU17" i="54"/>
  <c r="BR17" i="54"/>
  <c r="BO17" i="54"/>
  <c r="BL17" i="54"/>
  <c r="BI17" i="54"/>
  <c r="BF17" i="54"/>
  <c r="BC17" i="54"/>
  <c r="AZ17" i="54"/>
  <c r="AW17" i="54"/>
  <c r="AT17" i="54"/>
  <c r="AQ17" i="54"/>
  <c r="AN17" i="54"/>
  <c r="AK17" i="54"/>
  <c r="AB17" i="54"/>
  <c r="Y17" i="54"/>
  <c r="V17" i="54"/>
  <c r="S17" i="54"/>
  <c r="P17" i="54"/>
  <c r="M17" i="54"/>
  <c r="J17" i="54"/>
  <c r="G17" i="54"/>
  <c r="D17" i="54"/>
  <c r="EL16" i="54"/>
  <c r="EK16" i="54"/>
  <c r="EI16" i="54"/>
  <c r="EG16" i="54"/>
  <c r="EB16" i="54"/>
  <c r="DW16" i="54"/>
  <c r="DT16" i="54"/>
  <c r="DQ16" i="54"/>
  <c r="DN16" i="54"/>
  <c r="DK16" i="54"/>
  <c r="DH16" i="54"/>
  <c r="DE16" i="54"/>
  <c r="DB16" i="54"/>
  <c r="CY16" i="54"/>
  <c r="CV16" i="54"/>
  <c r="CS16" i="54"/>
  <c r="CP16" i="54"/>
  <c r="CM16" i="54"/>
  <c r="CJ16" i="54"/>
  <c r="CG16" i="54"/>
  <c r="CD16" i="54"/>
  <c r="CA16" i="54"/>
  <c r="BX16" i="54"/>
  <c r="BU16" i="54"/>
  <c r="BR16" i="54"/>
  <c r="BO16" i="54"/>
  <c r="BL16" i="54"/>
  <c r="BI16" i="54"/>
  <c r="BF16" i="54"/>
  <c r="BC16" i="54"/>
  <c r="AZ16" i="54"/>
  <c r="AW16" i="54"/>
  <c r="AT16" i="54"/>
  <c r="AQ16" i="54"/>
  <c r="AN16" i="54"/>
  <c r="AK16" i="54"/>
  <c r="AB16" i="54"/>
  <c r="Y16" i="54"/>
  <c r="V16" i="54"/>
  <c r="S16" i="54"/>
  <c r="EH16" i="54" s="1"/>
  <c r="P16" i="54"/>
  <c r="M16" i="54"/>
  <c r="J16" i="54"/>
  <c r="G16" i="54"/>
  <c r="D16" i="54"/>
  <c r="EL15" i="54"/>
  <c r="EK15" i="54"/>
  <c r="EI15" i="54"/>
  <c r="EG15" i="54"/>
  <c r="EB15" i="54"/>
  <c r="DW15" i="54"/>
  <c r="DT15" i="54"/>
  <c r="DQ15" i="54"/>
  <c r="DN15" i="54"/>
  <c r="DK15" i="54"/>
  <c r="DH15" i="54"/>
  <c r="DE15" i="54"/>
  <c r="DB15" i="54"/>
  <c r="CY15" i="54"/>
  <c r="CV15" i="54"/>
  <c r="CS15" i="54"/>
  <c r="CP15" i="54"/>
  <c r="CM15" i="54"/>
  <c r="CJ15" i="54"/>
  <c r="CG15" i="54"/>
  <c r="CD15" i="54"/>
  <c r="CA15" i="54"/>
  <c r="BX15" i="54"/>
  <c r="BU15" i="54"/>
  <c r="BR15" i="54"/>
  <c r="BO15" i="54"/>
  <c r="BL15" i="54"/>
  <c r="BI15" i="54"/>
  <c r="BF15" i="54"/>
  <c r="BC15" i="54"/>
  <c r="AZ15" i="54"/>
  <c r="AW15" i="54"/>
  <c r="AT15" i="54"/>
  <c r="AQ15" i="54"/>
  <c r="AN15" i="54"/>
  <c r="AK15" i="54"/>
  <c r="AB15" i="54"/>
  <c r="Y15" i="54"/>
  <c r="V15" i="54"/>
  <c r="S15" i="54"/>
  <c r="P15" i="54"/>
  <c r="M15" i="54"/>
  <c r="J15" i="54"/>
  <c r="G15" i="54"/>
  <c r="D15" i="54"/>
  <c r="EL14" i="54"/>
  <c r="EK14" i="54"/>
  <c r="EG14" i="54"/>
  <c r="EB14" i="54"/>
  <c r="DW14" i="54"/>
  <c r="DT14" i="54"/>
  <c r="DQ14" i="54"/>
  <c r="DN14" i="54"/>
  <c r="DK14" i="54"/>
  <c r="DH14" i="54"/>
  <c r="DE14" i="54"/>
  <c r="DB14" i="54"/>
  <c r="CY14" i="54"/>
  <c r="CV14" i="54"/>
  <c r="CS14" i="54"/>
  <c r="CP14" i="54"/>
  <c r="CM14" i="54"/>
  <c r="CJ14" i="54"/>
  <c r="CG14" i="54"/>
  <c r="CD14" i="54"/>
  <c r="CA14" i="54"/>
  <c r="BX14" i="54"/>
  <c r="BU14" i="54"/>
  <c r="BR14" i="54"/>
  <c r="BO14" i="54"/>
  <c r="BL14" i="54"/>
  <c r="BI14" i="54"/>
  <c r="BF14" i="54"/>
  <c r="BC14" i="54"/>
  <c r="AZ14" i="54"/>
  <c r="AW14" i="54"/>
  <c r="AT14" i="54"/>
  <c r="AQ14" i="54"/>
  <c r="AN14" i="54"/>
  <c r="AK14" i="54"/>
  <c r="AB14" i="54"/>
  <c r="Y14" i="54"/>
  <c r="V14" i="54"/>
  <c r="S14" i="54"/>
  <c r="P14" i="54"/>
  <c r="M14" i="54"/>
  <c r="J14" i="54"/>
  <c r="G14" i="54"/>
  <c r="D14" i="54"/>
  <c r="A14" i="54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EL13" i="54"/>
  <c r="EK13" i="54"/>
  <c r="EG13" i="54"/>
  <c r="EI13" i="54" s="1"/>
  <c r="EB13" i="54"/>
  <c r="EC13" i="54" s="1"/>
  <c r="DW13" i="54"/>
  <c r="DT13" i="54"/>
  <c r="DQ13" i="54"/>
  <c r="DN13" i="54"/>
  <c r="DK13" i="54"/>
  <c r="DH13" i="54"/>
  <c r="DE13" i="54"/>
  <c r="DB13" i="54"/>
  <c r="CY13" i="54"/>
  <c r="CV13" i="54"/>
  <c r="CS13" i="54"/>
  <c r="CP13" i="54"/>
  <c r="CM13" i="54"/>
  <c r="CJ13" i="54"/>
  <c r="CG13" i="54"/>
  <c r="CD13" i="54"/>
  <c r="CA13" i="54"/>
  <c r="BX13" i="54"/>
  <c r="BU13" i="54"/>
  <c r="BR13" i="54"/>
  <c r="BO13" i="54"/>
  <c r="BL13" i="54"/>
  <c r="BI13" i="54"/>
  <c r="BF13" i="54"/>
  <c r="BC13" i="54"/>
  <c r="AZ13" i="54"/>
  <c r="AW13" i="54"/>
  <c r="AT13" i="54"/>
  <c r="AQ13" i="54"/>
  <c r="AN13" i="54"/>
  <c r="AK13" i="54"/>
  <c r="AB13" i="54"/>
  <c r="Y13" i="54"/>
  <c r="V13" i="54"/>
  <c r="S13" i="54"/>
  <c r="EH13" i="54" s="1"/>
  <c r="P13" i="54"/>
  <c r="M13" i="54"/>
  <c r="J13" i="54"/>
  <c r="G13" i="54"/>
  <c r="D13" i="54"/>
  <c r="A13" i="54"/>
  <c r="EL12" i="54"/>
  <c r="EK12" i="54"/>
  <c r="EG12" i="54"/>
  <c r="EI12" i="54" s="1"/>
  <c r="EB12" i="54"/>
  <c r="DW12" i="54"/>
  <c r="DT12" i="54"/>
  <c r="DQ12" i="54"/>
  <c r="DN12" i="54"/>
  <c r="DK12" i="54"/>
  <c r="DH12" i="54"/>
  <c r="DE12" i="54"/>
  <c r="DB12" i="54"/>
  <c r="CY12" i="54"/>
  <c r="CV12" i="54"/>
  <c r="CS12" i="54"/>
  <c r="CP12" i="54"/>
  <c r="CM12" i="54"/>
  <c r="CJ12" i="54"/>
  <c r="CG12" i="54"/>
  <c r="CD12" i="54"/>
  <c r="CA12" i="54"/>
  <c r="BX12" i="54"/>
  <c r="BU12" i="54"/>
  <c r="BR12" i="54"/>
  <c r="BO12" i="54"/>
  <c r="BL12" i="54"/>
  <c r="BI12" i="54"/>
  <c r="BF12" i="54"/>
  <c r="BC12" i="54"/>
  <c r="AZ12" i="54"/>
  <c r="AW12" i="54"/>
  <c r="AT12" i="54"/>
  <c r="AQ12" i="54"/>
  <c r="AN12" i="54"/>
  <c r="AK12" i="54"/>
  <c r="AB12" i="54"/>
  <c r="Y12" i="54"/>
  <c r="V12" i="54"/>
  <c r="S12" i="54"/>
  <c r="P12" i="54"/>
  <c r="M12" i="54"/>
  <c r="J12" i="54"/>
  <c r="G12" i="54"/>
  <c r="D12" i="54"/>
  <c r="A12" i="54"/>
  <c r="EL11" i="54"/>
  <c r="EK11" i="54"/>
  <c r="EI11" i="54"/>
  <c r="EG11" i="54"/>
  <c r="EB11" i="54"/>
  <c r="DW11" i="54"/>
  <c r="DT11" i="54"/>
  <c r="DQ11" i="54"/>
  <c r="DN11" i="54"/>
  <c r="DN42" i="54" s="1"/>
  <c r="DK11" i="54"/>
  <c r="DH11" i="54"/>
  <c r="DE11" i="54"/>
  <c r="DB11" i="54"/>
  <c r="DB42" i="54" s="1"/>
  <c r="CY11" i="54"/>
  <c r="CV11" i="54"/>
  <c r="CS11" i="54"/>
  <c r="CP11" i="54"/>
  <c r="CP42" i="54" s="1"/>
  <c r="CM11" i="54"/>
  <c r="CJ11" i="54"/>
  <c r="CG11" i="54"/>
  <c r="CD11" i="54"/>
  <c r="CD42" i="54" s="1"/>
  <c r="CA11" i="54"/>
  <c r="CA42" i="54" s="1"/>
  <c r="BX11" i="54"/>
  <c r="BU11" i="54"/>
  <c r="BR11" i="54"/>
  <c r="BR42" i="54" s="1"/>
  <c r="BO11" i="54"/>
  <c r="BL11" i="54"/>
  <c r="BI11" i="54"/>
  <c r="BF11" i="54"/>
  <c r="BF42" i="54" s="1"/>
  <c r="BC11" i="54"/>
  <c r="BC42" i="54" s="1"/>
  <c r="AZ11" i="54"/>
  <c r="AW11" i="54"/>
  <c r="AT11" i="54"/>
  <c r="AQ11" i="54"/>
  <c r="AN11" i="54"/>
  <c r="AK11" i="54"/>
  <c r="AH42" i="54"/>
  <c r="AE42" i="54"/>
  <c r="AB11" i="54"/>
  <c r="Y11" i="54"/>
  <c r="V11" i="54"/>
  <c r="S11" i="54"/>
  <c r="P11" i="54"/>
  <c r="M11" i="54"/>
  <c r="J11" i="54"/>
  <c r="J42" i="54" s="1"/>
  <c r="G11" i="54"/>
  <c r="G42" i="54" s="1"/>
  <c r="D11" i="54"/>
  <c r="EI2" i="54"/>
  <c r="M42" i="54" l="1"/>
  <c r="AK42" i="54"/>
  <c r="BI42" i="54"/>
  <c r="CG42" i="54"/>
  <c r="DE42" i="54"/>
  <c r="ED14" i="54"/>
  <c r="EE14" i="54" s="1"/>
  <c r="EC14" i="54"/>
  <c r="EM17" i="54"/>
  <c r="EN17" i="54" s="1"/>
  <c r="ED19" i="54"/>
  <c r="EE19" i="54" s="1"/>
  <c r="ED24" i="54"/>
  <c r="EK28" i="54"/>
  <c r="EB33" i="54"/>
  <c r="AN38" i="54"/>
  <c r="ED38" i="54" s="1"/>
  <c r="EE38" i="54" s="1"/>
  <c r="EH40" i="54"/>
  <c r="P42" i="54"/>
  <c r="DH42" i="54"/>
  <c r="EI3" i="54"/>
  <c r="EI4" i="54" s="1"/>
  <c r="EH18" i="54"/>
  <c r="EM23" i="54"/>
  <c r="EM24" i="54"/>
  <c r="EH25" i="54"/>
  <c r="EM26" i="54"/>
  <c r="EH30" i="54"/>
  <c r="EH32" i="54"/>
  <c r="EK38" i="54"/>
  <c r="ED16" i="54"/>
  <c r="EE16" i="54" s="1"/>
  <c r="EM18" i="54"/>
  <c r="EM32" i="54"/>
  <c r="CJ42" i="54"/>
  <c r="S42" i="54"/>
  <c r="BO42" i="54"/>
  <c r="DK42" i="54"/>
  <c r="ED17" i="54"/>
  <c r="EE17" i="54" s="1"/>
  <c r="EM13" i="54"/>
  <c r="EN13" i="54" s="1"/>
  <c r="EM15" i="54"/>
  <c r="EN15" i="54" s="1"/>
  <c r="EM16" i="54"/>
  <c r="EM21" i="54"/>
  <c r="EN21" i="54" s="1"/>
  <c r="ED23" i="54"/>
  <c r="ED26" i="54"/>
  <c r="EH28" i="54"/>
  <c r="EK29" i="54"/>
  <c r="EM30" i="54"/>
  <c r="AN31" i="54"/>
  <c r="EB34" i="54"/>
  <c r="EM35" i="54"/>
  <c r="AN39" i="54"/>
  <c r="EK41" i="54"/>
  <c r="BL42" i="54"/>
  <c r="CM42" i="54"/>
  <c r="EH12" i="54"/>
  <c r="EH11" i="54"/>
  <c r="AW42" i="54"/>
  <c r="BU42" i="54"/>
  <c r="CS42" i="54"/>
  <c r="DQ42" i="54"/>
  <c r="EH15" i="54"/>
  <c r="EH17" i="54"/>
  <c r="ED18" i="54"/>
  <c r="EE18" i="54" s="1"/>
  <c r="EC18" i="54"/>
  <c r="EH22" i="54"/>
  <c r="EB25" i="54"/>
  <c r="EH26" i="54"/>
  <c r="EH33" i="54"/>
  <c r="ED11" i="54"/>
  <c r="EE11" i="54" s="1"/>
  <c r="AB42" i="54"/>
  <c r="AZ42" i="54"/>
  <c r="BX42" i="54"/>
  <c r="CV42" i="54"/>
  <c r="EM11" i="54"/>
  <c r="ED12" i="54"/>
  <c r="EE12" i="54"/>
  <c r="ED13" i="54"/>
  <c r="EE13" i="54" s="1"/>
  <c r="EH14" i="54"/>
  <c r="ED15" i="54"/>
  <c r="EE15" i="54" s="1"/>
  <c r="EN16" i="54"/>
  <c r="ED20" i="54"/>
  <c r="EE20" i="54" s="1"/>
  <c r="ED21" i="54"/>
  <c r="EE21" i="54" s="1"/>
  <c r="EM22" i="54"/>
  <c r="EH24" i="54"/>
  <c r="EM25" i="54"/>
  <c r="EB32" i="54"/>
  <c r="EM33" i="54"/>
  <c r="CY42" i="54"/>
  <c r="DW42" i="54"/>
  <c r="EM12" i="54"/>
  <c r="EN12" i="54" s="1"/>
  <c r="EM14" i="54"/>
  <c r="EN14" i="54" s="1"/>
  <c r="EM19" i="54"/>
  <c r="EN19" i="54" s="1"/>
  <c r="EM20" i="54"/>
  <c r="EK30" i="54"/>
  <c r="EC30" i="54" s="1"/>
  <c r="V42" i="54"/>
  <c r="EM36" i="54"/>
  <c r="ED39" i="54"/>
  <c r="AN40" i="54"/>
  <c r="EN20" i="54"/>
  <c r="EE24" i="54"/>
  <c r="EE39" i="54"/>
  <c r="EC37" i="54"/>
  <c r="EN18" i="54"/>
  <c r="EN24" i="54"/>
  <c r="ED34" i="54"/>
  <c r="EE34" i="54" s="1"/>
  <c r="ED36" i="54"/>
  <c r="EE36" i="54" s="1"/>
  <c r="EC38" i="54"/>
  <c r="EE23" i="54"/>
  <c r="EN23" i="54"/>
  <c r="EN26" i="54"/>
  <c r="ED27" i="54"/>
  <c r="EM34" i="54"/>
  <c r="EE2" i="54"/>
  <c r="EQ2" i="54" s="1"/>
  <c r="G4" i="54" s="1"/>
  <c r="EC41" i="54"/>
  <c r="EN22" i="54"/>
  <c r="EM31" i="54"/>
  <c r="EM39" i="54"/>
  <c r="EC40" i="54"/>
  <c r="EN2" i="54"/>
  <c r="EP2" i="54" s="1"/>
  <c r="ED30" i="54"/>
  <c r="EE30" i="54" s="1"/>
  <c r="ED31" i="54"/>
  <c r="EE31" i="54" s="1"/>
  <c r="ED32" i="54"/>
  <c r="ED33" i="54"/>
  <c r="EE33" i="54" s="1"/>
  <c r="ED35" i="54"/>
  <c r="EE35" i="54" s="1"/>
  <c r="AQ38" i="54"/>
  <c r="EM38" i="54" s="1"/>
  <c r="EN38" i="54" s="1"/>
  <c r="AQ41" i="54"/>
  <c r="EK25" i="54"/>
  <c r="EN25" i="54" s="1"/>
  <c r="EB26" i="54"/>
  <c r="EB27" i="54"/>
  <c r="EB28" i="54"/>
  <c r="EB29" i="54"/>
  <c r="Y42" i="54"/>
  <c r="EC16" i="54"/>
  <c r="EC20" i="54"/>
  <c r="EC24" i="54"/>
  <c r="AT40" i="54"/>
  <c r="D42" i="54"/>
  <c r="DT42" i="54"/>
  <c r="AN28" i="54"/>
  <c r="EM28" i="54" s="1"/>
  <c r="EN28" i="54" s="1"/>
  <c r="EC12" i="54"/>
  <c r="EI14" i="54"/>
  <c r="EE25" i="54"/>
  <c r="EH31" i="54"/>
  <c r="EH34" i="54"/>
  <c r="EH36" i="54"/>
  <c r="EH37" i="54"/>
  <c r="EH38" i="54"/>
  <c r="EH39" i="54"/>
  <c r="AT41" i="54"/>
  <c r="EM41" i="54" s="1"/>
  <c r="EN41" i="54" s="1"/>
  <c r="AN27" i="54"/>
  <c r="EM27" i="54" s="1"/>
  <c r="EC11" i="54"/>
  <c r="EC15" i="54"/>
  <c r="EC19" i="54"/>
  <c r="EC23" i="54"/>
  <c r="EH27" i="54"/>
  <c r="EH29" i="54"/>
  <c r="AQ37" i="54"/>
  <c r="ED37" i="54" s="1"/>
  <c r="EE37" i="54" s="1"/>
  <c r="EI5" i="54"/>
  <c r="EN11" i="54"/>
  <c r="EK31" i="54"/>
  <c r="EK32" i="54"/>
  <c r="EK33" i="54"/>
  <c r="EN33" i="54" s="1"/>
  <c r="EK34" i="54"/>
  <c r="EN34" i="54" s="1"/>
  <c r="EK35" i="54"/>
  <c r="EN35" i="54" s="1"/>
  <c r="EK36" i="54"/>
  <c r="EN36" i="54" s="1"/>
  <c r="EK39" i="54"/>
  <c r="EC39" i="54" s="1"/>
  <c r="AN29" i="54"/>
  <c r="ED29" i="54" s="1"/>
  <c r="EN30" i="54" l="1"/>
  <c r="EC25" i="54"/>
  <c r="EE32" i="54"/>
  <c r="EH42" i="54"/>
  <c r="EN31" i="54"/>
  <c r="AT42" i="54"/>
  <c r="EM37" i="54"/>
  <c r="EN37" i="54" s="1"/>
  <c r="EE3" i="54"/>
  <c r="G5" i="54" s="1"/>
  <c r="EN32" i="54"/>
  <c r="ED41" i="54"/>
  <c r="EE41" i="54" s="1"/>
  <c r="EN27" i="54"/>
  <c r="EM29" i="54"/>
  <c r="EN29" i="54" s="1"/>
  <c r="EC28" i="54"/>
  <c r="EC27" i="54"/>
  <c r="EE27" i="54"/>
  <c r="EM40" i="54"/>
  <c r="EN40" i="54" s="1"/>
  <c r="EC36" i="54"/>
  <c r="EN5" i="54"/>
  <c r="EC29" i="54"/>
  <c r="EE29" i="54"/>
  <c r="EN39" i="54"/>
  <c r="EE5" i="54"/>
  <c r="G7" i="54" s="1"/>
  <c r="EC26" i="54"/>
  <c r="EE26" i="54"/>
  <c r="EC33" i="54"/>
  <c r="AQ42" i="54"/>
  <c r="ED28" i="54"/>
  <c r="ED42" i="54" s="1"/>
  <c r="EC32" i="54"/>
  <c r="ED40" i="54"/>
  <c r="EE40" i="54" s="1"/>
  <c r="AN42" i="54"/>
  <c r="EC35" i="54"/>
  <c r="EC31" i="54"/>
  <c r="EC34" i="54"/>
  <c r="EN3" i="54"/>
  <c r="EN4" i="54" l="1"/>
  <c r="EE28" i="54"/>
  <c r="EE4" i="54"/>
  <c r="G6" i="54" s="1"/>
  <c r="EM42" i="54"/>
  <c r="G28" i="63" l="1"/>
  <c r="G28" i="4"/>
  <c r="F28" i="62"/>
  <c r="EL40" i="53"/>
  <c r="EK40" i="53"/>
  <c r="EG40" i="53"/>
  <c r="EI40" i="53" s="1"/>
  <c r="EC40" i="53"/>
  <c r="EB40" i="53"/>
  <c r="DW40" i="53"/>
  <c r="DT40" i="53"/>
  <c r="EM40" i="53" s="1"/>
  <c r="DQ40" i="53"/>
  <c r="DN40" i="53"/>
  <c r="DK40" i="53"/>
  <c r="DH40" i="53"/>
  <c r="DE40" i="53"/>
  <c r="DB40" i="53"/>
  <c r="CY40" i="53"/>
  <c r="CV40" i="53"/>
  <c r="CS40" i="53"/>
  <c r="CP40" i="53"/>
  <c r="CM40" i="53"/>
  <c r="CJ40" i="53"/>
  <c r="CG40" i="53"/>
  <c r="CD40" i="53"/>
  <c r="CA40" i="53"/>
  <c r="BX40" i="53"/>
  <c r="BU40" i="53"/>
  <c r="BR40" i="53"/>
  <c r="BO40" i="53"/>
  <c r="BL40" i="53"/>
  <c r="BI40" i="53"/>
  <c r="BF40" i="53"/>
  <c r="BC40" i="53"/>
  <c r="AZ40" i="53"/>
  <c r="AW40" i="53"/>
  <c r="AT40" i="53"/>
  <c r="AQ40" i="53"/>
  <c r="AN40" i="53"/>
  <c r="AK40" i="53"/>
  <c r="AB40" i="53"/>
  <c r="Y40" i="53"/>
  <c r="V40" i="53"/>
  <c r="S40" i="53"/>
  <c r="EH40" i="53" s="1"/>
  <c r="P40" i="53"/>
  <c r="M40" i="53"/>
  <c r="J40" i="53"/>
  <c r="G40" i="53"/>
  <c r="D40" i="53"/>
  <c r="EL39" i="53"/>
  <c r="EI39" i="53"/>
  <c r="EG39" i="53"/>
  <c r="DW39" i="53"/>
  <c r="DT39" i="53"/>
  <c r="DQ39" i="53"/>
  <c r="DN39" i="53"/>
  <c r="DK39" i="53"/>
  <c r="DH39" i="53"/>
  <c r="DE39" i="53"/>
  <c r="DB39" i="53"/>
  <c r="CY39" i="53"/>
  <c r="CV39" i="53"/>
  <c r="CS39" i="53"/>
  <c r="CP39" i="53"/>
  <c r="CM39" i="53"/>
  <c r="CJ39" i="53"/>
  <c r="CG39" i="53"/>
  <c r="CD39" i="53"/>
  <c r="CA39" i="53"/>
  <c r="BX39" i="53"/>
  <c r="BU39" i="53"/>
  <c r="BR39" i="53"/>
  <c r="BO39" i="53"/>
  <c r="BL39" i="53"/>
  <c r="BI39" i="53"/>
  <c r="BF39" i="53"/>
  <c r="BC39" i="53"/>
  <c r="AZ39" i="53"/>
  <c r="AW39" i="53"/>
  <c r="AT39" i="53"/>
  <c r="AQ39" i="53"/>
  <c r="AN39" i="53"/>
  <c r="AI39" i="53"/>
  <c r="AK39" i="53" s="1"/>
  <c r="AB39" i="53"/>
  <c r="Y39" i="53"/>
  <c r="V39" i="53"/>
  <c r="S39" i="53"/>
  <c r="P39" i="53"/>
  <c r="M39" i="53"/>
  <c r="J39" i="53"/>
  <c r="G39" i="53"/>
  <c r="D39" i="53"/>
  <c r="EL38" i="53"/>
  <c r="EG38" i="53"/>
  <c r="EI38" i="53" s="1"/>
  <c r="DW38" i="53"/>
  <c r="DT38" i="53"/>
  <c r="DQ38" i="53"/>
  <c r="DN38" i="53"/>
  <c r="DK38" i="53"/>
  <c r="DH38" i="53"/>
  <c r="DE38" i="53"/>
  <c r="DB38" i="53"/>
  <c r="CY38" i="53"/>
  <c r="CV38" i="53"/>
  <c r="CS38" i="53"/>
  <c r="CP38" i="53"/>
  <c r="CM38" i="53"/>
  <c r="CJ38" i="53"/>
  <c r="CG38" i="53"/>
  <c r="CD38" i="53"/>
  <c r="CA38" i="53"/>
  <c r="BX38" i="53"/>
  <c r="BU38" i="53"/>
  <c r="BR38" i="53"/>
  <c r="BO38" i="53"/>
  <c r="BL38" i="53"/>
  <c r="BI38" i="53"/>
  <c r="BF38" i="53"/>
  <c r="BC38" i="53"/>
  <c r="AZ38" i="53"/>
  <c r="AW38" i="53"/>
  <c r="AT38" i="53"/>
  <c r="AQ38" i="53"/>
  <c r="AL38" i="53"/>
  <c r="AN38" i="53" s="1"/>
  <c r="AI38" i="53"/>
  <c r="AK38" i="53" s="1"/>
  <c r="EH38" i="53"/>
  <c r="AB38" i="53"/>
  <c r="Y38" i="53"/>
  <c r="V38" i="53"/>
  <c r="S38" i="53"/>
  <c r="P38" i="53"/>
  <c r="M38" i="53"/>
  <c r="J38" i="53"/>
  <c r="G38" i="53"/>
  <c r="D38" i="53"/>
  <c r="EL37" i="53"/>
  <c r="EG37" i="53"/>
  <c r="EI37" i="53" s="1"/>
  <c r="DW37" i="53"/>
  <c r="DT37" i="53"/>
  <c r="DQ37" i="53"/>
  <c r="DN37" i="53"/>
  <c r="DK37" i="53"/>
  <c r="DH37" i="53"/>
  <c r="DE37" i="53"/>
  <c r="DB37" i="53"/>
  <c r="CY37" i="53"/>
  <c r="CV37" i="53"/>
  <c r="CS37" i="53"/>
  <c r="CP37" i="53"/>
  <c r="CM37" i="53"/>
  <c r="CJ37" i="53"/>
  <c r="CG37" i="53"/>
  <c r="CD37" i="53"/>
  <c r="CA37" i="53"/>
  <c r="BX37" i="53"/>
  <c r="BU37" i="53"/>
  <c r="BR37" i="53"/>
  <c r="BO37" i="53"/>
  <c r="BL37" i="53"/>
  <c r="BI37" i="53"/>
  <c r="BF37" i="53"/>
  <c r="BC37" i="53"/>
  <c r="AZ37" i="53"/>
  <c r="AW37" i="53"/>
  <c r="AT37" i="53"/>
  <c r="AQ37" i="53"/>
  <c r="AL37" i="53"/>
  <c r="AN37" i="53" s="1"/>
  <c r="AI37" i="53"/>
  <c r="AK37" i="53" s="1"/>
  <c r="AB37" i="53"/>
  <c r="Y37" i="53"/>
  <c r="V37" i="53"/>
  <c r="S37" i="53"/>
  <c r="EH37" i="53" s="1"/>
  <c r="P37" i="53"/>
  <c r="M37" i="53"/>
  <c r="J37" i="53"/>
  <c r="G37" i="53"/>
  <c r="D37" i="53"/>
  <c r="EL36" i="53"/>
  <c r="EG36" i="53"/>
  <c r="EI36" i="53" s="1"/>
  <c r="DW36" i="53"/>
  <c r="DT36" i="53"/>
  <c r="DQ36" i="53"/>
  <c r="DN36" i="53"/>
  <c r="DK36" i="53"/>
  <c r="DH36" i="53"/>
  <c r="DE36" i="53"/>
  <c r="DB36" i="53"/>
  <c r="CY36" i="53"/>
  <c r="CV36" i="53"/>
  <c r="CS36" i="53"/>
  <c r="CP36" i="53"/>
  <c r="CM36" i="53"/>
  <c r="CJ36" i="53"/>
  <c r="CG36" i="53"/>
  <c r="CD36" i="53"/>
  <c r="CA36" i="53"/>
  <c r="BX36" i="53"/>
  <c r="BU36" i="53"/>
  <c r="BR36" i="53"/>
  <c r="BO36" i="53"/>
  <c r="BL36" i="53"/>
  <c r="BI36" i="53"/>
  <c r="BF36" i="53"/>
  <c r="BC36" i="53"/>
  <c r="AZ36" i="53"/>
  <c r="AW36" i="53"/>
  <c r="AT36" i="53"/>
  <c r="AQ36" i="53"/>
  <c r="AL36" i="53"/>
  <c r="AN36" i="53" s="1"/>
  <c r="AI36" i="53"/>
  <c r="EB36" i="53" s="1"/>
  <c r="AB36" i="53"/>
  <c r="Y36" i="53"/>
  <c r="V36" i="53"/>
  <c r="S36" i="53"/>
  <c r="EH36" i="53" s="1"/>
  <c r="P36" i="53"/>
  <c r="M36" i="53"/>
  <c r="J36" i="53"/>
  <c r="G36" i="53"/>
  <c r="D36" i="53"/>
  <c r="EL35" i="53"/>
  <c r="EK35" i="53"/>
  <c r="EG35" i="53"/>
  <c r="EI35" i="53" s="1"/>
  <c r="EB35" i="53"/>
  <c r="DW35" i="53"/>
  <c r="DT35" i="53"/>
  <c r="DQ35" i="53"/>
  <c r="DN35" i="53"/>
  <c r="DK35" i="53"/>
  <c r="DH35" i="53"/>
  <c r="DE35" i="53"/>
  <c r="DB35" i="53"/>
  <c r="CY35" i="53"/>
  <c r="CV35" i="53"/>
  <c r="CS35" i="53"/>
  <c r="CP35" i="53"/>
  <c r="CM35" i="53"/>
  <c r="CJ35" i="53"/>
  <c r="CG35" i="53"/>
  <c r="CD35" i="53"/>
  <c r="CA35" i="53"/>
  <c r="BX35" i="53"/>
  <c r="BU35" i="53"/>
  <c r="BR35" i="53"/>
  <c r="BO35" i="53"/>
  <c r="BL35" i="53"/>
  <c r="BI35" i="53"/>
  <c r="BF35" i="53"/>
  <c r="BC35" i="53"/>
  <c r="AZ35" i="53"/>
  <c r="AW35" i="53"/>
  <c r="AT35" i="53"/>
  <c r="AQ35" i="53"/>
  <c r="AL35" i="53"/>
  <c r="AN35" i="53" s="1"/>
  <c r="AK35" i="53"/>
  <c r="AB35" i="53"/>
  <c r="Y35" i="53"/>
  <c r="V35" i="53"/>
  <c r="S35" i="53"/>
  <c r="P35" i="53"/>
  <c r="M35" i="53"/>
  <c r="J35" i="53"/>
  <c r="G35" i="53"/>
  <c r="D35" i="53"/>
  <c r="EL34" i="53"/>
  <c r="EG34" i="53"/>
  <c r="EI34" i="53" s="1"/>
  <c r="DW34" i="53"/>
  <c r="DT34" i="53"/>
  <c r="DQ34" i="53"/>
  <c r="DN34" i="53"/>
  <c r="DK34" i="53"/>
  <c r="DH34" i="53"/>
  <c r="DE34" i="53"/>
  <c r="DB34" i="53"/>
  <c r="CY34" i="53"/>
  <c r="CV34" i="53"/>
  <c r="CS34" i="53"/>
  <c r="CP34" i="53"/>
  <c r="CM34" i="53"/>
  <c r="CJ34" i="53"/>
  <c r="CG34" i="53"/>
  <c r="CD34" i="53"/>
  <c r="CA34" i="53"/>
  <c r="BX34" i="53"/>
  <c r="BU34" i="53"/>
  <c r="BR34" i="53"/>
  <c r="BO34" i="53"/>
  <c r="BL34" i="53"/>
  <c r="BI34" i="53"/>
  <c r="BF34" i="53"/>
  <c r="BC34" i="53"/>
  <c r="AZ34" i="53"/>
  <c r="AW34" i="53"/>
  <c r="AT34" i="53"/>
  <c r="AQ34" i="53"/>
  <c r="AN34" i="53"/>
  <c r="AL34" i="53"/>
  <c r="EB34" i="53" s="1"/>
  <c r="AK34" i="53"/>
  <c r="AB34" i="53"/>
  <c r="Y34" i="53"/>
  <c r="V34" i="53"/>
  <c r="S34" i="53"/>
  <c r="P34" i="53"/>
  <c r="M34" i="53"/>
  <c r="J34" i="53"/>
  <c r="G34" i="53"/>
  <c r="D34" i="53"/>
  <c r="EL33" i="53"/>
  <c r="EK33" i="53"/>
  <c r="EG33" i="53"/>
  <c r="EI33" i="53" s="1"/>
  <c r="EB33" i="53"/>
  <c r="EC33" i="53" s="1"/>
  <c r="DW33" i="53"/>
  <c r="DT33" i="53"/>
  <c r="DQ33" i="53"/>
  <c r="DN33" i="53"/>
  <c r="DK33" i="53"/>
  <c r="DH33" i="53"/>
  <c r="DE33" i="53"/>
  <c r="DB33" i="53"/>
  <c r="CY33" i="53"/>
  <c r="CV33" i="53"/>
  <c r="CS33" i="53"/>
  <c r="CP33" i="53"/>
  <c r="CM33" i="53"/>
  <c r="CJ33" i="53"/>
  <c r="CG33" i="53"/>
  <c r="CD33" i="53"/>
  <c r="CA33" i="53"/>
  <c r="BX33" i="53"/>
  <c r="BU33" i="53"/>
  <c r="BR33" i="53"/>
  <c r="BO33" i="53"/>
  <c r="BL33" i="53"/>
  <c r="BI33" i="53"/>
  <c r="BF33" i="53"/>
  <c r="BC33" i="53"/>
  <c r="AZ33" i="53"/>
  <c r="AW33" i="53"/>
  <c r="AT33" i="53"/>
  <c r="AQ33" i="53"/>
  <c r="AN33" i="53"/>
  <c r="AK33" i="53"/>
  <c r="AB33" i="53"/>
  <c r="Y33" i="53"/>
  <c r="V33" i="53"/>
  <c r="S33" i="53"/>
  <c r="P33" i="53"/>
  <c r="M33" i="53"/>
  <c r="J33" i="53"/>
  <c r="G33" i="53"/>
  <c r="D33" i="53"/>
  <c r="EL32" i="53"/>
  <c r="EK32" i="53"/>
  <c r="EG32" i="53"/>
  <c r="EI32" i="53" s="1"/>
  <c r="EB32" i="53"/>
  <c r="DW32" i="53"/>
  <c r="DT32" i="53"/>
  <c r="DQ32" i="53"/>
  <c r="DN32" i="53"/>
  <c r="DK32" i="53"/>
  <c r="DH32" i="53"/>
  <c r="DE32" i="53"/>
  <c r="DB32" i="53"/>
  <c r="CY32" i="53"/>
  <c r="CV32" i="53"/>
  <c r="CS32" i="53"/>
  <c r="CP32" i="53"/>
  <c r="CM32" i="53"/>
  <c r="CJ32" i="53"/>
  <c r="CG32" i="53"/>
  <c r="CD32" i="53"/>
  <c r="CA32" i="53"/>
  <c r="BX32" i="53"/>
  <c r="BU32" i="53"/>
  <c r="BR32" i="53"/>
  <c r="BO32" i="53"/>
  <c r="BL32" i="53"/>
  <c r="BI32" i="53"/>
  <c r="BF32" i="53"/>
  <c r="BC32" i="53"/>
  <c r="AZ32" i="53"/>
  <c r="AW32" i="53"/>
  <c r="AT32" i="53"/>
  <c r="AQ32" i="53"/>
  <c r="AN32" i="53"/>
  <c r="AK32" i="53"/>
  <c r="AB32" i="53"/>
  <c r="Y32" i="53"/>
  <c r="V32" i="53"/>
  <c r="S32" i="53"/>
  <c r="EH32" i="53" s="1"/>
  <c r="P32" i="53"/>
  <c r="ED32" i="53" s="1"/>
  <c r="M32" i="53"/>
  <c r="J32" i="53"/>
  <c r="G32" i="53"/>
  <c r="D32" i="53"/>
  <c r="EL31" i="53"/>
  <c r="EK31" i="53"/>
  <c r="EG31" i="53"/>
  <c r="EI31" i="53" s="1"/>
  <c r="EB31" i="53"/>
  <c r="DW31" i="53"/>
  <c r="DT31" i="53"/>
  <c r="DQ31" i="53"/>
  <c r="DN31" i="53"/>
  <c r="DK31" i="53"/>
  <c r="DH31" i="53"/>
  <c r="DE31" i="53"/>
  <c r="DB31" i="53"/>
  <c r="CY31" i="53"/>
  <c r="CV31" i="53"/>
  <c r="CS31" i="53"/>
  <c r="CP31" i="53"/>
  <c r="CM31" i="53"/>
  <c r="CJ31" i="53"/>
  <c r="CG31" i="53"/>
  <c r="CD31" i="53"/>
  <c r="CA31" i="53"/>
  <c r="BX31" i="53"/>
  <c r="BU31" i="53"/>
  <c r="BR31" i="53"/>
  <c r="BO31" i="53"/>
  <c r="BL31" i="53"/>
  <c r="BI31" i="53"/>
  <c r="BF31" i="53"/>
  <c r="BC31" i="53"/>
  <c r="AZ31" i="53"/>
  <c r="AW31" i="53"/>
  <c r="AT31" i="53"/>
  <c r="AQ31" i="53"/>
  <c r="AN31" i="53"/>
  <c r="AK31" i="53"/>
  <c r="AB31" i="53"/>
  <c r="Y31" i="53"/>
  <c r="V31" i="53"/>
  <c r="S31" i="53"/>
  <c r="EH31" i="53" s="1"/>
  <c r="P31" i="53"/>
  <c r="M31" i="53"/>
  <c r="J31" i="53"/>
  <c r="G31" i="53"/>
  <c r="D31" i="53"/>
  <c r="EL30" i="53"/>
  <c r="EK30" i="53"/>
  <c r="EI30" i="53"/>
  <c r="EG30" i="53"/>
  <c r="EB30" i="53"/>
  <c r="DW30" i="53"/>
  <c r="DT30" i="53"/>
  <c r="DQ30" i="53"/>
  <c r="DN30" i="53"/>
  <c r="DK30" i="53"/>
  <c r="DH30" i="53"/>
  <c r="DE30" i="53"/>
  <c r="DB30" i="53"/>
  <c r="CY30" i="53"/>
  <c r="CV30" i="53"/>
  <c r="CS30" i="53"/>
  <c r="CP30" i="53"/>
  <c r="CM30" i="53"/>
  <c r="CJ30" i="53"/>
  <c r="CG30" i="53"/>
  <c r="CD30" i="53"/>
  <c r="CA30" i="53"/>
  <c r="BX30" i="53"/>
  <c r="BU30" i="53"/>
  <c r="BR30" i="53"/>
  <c r="BO30" i="53"/>
  <c r="BL30" i="53"/>
  <c r="BI30" i="53"/>
  <c r="BF30" i="53"/>
  <c r="BC30" i="53"/>
  <c r="AZ30" i="53"/>
  <c r="AW30" i="53"/>
  <c r="AT30" i="53"/>
  <c r="AQ30" i="53"/>
  <c r="AN30" i="53"/>
  <c r="AK30" i="53"/>
  <c r="AB30" i="53"/>
  <c r="Y30" i="53"/>
  <c r="V30" i="53"/>
  <c r="S30" i="53"/>
  <c r="P30" i="53"/>
  <c r="M30" i="53"/>
  <c r="J30" i="53"/>
  <c r="G30" i="53"/>
  <c r="D30" i="53"/>
  <c r="EL29" i="53"/>
  <c r="EK29" i="53"/>
  <c r="EG29" i="53"/>
  <c r="EI29" i="53" s="1"/>
  <c r="EB29" i="53"/>
  <c r="DW29" i="53"/>
  <c r="DT29" i="53"/>
  <c r="DQ29" i="53"/>
  <c r="DN29" i="53"/>
  <c r="DK29" i="53"/>
  <c r="DH29" i="53"/>
  <c r="DE29" i="53"/>
  <c r="DB29" i="53"/>
  <c r="CY29" i="53"/>
  <c r="CV29" i="53"/>
  <c r="CS29" i="53"/>
  <c r="CP29" i="53"/>
  <c r="CM29" i="53"/>
  <c r="CJ29" i="53"/>
  <c r="CG29" i="53"/>
  <c r="CD29" i="53"/>
  <c r="CA29" i="53"/>
  <c r="BX29" i="53"/>
  <c r="BU29" i="53"/>
  <c r="BR29" i="53"/>
  <c r="BO29" i="53"/>
  <c r="BL29" i="53"/>
  <c r="BI29" i="53"/>
  <c r="BF29" i="53"/>
  <c r="BC29" i="53"/>
  <c r="AZ29" i="53"/>
  <c r="AW29" i="53"/>
  <c r="AT29" i="53"/>
  <c r="AQ29" i="53"/>
  <c r="AN29" i="53"/>
  <c r="AK29" i="53"/>
  <c r="AB29" i="53"/>
  <c r="Y29" i="53"/>
  <c r="V29" i="53"/>
  <c r="S29" i="53"/>
  <c r="P29" i="53"/>
  <c r="M29" i="53"/>
  <c r="J29" i="53"/>
  <c r="G29" i="53"/>
  <c r="D29" i="53"/>
  <c r="EL28" i="53"/>
  <c r="EK28" i="53"/>
  <c r="EG28" i="53"/>
  <c r="EI28" i="53" s="1"/>
  <c r="EB28" i="53"/>
  <c r="DW28" i="53"/>
  <c r="DT28" i="53"/>
  <c r="DQ28" i="53"/>
  <c r="DN28" i="53"/>
  <c r="DK28" i="53"/>
  <c r="DH28" i="53"/>
  <c r="DE28" i="53"/>
  <c r="DB28" i="53"/>
  <c r="CY28" i="53"/>
  <c r="CV28" i="53"/>
  <c r="CS28" i="53"/>
  <c r="CP28" i="53"/>
  <c r="CM28" i="53"/>
  <c r="CJ28" i="53"/>
  <c r="CG28" i="53"/>
  <c r="CD28" i="53"/>
  <c r="CA28" i="53"/>
  <c r="BX28" i="53"/>
  <c r="BU28" i="53"/>
  <c r="BR28" i="53"/>
  <c r="BO28" i="53"/>
  <c r="BL28" i="53"/>
  <c r="BI28" i="53"/>
  <c r="BF28" i="53"/>
  <c r="BC28" i="53"/>
  <c r="AZ28" i="53"/>
  <c r="AW28" i="53"/>
  <c r="AT28" i="53"/>
  <c r="AQ28" i="53"/>
  <c r="AN28" i="53"/>
  <c r="AK28" i="53"/>
  <c r="AB28" i="53"/>
  <c r="Y28" i="53"/>
  <c r="V28" i="53"/>
  <c r="S28" i="53"/>
  <c r="P28" i="53"/>
  <c r="M28" i="53"/>
  <c r="J28" i="53"/>
  <c r="G28" i="53"/>
  <c r="D28" i="53"/>
  <c r="EL27" i="53"/>
  <c r="EK27" i="53"/>
  <c r="EG27" i="53"/>
  <c r="EI27" i="53" s="1"/>
  <c r="EB27" i="53"/>
  <c r="DW27" i="53"/>
  <c r="DT27" i="53"/>
  <c r="DQ27" i="53"/>
  <c r="DN27" i="53"/>
  <c r="DK27" i="53"/>
  <c r="DH27" i="53"/>
  <c r="DE27" i="53"/>
  <c r="DB27" i="53"/>
  <c r="CY27" i="53"/>
  <c r="CV27" i="53"/>
  <c r="CS27" i="53"/>
  <c r="CP27" i="53"/>
  <c r="CM27" i="53"/>
  <c r="CJ27" i="53"/>
  <c r="CG27" i="53"/>
  <c r="CD27" i="53"/>
  <c r="CA27" i="53"/>
  <c r="BX27" i="53"/>
  <c r="BU27" i="53"/>
  <c r="BR27" i="53"/>
  <c r="BO27" i="53"/>
  <c r="BL27" i="53"/>
  <c r="BI27" i="53"/>
  <c r="BF27" i="53"/>
  <c r="BC27" i="53"/>
  <c r="AZ27" i="53"/>
  <c r="AW27" i="53"/>
  <c r="AT27" i="53"/>
  <c r="AQ27" i="53"/>
  <c r="AN27" i="53"/>
  <c r="AK27" i="53"/>
  <c r="AB27" i="53"/>
  <c r="Y27" i="53"/>
  <c r="V27" i="53"/>
  <c r="S27" i="53"/>
  <c r="EH27" i="53" s="1"/>
  <c r="P27" i="53"/>
  <c r="M27" i="53"/>
  <c r="J27" i="53"/>
  <c r="G27" i="53"/>
  <c r="D27" i="53"/>
  <c r="EL26" i="53"/>
  <c r="EK26" i="53"/>
  <c r="EG26" i="53"/>
  <c r="EI26" i="53" s="1"/>
  <c r="EB26" i="53"/>
  <c r="DW26" i="53"/>
  <c r="DT26" i="53"/>
  <c r="DQ26" i="53"/>
  <c r="DN26" i="53"/>
  <c r="DK26" i="53"/>
  <c r="DH26" i="53"/>
  <c r="DE26" i="53"/>
  <c r="DB26" i="53"/>
  <c r="CY26" i="53"/>
  <c r="CV26" i="53"/>
  <c r="CS26" i="53"/>
  <c r="CP26" i="53"/>
  <c r="CM26" i="53"/>
  <c r="CJ26" i="53"/>
  <c r="CG26" i="53"/>
  <c r="CD26" i="53"/>
  <c r="CA26" i="53"/>
  <c r="BX26" i="53"/>
  <c r="BU26" i="53"/>
  <c r="BR26" i="53"/>
  <c r="BO26" i="53"/>
  <c r="BL26" i="53"/>
  <c r="BI26" i="53"/>
  <c r="BF26" i="53"/>
  <c r="BC26" i="53"/>
  <c r="AZ26" i="53"/>
  <c r="AW26" i="53"/>
  <c r="AT26" i="53"/>
  <c r="AQ26" i="53"/>
  <c r="AN26" i="53"/>
  <c r="AK26" i="53"/>
  <c r="AB26" i="53"/>
  <c r="Y26" i="53"/>
  <c r="V26" i="53"/>
  <c r="S26" i="53"/>
  <c r="P26" i="53"/>
  <c r="M26" i="53"/>
  <c r="J26" i="53"/>
  <c r="G26" i="53"/>
  <c r="D26" i="53"/>
  <c r="ED26" i="53" s="1"/>
  <c r="EL25" i="53"/>
  <c r="EK25" i="53"/>
  <c r="EG25" i="53"/>
  <c r="EI25" i="53" s="1"/>
  <c r="EB25" i="53"/>
  <c r="EC25" i="53" s="1"/>
  <c r="DW25" i="53"/>
  <c r="DT25" i="53"/>
  <c r="DQ25" i="53"/>
  <c r="DN25" i="53"/>
  <c r="DK25" i="53"/>
  <c r="DH25" i="53"/>
  <c r="DE25" i="53"/>
  <c r="DB25" i="53"/>
  <c r="CY25" i="53"/>
  <c r="CV25" i="53"/>
  <c r="CS25" i="53"/>
  <c r="CP25" i="53"/>
  <c r="CM25" i="53"/>
  <c r="CJ25" i="53"/>
  <c r="CG25" i="53"/>
  <c r="CD25" i="53"/>
  <c r="CA25" i="53"/>
  <c r="BX25" i="53"/>
  <c r="BU25" i="53"/>
  <c r="BR25" i="53"/>
  <c r="BO25" i="53"/>
  <c r="BL25" i="53"/>
  <c r="BI25" i="53"/>
  <c r="BF25" i="53"/>
  <c r="BC25" i="53"/>
  <c r="AZ25" i="53"/>
  <c r="AW25" i="53"/>
  <c r="AT25" i="53"/>
  <c r="AQ25" i="53"/>
  <c r="AN25" i="53"/>
  <c r="AK25" i="53"/>
  <c r="AB25" i="53"/>
  <c r="Y25" i="53"/>
  <c r="V25" i="53"/>
  <c r="S25" i="53"/>
  <c r="EH25" i="53" s="1"/>
  <c r="P25" i="53"/>
  <c r="M25" i="53"/>
  <c r="J25" i="53"/>
  <c r="G25" i="53"/>
  <c r="D25" i="53"/>
  <c r="EL24" i="53"/>
  <c r="EK24" i="53"/>
  <c r="EG24" i="53"/>
  <c r="EI24" i="53" s="1"/>
  <c r="EB24" i="53"/>
  <c r="DW24" i="53"/>
  <c r="DT24" i="53"/>
  <c r="DQ24" i="53"/>
  <c r="DN24" i="53"/>
  <c r="DK24" i="53"/>
  <c r="DH24" i="53"/>
  <c r="DE24" i="53"/>
  <c r="DB24" i="53"/>
  <c r="CY24" i="53"/>
  <c r="CV24" i="53"/>
  <c r="CS24" i="53"/>
  <c r="CP24" i="53"/>
  <c r="CM24" i="53"/>
  <c r="CJ24" i="53"/>
  <c r="CG24" i="53"/>
  <c r="CD24" i="53"/>
  <c r="CA24" i="53"/>
  <c r="BX24" i="53"/>
  <c r="BU24" i="53"/>
  <c r="BR24" i="53"/>
  <c r="BO24" i="53"/>
  <c r="BL24" i="53"/>
  <c r="BI24" i="53"/>
  <c r="BF24" i="53"/>
  <c r="BC24" i="53"/>
  <c r="AZ24" i="53"/>
  <c r="AW24" i="53"/>
  <c r="AT24" i="53"/>
  <c r="AQ24" i="53"/>
  <c r="AN24" i="53"/>
  <c r="AK24" i="53"/>
  <c r="AB24" i="53"/>
  <c r="Y24" i="53"/>
  <c r="V24" i="53"/>
  <c r="S24" i="53"/>
  <c r="P24" i="53"/>
  <c r="M24" i="53"/>
  <c r="J24" i="53"/>
  <c r="G24" i="53"/>
  <c r="D24" i="53"/>
  <c r="EL23" i="53"/>
  <c r="EK23" i="53"/>
  <c r="EG23" i="53"/>
  <c r="EI23" i="53" s="1"/>
  <c r="EB23" i="53"/>
  <c r="DW23" i="53"/>
  <c r="DT23" i="53"/>
  <c r="DQ23" i="53"/>
  <c r="DN23" i="53"/>
  <c r="DK23" i="53"/>
  <c r="DH23" i="53"/>
  <c r="DE23" i="53"/>
  <c r="DB23" i="53"/>
  <c r="CY23" i="53"/>
  <c r="CV23" i="53"/>
  <c r="CS23" i="53"/>
  <c r="CP23" i="53"/>
  <c r="CM23" i="53"/>
  <c r="CJ23" i="53"/>
  <c r="CG23" i="53"/>
  <c r="CD23" i="53"/>
  <c r="CA23" i="53"/>
  <c r="BX23" i="53"/>
  <c r="BU23" i="53"/>
  <c r="BR23" i="53"/>
  <c r="BO23" i="53"/>
  <c r="BL23" i="53"/>
  <c r="BI23" i="53"/>
  <c r="BF23" i="53"/>
  <c r="BC23" i="53"/>
  <c r="AZ23" i="53"/>
  <c r="AW23" i="53"/>
  <c r="AT23" i="53"/>
  <c r="AQ23" i="53"/>
  <c r="AN23" i="53"/>
  <c r="AK23" i="53"/>
  <c r="AB23" i="53"/>
  <c r="Y23" i="53"/>
  <c r="V23" i="53"/>
  <c r="S23" i="53"/>
  <c r="EH23" i="53" s="1"/>
  <c r="P23" i="53"/>
  <c r="M23" i="53"/>
  <c r="J23" i="53"/>
  <c r="G23" i="53"/>
  <c r="D23" i="53"/>
  <c r="EL22" i="53"/>
  <c r="EK22" i="53"/>
  <c r="EI22" i="53"/>
  <c r="EG22" i="53"/>
  <c r="EB22" i="53"/>
  <c r="DW22" i="53"/>
  <c r="DT22" i="53"/>
  <c r="DQ22" i="53"/>
  <c r="DN22" i="53"/>
  <c r="DK22" i="53"/>
  <c r="DH22" i="53"/>
  <c r="DE22" i="53"/>
  <c r="DB22" i="53"/>
  <c r="CY22" i="53"/>
  <c r="CV22" i="53"/>
  <c r="CS22" i="53"/>
  <c r="CP22" i="53"/>
  <c r="CM22" i="53"/>
  <c r="CJ22" i="53"/>
  <c r="CG22" i="53"/>
  <c r="CD22" i="53"/>
  <c r="CA22" i="53"/>
  <c r="BX22" i="53"/>
  <c r="BU22" i="53"/>
  <c r="BR22" i="53"/>
  <c r="BO22" i="53"/>
  <c r="BL22" i="53"/>
  <c r="BI22" i="53"/>
  <c r="BF22" i="53"/>
  <c r="BC22" i="53"/>
  <c r="AZ22" i="53"/>
  <c r="AW22" i="53"/>
  <c r="AT22" i="53"/>
  <c r="AQ22" i="53"/>
  <c r="AN22" i="53"/>
  <c r="AK22" i="53"/>
  <c r="AB22" i="53"/>
  <c r="Y22" i="53"/>
  <c r="V22" i="53"/>
  <c r="S22" i="53"/>
  <c r="P22" i="53"/>
  <c r="M22" i="53"/>
  <c r="J22" i="53"/>
  <c r="G22" i="53"/>
  <c r="D22" i="53"/>
  <c r="EN21" i="53"/>
  <c r="EL21" i="53"/>
  <c r="EK21" i="53"/>
  <c r="EG21" i="53"/>
  <c r="EI21" i="53" s="1"/>
  <c r="EB21" i="53"/>
  <c r="EC21" i="53" s="1"/>
  <c r="DW21" i="53"/>
  <c r="DT21" i="53"/>
  <c r="DQ21" i="53"/>
  <c r="DN21" i="53"/>
  <c r="DK21" i="53"/>
  <c r="DH21" i="53"/>
  <c r="DE21" i="53"/>
  <c r="DB21" i="53"/>
  <c r="CY21" i="53"/>
  <c r="CV21" i="53"/>
  <c r="CS21" i="53"/>
  <c r="CP21" i="53"/>
  <c r="CM21" i="53"/>
  <c r="CJ21" i="53"/>
  <c r="CG21" i="53"/>
  <c r="CD21" i="53"/>
  <c r="CA21" i="53"/>
  <c r="BX21" i="53"/>
  <c r="BU21" i="53"/>
  <c r="BR21" i="53"/>
  <c r="BO21" i="53"/>
  <c r="BL21" i="53"/>
  <c r="BI21" i="53"/>
  <c r="BF21" i="53"/>
  <c r="BC21" i="53"/>
  <c r="AZ21" i="53"/>
  <c r="AW21" i="53"/>
  <c r="AT21" i="53"/>
  <c r="AQ21" i="53"/>
  <c r="AN21" i="53"/>
  <c r="AK21" i="53"/>
  <c r="AB21" i="53"/>
  <c r="Y21" i="53"/>
  <c r="V21" i="53"/>
  <c r="S21" i="53"/>
  <c r="P21" i="53"/>
  <c r="M21" i="53"/>
  <c r="J21" i="53"/>
  <c r="G21" i="53"/>
  <c r="D21" i="53"/>
  <c r="EL20" i="53"/>
  <c r="EK20" i="53"/>
  <c r="EN20" i="53" s="1"/>
  <c r="EG20" i="53"/>
  <c r="EI20" i="53" s="1"/>
  <c r="EB20" i="53"/>
  <c r="EE20" i="53" s="1"/>
  <c r="DW20" i="53"/>
  <c r="DT20" i="53"/>
  <c r="DQ20" i="53"/>
  <c r="DN20" i="53"/>
  <c r="DK20" i="53"/>
  <c r="DH20" i="53"/>
  <c r="DE20" i="53"/>
  <c r="DB20" i="53"/>
  <c r="CY20" i="53"/>
  <c r="CV20" i="53"/>
  <c r="CS20" i="53"/>
  <c r="CP20" i="53"/>
  <c r="CM20" i="53"/>
  <c r="CJ20" i="53"/>
  <c r="CG20" i="53"/>
  <c r="CD20" i="53"/>
  <c r="CA20" i="53"/>
  <c r="BX20" i="53"/>
  <c r="BU20" i="53"/>
  <c r="BR20" i="53"/>
  <c r="BO20" i="53"/>
  <c r="BL20" i="53"/>
  <c r="BI20" i="53"/>
  <c r="BF20" i="53"/>
  <c r="BC20" i="53"/>
  <c r="AZ20" i="53"/>
  <c r="AW20" i="53"/>
  <c r="AT20" i="53"/>
  <c r="AQ20" i="53"/>
  <c r="AN20" i="53"/>
  <c r="AK20" i="53"/>
  <c r="AB20" i="53"/>
  <c r="Y20" i="53"/>
  <c r="V20" i="53"/>
  <c r="S20" i="53"/>
  <c r="EH20" i="53" s="1"/>
  <c r="P20" i="53"/>
  <c r="M20" i="53"/>
  <c r="J20" i="53"/>
  <c r="G20" i="53"/>
  <c r="D20" i="53"/>
  <c r="EL19" i="53"/>
  <c r="EK19" i="53"/>
  <c r="EN19" i="53" s="1"/>
  <c r="EG19" i="53"/>
  <c r="EI19" i="53" s="1"/>
  <c r="EB19" i="53"/>
  <c r="EE19" i="53" s="1"/>
  <c r="DW19" i="53"/>
  <c r="DT19" i="53"/>
  <c r="DQ19" i="53"/>
  <c r="DN19" i="53"/>
  <c r="DK19" i="53"/>
  <c r="DH19" i="53"/>
  <c r="DE19" i="53"/>
  <c r="DB19" i="53"/>
  <c r="CY19" i="53"/>
  <c r="CV19" i="53"/>
  <c r="CS19" i="53"/>
  <c r="CP19" i="53"/>
  <c r="CM19" i="53"/>
  <c r="CJ19" i="53"/>
  <c r="CG19" i="53"/>
  <c r="CD19" i="53"/>
  <c r="CA19" i="53"/>
  <c r="BX19" i="53"/>
  <c r="BU19" i="53"/>
  <c r="BR19" i="53"/>
  <c r="BO19" i="53"/>
  <c r="BL19" i="53"/>
  <c r="BI19" i="53"/>
  <c r="BF19" i="53"/>
  <c r="BC19" i="53"/>
  <c r="AZ19" i="53"/>
  <c r="AW19" i="53"/>
  <c r="AT19" i="53"/>
  <c r="AQ19" i="53"/>
  <c r="AN19" i="53"/>
  <c r="AK19" i="53"/>
  <c r="AB19" i="53"/>
  <c r="Y19" i="53"/>
  <c r="V19" i="53"/>
  <c r="S19" i="53"/>
  <c r="EH19" i="53" s="1"/>
  <c r="P19" i="53"/>
  <c r="M19" i="53"/>
  <c r="J19" i="53"/>
  <c r="G19" i="53"/>
  <c r="D19" i="53"/>
  <c r="EL18" i="53"/>
  <c r="EK18" i="53"/>
  <c r="EN18" i="53" s="1"/>
  <c r="EG18" i="53"/>
  <c r="EI18" i="53" s="1"/>
  <c r="EB18" i="53"/>
  <c r="EE18" i="53" s="1"/>
  <c r="DW18" i="53"/>
  <c r="DT18" i="53"/>
  <c r="DQ18" i="53"/>
  <c r="DN18" i="53"/>
  <c r="DK18" i="53"/>
  <c r="DH18" i="53"/>
  <c r="DE18" i="53"/>
  <c r="DB18" i="53"/>
  <c r="CY18" i="53"/>
  <c r="CV18" i="53"/>
  <c r="CS18" i="53"/>
  <c r="CP18" i="53"/>
  <c r="CM18" i="53"/>
  <c r="CJ18" i="53"/>
  <c r="CG18" i="53"/>
  <c r="CD18" i="53"/>
  <c r="CA18" i="53"/>
  <c r="BX18" i="53"/>
  <c r="BU18" i="53"/>
  <c r="BR18" i="53"/>
  <c r="BO18" i="53"/>
  <c r="BL18" i="53"/>
  <c r="BI18" i="53"/>
  <c r="BF18" i="53"/>
  <c r="BC18" i="53"/>
  <c r="AZ18" i="53"/>
  <c r="AW18" i="53"/>
  <c r="AT18" i="53"/>
  <c r="AQ18" i="53"/>
  <c r="AN18" i="53"/>
  <c r="AK18" i="53"/>
  <c r="AB18" i="53"/>
  <c r="Y18" i="53"/>
  <c r="V18" i="53"/>
  <c r="S18" i="53"/>
  <c r="P18" i="53"/>
  <c r="M18" i="53"/>
  <c r="J18" i="53"/>
  <c r="G18" i="53"/>
  <c r="D18" i="53"/>
  <c r="ED18" i="53" s="1"/>
  <c r="EL17" i="53"/>
  <c r="EK17" i="53"/>
  <c r="EN17" i="53" s="1"/>
  <c r="EG17" i="53"/>
  <c r="EI17" i="53" s="1"/>
  <c r="EB17" i="53"/>
  <c r="EC17" i="53" s="1"/>
  <c r="DW17" i="53"/>
  <c r="DT17" i="53"/>
  <c r="DQ17" i="53"/>
  <c r="DN17" i="53"/>
  <c r="DK17" i="53"/>
  <c r="DH17" i="53"/>
  <c r="DE17" i="53"/>
  <c r="DB17" i="53"/>
  <c r="CY17" i="53"/>
  <c r="CV17" i="53"/>
  <c r="CS17" i="53"/>
  <c r="CP17" i="53"/>
  <c r="CM17" i="53"/>
  <c r="CJ17" i="53"/>
  <c r="CG17" i="53"/>
  <c r="CD17" i="53"/>
  <c r="CA17" i="53"/>
  <c r="BX17" i="53"/>
  <c r="BU17" i="53"/>
  <c r="BR17" i="53"/>
  <c r="BO17" i="53"/>
  <c r="BL17" i="53"/>
  <c r="BI17" i="53"/>
  <c r="BF17" i="53"/>
  <c r="BC17" i="53"/>
  <c r="AZ17" i="53"/>
  <c r="AW17" i="53"/>
  <c r="AT17" i="53"/>
  <c r="AQ17" i="53"/>
  <c r="AN17" i="53"/>
  <c r="AK17" i="53"/>
  <c r="AB17" i="53"/>
  <c r="Y17" i="53"/>
  <c r="V17" i="53"/>
  <c r="S17" i="53"/>
  <c r="P17" i="53"/>
  <c r="M17" i="53"/>
  <c r="J17" i="53"/>
  <c r="G17" i="53"/>
  <c r="D17" i="53"/>
  <c r="EN16" i="53"/>
  <c r="EL16" i="53"/>
  <c r="EK16" i="53"/>
  <c r="EG16" i="53"/>
  <c r="EI16" i="53" s="1"/>
  <c r="EB16" i="53"/>
  <c r="EE16" i="53" s="1"/>
  <c r="DW16" i="53"/>
  <c r="DT16" i="53"/>
  <c r="DQ16" i="53"/>
  <c r="DN16" i="53"/>
  <c r="DK16" i="53"/>
  <c r="DH16" i="53"/>
  <c r="DE16" i="53"/>
  <c r="DB16" i="53"/>
  <c r="CY16" i="53"/>
  <c r="CV16" i="53"/>
  <c r="CS16" i="53"/>
  <c r="CP16" i="53"/>
  <c r="CM16" i="53"/>
  <c r="CJ16" i="53"/>
  <c r="CG16" i="53"/>
  <c r="CD16" i="53"/>
  <c r="CA16" i="53"/>
  <c r="BX16" i="53"/>
  <c r="BU16" i="53"/>
  <c r="BR16" i="53"/>
  <c r="BO16" i="53"/>
  <c r="BL16" i="53"/>
  <c r="BI16" i="53"/>
  <c r="BF16" i="53"/>
  <c r="BC16" i="53"/>
  <c r="AZ16" i="53"/>
  <c r="AW16" i="53"/>
  <c r="AT16" i="53"/>
  <c r="AQ16" i="53"/>
  <c r="AN16" i="53"/>
  <c r="AK16" i="53"/>
  <c r="AB16" i="53"/>
  <c r="Y16" i="53"/>
  <c r="V16" i="53"/>
  <c r="S16" i="53"/>
  <c r="EH16" i="53" s="1"/>
  <c r="P16" i="53"/>
  <c r="M16" i="53"/>
  <c r="J16" i="53"/>
  <c r="G16" i="53"/>
  <c r="D16" i="53"/>
  <c r="EL15" i="53"/>
  <c r="EK15" i="53"/>
  <c r="EN15" i="53" s="1"/>
  <c r="EG15" i="53"/>
  <c r="EI15" i="53" s="1"/>
  <c r="EB15" i="53"/>
  <c r="EE15" i="53" s="1"/>
  <c r="DW15" i="53"/>
  <c r="DT15" i="53"/>
  <c r="DQ15" i="53"/>
  <c r="DN15" i="53"/>
  <c r="DK15" i="53"/>
  <c r="DH15" i="53"/>
  <c r="DE15" i="53"/>
  <c r="DB15" i="53"/>
  <c r="CY15" i="53"/>
  <c r="CV15" i="53"/>
  <c r="CS15" i="53"/>
  <c r="CP15" i="53"/>
  <c r="CM15" i="53"/>
  <c r="CJ15" i="53"/>
  <c r="CG15" i="53"/>
  <c r="CD15" i="53"/>
  <c r="CA15" i="53"/>
  <c r="BX15" i="53"/>
  <c r="BU15" i="53"/>
  <c r="BR15" i="53"/>
  <c r="BO15" i="53"/>
  <c r="BL15" i="53"/>
  <c r="BI15" i="53"/>
  <c r="BF15" i="53"/>
  <c r="BC15" i="53"/>
  <c r="AZ15" i="53"/>
  <c r="AW15" i="53"/>
  <c r="AT15" i="53"/>
  <c r="AQ15" i="53"/>
  <c r="AN15" i="53"/>
  <c r="AK15" i="53"/>
  <c r="AB15" i="53"/>
  <c r="Y15" i="53"/>
  <c r="V15" i="53"/>
  <c r="S15" i="53"/>
  <c r="P15" i="53"/>
  <c r="M15" i="53"/>
  <c r="J15" i="53"/>
  <c r="G15" i="53"/>
  <c r="D15" i="53"/>
  <c r="EL14" i="53"/>
  <c r="EK14" i="53"/>
  <c r="EN14" i="53" s="1"/>
  <c r="EG14" i="53"/>
  <c r="EI14" i="53" s="1"/>
  <c r="EB14" i="53"/>
  <c r="EE14" i="53" s="1"/>
  <c r="DW14" i="53"/>
  <c r="DT14" i="53"/>
  <c r="DQ14" i="53"/>
  <c r="DN14" i="53"/>
  <c r="DK14" i="53"/>
  <c r="DH14" i="53"/>
  <c r="DE14" i="53"/>
  <c r="DB14" i="53"/>
  <c r="CY14" i="53"/>
  <c r="CV14" i="53"/>
  <c r="CS14" i="53"/>
  <c r="CP14" i="53"/>
  <c r="CM14" i="53"/>
  <c r="CJ14" i="53"/>
  <c r="CG14" i="53"/>
  <c r="CD14" i="53"/>
  <c r="CA14" i="53"/>
  <c r="BX14" i="53"/>
  <c r="BU14" i="53"/>
  <c r="BR14" i="53"/>
  <c r="BO14" i="53"/>
  <c r="BL14" i="53"/>
  <c r="BI14" i="53"/>
  <c r="BF14" i="53"/>
  <c r="BC14" i="53"/>
  <c r="AZ14" i="53"/>
  <c r="AW14" i="53"/>
  <c r="AT14" i="53"/>
  <c r="AQ14" i="53"/>
  <c r="AN14" i="53"/>
  <c r="AK14" i="53"/>
  <c r="AB14" i="53"/>
  <c r="Y14" i="53"/>
  <c r="V14" i="53"/>
  <c r="S14" i="53"/>
  <c r="P14" i="53"/>
  <c r="M14" i="53"/>
  <c r="J14" i="53"/>
  <c r="G14" i="53"/>
  <c r="D14" i="53"/>
  <c r="EL13" i="53"/>
  <c r="EK13" i="53"/>
  <c r="EG13" i="53"/>
  <c r="EB13" i="53"/>
  <c r="DW13" i="53"/>
  <c r="DT13" i="53"/>
  <c r="DQ13" i="53"/>
  <c r="DN13" i="53"/>
  <c r="DK13" i="53"/>
  <c r="DH13" i="53"/>
  <c r="DE13" i="53"/>
  <c r="DB13" i="53"/>
  <c r="CY13" i="53"/>
  <c r="CV13" i="53"/>
  <c r="CS13" i="53"/>
  <c r="CP13" i="53"/>
  <c r="CM13" i="53"/>
  <c r="CJ13" i="53"/>
  <c r="CG13" i="53"/>
  <c r="CD13" i="53"/>
  <c r="CA13" i="53"/>
  <c r="BX13" i="53"/>
  <c r="BU13" i="53"/>
  <c r="BR13" i="53"/>
  <c r="BO13" i="53"/>
  <c r="BL13" i="53"/>
  <c r="BI13" i="53"/>
  <c r="BF13" i="53"/>
  <c r="BC13" i="53"/>
  <c r="AZ13" i="53"/>
  <c r="AW13" i="53"/>
  <c r="AT13" i="53"/>
  <c r="AQ13" i="53"/>
  <c r="AN13" i="53"/>
  <c r="AK13" i="53"/>
  <c r="AB13" i="53"/>
  <c r="Y13" i="53"/>
  <c r="V13" i="53"/>
  <c r="S13" i="53"/>
  <c r="EH13" i="53" s="1"/>
  <c r="P13" i="53"/>
  <c r="M13" i="53"/>
  <c r="J13" i="53"/>
  <c r="G13" i="53"/>
  <c r="D13" i="53"/>
  <c r="EL12" i="53"/>
  <c r="EK12" i="53"/>
  <c r="EG12" i="53"/>
  <c r="EI12" i="53" s="1"/>
  <c r="EB12" i="53"/>
  <c r="DW12" i="53"/>
  <c r="DT12" i="53"/>
  <c r="DQ12" i="53"/>
  <c r="DN12" i="53"/>
  <c r="DK12" i="53"/>
  <c r="DH12" i="53"/>
  <c r="DE12" i="53"/>
  <c r="DB12" i="53"/>
  <c r="CY12" i="53"/>
  <c r="CV12" i="53"/>
  <c r="CS12" i="53"/>
  <c r="CP12" i="53"/>
  <c r="CM12" i="53"/>
  <c r="CJ12" i="53"/>
  <c r="CG12" i="53"/>
  <c r="CD12" i="53"/>
  <c r="CA12" i="53"/>
  <c r="BX12" i="53"/>
  <c r="BU12" i="53"/>
  <c r="BR12" i="53"/>
  <c r="BO12" i="53"/>
  <c r="BL12" i="53"/>
  <c r="BI12" i="53"/>
  <c r="BF12" i="53"/>
  <c r="BC12" i="53"/>
  <c r="AZ12" i="53"/>
  <c r="AW12" i="53"/>
  <c r="AT12" i="53"/>
  <c r="AQ12" i="53"/>
  <c r="AN12" i="53"/>
  <c r="AK12" i="53"/>
  <c r="AB12" i="53"/>
  <c r="Y12" i="53"/>
  <c r="V12" i="53"/>
  <c r="S12" i="53"/>
  <c r="P12" i="53"/>
  <c r="M12" i="53"/>
  <c r="J12" i="53"/>
  <c r="G12" i="53"/>
  <c r="D12" i="53"/>
  <c r="A12" i="53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EL11" i="53"/>
  <c r="EK11" i="53"/>
  <c r="EI11" i="53"/>
  <c r="EG11" i="53"/>
  <c r="EB11" i="53"/>
  <c r="DW11" i="53"/>
  <c r="DT11" i="53"/>
  <c r="DQ11" i="53"/>
  <c r="DQ41" i="53" s="1"/>
  <c r="DN11" i="53"/>
  <c r="DK11" i="53"/>
  <c r="DH11" i="53"/>
  <c r="DE11" i="53"/>
  <c r="DB11" i="53"/>
  <c r="CY11" i="53"/>
  <c r="CV11" i="53"/>
  <c r="CS11" i="53"/>
  <c r="CS41" i="53" s="1"/>
  <c r="CP11" i="53"/>
  <c r="CM11" i="53"/>
  <c r="CJ11" i="53"/>
  <c r="CG11" i="53"/>
  <c r="CD11" i="53"/>
  <c r="CA11" i="53"/>
  <c r="BX11" i="53"/>
  <c r="BU11" i="53"/>
  <c r="BU41" i="53" s="1"/>
  <c r="BR11" i="53"/>
  <c r="BO11" i="53"/>
  <c r="BL11" i="53"/>
  <c r="BI11" i="53"/>
  <c r="BF11" i="53"/>
  <c r="BC11" i="53"/>
  <c r="AZ11" i="53"/>
  <c r="AW11" i="53"/>
  <c r="AW41" i="53" s="1"/>
  <c r="AT11" i="53"/>
  <c r="AQ11" i="53"/>
  <c r="AN11" i="53"/>
  <c r="AK11" i="53"/>
  <c r="AH41" i="53"/>
  <c r="AE41" i="53"/>
  <c r="AB11" i="53"/>
  <c r="Y11" i="53"/>
  <c r="Y41" i="53" s="1"/>
  <c r="V11" i="53"/>
  <c r="S11" i="53"/>
  <c r="P11" i="53"/>
  <c r="M11" i="53"/>
  <c r="J11" i="53"/>
  <c r="G11" i="53"/>
  <c r="D11" i="53"/>
  <c r="EQ2" i="53"/>
  <c r="G4" i="53" s="1"/>
  <c r="EE2" i="53"/>
  <c r="ED21" i="53" l="1"/>
  <c r="EM30" i="53"/>
  <c r="D41" i="53"/>
  <c r="CP41" i="53"/>
  <c r="ED15" i="53"/>
  <c r="ED33" i="53"/>
  <c r="EE33" i="53" s="1"/>
  <c r="BC41" i="53"/>
  <c r="EM25" i="53"/>
  <c r="EN25" i="53" s="1"/>
  <c r="ED30" i="53"/>
  <c r="EM37" i="53"/>
  <c r="EN40" i="53"/>
  <c r="J41" i="53"/>
  <c r="BF41" i="53"/>
  <c r="CD41" i="53"/>
  <c r="DB41" i="53"/>
  <c r="V41" i="53"/>
  <c r="EM13" i="53"/>
  <c r="EN13" i="53" s="1"/>
  <c r="EM16" i="53"/>
  <c r="EE17" i="53"/>
  <c r="EM19" i="53"/>
  <c r="ED23" i="53"/>
  <c r="EM27" i="53"/>
  <c r="EN27" i="53" s="1"/>
  <c r="EH29" i="53"/>
  <c r="ED37" i="53"/>
  <c r="ED39" i="53"/>
  <c r="EH39" i="53"/>
  <c r="CV41" i="53"/>
  <c r="AT41" i="53"/>
  <c r="ED14" i="53"/>
  <c r="EE21" i="53"/>
  <c r="EM23" i="53"/>
  <c r="AK36" i="53"/>
  <c r="AK41" i="53" s="1"/>
  <c r="G41" i="53"/>
  <c r="DW41" i="53"/>
  <c r="M41" i="53"/>
  <c r="BI41" i="53"/>
  <c r="CG41" i="53"/>
  <c r="DE41" i="53"/>
  <c r="EH15" i="53"/>
  <c r="EH22" i="53"/>
  <c r="EM22" i="53"/>
  <c r="ED24" i="53"/>
  <c r="EM24" i="53"/>
  <c r="EN24" i="53" s="1"/>
  <c r="ED25" i="53"/>
  <c r="EE25" i="53" s="1"/>
  <c r="EM29" i="53"/>
  <c r="EN29" i="53" s="1"/>
  <c r="EE32" i="53"/>
  <c r="EM34" i="53"/>
  <c r="EM17" i="53"/>
  <c r="AZ41" i="53"/>
  <c r="ED16" i="53"/>
  <c r="EH30" i="53"/>
  <c r="BL41" i="53"/>
  <c r="EC13" i="53"/>
  <c r="EM15" i="53"/>
  <c r="ED19" i="53"/>
  <c r="EH21" i="53"/>
  <c r="EH24" i="53"/>
  <c r="ED27" i="53"/>
  <c r="EE27" i="53"/>
  <c r="EM31" i="53"/>
  <c r="EN31" i="53" s="1"/>
  <c r="EC32" i="53"/>
  <c r="ED34" i="53"/>
  <c r="EH34" i="53"/>
  <c r="EK39" i="53"/>
  <c r="AB41" i="53"/>
  <c r="BR41" i="53"/>
  <c r="ED35" i="53"/>
  <c r="CA41" i="53"/>
  <c r="CJ41" i="53"/>
  <c r="EH14" i="53"/>
  <c r="EH18" i="53"/>
  <c r="EM21" i="53"/>
  <c r="ED22" i="53"/>
  <c r="EE22" i="53" s="1"/>
  <c r="EN23" i="53"/>
  <c r="EH26" i="53"/>
  <c r="EH41" i="53" s="1"/>
  <c r="EM26" i="53"/>
  <c r="ED28" i="53"/>
  <c r="EM28" i="53"/>
  <c r="EN28" i="53" s="1"/>
  <c r="ED29" i="53"/>
  <c r="EE29" i="53" s="1"/>
  <c r="EC29" i="53"/>
  <c r="EM32" i="53"/>
  <c r="EN32" i="53" s="1"/>
  <c r="EH33" i="53"/>
  <c r="ED36" i="53"/>
  <c r="EE36" i="53" s="1"/>
  <c r="EM36" i="53"/>
  <c r="BX41" i="53"/>
  <c r="DT41" i="53"/>
  <c r="DN41" i="53"/>
  <c r="EN22" i="53"/>
  <c r="EH35" i="53"/>
  <c r="EM39" i="53"/>
  <c r="EN39" i="53" s="1"/>
  <c r="CY41" i="53"/>
  <c r="ED17" i="53"/>
  <c r="EE28" i="53"/>
  <c r="P41" i="53"/>
  <c r="AN41" i="53"/>
  <c r="DH41" i="53"/>
  <c r="ED12" i="53"/>
  <c r="EE12" i="53" s="1"/>
  <c r="ED13" i="53"/>
  <c r="EE13" i="53" s="1"/>
  <c r="EI2" i="53"/>
  <c r="EH11" i="53"/>
  <c r="AQ41" i="53"/>
  <c r="BO41" i="53"/>
  <c r="CM41" i="53"/>
  <c r="DK41" i="53"/>
  <c r="EI3" i="53"/>
  <c r="EI4" i="53" s="1"/>
  <c r="EM18" i="53"/>
  <c r="EN2" i="53"/>
  <c r="EP2" i="53" s="1"/>
  <c r="EH12" i="53"/>
  <c r="EM12" i="53"/>
  <c r="EN12" i="53" s="1"/>
  <c r="EM14" i="53"/>
  <c r="EH17" i="53"/>
  <c r="ED20" i="53"/>
  <c r="EM20" i="53"/>
  <c r="EH28" i="53"/>
  <c r="ED31" i="53"/>
  <c r="EM33" i="53"/>
  <c r="EN33" i="53" s="1"/>
  <c r="EK34" i="53"/>
  <c r="EN34" i="53" s="1"/>
  <c r="EM35" i="53"/>
  <c r="EN35" i="53" s="1"/>
  <c r="ED40" i="53"/>
  <c r="EE34" i="53"/>
  <c r="EE26" i="53"/>
  <c r="EE40" i="53"/>
  <c r="EE31" i="53"/>
  <c r="EE30" i="53"/>
  <c r="EN26" i="53"/>
  <c r="EE35" i="53"/>
  <c r="ED38" i="53"/>
  <c r="EM38" i="53"/>
  <c r="EE24" i="53"/>
  <c r="EE23" i="53"/>
  <c r="EN30" i="53"/>
  <c r="EC12" i="53"/>
  <c r="EC16" i="53"/>
  <c r="EC20" i="53"/>
  <c r="EC24" i="53"/>
  <c r="EC28" i="53"/>
  <c r="S41" i="53"/>
  <c r="EC11" i="53"/>
  <c r="EM11" i="53"/>
  <c r="EC15" i="53"/>
  <c r="EC19" i="53"/>
  <c r="EC23" i="53"/>
  <c r="EC27" i="53"/>
  <c r="EC31" i="53"/>
  <c r="EK36" i="53"/>
  <c r="EK37" i="53"/>
  <c r="EN37" i="53" s="1"/>
  <c r="EK38" i="53"/>
  <c r="EN38" i="53" s="1"/>
  <c r="EB39" i="53"/>
  <c r="EI13" i="53"/>
  <c r="EB37" i="53"/>
  <c r="EB38" i="53"/>
  <c r="EE5" i="53" s="1"/>
  <c r="G7" i="53" s="1"/>
  <c r="EC14" i="53"/>
  <c r="EC18" i="53"/>
  <c r="EC22" i="53"/>
  <c r="EC26" i="53"/>
  <c r="EC30" i="53"/>
  <c r="EC35" i="53"/>
  <c r="EI5" i="53"/>
  <c r="ED11" i="53"/>
  <c r="ED41" i="53" l="1"/>
  <c r="EE3" i="53"/>
  <c r="EE4" i="53" s="1"/>
  <c r="G6" i="53" s="1"/>
  <c r="EC34" i="53"/>
  <c r="G5" i="53"/>
  <c r="EE39" i="53"/>
  <c r="EC39" i="53"/>
  <c r="EN3" i="53"/>
  <c r="EN4" i="53" s="1"/>
  <c r="EN36" i="53"/>
  <c r="EN5" i="53"/>
  <c r="EE38" i="53"/>
  <c r="EC38" i="53"/>
  <c r="EM41" i="53"/>
  <c r="EN11" i="53"/>
  <c r="EE37" i="53"/>
  <c r="EC37" i="53"/>
  <c r="EC36" i="53"/>
  <c r="EE11" i="53"/>
  <c r="E28" i="62" l="1"/>
  <c r="F28" i="63"/>
  <c r="F28" i="4"/>
  <c r="D11" i="52"/>
  <c r="G11" i="52"/>
  <c r="J11" i="52"/>
  <c r="M11" i="52"/>
  <c r="P11" i="52"/>
  <c r="S11" i="52"/>
  <c r="V11" i="52"/>
  <c r="Y11" i="52"/>
  <c r="AB11" i="52"/>
  <c r="AI11" i="52"/>
  <c r="AK11" i="52"/>
  <c r="AN11" i="52"/>
  <c r="AQ11" i="52"/>
  <c r="AT11" i="52"/>
  <c r="AW11" i="52"/>
  <c r="AZ11" i="52"/>
  <c r="BC11" i="52"/>
  <c r="BF11" i="52"/>
  <c r="BI11" i="52"/>
  <c r="BL11" i="52"/>
  <c r="BO11" i="52"/>
  <c r="BR11" i="52"/>
  <c r="BU11" i="52"/>
  <c r="BX11" i="52"/>
  <c r="CA11" i="52"/>
  <c r="CD11" i="52"/>
  <c r="CG11" i="52"/>
  <c r="CJ11" i="52"/>
  <c r="CM11" i="52"/>
  <c r="CP11" i="52"/>
  <c r="CS11" i="52"/>
  <c r="CV11" i="52"/>
  <c r="CY11" i="52"/>
  <c r="DB11" i="52"/>
  <c r="DE11" i="52"/>
  <c r="DH11" i="52"/>
  <c r="DK11" i="52"/>
  <c r="DN11" i="52"/>
  <c r="DQ11" i="52"/>
  <c r="DT11" i="52"/>
  <c r="DW11" i="52"/>
  <c r="EB11" i="52"/>
  <c r="EG11" i="52"/>
  <c r="EI11" i="52" s="1"/>
  <c r="EK11" i="52"/>
  <c r="EC11" i="52" s="1"/>
  <c r="EL11" i="52"/>
  <c r="A12" i="52"/>
  <c r="D12" i="52"/>
  <c r="G12" i="52"/>
  <c r="J12" i="52"/>
  <c r="M12" i="52"/>
  <c r="P12" i="52"/>
  <c r="S12" i="52"/>
  <c r="EH12" i="52" s="1"/>
  <c r="V12" i="52"/>
  <c r="Y12" i="52"/>
  <c r="AB12" i="52"/>
  <c r="AI12" i="52"/>
  <c r="AK12" i="52" s="1"/>
  <c r="AN12" i="52"/>
  <c r="AQ12" i="52"/>
  <c r="AT12" i="52"/>
  <c r="AW12" i="52"/>
  <c r="AW42" i="52" s="1"/>
  <c r="AZ12" i="52"/>
  <c r="BC12" i="52"/>
  <c r="BF12" i="52"/>
  <c r="BI12" i="52"/>
  <c r="BL12" i="52"/>
  <c r="BO12" i="52"/>
  <c r="BR12" i="52"/>
  <c r="BU12" i="52"/>
  <c r="BU42" i="52" s="1"/>
  <c r="BX12" i="52"/>
  <c r="CA12" i="52"/>
  <c r="CD12" i="52"/>
  <c r="CG12" i="52"/>
  <c r="CJ12" i="52"/>
  <c r="CM12" i="52"/>
  <c r="CP12" i="52"/>
  <c r="CS12" i="52"/>
  <c r="CV12" i="52"/>
  <c r="CY12" i="52"/>
  <c r="DB12" i="52"/>
  <c r="DE12" i="52"/>
  <c r="DH12" i="52"/>
  <c r="DK12" i="52"/>
  <c r="DN12" i="52"/>
  <c r="DQ12" i="52"/>
  <c r="DQ42" i="52" s="1"/>
  <c r="DT12" i="52"/>
  <c r="DW12" i="52"/>
  <c r="EB12" i="52"/>
  <c r="EG12" i="52"/>
  <c r="EI12" i="52"/>
  <c r="EK12" i="52"/>
  <c r="EL12" i="52"/>
  <c r="A13" i="52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D13" i="52"/>
  <c r="G13" i="52"/>
  <c r="J13" i="52"/>
  <c r="M13" i="52"/>
  <c r="P13" i="52"/>
  <c r="S13" i="52"/>
  <c r="V13" i="52"/>
  <c r="Y13" i="52"/>
  <c r="Y42" i="52" s="1"/>
  <c r="AB13" i="52"/>
  <c r="AI13" i="52"/>
  <c r="EK13" i="52" s="1"/>
  <c r="AK13" i="52"/>
  <c r="AN13" i="52"/>
  <c r="AQ13" i="52"/>
  <c r="AT13" i="52"/>
  <c r="AW13" i="52"/>
  <c r="AZ13" i="52"/>
  <c r="BC13" i="52"/>
  <c r="BF13" i="52"/>
  <c r="BI13" i="52"/>
  <c r="BL13" i="52"/>
  <c r="BO13" i="52"/>
  <c r="BR13" i="52"/>
  <c r="BU13" i="52"/>
  <c r="BX13" i="52"/>
  <c r="CA13" i="52"/>
  <c r="CD13" i="52"/>
  <c r="CG13" i="52"/>
  <c r="CJ13" i="52"/>
  <c r="CM13" i="52"/>
  <c r="CP13" i="52"/>
  <c r="CS13" i="52"/>
  <c r="CV13" i="52"/>
  <c r="CY13" i="52"/>
  <c r="DB13" i="52"/>
  <c r="DE13" i="52"/>
  <c r="DH13" i="52"/>
  <c r="DK13" i="52"/>
  <c r="DN13" i="52"/>
  <c r="DQ13" i="52"/>
  <c r="DT13" i="52"/>
  <c r="EM13" i="52" s="1"/>
  <c r="DW13" i="52"/>
  <c r="EB13" i="52"/>
  <c r="EG13" i="52"/>
  <c r="EI13" i="52" s="1"/>
  <c r="EL13" i="52"/>
  <c r="D14" i="52"/>
  <c r="G14" i="52"/>
  <c r="J14" i="52"/>
  <c r="M14" i="52"/>
  <c r="P14" i="52"/>
  <c r="S14" i="52"/>
  <c r="V14" i="52"/>
  <c r="Y14" i="52"/>
  <c r="AB14" i="52"/>
  <c r="AK14" i="52"/>
  <c r="AN14" i="52"/>
  <c r="AQ14" i="52"/>
  <c r="AT14" i="52"/>
  <c r="AW14" i="52"/>
  <c r="AZ14" i="52"/>
  <c r="BC14" i="52"/>
  <c r="BF14" i="52"/>
  <c r="BI14" i="52"/>
  <c r="BL14" i="52"/>
  <c r="BO14" i="52"/>
  <c r="BR14" i="52"/>
  <c r="BU14" i="52"/>
  <c r="BX14" i="52"/>
  <c r="CA14" i="52"/>
  <c r="CD14" i="52"/>
  <c r="CG14" i="52"/>
  <c r="CJ14" i="52"/>
  <c r="CM14" i="52"/>
  <c r="CP14" i="52"/>
  <c r="CS14" i="52"/>
  <c r="CV14" i="52"/>
  <c r="CY14" i="52"/>
  <c r="DB14" i="52"/>
  <c r="DE14" i="52"/>
  <c r="DH14" i="52"/>
  <c r="DK14" i="52"/>
  <c r="DN14" i="52"/>
  <c r="DQ14" i="52"/>
  <c r="DT14" i="52"/>
  <c r="DW14" i="52"/>
  <c r="EB14" i="52"/>
  <c r="EG14" i="52"/>
  <c r="EI14" i="52" s="1"/>
  <c r="EK14" i="52"/>
  <c r="EN14" i="52" s="1"/>
  <c r="EL14" i="52"/>
  <c r="D15" i="52"/>
  <c r="G15" i="52"/>
  <c r="J15" i="52"/>
  <c r="M15" i="52"/>
  <c r="P15" i="52"/>
  <c r="S15" i="52"/>
  <c r="V15" i="52"/>
  <c r="Y15" i="52"/>
  <c r="AB15" i="52"/>
  <c r="AH42" i="52"/>
  <c r="AK15" i="52"/>
  <c r="AN15" i="52"/>
  <c r="AQ15" i="52"/>
  <c r="AT15" i="52"/>
  <c r="AW15" i="52"/>
  <c r="AZ15" i="52"/>
  <c r="BC15" i="52"/>
  <c r="BF15" i="52"/>
  <c r="BI15" i="52"/>
  <c r="BL15" i="52"/>
  <c r="BO15" i="52"/>
  <c r="BR15" i="52"/>
  <c r="BU15" i="52"/>
  <c r="BX15" i="52"/>
  <c r="CA15" i="52"/>
  <c r="CD15" i="52"/>
  <c r="CG15" i="52"/>
  <c r="CJ15" i="52"/>
  <c r="CM15" i="52"/>
  <c r="CP15" i="52"/>
  <c r="CS15" i="52"/>
  <c r="CV15" i="52"/>
  <c r="CY15" i="52"/>
  <c r="DB15" i="52"/>
  <c r="DE15" i="52"/>
  <c r="DH15" i="52"/>
  <c r="DK15" i="52"/>
  <c r="DN15" i="52"/>
  <c r="DQ15" i="52"/>
  <c r="DT15" i="52"/>
  <c r="DW15" i="52"/>
  <c r="EB15" i="52"/>
  <c r="EG15" i="52"/>
  <c r="EI15" i="52" s="1"/>
  <c r="EK15" i="52"/>
  <c r="EN15" i="52" s="1"/>
  <c r="EL15" i="52"/>
  <c r="D16" i="52"/>
  <c r="ED16" i="52" s="1"/>
  <c r="G16" i="52"/>
  <c r="J16" i="52"/>
  <c r="M16" i="52"/>
  <c r="P16" i="52"/>
  <c r="S16" i="52"/>
  <c r="V16" i="52"/>
  <c r="Y16" i="52"/>
  <c r="AB16" i="52"/>
  <c r="AI16" i="52"/>
  <c r="EK16" i="52" s="1"/>
  <c r="AK16" i="52"/>
  <c r="AN16" i="52"/>
  <c r="AQ16" i="52"/>
  <c r="AT16" i="52"/>
  <c r="AW16" i="52"/>
  <c r="AZ16" i="52"/>
  <c r="BC16" i="52"/>
  <c r="BF16" i="52"/>
  <c r="BI16" i="52"/>
  <c r="BL16" i="52"/>
  <c r="BO16" i="52"/>
  <c r="BR16" i="52"/>
  <c r="BU16" i="52"/>
  <c r="BX16" i="52"/>
  <c r="CA16" i="52"/>
  <c r="CD16" i="52"/>
  <c r="CG16" i="52"/>
  <c r="CJ16" i="52"/>
  <c r="CM16" i="52"/>
  <c r="CP16" i="52"/>
  <c r="CS16" i="52"/>
  <c r="CV16" i="52"/>
  <c r="CY16" i="52"/>
  <c r="DB16" i="52"/>
  <c r="DE16" i="52"/>
  <c r="DH16" i="52"/>
  <c r="DK16" i="52"/>
  <c r="DN16" i="52"/>
  <c r="DQ16" i="52"/>
  <c r="DT16" i="52"/>
  <c r="EM16" i="52" s="1"/>
  <c r="DW16" i="52"/>
  <c r="EB16" i="52"/>
  <c r="EG16" i="52"/>
  <c r="EI16" i="52" s="1"/>
  <c r="EL16" i="52"/>
  <c r="D17" i="52"/>
  <c r="G17" i="52"/>
  <c r="J17" i="52"/>
  <c r="M17" i="52"/>
  <c r="P17" i="52"/>
  <c r="S17" i="52"/>
  <c r="V17" i="52"/>
  <c r="Y17" i="52"/>
  <c r="AB17" i="52"/>
  <c r="AK17" i="52"/>
  <c r="AN17" i="52"/>
  <c r="AQ17" i="52"/>
  <c r="AT17" i="52"/>
  <c r="AW17" i="52"/>
  <c r="AZ17" i="52"/>
  <c r="BC17" i="52"/>
  <c r="BF17" i="52"/>
  <c r="BI17" i="52"/>
  <c r="BL17" i="52"/>
  <c r="BO17" i="52"/>
  <c r="BR17" i="52"/>
  <c r="BU17" i="52"/>
  <c r="BX17" i="52"/>
  <c r="CA17" i="52"/>
  <c r="CD17" i="52"/>
  <c r="CG17" i="52"/>
  <c r="CJ17" i="52"/>
  <c r="CM17" i="52"/>
  <c r="CP17" i="52"/>
  <c r="CS17" i="52"/>
  <c r="CV17" i="52"/>
  <c r="CY17" i="52"/>
  <c r="DB17" i="52"/>
  <c r="DE17" i="52"/>
  <c r="DH17" i="52"/>
  <c r="DK17" i="52"/>
  <c r="DN17" i="52"/>
  <c r="DQ17" i="52"/>
  <c r="DT17" i="52"/>
  <c r="DW17" i="52"/>
  <c r="EB17" i="52"/>
  <c r="EC17" i="52" s="1"/>
  <c r="EG17" i="52"/>
  <c r="EI17" i="52" s="1"/>
  <c r="EK17" i="52"/>
  <c r="EL17" i="52"/>
  <c r="EN17" i="52"/>
  <c r="D18" i="52"/>
  <c r="G18" i="52"/>
  <c r="J18" i="52"/>
  <c r="M18" i="52"/>
  <c r="P18" i="52"/>
  <c r="S18" i="52"/>
  <c r="V18" i="52"/>
  <c r="Y18" i="52"/>
  <c r="AB18" i="52"/>
  <c r="AK18" i="52"/>
  <c r="AN18" i="52"/>
  <c r="AQ18" i="52"/>
  <c r="AT18" i="52"/>
  <c r="AW18" i="52"/>
  <c r="AZ18" i="52"/>
  <c r="BC18" i="52"/>
  <c r="BF18" i="52"/>
  <c r="BI18" i="52"/>
  <c r="BL18" i="52"/>
  <c r="BO18" i="52"/>
  <c r="BR18" i="52"/>
  <c r="BU18" i="52"/>
  <c r="BX18" i="52"/>
  <c r="CA18" i="52"/>
  <c r="CD18" i="52"/>
  <c r="CG18" i="52"/>
  <c r="CJ18" i="52"/>
  <c r="CM18" i="52"/>
  <c r="CP18" i="52"/>
  <c r="CS18" i="52"/>
  <c r="CV18" i="52"/>
  <c r="CY18" i="52"/>
  <c r="DB18" i="52"/>
  <c r="DE18" i="52"/>
  <c r="DH18" i="52"/>
  <c r="DK18" i="52"/>
  <c r="DN18" i="52"/>
  <c r="DQ18" i="52"/>
  <c r="DT18" i="52"/>
  <c r="DW18" i="52"/>
  <c r="EB18" i="52"/>
  <c r="EE18" i="52" s="1"/>
  <c r="EG18" i="52"/>
  <c r="EI18" i="52" s="1"/>
  <c r="EH18" i="52"/>
  <c r="EK18" i="52"/>
  <c r="EL18" i="52"/>
  <c r="D19" i="52"/>
  <c r="G19" i="52"/>
  <c r="J19" i="52"/>
  <c r="M19" i="52"/>
  <c r="P19" i="52"/>
  <c r="S19" i="52"/>
  <c r="V19" i="52"/>
  <c r="Y19" i="52"/>
  <c r="AB19" i="52"/>
  <c r="AE42" i="52"/>
  <c r="AK19" i="52"/>
  <c r="AN19" i="52"/>
  <c r="AQ19" i="52"/>
  <c r="AT19" i="52"/>
  <c r="AW19" i="52"/>
  <c r="AZ19" i="52"/>
  <c r="BC19" i="52"/>
  <c r="BF19" i="52"/>
  <c r="BI19" i="52"/>
  <c r="BL19" i="52"/>
  <c r="BO19" i="52"/>
  <c r="BR19" i="52"/>
  <c r="BU19" i="52"/>
  <c r="BX19" i="52"/>
  <c r="CA19" i="52"/>
  <c r="CD19" i="52"/>
  <c r="CG19" i="52"/>
  <c r="CJ19" i="52"/>
  <c r="CM19" i="52"/>
  <c r="CP19" i="52"/>
  <c r="CS19" i="52"/>
  <c r="CV19" i="52"/>
  <c r="CY19" i="52"/>
  <c r="DB19" i="52"/>
  <c r="DE19" i="52"/>
  <c r="DH19" i="52"/>
  <c r="DK19" i="52"/>
  <c r="DN19" i="52"/>
  <c r="DQ19" i="52"/>
  <c r="DT19" i="52"/>
  <c r="EM19" i="52" s="1"/>
  <c r="DW19" i="52"/>
  <c r="EB19" i="52"/>
  <c r="EE19" i="52" s="1"/>
  <c r="EG19" i="52"/>
  <c r="EI19" i="52"/>
  <c r="EK19" i="52"/>
  <c r="EC19" i="52" s="1"/>
  <c r="EL19" i="52"/>
  <c r="D20" i="52"/>
  <c r="G20" i="52"/>
  <c r="J20" i="52"/>
  <c r="M20" i="52"/>
  <c r="P20" i="52"/>
  <c r="S20" i="52"/>
  <c r="V20" i="52"/>
  <c r="Y20" i="52"/>
  <c r="AB20" i="52"/>
  <c r="AK20" i="52"/>
  <c r="AN20" i="52"/>
  <c r="AQ20" i="52"/>
  <c r="AT20" i="52"/>
  <c r="AW20" i="52"/>
  <c r="AZ20" i="52"/>
  <c r="BC20" i="52"/>
  <c r="BF20" i="52"/>
  <c r="BI20" i="52"/>
  <c r="BL20" i="52"/>
  <c r="BO20" i="52"/>
  <c r="BR20" i="52"/>
  <c r="BU20" i="52"/>
  <c r="BX20" i="52"/>
  <c r="CA20" i="52"/>
  <c r="CD20" i="52"/>
  <c r="CG20" i="52"/>
  <c r="CJ20" i="52"/>
  <c r="CM20" i="52"/>
  <c r="CP20" i="52"/>
  <c r="CS20" i="52"/>
  <c r="CV20" i="52"/>
  <c r="CY20" i="52"/>
  <c r="DB20" i="52"/>
  <c r="DE20" i="52"/>
  <c r="DH20" i="52"/>
  <c r="DK20" i="52"/>
  <c r="DN20" i="52"/>
  <c r="DQ20" i="52"/>
  <c r="DT20" i="52"/>
  <c r="EM20" i="52" s="1"/>
  <c r="DW20" i="52"/>
  <c r="EB20" i="52"/>
  <c r="EE20" i="52" s="1"/>
  <c r="EG20" i="52"/>
  <c r="EI20" i="52" s="1"/>
  <c r="EK20" i="52"/>
  <c r="EL20" i="52"/>
  <c r="EN20" i="52"/>
  <c r="D21" i="52"/>
  <c r="G21" i="52"/>
  <c r="J21" i="52"/>
  <c r="M21" i="52"/>
  <c r="P21" i="52"/>
  <c r="S21" i="52"/>
  <c r="V21" i="52"/>
  <c r="Y21" i="52"/>
  <c r="AB21" i="52"/>
  <c r="AK21" i="52"/>
  <c r="AN21" i="52"/>
  <c r="AQ21" i="52"/>
  <c r="AT21" i="52"/>
  <c r="AW21" i="52"/>
  <c r="AZ21" i="52"/>
  <c r="BC21" i="52"/>
  <c r="BF21" i="52"/>
  <c r="BI21" i="52"/>
  <c r="BL21" i="52"/>
  <c r="BO21" i="52"/>
  <c r="BR21" i="52"/>
  <c r="BU21" i="52"/>
  <c r="BX21" i="52"/>
  <c r="CA21" i="52"/>
  <c r="CD21" i="52"/>
  <c r="CG21" i="52"/>
  <c r="CJ21" i="52"/>
  <c r="CM21" i="52"/>
  <c r="CP21" i="52"/>
  <c r="CS21" i="52"/>
  <c r="CV21" i="52"/>
  <c r="CY21" i="52"/>
  <c r="DB21" i="52"/>
  <c r="DE21" i="52"/>
  <c r="DH21" i="52"/>
  <c r="DK21" i="52"/>
  <c r="DN21" i="52"/>
  <c r="DQ21" i="52"/>
  <c r="DT21" i="52"/>
  <c r="DW21" i="52"/>
  <c r="EB21" i="52"/>
  <c r="EC21" i="52" s="1"/>
  <c r="EG21" i="52"/>
  <c r="EI21" i="52" s="1"/>
  <c r="EK21" i="52"/>
  <c r="EL21" i="52"/>
  <c r="EN21" i="52"/>
  <c r="D22" i="52"/>
  <c r="G22" i="52"/>
  <c r="J22" i="52"/>
  <c r="M22" i="52"/>
  <c r="P22" i="52"/>
  <c r="S22" i="52"/>
  <c r="V22" i="52"/>
  <c r="Y22" i="52"/>
  <c r="AB22" i="52"/>
  <c r="AK22" i="52"/>
  <c r="AN22" i="52"/>
  <c r="AQ22" i="52"/>
  <c r="AT22" i="52"/>
  <c r="AW22" i="52"/>
  <c r="AZ22" i="52"/>
  <c r="BC22" i="52"/>
  <c r="BF22" i="52"/>
  <c r="BI22" i="52"/>
  <c r="BL22" i="52"/>
  <c r="BO22" i="52"/>
  <c r="BR22" i="52"/>
  <c r="BU22" i="52"/>
  <c r="BX22" i="52"/>
  <c r="CA22" i="52"/>
  <c r="CD22" i="52"/>
  <c r="CG22" i="52"/>
  <c r="CJ22" i="52"/>
  <c r="CM22" i="52"/>
  <c r="CP22" i="52"/>
  <c r="CS22" i="52"/>
  <c r="CV22" i="52"/>
  <c r="CY22" i="52"/>
  <c r="DB22" i="52"/>
  <c r="DE22" i="52"/>
  <c r="DH22" i="52"/>
  <c r="DK22" i="52"/>
  <c r="DN22" i="52"/>
  <c r="DQ22" i="52"/>
  <c r="DT22" i="52"/>
  <c r="DW22" i="52"/>
  <c r="EB22" i="52"/>
  <c r="EE22" i="52" s="1"/>
  <c r="EG22" i="52"/>
  <c r="EI22" i="52" s="1"/>
  <c r="EH22" i="52"/>
  <c r="EK22" i="52"/>
  <c r="EL22" i="52"/>
  <c r="D23" i="52"/>
  <c r="G23" i="52"/>
  <c r="J23" i="52"/>
  <c r="M23" i="52"/>
  <c r="P23" i="52"/>
  <c r="S23" i="52"/>
  <c r="EH23" i="52" s="1"/>
  <c r="V23" i="52"/>
  <c r="Y23" i="52"/>
  <c r="AB23" i="52"/>
  <c r="AK23" i="52"/>
  <c r="AN23" i="52"/>
  <c r="AQ23" i="52"/>
  <c r="AT23" i="52"/>
  <c r="AW23" i="52"/>
  <c r="AZ23" i="52"/>
  <c r="BC23" i="52"/>
  <c r="BF23" i="52"/>
  <c r="BI23" i="52"/>
  <c r="BL23" i="52"/>
  <c r="BO23" i="52"/>
  <c r="BR23" i="52"/>
  <c r="BU23" i="52"/>
  <c r="BX23" i="52"/>
  <c r="CA23" i="52"/>
  <c r="CD23" i="52"/>
  <c r="CG23" i="52"/>
  <c r="CJ23" i="52"/>
  <c r="CM23" i="52"/>
  <c r="CP23" i="52"/>
  <c r="CS23" i="52"/>
  <c r="CV23" i="52"/>
  <c r="CY23" i="52"/>
  <c r="DB23" i="52"/>
  <c r="DE23" i="52"/>
  <c r="DH23" i="52"/>
  <c r="DK23" i="52"/>
  <c r="DN23" i="52"/>
  <c r="DQ23" i="52"/>
  <c r="DT23" i="52"/>
  <c r="DW23" i="52"/>
  <c r="EB23" i="52"/>
  <c r="EE23" i="52"/>
  <c r="EG23" i="52"/>
  <c r="EI23" i="52"/>
  <c r="EK23" i="52"/>
  <c r="EL23" i="52"/>
  <c r="D24" i="52"/>
  <c r="G24" i="52"/>
  <c r="J24" i="52"/>
  <c r="M24" i="52"/>
  <c r="P24" i="52"/>
  <c r="S24" i="52"/>
  <c r="V24" i="52"/>
  <c r="Y24" i="52"/>
  <c r="AB24" i="52"/>
  <c r="AK24" i="52"/>
  <c r="AN24" i="52"/>
  <c r="AQ24" i="52"/>
  <c r="AT24" i="52"/>
  <c r="AW24" i="52"/>
  <c r="AZ24" i="52"/>
  <c r="BC24" i="52"/>
  <c r="BF24" i="52"/>
  <c r="BI24" i="52"/>
  <c r="BL24" i="52"/>
  <c r="BO24" i="52"/>
  <c r="BR24" i="52"/>
  <c r="BU24" i="52"/>
  <c r="BX24" i="52"/>
  <c r="CA24" i="52"/>
  <c r="CD24" i="52"/>
  <c r="CG24" i="52"/>
  <c r="CJ24" i="52"/>
  <c r="CM24" i="52"/>
  <c r="CP24" i="52"/>
  <c r="CS24" i="52"/>
  <c r="CV24" i="52"/>
  <c r="CY24" i="52"/>
  <c r="DB24" i="52"/>
  <c r="DE24" i="52"/>
  <c r="DH24" i="52"/>
  <c r="DK24" i="52"/>
  <c r="DN24" i="52"/>
  <c r="DQ24" i="52"/>
  <c r="EM24" i="52" s="1"/>
  <c r="DT24" i="52"/>
  <c r="DW24" i="52"/>
  <c r="EB24" i="52"/>
  <c r="EE24" i="52" s="1"/>
  <c r="EG24" i="52"/>
  <c r="EI24" i="52"/>
  <c r="EK24" i="52"/>
  <c r="EL24" i="52"/>
  <c r="EN24" i="52"/>
  <c r="D25" i="52"/>
  <c r="G25" i="52"/>
  <c r="J25" i="52"/>
  <c r="M25" i="52"/>
  <c r="P25" i="52"/>
  <c r="S25" i="52"/>
  <c r="V25" i="52"/>
  <c r="Y25" i="52"/>
  <c r="AB25" i="52"/>
  <c r="AK25" i="52"/>
  <c r="AN25" i="52"/>
  <c r="AQ25" i="52"/>
  <c r="AT25" i="52"/>
  <c r="AW25" i="52"/>
  <c r="AZ25" i="52"/>
  <c r="BC25" i="52"/>
  <c r="BF25" i="52"/>
  <c r="BI25" i="52"/>
  <c r="BL25" i="52"/>
  <c r="BO25" i="52"/>
  <c r="BR25" i="52"/>
  <c r="BU25" i="52"/>
  <c r="BX25" i="52"/>
  <c r="CA25" i="52"/>
  <c r="CD25" i="52"/>
  <c r="CG25" i="52"/>
  <c r="CJ25" i="52"/>
  <c r="CM25" i="52"/>
  <c r="CP25" i="52"/>
  <c r="CS25" i="52"/>
  <c r="CV25" i="52"/>
  <c r="CY25" i="52"/>
  <c r="DB25" i="52"/>
  <c r="DE25" i="52"/>
  <c r="DH25" i="52"/>
  <c r="DK25" i="52"/>
  <c r="DN25" i="52"/>
  <c r="DQ25" i="52"/>
  <c r="DT25" i="52"/>
  <c r="DW25" i="52"/>
  <c r="EB25" i="52"/>
  <c r="EE25" i="52" s="1"/>
  <c r="EG25" i="52"/>
  <c r="EI25" i="52" s="1"/>
  <c r="EK25" i="52"/>
  <c r="EL25" i="52"/>
  <c r="EN25" i="52"/>
  <c r="D26" i="52"/>
  <c r="G26" i="52"/>
  <c r="ED26" i="52" s="1"/>
  <c r="J26" i="52"/>
  <c r="M26" i="52"/>
  <c r="P26" i="52"/>
  <c r="S26" i="52"/>
  <c r="EH26" i="52" s="1"/>
  <c r="V26" i="52"/>
  <c r="Y26" i="52"/>
  <c r="AB26" i="52"/>
  <c r="AK26" i="52"/>
  <c r="AN26" i="52"/>
  <c r="AQ26" i="52"/>
  <c r="AT26" i="52"/>
  <c r="AW26" i="52"/>
  <c r="AZ26" i="52"/>
  <c r="BC26" i="52"/>
  <c r="BF26" i="52"/>
  <c r="BI26" i="52"/>
  <c r="BL26" i="52"/>
  <c r="BO26" i="52"/>
  <c r="BR26" i="52"/>
  <c r="BU26" i="52"/>
  <c r="BX26" i="52"/>
  <c r="CA26" i="52"/>
  <c r="CD26" i="52"/>
  <c r="CG26" i="52"/>
  <c r="CJ26" i="52"/>
  <c r="CM26" i="52"/>
  <c r="CP26" i="52"/>
  <c r="CS26" i="52"/>
  <c r="CV26" i="52"/>
  <c r="CY26" i="52"/>
  <c r="DB26" i="52"/>
  <c r="DE26" i="52"/>
  <c r="DH26" i="52"/>
  <c r="DK26" i="52"/>
  <c r="DN26" i="52"/>
  <c r="DQ26" i="52"/>
  <c r="DT26" i="52"/>
  <c r="DW26" i="52"/>
  <c r="EB26" i="52"/>
  <c r="EE26" i="52" s="1"/>
  <c r="EG26" i="52"/>
  <c r="EI26" i="52" s="1"/>
  <c r="EK26" i="52"/>
  <c r="EL26" i="52"/>
  <c r="D27" i="52"/>
  <c r="G27" i="52"/>
  <c r="J27" i="52"/>
  <c r="M27" i="52"/>
  <c r="P27" i="52"/>
  <c r="S27" i="52"/>
  <c r="V27" i="52"/>
  <c r="Y27" i="52"/>
  <c r="AB27" i="52"/>
  <c r="AK27" i="52"/>
  <c r="AN27" i="52"/>
  <c r="AQ27" i="52"/>
  <c r="AT27" i="52"/>
  <c r="AW27" i="52"/>
  <c r="AZ27" i="52"/>
  <c r="BC27" i="52"/>
  <c r="BF27" i="52"/>
  <c r="BI27" i="52"/>
  <c r="BL27" i="52"/>
  <c r="BO27" i="52"/>
  <c r="BR27" i="52"/>
  <c r="BU27" i="52"/>
  <c r="BX27" i="52"/>
  <c r="CA27" i="52"/>
  <c r="CD27" i="52"/>
  <c r="CG27" i="52"/>
  <c r="CJ27" i="52"/>
  <c r="CM27" i="52"/>
  <c r="CP27" i="52"/>
  <c r="CS27" i="52"/>
  <c r="CV27" i="52"/>
  <c r="CY27" i="52"/>
  <c r="DB27" i="52"/>
  <c r="DE27" i="52"/>
  <c r="DH27" i="52"/>
  <c r="DK27" i="52"/>
  <c r="DN27" i="52"/>
  <c r="DQ27" i="52"/>
  <c r="DT27" i="52"/>
  <c r="DW27" i="52"/>
  <c r="EB27" i="52"/>
  <c r="EE27" i="52"/>
  <c r="EG27" i="52"/>
  <c r="EI27" i="52"/>
  <c r="EK27" i="52"/>
  <c r="EC27" i="52" s="1"/>
  <c r="EL27" i="52"/>
  <c r="D28" i="52"/>
  <c r="G28" i="52"/>
  <c r="J28" i="52"/>
  <c r="M28" i="52"/>
  <c r="P28" i="52"/>
  <c r="S28" i="52"/>
  <c r="V28" i="52"/>
  <c r="Y28" i="52"/>
  <c r="AB28" i="52"/>
  <c r="AK28" i="52"/>
  <c r="AN28" i="52"/>
  <c r="AQ28" i="52"/>
  <c r="AT28" i="52"/>
  <c r="AW28" i="52"/>
  <c r="AZ28" i="52"/>
  <c r="BC28" i="52"/>
  <c r="BF28" i="52"/>
  <c r="BI28" i="52"/>
  <c r="BL28" i="52"/>
  <c r="BO28" i="52"/>
  <c r="BR28" i="52"/>
  <c r="BU28" i="52"/>
  <c r="BX28" i="52"/>
  <c r="CA28" i="52"/>
  <c r="CD28" i="52"/>
  <c r="CG28" i="52"/>
  <c r="CJ28" i="52"/>
  <c r="CM28" i="52"/>
  <c r="CP28" i="52"/>
  <c r="CS28" i="52"/>
  <c r="CV28" i="52"/>
  <c r="CY28" i="52"/>
  <c r="DB28" i="52"/>
  <c r="DE28" i="52"/>
  <c r="DH28" i="52"/>
  <c r="DK28" i="52"/>
  <c r="DN28" i="52"/>
  <c r="DQ28" i="52"/>
  <c r="DT28" i="52"/>
  <c r="EM28" i="52" s="1"/>
  <c r="EN28" i="52" s="1"/>
  <c r="DW28" i="52"/>
  <c r="EB28" i="52"/>
  <c r="EC28" i="52" s="1"/>
  <c r="EG28" i="52"/>
  <c r="EI28" i="52"/>
  <c r="EK28" i="52"/>
  <c r="EL28" i="52"/>
  <c r="D29" i="52"/>
  <c r="G29" i="52"/>
  <c r="J29" i="52"/>
  <c r="M29" i="52"/>
  <c r="P29" i="52"/>
  <c r="S29" i="52"/>
  <c r="V29" i="52"/>
  <c r="Y29" i="52"/>
  <c r="AB29" i="52"/>
  <c r="AK29" i="52"/>
  <c r="AN29" i="52"/>
  <c r="AQ29" i="52"/>
  <c r="AT29" i="52"/>
  <c r="AW29" i="52"/>
  <c r="AZ29" i="52"/>
  <c r="BC29" i="52"/>
  <c r="BF29" i="52"/>
  <c r="BI29" i="52"/>
  <c r="BL29" i="52"/>
  <c r="BO29" i="52"/>
  <c r="BR29" i="52"/>
  <c r="BU29" i="52"/>
  <c r="BX29" i="52"/>
  <c r="CA29" i="52"/>
  <c r="CD29" i="52"/>
  <c r="CG29" i="52"/>
  <c r="CJ29" i="52"/>
  <c r="CM29" i="52"/>
  <c r="CP29" i="52"/>
  <c r="CS29" i="52"/>
  <c r="CV29" i="52"/>
  <c r="CY29" i="52"/>
  <c r="DB29" i="52"/>
  <c r="DE29" i="52"/>
  <c r="DH29" i="52"/>
  <c r="DK29" i="52"/>
  <c r="DN29" i="52"/>
  <c r="DQ29" i="52"/>
  <c r="DT29" i="52"/>
  <c r="DW29" i="52"/>
  <c r="EB29" i="52"/>
  <c r="EE29" i="52" s="1"/>
  <c r="EG29" i="52"/>
  <c r="EI29" i="52" s="1"/>
  <c r="EK29" i="52"/>
  <c r="EL29" i="52"/>
  <c r="EN29" i="52"/>
  <c r="D30" i="52"/>
  <c r="G30" i="52"/>
  <c r="J30" i="52"/>
  <c r="M30" i="52"/>
  <c r="P30" i="52"/>
  <c r="S30" i="52"/>
  <c r="V30" i="52"/>
  <c r="Y30" i="52"/>
  <c r="AB30" i="52"/>
  <c r="AI30" i="52"/>
  <c r="EK30" i="52" s="1"/>
  <c r="AN30" i="52"/>
  <c r="AQ30" i="52"/>
  <c r="AT30" i="52"/>
  <c r="AW30" i="52"/>
  <c r="AZ30" i="52"/>
  <c r="BC30" i="52"/>
  <c r="BF30" i="52"/>
  <c r="BI30" i="52"/>
  <c r="BL30" i="52"/>
  <c r="BO30" i="52"/>
  <c r="BR30" i="52"/>
  <c r="BU30" i="52"/>
  <c r="BX30" i="52"/>
  <c r="CA30" i="52"/>
  <c r="CD30" i="52"/>
  <c r="CG30" i="52"/>
  <c r="CJ30" i="52"/>
  <c r="CM30" i="52"/>
  <c r="CP30" i="52"/>
  <c r="CS30" i="52"/>
  <c r="CV30" i="52"/>
  <c r="CY30" i="52"/>
  <c r="DB30" i="52"/>
  <c r="DE30" i="52"/>
  <c r="DH30" i="52"/>
  <c r="DK30" i="52"/>
  <c r="DN30" i="52"/>
  <c r="DQ30" i="52"/>
  <c r="DT30" i="52"/>
  <c r="DW30" i="52"/>
  <c r="EB30" i="52"/>
  <c r="EC30" i="52" s="1"/>
  <c r="EG30" i="52"/>
  <c r="EI30" i="52" s="1"/>
  <c r="EL30" i="52"/>
  <c r="D31" i="52"/>
  <c r="G31" i="52"/>
  <c r="J31" i="52"/>
  <c r="M31" i="52"/>
  <c r="P31" i="52"/>
  <c r="S31" i="52"/>
  <c r="V31" i="52"/>
  <c r="Y31" i="52"/>
  <c r="AB31" i="52"/>
  <c r="AK31" i="52"/>
  <c r="AN31" i="52"/>
  <c r="AQ31" i="52"/>
  <c r="AT31" i="52"/>
  <c r="AW31" i="52"/>
  <c r="AZ31" i="52"/>
  <c r="BC31" i="52"/>
  <c r="BF31" i="52"/>
  <c r="BI31" i="52"/>
  <c r="BL31" i="52"/>
  <c r="BO31" i="52"/>
  <c r="BR31" i="52"/>
  <c r="BU31" i="52"/>
  <c r="BX31" i="52"/>
  <c r="CA31" i="52"/>
  <c r="CD31" i="52"/>
  <c r="CG31" i="52"/>
  <c r="CJ31" i="52"/>
  <c r="CM31" i="52"/>
  <c r="CP31" i="52"/>
  <c r="CS31" i="52"/>
  <c r="CV31" i="52"/>
  <c r="CY31" i="52"/>
  <c r="DB31" i="52"/>
  <c r="DE31" i="52"/>
  <c r="DH31" i="52"/>
  <c r="DK31" i="52"/>
  <c r="DN31" i="52"/>
  <c r="DQ31" i="52"/>
  <c r="DT31" i="52"/>
  <c r="DW31" i="52"/>
  <c r="EB31" i="52"/>
  <c r="EG31" i="52"/>
  <c r="EI31" i="52"/>
  <c r="EK31" i="52"/>
  <c r="EL31" i="52"/>
  <c r="EN31" i="52"/>
  <c r="D32" i="52"/>
  <c r="G32" i="52"/>
  <c r="J32" i="52"/>
  <c r="M32" i="52"/>
  <c r="P32" i="52"/>
  <c r="S32" i="52"/>
  <c r="EH32" i="52" s="1"/>
  <c r="V32" i="52"/>
  <c r="Y32" i="52"/>
  <c r="AB32" i="52"/>
  <c r="AK32" i="52"/>
  <c r="AN32" i="52"/>
  <c r="AQ32" i="52"/>
  <c r="AT32" i="52"/>
  <c r="AW32" i="52"/>
  <c r="AZ32" i="52"/>
  <c r="BC32" i="52"/>
  <c r="BF32" i="52"/>
  <c r="BI32" i="52"/>
  <c r="BL32" i="52"/>
  <c r="BO32" i="52"/>
  <c r="BR32" i="52"/>
  <c r="BU32" i="52"/>
  <c r="BX32" i="52"/>
  <c r="CA32" i="52"/>
  <c r="CD32" i="52"/>
  <c r="CG32" i="52"/>
  <c r="CJ32" i="52"/>
  <c r="CM32" i="52"/>
  <c r="CP32" i="52"/>
  <c r="CS32" i="52"/>
  <c r="CV32" i="52"/>
  <c r="CY32" i="52"/>
  <c r="DB32" i="52"/>
  <c r="DE32" i="52"/>
  <c r="DH32" i="52"/>
  <c r="DK32" i="52"/>
  <c r="DN32" i="52"/>
  <c r="DQ32" i="52"/>
  <c r="DT32" i="52"/>
  <c r="DW32" i="52"/>
  <c r="EB32" i="52"/>
  <c r="EG32" i="52"/>
  <c r="EI32" i="52" s="1"/>
  <c r="EK32" i="52"/>
  <c r="EN32" i="52" s="1"/>
  <c r="EL32" i="52"/>
  <c r="D33" i="52"/>
  <c r="G33" i="52"/>
  <c r="J33" i="52"/>
  <c r="M33" i="52"/>
  <c r="P33" i="52"/>
  <c r="S33" i="52"/>
  <c r="V33" i="52"/>
  <c r="Y33" i="52"/>
  <c r="AB33" i="52"/>
  <c r="AK33" i="52"/>
  <c r="AN33" i="52"/>
  <c r="AQ33" i="52"/>
  <c r="AT33" i="52"/>
  <c r="AW33" i="52"/>
  <c r="AZ33" i="52"/>
  <c r="BC33" i="52"/>
  <c r="BF33" i="52"/>
  <c r="BI33" i="52"/>
  <c r="BL33" i="52"/>
  <c r="BO33" i="52"/>
  <c r="BR33" i="52"/>
  <c r="BU33" i="52"/>
  <c r="BX33" i="52"/>
  <c r="CA33" i="52"/>
  <c r="CD33" i="52"/>
  <c r="CG33" i="52"/>
  <c r="CJ33" i="52"/>
  <c r="CM33" i="52"/>
  <c r="CP33" i="52"/>
  <c r="CS33" i="52"/>
  <c r="CV33" i="52"/>
  <c r="CY33" i="52"/>
  <c r="DB33" i="52"/>
  <c r="DE33" i="52"/>
  <c r="DH33" i="52"/>
  <c r="DK33" i="52"/>
  <c r="DN33" i="52"/>
  <c r="DQ33" i="52"/>
  <c r="DT33" i="52"/>
  <c r="DW33" i="52"/>
  <c r="EB33" i="52"/>
  <c r="EE33" i="52" s="1"/>
  <c r="EC33" i="52"/>
  <c r="ED33" i="52"/>
  <c r="EG33" i="52"/>
  <c r="EI33" i="52" s="1"/>
  <c r="EK33" i="52"/>
  <c r="EL33" i="52"/>
  <c r="EN33" i="52"/>
  <c r="D34" i="52"/>
  <c r="G34" i="52"/>
  <c r="J34" i="52"/>
  <c r="M34" i="52"/>
  <c r="P34" i="52"/>
  <c r="S34" i="52"/>
  <c r="V34" i="52"/>
  <c r="Y34" i="52"/>
  <c r="AB34" i="52"/>
  <c r="AK34" i="52"/>
  <c r="AN34" i="52"/>
  <c r="AQ34" i="52"/>
  <c r="AT34" i="52"/>
  <c r="AW34" i="52"/>
  <c r="AZ34" i="52"/>
  <c r="BC34" i="52"/>
  <c r="BF34" i="52"/>
  <c r="BI34" i="52"/>
  <c r="BL34" i="52"/>
  <c r="BO34" i="52"/>
  <c r="BR34" i="52"/>
  <c r="BU34" i="52"/>
  <c r="BX34" i="52"/>
  <c r="CA34" i="52"/>
  <c r="CD34" i="52"/>
  <c r="CG34" i="52"/>
  <c r="CJ34" i="52"/>
  <c r="CM34" i="52"/>
  <c r="CP34" i="52"/>
  <c r="CS34" i="52"/>
  <c r="CV34" i="52"/>
  <c r="CY34" i="52"/>
  <c r="DB34" i="52"/>
  <c r="DE34" i="52"/>
  <c r="DH34" i="52"/>
  <c r="DK34" i="52"/>
  <c r="DN34" i="52"/>
  <c r="DQ34" i="52"/>
  <c r="DT34" i="52"/>
  <c r="DW34" i="52"/>
  <c r="EB34" i="52"/>
  <c r="EC34" i="52"/>
  <c r="EE34" i="52"/>
  <c r="EG34" i="52"/>
  <c r="EI34" i="52" s="1"/>
  <c r="EK34" i="52"/>
  <c r="EL34" i="52"/>
  <c r="EN34" i="52"/>
  <c r="D35" i="52"/>
  <c r="G35" i="52"/>
  <c r="J35" i="52"/>
  <c r="M35" i="52"/>
  <c r="P35" i="52"/>
  <c r="S35" i="52"/>
  <c r="V35" i="52"/>
  <c r="Y35" i="52"/>
  <c r="AB35" i="52"/>
  <c r="EH35" i="52" s="1"/>
  <c r="AK35" i="52"/>
  <c r="AN35" i="52"/>
  <c r="AQ35" i="52"/>
  <c r="AT35" i="52"/>
  <c r="AW35" i="52"/>
  <c r="AZ35" i="52"/>
  <c r="BC35" i="52"/>
  <c r="BF35" i="52"/>
  <c r="BI35" i="52"/>
  <c r="BL35" i="52"/>
  <c r="BO35" i="52"/>
  <c r="BR35" i="52"/>
  <c r="BU35" i="52"/>
  <c r="BX35" i="52"/>
  <c r="CA35" i="52"/>
  <c r="CD35" i="52"/>
  <c r="CG35" i="52"/>
  <c r="CJ35" i="52"/>
  <c r="CM35" i="52"/>
  <c r="CP35" i="52"/>
  <c r="CS35" i="52"/>
  <c r="CV35" i="52"/>
  <c r="CY35" i="52"/>
  <c r="DB35" i="52"/>
  <c r="DE35" i="52"/>
  <c r="DH35" i="52"/>
  <c r="DK35" i="52"/>
  <c r="DN35" i="52"/>
  <c r="DQ35" i="52"/>
  <c r="DT35" i="52"/>
  <c r="DW35" i="52"/>
  <c r="EB35" i="52"/>
  <c r="EG35" i="52"/>
  <c r="EI35" i="52"/>
  <c r="EK35" i="52"/>
  <c r="EN35" i="52" s="1"/>
  <c r="EL35" i="52"/>
  <c r="D36" i="52"/>
  <c r="G36" i="52"/>
  <c r="J36" i="52"/>
  <c r="M36" i="52"/>
  <c r="P36" i="52"/>
  <c r="S36" i="52"/>
  <c r="EH36" i="52" s="1"/>
  <c r="V36" i="52"/>
  <c r="Y36" i="52"/>
  <c r="AB36" i="52"/>
  <c r="AK36" i="52"/>
  <c r="AN36" i="52"/>
  <c r="AQ36" i="52"/>
  <c r="AT36" i="52"/>
  <c r="AW36" i="52"/>
  <c r="AZ36" i="52"/>
  <c r="BC36" i="52"/>
  <c r="BF36" i="52"/>
  <c r="BI36" i="52"/>
  <c r="BL36" i="52"/>
  <c r="BO36" i="52"/>
  <c r="BR36" i="52"/>
  <c r="BU36" i="52"/>
  <c r="BX36" i="52"/>
  <c r="CA36" i="52"/>
  <c r="CD36" i="52"/>
  <c r="CG36" i="52"/>
  <c r="CJ36" i="52"/>
  <c r="CM36" i="52"/>
  <c r="CP36" i="52"/>
  <c r="CS36" i="52"/>
  <c r="CV36" i="52"/>
  <c r="CY36" i="52"/>
  <c r="DB36" i="52"/>
  <c r="DE36" i="52"/>
  <c r="DH36" i="52"/>
  <c r="DK36" i="52"/>
  <c r="DN36" i="52"/>
  <c r="DQ36" i="52"/>
  <c r="DT36" i="52"/>
  <c r="DW36" i="52"/>
  <c r="EB36" i="52"/>
  <c r="EG36" i="52"/>
  <c r="EI36" i="52" s="1"/>
  <c r="EK36" i="52"/>
  <c r="EN36" i="52" s="1"/>
  <c r="EL36" i="52"/>
  <c r="D37" i="52"/>
  <c r="ED37" i="52" s="1"/>
  <c r="G37" i="52"/>
  <c r="J37" i="52"/>
  <c r="M37" i="52"/>
  <c r="P37" i="52"/>
  <c r="S37" i="52"/>
  <c r="V37" i="52"/>
  <c r="Y37" i="52"/>
  <c r="AB37" i="52"/>
  <c r="AK37" i="52"/>
  <c r="AN37" i="52"/>
  <c r="AQ37" i="52"/>
  <c r="AT37" i="52"/>
  <c r="AW37" i="52"/>
  <c r="AZ37" i="52"/>
  <c r="BC37" i="52"/>
  <c r="BF37" i="52"/>
  <c r="BI37" i="52"/>
  <c r="BL37" i="52"/>
  <c r="BO37" i="52"/>
  <c r="BR37" i="52"/>
  <c r="BU37" i="52"/>
  <c r="BX37" i="52"/>
  <c r="CA37" i="52"/>
  <c r="CD37" i="52"/>
  <c r="CG37" i="52"/>
  <c r="CJ37" i="52"/>
  <c r="CM37" i="52"/>
  <c r="CP37" i="52"/>
  <c r="CS37" i="52"/>
  <c r="CV37" i="52"/>
  <c r="CY37" i="52"/>
  <c r="DB37" i="52"/>
  <c r="DE37" i="52"/>
  <c r="DH37" i="52"/>
  <c r="DK37" i="52"/>
  <c r="DN37" i="52"/>
  <c r="DQ37" i="52"/>
  <c r="DT37" i="52"/>
  <c r="DW37" i="52"/>
  <c r="EB37" i="52"/>
  <c r="EC37" i="52" s="1"/>
  <c r="EG37" i="52"/>
  <c r="EI37" i="52" s="1"/>
  <c r="EK37" i="52"/>
  <c r="EL37" i="52"/>
  <c r="EN37" i="52"/>
  <c r="D38" i="52"/>
  <c r="ED38" i="52" s="1"/>
  <c r="G38" i="52"/>
  <c r="J38" i="52"/>
  <c r="M38" i="52"/>
  <c r="P38" i="52"/>
  <c r="S38" i="52"/>
  <c r="V38" i="52"/>
  <c r="Y38" i="52"/>
  <c r="AB38" i="52"/>
  <c r="AK38" i="52"/>
  <c r="AN38" i="52"/>
  <c r="AQ38" i="52"/>
  <c r="AT38" i="52"/>
  <c r="AW38" i="52"/>
  <c r="AZ38" i="52"/>
  <c r="BC38" i="52"/>
  <c r="BF38" i="52"/>
  <c r="BI38" i="52"/>
  <c r="BL38" i="52"/>
  <c r="BO38" i="52"/>
  <c r="BR38" i="52"/>
  <c r="BU38" i="52"/>
  <c r="BX38" i="52"/>
  <c r="CA38" i="52"/>
  <c r="CD38" i="52"/>
  <c r="CG38" i="52"/>
  <c r="CJ38" i="52"/>
  <c r="CM38" i="52"/>
  <c r="CP38" i="52"/>
  <c r="CS38" i="52"/>
  <c r="CV38" i="52"/>
  <c r="CY38" i="52"/>
  <c r="DB38" i="52"/>
  <c r="DE38" i="52"/>
  <c r="DH38" i="52"/>
  <c r="DK38" i="52"/>
  <c r="DN38" i="52"/>
  <c r="DQ38" i="52"/>
  <c r="DT38" i="52"/>
  <c r="DW38" i="52"/>
  <c r="EB38" i="52"/>
  <c r="EC38" i="52" s="1"/>
  <c r="EG38" i="52"/>
  <c r="EI38" i="52" s="1"/>
  <c r="EK38" i="52"/>
  <c r="EL38" i="52"/>
  <c r="EN38" i="52"/>
  <c r="D39" i="52"/>
  <c r="G39" i="52"/>
  <c r="J39" i="52"/>
  <c r="M39" i="52"/>
  <c r="P39" i="52"/>
  <c r="S39" i="52"/>
  <c r="V39" i="52"/>
  <c r="Y39" i="52"/>
  <c r="AB39" i="52"/>
  <c r="EH39" i="52" s="1"/>
  <c r="AK39" i="52"/>
  <c r="AN39" i="52"/>
  <c r="AQ39" i="52"/>
  <c r="AT39" i="52"/>
  <c r="AW39" i="52"/>
  <c r="AZ39" i="52"/>
  <c r="BC39" i="52"/>
  <c r="BF39" i="52"/>
  <c r="BI39" i="52"/>
  <c r="BL39" i="52"/>
  <c r="BO39" i="52"/>
  <c r="BR39" i="52"/>
  <c r="BU39" i="52"/>
  <c r="BX39" i="52"/>
  <c r="CA39" i="52"/>
  <c r="CD39" i="52"/>
  <c r="CG39" i="52"/>
  <c r="CJ39" i="52"/>
  <c r="CM39" i="52"/>
  <c r="CP39" i="52"/>
  <c r="CS39" i="52"/>
  <c r="CV39" i="52"/>
  <c r="CY39" i="52"/>
  <c r="DB39" i="52"/>
  <c r="DE39" i="52"/>
  <c r="DH39" i="52"/>
  <c r="DK39" i="52"/>
  <c r="DN39" i="52"/>
  <c r="DQ39" i="52"/>
  <c r="DT39" i="52"/>
  <c r="DW39" i="52"/>
  <c r="EB39" i="52"/>
  <c r="EC39" i="52" s="1"/>
  <c r="EG39" i="52"/>
  <c r="EI39" i="52"/>
  <c r="EK39" i="52"/>
  <c r="EL39" i="52"/>
  <c r="D40" i="52"/>
  <c r="G40" i="52"/>
  <c r="J40" i="52"/>
  <c r="M40" i="52"/>
  <c r="P40" i="52"/>
  <c r="S40" i="52"/>
  <c r="EH40" i="52" s="1"/>
  <c r="V40" i="52"/>
  <c r="Y40" i="52"/>
  <c r="AB40" i="52"/>
  <c r="AK40" i="52"/>
  <c r="AN40" i="52"/>
  <c r="AQ40" i="52"/>
  <c r="AT40" i="52"/>
  <c r="AW40" i="52"/>
  <c r="AZ40" i="52"/>
  <c r="BC40" i="52"/>
  <c r="BF40" i="52"/>
  <c r="BI40" i="52"/>
  <c r="BL40" i="52"/>
  <c r="BO40" i="52"/>
  <c r="BR40" i="52"/>
  <c r="BU40" i="52"/>
  <c r="BX40" i="52"/>
  <c r="CA40" i="52"/>
  <c r="CD40" i="52"/>
  <c r="CG40" i="52"/>
  <c r="CJ40" i="52"/>
  <c r="CM40" i="52"/>
  <c r="CP40" i="52"/>
  <c r="CS40" i="52"/>
  <c r="CV40" i="52"/>
  <c r="CY40" i="52"/>
  <c r="DB40" i="52"/>
  <c r="DE40" i="52"/>
  <c r="DH40" i="52"/>
  <c r="DK40" i="52"/>
  <c r="DN40" i="52"/>
  <c r="DQ40" i="52"/>
  <c r="DT40" i="52"/>
  <c r="DW40" i="52"/>
  <c r="EB40" i="52"/>
  <c r="EG40" i="52"/>
  <c r="EI2" i="52" s="1"/>
  <c r="EK40" i="52"/>
  <c r="EL40" i="52"/>
  <c r="D41" i="52"/>
  <c r="G41" i="52"/>
  <c r="J41" i="52"/>
  <c r="M41" i="52"/>
  <c r="P41" i="52"/>
  <c r="S41" i="52"/>
  <c r="V41" i="52"/>
  <c r="Y41" i="52"/>
  <c r="AB41" i="52"/>
  <c r="AK41" i="52"/>
  <c r="AN41" i="52"/>
  <c r="AQ41" i="52"/>
  <c r="AT41" i="52"/>
  <c r="AW41" i="52"/>
  <c r="AZ41" i="52"/>
  <c r="BC41" i="52"/>
  <c r="BF41" i="52"/>
  <c r="BI41" i="52"/>
  <c r="BL41" i="52"/>
  <c r="BO41" i="52"/>
  <c r="BR41" i="52"/>
  <c r="BU41" i="52"/>
  <c r="BX41" i="52"/>
  <c r="CA41" i="52"/>
  <c r="CD41" i="52"/>
  <c r="CG41" i="52"/>
  <c r="CJ41" i="52"/>
  <c r="CM41" i="52"/>
  <c r="CP41" i="52"/>
  <c r="CS41" i="52"/>
  <c r="CV41" i="52"/>
  <c r="CY41" i="52"/>
  <c r="DB41" i="52"/>
  <c r="DE41" i="52"/>
  <c r="DH41" i="52"/>
  <c r="DK41" i="52"/>
  <c r="DN41" i="52"/>
  <c r="DQ41" i="52"/>
  <c r="DT41" i="52"/>
  <c r="DW41" i="52"/>
  <c r="EB41" i="52"/>
  <c r="EE2" i="52" s="1"/>
  <c r="EQ2" i="52" s="1"/>
  <c r="G4" i="52" s="1"/>
  <c r="EG41" i="52"/>
  <c r="EI41" i="52" s="1"/>
  <c r="EK41" i="52"/>
  <c r="EN2" i="52" s="1"/>
  <c r="EP2" i="52" s="1"/>
  <c r="EL41" i="52"/>
  <c r="CS42" i="52"/>
  <c r="EM32" i="52" l="1"/>
  <c r="EH28" i="52"/>
  <c r="EC23" i="52"/>
  <c r="ED22" i="52"/>
  <c r="EC18" i="52"/>
  <c r="EE17" i="52"/>
  <c r="DH42" i="52"/>
  <c r="CJ42" i="52"/>
  <c r="BL42" i="52"/>
  <c r="AN42" i="52"/>
  <c r="ED39" i="52"/>
  <c r="EH19" i="52"/>
  <c r="DN42" i="52"/>
  <c r="CP42" i="52"/>
  <c r="BR42" i="52"/>
  <c r="AT42" i="52"/>
  <c r="EH13" i="52"/>
  <c r="DK42" i="52"/>
  <c r="CM42" i="52"/>
  <c r="BO42" i="52"/>
  <c r="AQ42" i="52"/>
  <c r="EM29" i="52"/>
  <c r="EH38" i="52"/>
  <c r="ED35" i="52"/>
  <c r="EM33" i="52"/>
  <c r="EH41" i="52"/>
  <c r="ED40" i="52"/>
  <c r="ED36" i="52"/>
  <c r="EH21" i="52"/>
  <c r="EC40" i="52"/>
  <c r="ED27" i="52"/>
  <c r="EM26" i="52"/>
  <c r="P42" i="52"/>
  <c r="EC15" i="52"/>
  <c r="DB42" i="52"/>
  <c r="CD42" i="52"/>
  <c r="BF42" i="52"/>
  <c r="ED15" i="52"/>
  <c r="EC35" i="52"/>
  <c r="EM21" i="52"/>
  <c r="ED18" i="52"/>
  <c r="EC14" i="52"/>
  <c r="AB42" i="52"/>
  <c r="EM41" i="52"/>
  <c r="EN41" i="52" s="1"/>
  <c r="EC36" i="52"/>
  <c r="EM34" i="52"/>
  <c r="EE37" i="52"/>
  <c r="EM35" i="52"/>
  <c r="EH34" i="52"/>
  <c r="EH33" i="52"/>
  <c r="EC31" i="52"/>
  <c r="EH31" i="52"/>
  <c r="ED31" i="52"/>
  <c r="ED23" i="52"/>
  <c r="EM22" i="52"/>
  <c r="M42" i="52"/>
  <c r="EM17" i="52"/>
  <c r="EH17" i="52"/>
  <c r="DT42" i="52"/>
  <c r="CV42" i="52"/>
  <c r="BX42" i="52"/>
  <c r="AZ42" i="52"/>
  <c r="EC12" i="52"/>
  <c r="EM38" i="52"/>
  <c r="EH29" i="52"/>
  <c r="EH25" i="52"/>
  <c r="EH37" i="52"/>
  <c r="EH20" i="52"/>
  <c r="J42" i="52"/>
  <c r="D42" i="52"/>
  <c r="EM39" i="52"/>
  <c r="EN39" i="52" s="1"/>
  <c r="EM37" i="52"/>
  <c r="ED41" i="52"/>
  <c r="EE41" i="52" s="1"/>
  <c r="EC32" i="52"/>
  <c r="ED32" i="52"/>
  <c r="ED28" i="52"/>
  <c r="EM27" i="52"/>
  <c r="EC26" i="52"/>
  <c r="EC24" i="52"/>
  <c r="ED20" i="52"/>
  <c r="G42" i="52"/>
  <c r="DE42" i="52"/>
  <c r="CG42" i="52"/>
  <c r="BI42" i="52"/>
  <c r="EM15" i="52"/>
  <c r="ED13" i="52"/>
  <c r="EE13" i="52" s="1"/>
  <c r="ED34" i="52"/>
  <c r="EM25" i="52"/>
  <c r="EH24" i="52"/>
  <c r="EH16" i="52"/>
  <c r="EH30" i="52"/>
  <c r="EC41" i="52"/>
  <c r="EM40" i="52"/>
  <c r="EN40" i="52" s="1"/>
  <c r="EE38" i="52"/>
  <c r="EM36" i="52"/>
  <c r="EM31" i="52"/>
  <c r="AK30" i="52"/>
  <c r="AK42" i="52" s="1"/>
  <c r="EC29" i="52"/>
  <c r="EH27" i="52"/>
  <c r="EC25" i="52"/>
  <c r="ED24" i="52"/>
  <c r="EM23" i="52"/>
  <c r="EC22" i="52"/>
  <c r="EE21" i="52"/>
  <c r="EC20" i="52"/>
  <c r="DW42" i="52"/>
  <c r="CY42" i="52"/>
  <c r="CA42" i="52"/>
  <c r="BC42" i="52"/>
  <c r="ED19" i="52"/>
  <c r="EM18" i="52"/>
  <c r="EH15" i="52"/>
  <c r="V42" i="52"/>
  <c r="EH11" i="52"/>
  <c r="EN3" i="52"/>
  <c r="EC13" i="52"/>
  <c r="EN13" i="52"/>
  <c r="EN5" i="52"/>
  <c r="EE11" i="52"/>
  <c r="EE28" i="52"/>
  <c r="EE16" i="52"/>
  <c r="EN16" i="52"/>
  <c r="EC16" i="52"/>
  <c r="EM12" i="52"/>
  <c r="EN12" i="52" s="1"/>
  <c r="ED21" i="52"/>
  <c r="ED17" i="52"/>
  <c r="EH14" i="52"/>
  <c r="EH42" i="52" s="1"/>
  <c r="ED12" i="52"/>
  <c r="EE12" i="52" s="1"/>
  <c r="EM11" i="52"/>
  <c r="EI5" i="52"/>
  <c r="EI3" i="52"/>
  <c r="EI4" i="52" s="1"/>
  <c r="ED29" i="52"/>
  <c r="S42" i="52"/>
  <c r="EI40" i="52"/>
  <c r="EE5" i="52"/>
  <c r="G7" i="52" s="1"/>
  <c r="EE3" i="52"/>
  <c r="ED11" i="52"/>
  <c r="ED25" i="52"/>
  <c r="EE39" i="52"/>
  <c r="EE35" i="52"/>
  <c r="EE31" i="52"/>
  <c r="EN26" i="52"/>
  <c r="EN22" i="52"/>
  <c r="EN18" i="52"/>
  <c r="EE14" i="52"/>
  <c r="ED14" i="52"/>
  <c r="EE40" i="52"/>
  <c r="EE36" i="52"/>
  <c r="EE32" i="52"/>
  <c r="EN27" i="52"/>
  <c r="EN23" i="52"/>
  <c r="EN19" i="52"/>
  <c r="EE15" i="52"/>
  <c r="EM14" i="52"/>
  <c r="EM30" i="52" l="1"/>
  <c r="EN30" i="52" s="1"/>
  <c r="ED30" i="52"/>
  <c r="EE30" i="52" s="1"/>
  <c r="EN4" i="52"/>
  <c r="G5" i="52"/>
  <c r="ED42" i="52"/>
  <c r="EN11" i="52"/>
  <c r="EM42" i="52"/>
  <c r="EE4" i="52" l="1"/>
  <c r="G6" i="52" s="1"/>
  <c r="D11" i="51"/>
  <c r="G11" i="51"/>
  <c r="J11" i="51"/>
  <c r="M11" i="51"/>
  <c r="P11" i="51"/>
  <c r="S11" i="51"/>
  <c r="V11" i="51"/>
  <c r="EH11" i="51" s="1"/>
  <c r="Y11" i="51"/>
  <c r="AB11" i="51"/>
  <c r="AI11" i="51"/>
  <c r="AK11" i="51" s="1"/>
  <c r="AL11" i="51"/>
  <c r="AN11" i="51"/>
  <c r="AO11" i="51"/>
  <c r="AQ11" i="51" s="1"/>
  <c r="AR11" i="51"/>
  <c r="AU11" i="51"/>
  <c r="AW11" i="51" s="1"/>
  <c r="AZ11" i="51"/>
  <c r="BC11" i="51"/>
  <c r="BF11" i="51"/>
  <c r="BI11" i="51"/>
  <c r="BL11" i="51"/>
  <c r="BO11" i="51"/>
  <c r="BR11" i="51"/>
  <c r="BU11" i="51"/>
  <c r="BX11" i="51"/>
  <c r="CA11" i="51"/>
  <c r="CD11" i="51"/>
  <c r="CG11" i="51"/>
  <c r="CJ11" i="51"/>
  <c r="CM11" i="51"/>
  <c r="CP11" i="51"/>
  <c r="CS11" i="51"/>
  <c r="CV11" i="51"/>
  <c r="CY11" i="51"/>
  <c r="DB11" i="51"/>
  <c r="DE11" i="51"/>
  <c r="DH11" i="51"/>
  <c r="DK11" i="51"/>
  <c r="DN11" i="51"/>
  <c r="DQ11" i="51"/>
  <c r="DT11" i="51"/>
  <c r="DW11" i="51"/>
  <c r="EG11" i="51"/>
  <c r="EI11" i="51" s="1"/>
  <c r="EL11" i="51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D12" i="51"/>
  <c r="G12" i="51"/>
  <c r="J12" i="51"/>
  <c r="M12" i="51"/>
  <c r="P12" i="51"/>
  <c r="S12" i="51"/>
  <c r="V12" i="51"/>
  <c r="Y12" i="51"/>
  <c r="AB12" i="51"/>
  <c r="AE41" i="51"/>
  <c r="AI12" i="51"/>
  <c r="AK12" i="51" s="1"/>
  <c r="AL12" i="51"/>
  <c r="AN12" i="51" s="1"/>
  <c r="AO12" i="51"/>
  <c r="AQ12" i="51"/>
  <c r="AR12" i="51"/>
  <c r="AT12" i="51" s="1"/>
  <c r="AU12" i="51"/>
  <c r="AW12" i="51" s="1"/>
  <c r="AZ12" i="51"/>
  <c r="BC12" i="51"/>
  <c r="BF12" i="51"/>
  <c r="BI12" i="51"/>
  <c r="BL12" i="51"/>
  <c r="BO12" i="51"/>
  <c r="BR12" i="51"/>
  <c r="BU12" i="51"/>
  <c r="BX12" i="51"/>
  <c r="CA12" i="51"/>
  <c r="CD12" i="51"/>
  <c r="CG12" i="51"/>
  <c r="CJ12" i="51"/>
  <c r="CM12" i="51"/>
  <c r="CP12" i="51"/>
  <c r="CS12" i="51"/>
  <c r="CV12" i="51"/>
  <c r="CY12" i="51"/>
  <c r="DB12" i="51"/>
  <c r="DE12" i="51"/>
  <c r="DH12" i="51"/>
  <c r="DK12" i="51"/>
  <c r="DN12" i="51"/>
  <c r="DQ12" i="51"/>
  <c r="DT12" i="51"/>
  <c r="DW12" i="51"/>
  <c r="EG12" i="51"/>
  <c r="EI12" i="51" s="1"/>
  <c r="EL12" i="51"/>
  <c r="D13" i="51"/>
  <c r="G13" i="51"/>
  <c r="J13" i="51"/>
  <c r="M13" i="51"/>
  <c r="P13" i="51"/>
  <c r="S13" i="51"/>
  <c r="V13" i="51"/>
  <c r="Y13" i="51"/>
  <c r="AB13" i="51"/>
  <c r="AI13" i="51"/>
  <c r="AK13" i="51" s="1"/>
  <c r="AL13" i="51"/>
  <c r="AN13" i="51"/>
  <c r="AO13" i="51"/>
  <c r="AQ13" i="51" s="1"/>
  <c r="AR13" i="51"/>
  <c r="AT13" i="51" s="1"/>
  <c r="AU13" i="51"/>
  <c r="AW13" i="51" s="1"/>
  <c r="AZ13" i="51"/>
  <c r="BC13" i="51"/>
  <c r="BF13" i="51"/>
  <c r="BI13" i="51"/>
  <c r="BL13" i="51"/>
  <c r="BO13" i="51"/>
  <c r="BR13" i="51"/>
  <c r="BU13" i="51"/>
  <c r="BX13" i="51"/>
  <c r="CA13" i="51"/>
  <c r="CD13" i="51"/>
  <c r="CG13" i="51"/>
  <c r="CJ13" i="51"/>
  <c r="CM13" i="51"/>
  <c r="CP13" i="51"/>
  <c r="CS13" i="51"/>
  <c r="CV13" i="51"/>
  <c r="CY13" i="51"/>
  <c r="DB13" i="51"/>
  <c r="DE13" i="51"/>
  <c r="DH13" i="51"/>
  <c r="DK13" i="51"/>
  <c r="DN13" i="51"/>
  <c r="DQ13" i="51"/>
  <c r="DT13" i="51"/>
  <c r="DW13" i="51"/>
  <c r="EG13" i="51"/>
  <c r="EI13" i="51" s="1"/>
  <c r="EL13" i="51"/>
  <c r="D14" i="51"/>
  <c r="G14" i="51"/>
  <c r="J14" i="51"/>
  <c r="M14" i="51"/>
  <c r="P14" i="51"/>
  <c r="P41" i="51" s="1"/>
  <c r="S14" i="51"/>
  <c r="V14" i="51"/>
  <c r="Y14" i="51"/>
  <c r="AB14" i="51"/>
  <c r="AI14" i="51"/>
  <c r="AK14" i="51" s="1"/>
  <c r="AL14" i="51"/>
  <c r="AN14" i="51" s="1"/>
  <c r="AO14" i="51"/>
  <c r="AQ14" i="51"/>
  <c r="AR14" i="51"/>
  <c r="AT14" i="51" s="1"/>
  <c r="AU14" i="51"/>
  <c r="AZ14" i="51"/>
  <c r="BC14" i="51"/>
  <c r="BF14" i="51"/>
  <c r="BI14" i="51"/>
  <c r="BL14" i="51"/>
  <c r="BL41" i="51" s="1"/>
  <c r="BO14" i="51"/>
  <c r="BR14" i="51"/>
  <c r="BU14" i="51"/>
  <c r="BX14" i="51"/>
  <c r="CA14" i="51"/>
  <c r="CD14" i="51"/>
  <c r="CG14" i="51"/>
  <c r="CJ14" i="51"/>
  <c r="CJ41" i="51" s="1"/>
  <c r="CM14" i="51"/>
  <c r="CP14" i="51"/>
  <c r="CS14" i="51"/>
  <c r="CV14" i="51"/>
  <c r="CY14" i="51"/>
  <c r="DB14" i="51"/>
  <c r="DE14" i="51"/>
  <c r="DH14" i="51"/>
  <c r="DH41" i="51" s="1"/>
  <c r="DK14" i="51"/>
  <c r="DN14" i="51"/>
  <c r="DQ14" i="51"/>
  <c r="DT14" i="51"/>
  <c r="DW14" i="51"/>
  <c r="EG14" i="51"/>
  <c r="EI14" i="51" s="1"/>
  <c r="EL14" i="51"/>
  <c r="D15" i="51"/>
  <c r="G15" i="51"/>
  <c r="J15" i="51"/>
  <c r="M15" i="51"/>
  <c r="P15" i="51"/>
  <c r="S15" i="51"/>
  <c r="V15" i="51"/>
  <c r="Y15" i="51"/>
  <c r="AB15" i="51"/>
  <c r="AI15" i="51"/>
  <c r="AK15" i="51"/>
  <c r="AL15" i="51"/>
  <c r="AN15" i="51" s="1"/>
  <c r="AO15" i="51"/>
  <c r="EK15" i="51" s="1"/>
  <c r="AQ15" i="51"/>
  <c r="AR15" i="51"/>
  <c r="AT15" i="51"/>
  <c r="AU15" i="51"/>
  <c r="AW15" i="51" s="1"/>
  <c r="AZ15" i="51"/>
  <c r="BC15" i="51"/>
  <c r="BF15" i="51"/>
  <c r="BI15" i="51"/>
  <c r="BL15" i="51"/>
  <c r="BO15" i="51"/>
  <c r="BR15" i="51"/>
  <c r="BU15" i="51"/>
  <c r="BX15" i="51"/>
  <c r="CA15" i="51"/>
  <c r="CD15" i="51"/>
  <c r="CG15" i="51"/>
  <c r="CJ15" i="51"/>
  <c r="CM15" i="51"/>
  <c r="CP15" i="51"/>
  <c r="CS15" i="51"/>
  <c r="CV15" i="51"/>
  <c r="CY15" i="51"/>
  <c r="DB15" i="51"/>
  <c r="DE15" i="51"/>
  <c r="DH15" i="51"/>
  <c r="DK15" i="51"/>
  <c r="DN15" i="51"/>
  <c r="DQ15" i="51"/>
  <c r="DT15" i="51"/>
  <c r="DW15" i="51"/>
  <c r="EB15" i="51"/>
  <c r="EC15" i="51"/>
  <c r="EG15" i="51"/>
  <c r="EI15" i="51"/>
  <c r="EL15" i="51"/>
  <c r="D16" i="51"/>
  <c r="G16" i="51"/>
  <c r="J16" i="51"/>
  <c r="M16" i="51"/>
  <c r="P16" i="51"/>
  <c r="S16" i="51"/>
  <c r="V16" i="51"/>
  <c r="EH16" i="51" s="1"/>
  <c r="Y16" i="51"/>
  <c r="AB16" i="51"/>
  <c r="AI16" i="51"/>
  <c r="AK16" i="51" s="1"/>
  <c r="AL16" i="51"/>
  <c r="AO16" i="51"/>
  <c r="AQ16" i="51" s="1"/>
  <c r="AR16" i="51"/>
  <c r="AT16" i="51"/>
  <c r="AU16" i="51"/>
  <c r="AW16" i="51" s="1"/>
  <c r="AZ16" i="51"/>
  <c r="BC16" i="51"/>
  <c r="BF16" i="51"/>
  <c r="BI16" i="51"/>
  <c r="BL16" i="51"/>
  <c r="BO16" i="51"/>
  <c r="BR16" i="51"/>
  <c r="BU16" i="51"/>
  <c r="BX16" i="51"/>
  <c r="CA16" i="51"/>
  <c r="CD16" i="51"/>
  <c r="CG16" i="51"/>
  <c r="CJ16" i="51"/>
  <c r="CM16" i="51"/>
  <c r="CP16" i="51"/>
  <c r="CS16" i="51"/>
  <c r="CV16" i="51"/>
  <c r="CY16" i="51"/>
  <c r="DB16" i="51"/>
  <c r="DE16" i="51"/>
  <c r="DH16" i="51"/>
  <c r="DK16" i="51"/>
  <c r="DN16" i="51"/>
  <c r="DQ16" i="51"/>
  <c r="DT16" i="51"/>
  <c r="DW16" i="51"/>
  <c r="EG16" i="51"/>
  <c r="EI16" i="51" s="1"/>
  <c r="EL16" i="51"/>
  <c r="D17" i="51"/>
  <c r="G17" i="51"/>
  <c r="J17" i="51"/>
  <c r="M17" i="51"/>
  <c r="P17" i="51"/>
  <c r="S17" i="51"/>
  <c r="V17" i="51"/>
  <c r="Y17" i="51"/>
  <c r="AB17" i="51"/>
  <c r="AI17" i="51"/>
  <c r="AK17" i="51"/>
  <c r="AL17" i="51"/>
  <c r="AN17" i="51"/>
  <c r="AO17" i="51"/>
  <c r="AQ17" i="51" s="1"/>
  <c r="AR17" i="51"/>
  <c r="AT17" i="51"/>
  <c r="AU17" i="51"/>
  <c r="AW17" i="51" s="1"/>
  <c r="AZ17" i="51"/>
  <c r="BC17" i="51"/>
  <c r="BF17" i="51"/>
  <c r="BI17" i="51"/>
  <c r="BL17" i="51"/>
  <c r="BO17" i="51"/>
  <c r="BR17" i="51"/>
  <c r="BU17" i="51"/>
  <c r="BX17" i="51"/>
  <c r="CA17" i="51"/>
  <c r="CD17" i="51"/>
  <c r="CG17" i="51"/>
  <c r="CJ17" i="51"/>
  <c r="CM17" i="51"/>
  <c r="CP17" i="51"/>
  <c r="CS17" i="51"/>
  <c r="CV17" i="51"/>
  <c r="CY17" i="51"/>
  <c r="DB17" i="51"/>
  <c r="DE17" i="51"/>
  <c r="DH17" i="51"/>
  <c r="DK17" i="51"/>
  <c r="DN17" i="51"/>
  <c r="DQ17" i="51"/>
  <c r="DT17" i="51"/>
  <c r="DW17" i="51"/>
  <c r="EG17" i="51"/>
  <c r="EI17" i="51" s="1"/>
  <c r="EL17" i="51"/>
  <c r="D18" i="51"/>
  <c r="G18" i="51"/>
  <c r="J18" i="51"/>
  <c r="M18" i="51"/>
  <c r="P18" i="51"/>
  <c r="S18" i="51"/>
  <c r="V18" i="51"/>
  <c r="Y18" i="51"/>
  <c r="AB18" i="51"/>
  <c r="AI18" i="51"/>
  <c r="AK18" i="51" s="1"/>
  <c r="AL18" i="51"/>
  <c r="AN18" i="51"/>
  <c r="AO18" i="51"/>
  <c r="AQ18" i="51" s="1"/>
  <c r="AR18" i="51"/>
  <c r="AT18" i="51" s="1"/>
  <c r="AU18" i="51"/>
  <c r="AW18" i="51" s="1"/>
  <c r="AX18" i="51"/>
  <c r="AZ18" i="51" s="1"/>
  <c r="BC18" i="51"/>
  <c r="BF18" i="51"/>
  <c r="BI18" i="51"/>
  <c r="BL18" i="51"/>
  <c r="BO18" i="51"/>
  <c r="BR18" i="51"/>
  <c r="BU18" i="51"/>
  <c r="BX18" i="51"/>
  <c r="CA18" i="51"/>
  <c r="CD18" i="51"/>
  <c r="CG18" i="51"/>
  <c r="CJ18" i="51"/>
  <c r="CM18" i="51"/>
  <c r="CP18" i="51"/>
  <c r="CS18" i="51"/>
  <c r="CV18" i="51"/>
  <c r="CY18" i="51"/>
  <c r="DB18" i="51"/>
  <c r="DE18" i="51"/>
  <c r="DH18" i="51"/>
  <c r="DK18" i="51"/>
  <c r="DN18" i="51"/>
  <c r="DQ18" i="51"/>
  <c r="DT18" i="51"/>
  <c r="DW18" i="51"/>
  <c r="EG18" i="51"/>
  <c r="EI18" i="51" s="1"/>
  <c r="EL18" i="51"/>
  <c r="D19" i="51"/>
  <c r="G19" i="51"/>
  <c r="J19" i="51"/>
  <c r="M19" i="51"/>
  <c r="P19" i="51"/>
  <c r="S19" i="51"/>
  <c r="V19" i="51"/>
  <c r="Y19" i="51"/>
  <c r="AB19" i="51"/>
  <c r="EH19" i="51" s="1"/>
  <c r="AI19" i="51"/>
  <c r="AK19" i="51" s="1"/>
  <c r="AL19" i="51"/>
  <c r="AN19" i="51" s="1"/>
  <c r="AO19" i="51"/>
  <c r="AQ19" i="51" s="1"/>
  <c r="AR19" i="51"/>
  <c r="AT19" i="51" s="1"/>
  <c r="AU19" i="51"/>
  <c r="AX19" i="51"/>
  <c r="AZ19" i="51" s="1"/>
  <c r="BC19" i="51"/>
  <c r="BF19" i="51"/>
  <c r="BI19" i="51"/>
  <c r="BL19" i="51"/>
  <c r="BO19" i="51"/>
  <c r="BR19" i="51"/>
  <c r="BU19" i="51"/>
  <c r="BX19" i="51"/>
  <c r="CA19" i="51"/>
  <c r="CD19" i="51"/>
  <c r="CG19" i="51"/>
  <c r="CJ19" i="51"/>
  <c r="CM19" i="51"/>
  <c r="CP19" i="51"/>
  <c r="CS19" i="51"/>
  <c r="CV19" i="51"/>
  <c r="CY19" i="51"/>
  <c r="DB19" i="51"/>
  <c r="DE19" i="51"/>
  <c r="DH19" i="51"/>
  <c r="DK19" i="51"/>
  <c r="DN19" i="51"/>
  <c r="DQ19" i="51"/>
  <c r="DT19" i="51"/>
  <c r="DW19" i="51"/>
  <c r="EG19" i="51"/>
  <c r="EI19" i="51" s="1"/>
  <c r="EL19" i="51"/>
  <c r="D20" i="51"/>
  <c r="G20" i="51"/>
  <c r="J20" i="51"/>
  <c r="M20" i="51"/>
  <c r="P20" i="51"/>
  <c r="S20" i="51"/>
  <c r="V20" i="51"/>
  <c r="Y20" i="51"/>
  <c r="AB20" i="51"/>
  <c r="AI20" i="51"/>
  <c r="AK20" i="51" s="1"/>
  <c r="AL20" i="51"/>
  <c r="AN20" i="51"/>
  <c r="AO20" i="51"/>
  <c r="AQ20" i="51" s="1"/>
  <c r="AR20" i="51"/>
  <c r="AT20" i="51" s="1"/>
  <c r="AU20" i="51"/>
  <c r="AW20" i="51" s="1"/>
  <c r="AX20" i="51"/>
  <c r="AZ20" i="51" s="1"/>
  <c r="BC20" i="51"/>
  <c r="BF20" i="51"/>
  <c r="BI20" i="51"/>
  <c r="BL20" i="51"/>
  <c r="BO20" i="51"/>
  <c r="BR20" i="51"/>
  <c r="BU20" i="51"/>
  <c r="BX20" i="51"/>
  <c r="CA20" i="51"/>
  <c r="CD20" i="51"/>
  <c r="CG20" i="51"/>
  <c r="CJ20" i="51"/>
  <c r="CM20" i="51"/>
  <c r="CP20" i="51"/>
  <c r="CS20" i="51"/>
  <c r="CV20" i="51"/>
  <c r="CY20" i="51"/>
  <c r="DB20" i="51"/>
  <c r="DE20" i="51"/>
  <c r="DH20" i="51"/>
  <c r="DK20" i="51"/>
  <c r="DN20" i="51"/>
  <c r="DQ20" i="51"/>
  <c r="DT20" i="51"/>
  <c r="DW20" i="51"/>
  <c r="EG20" i="51"/>
  <c r="EI20" i="51" s="1"/>
  <c r="EL20" i="51"/>
  <c r="D21" i="51"/>
  <c r="G21" i="51"/>
  <c r="J21" i="51"/>
  <c r="M21" i="51"/>
  <c r="P21" i="51"/>
  <c r="S21" i="51"/>
  <c r="V21" i="51"/>
  <c r="Y21" i="51"/>
  <c r="EH21" i="51" s="1"/>
  <c r="AB21" i="51"/>
  <c r="AI21" i="51"/>
  <c r="AK21" i="51" s="1"/>
  <c r="AL21" i="51"/>
  <c r="AN21" i="51" s="1"/>
  <c r="AO21" i="51"/>
  <c r="AQ21" i="51"/>
  <c r="AR21" i="51"/>
  <c r="AT21" i="51" s="1"/>
  <c r="AU21" i="51"/>
  <c r="AX21" i="51"/>
  <c r="AZ21" i="51" s="1"/>
  <c r="BC21" i="51"/>
  <c r="BF21" i="51"/>
  <c r="BI21" i="51"/>
  <c r="BL21" i="51"/>
  <c r="BO21" i="51"/>
  <c r="BR21" i="51"/>
  <c r="BU21" i="51"/>
  <c r="BX21" i="51"/>
  <c r="CA21" i="51"/>
  <c r="CD21" i="51"/>
  <c r="CG21" i="51"/>
  <c r="CJ21" i="51"/>
  <c r="CM21" i="51"/>
  <c r="CP21" i="51"/>
  <c r="CS21" i="51"/>
  <c r="CV21" i="51"/>
  <c r="CY21" i="51"/>
  <c r="DB21" i="51"/>
  <c r="DE21" i="51"/>
  <c r="DH21" i="51"/>
  <c r="DK21" i="51"/>
  <c r="DN21" i="51"/>
  <c r="DQ21" i="51"/>
  <c r="DT21" i="51"/>
  <c r="DW21" i="51"/>
  <c r="EG21" i="51"/>
  <c r="EI21" i="51" s="1"/>
  <c r="EL21" i="51"/>
  <c r="D22" i="51"/>
  <c r="G22" i="51"/>
  <c r="J22" i="51"/>
  <c r="M22" i="51"/>
  <c r="P22" i="51"/>
  <c r="S22" i="51"/>
  <c r="V22" i="51"/>
  <c r="Y22" i="51"/>
  <c r="AB22" i="51"/>
  <c r="AI22" i="51"/>
  <c r="AK22" i="51" s="1"/>
  <c r="AL22" i="51"/>
  <c r="EB22" i="51" s="1"/>
  <c r="AO22" i="51"/>
  <c r="AQ22" i="51" s="1"/>
  <c r="AR22" i="51"/>
  <c r="AT22" i="51" s="1"/>
  <c r="AU22" i="51"/>
  <c r="AW22" i="51"/>
  <c r="AX22" i="51"/>
  <c r="EK22" i="51" s="1"/>
  <c r="BC22" i="51"/>
  <c r="BF22" i="51"/>
  <c r="BI22" i="51"/>
  <c r="BL22" i="51"/>
  <c r="BO22" i="51"/>
  <c r="BR22" i="51"/>
  <c r="BU22" i="51"/>
  <c r="BX22" i="51"/>
  <c r="CA22" i="51"/>
  <c r="CD22" i="51"/>
  <c r="CG22" i="51"/>
  <c r="CJ22" i="51"/>
  <c r="CM22" i="51"/>
  <c r="CP22" i="51"/>
  <c r="CS22" i="51"/>
  <c r="CV22" i="51"/>
  <c r="CY22" i="51"/>
  <c r="DB22" i="51"/>
  <c r="DE22" i="51"/>
  <c r="DH22" i="51"/>
  <c r="DK22" i="51"/>
  <c r="DN22" i="51"/>
  <c r="DQ22" i="51"/>
  <c r="DT22" i="51"/>
  <c r="DW22" i="51"/>
  <c r="EG22" i="51"/>
  <c r="EI22" i="51" s="1"/>
  <c r="EL22" i="51"/>
  <c r="D23" i="51"/>
  <c r="G23" i="51"/>
  <c r="J23" i="51"/>
  <c r="M23" i="51"/>
  <c r="P23" i="51"/>
  <c r="S23" i="51"/>
  <c r="V23" i="51"/>
  <c r="Y23" i="51"/>
  <c r="AB23" i="51"/>
  <c r="AI23" i="51"/>
  <c r="AK23" i="51" s="1"/>
  <c r="AL23" i="51"/>
  <c r="AN23" i="51" s="1"/>
  <c r="AO23" i="51"/>
  <c r="AQ23" i="51" s="1"/>
  <c r="AR23" i="51"/>
  <c r="AT23" i="51"/>
  <c r="AU23" i="51"/>
  <c r="AX23" i="51"/>
  <c r="AZ23" i="51" s="1"/>
  <c r="BC23" i="51"/>
  <c r="BF23" i="51"/>
  <c r="BI23" i="51"/>
  <c r="BL23" i="51"/>
  <c r="BO23" i="51"/>
  <c r="BR23" i="51"/>
  <c r="BU23" i="51"/>
  <c r="BX23" i="51"/>
  <c r="CA23" i="51"/>
  <c r="CD23" i="51"/>
  <c r="CG23" i="51"/>
  <c r="CJ23" i="51"/>
  <c r="CM23" i="51"/>
  <c r="CP23" i="51"/>
  <c r="CS23" i="51"/>
  <c r="CV23" i="51"/>
  <c r="CY23" i="51"/>
  <c r="DB23" i="51"/>
  <c r="DE23" i="51"/>
  <c r="DH23" i="51"/>
  <c r="DK23" i="51"/>
  <c r="DN23" i="51"/>
  <c r="DQ23" i="51"/>
  <c r="DT23" i="51"/>
  <c r="DW23" i="51"/>
  <c r="EG23" i="51"/>
  <c r="EI23" i="51" s="1"/>
  <c r="EL23" i="51"/>
  <c r="D24" i="51"/>
  <c r="G24" i="51"/>
  <c r="J24" i="51"/>
  <c r="M24" i="51"/>
  <c r="P24" i="51"/>
  <c r="S24" i="51"/>
  <c r="V24" i="51"/>
  <c r="Y24" i="51"/>
  <c r="AB24" i="51"/>
  <c r="AI24" i="51"/>
  <c r="AK24" i="51"/>
  <c r="AL24" i="51"/>
  <c r="AN24" i="51"/>
  <c r="AO24" i="51"/>
  <c r="AQ24" i="51" s="1"/>
  <c r="AR24" i="51"/>
  <c r="AT24" i="51" s="1"/>
  <c r="AU24" i="51"/>
  <c r="AW24" i="51" s="1"/>
  <c r="AX24" i="51"/>
  <c r="AZ24" i="51"/>
  <c r="BC24" i="51"/>
  <c r="BF24" i="51"/>
  <c r="BI24" i="51"/>
  <c r="BL24" i="51"/>
  <c r="BO24" i="51"/>
  <c r="BR24" i="51"/>
  <c r="BU24" i="51"/>
  <c r="BX24" i="51"/>
  <c r="CA24" i="51"/>
  <c r="CD24" i="51"/>
  <c r="CG24" i="51"/>
  <c r="CJ24" i="51"/>
  <c r="CM24" i="51"/>
  <c r="CP24" i="51"/>
  <c r="CS24" i="51"/>
  <c r="CV24" i="51"/>
  <c r="CY24" i="51"/>
  <c r="DB24" i="51"/>
  <c r="DE24" i="51"/>
  <c r="DH24" i="51"/>
  <c r="DK24" i="51"/>
  <c r="DN24" i="51"/>
  <c r="DQ24" i="51"/>
  <c r="DT24" i="51"/>
  <c r="DW24" i="51"/>
  <c r="EG24" i="51"/>
  <c r="EI24" i="51"/>
  <c r="EL24" i="51"/>
  <c r="D25" i="51"/>
  <c r="G25" i="51"/>
  <c r="J25" i="51"/>
  <c r="M25" i="51"/>
  <c r="P25" i="51"/>
  <c r="S25" i="51"/>
  <c r="V25" i="51"/>
  <c r="Y25" i="51"/>
  <c r="AB25" i="51"/>
  <c r="AI25" i="51"/>
  <c r="AK25" i="51" s="1"/>
  <c r="AL25" i="51"/>
  <c r="AN25" i="51" s="1"/>
  <c r="AO25" i="51"/>
  <c r="AQ25" i="51" s="1"/>
  <c r="AR25" i="51"/>
  <c r="AT25" i="51"/>
  <c r="AU25" i="51"/>
  <c r="AX25" i="51"/>
  <c r="AZ25" i="51" s="1"/>
  <c r="BC25" i="51"/>
  <c r="BF25" i="51"/>
  <c r="BI25" i="51"/>
  <c r="BL25" i="51"/>
  <c r="BO25" i="51"/>
  <c r="BR25" i="51"/>
  <c r="BU25" i="51"/>
  <c r="BX25" i="51"/>
  <c r="CA25" i="51"/>
  <c r="CD25" i="51"/>
  <c r="CG25" i="51"/>
  <c r="CJ25" i="51"/>
  <c r="CM25" i="51"/>
  <c r="CP25" i="51"/>
  <c r="CS25" i="51"/>
  <c r="CV25" i="51"/>
  <c r="CY25" i="51"/>
  <c r="DB25" i="51"/>
  <c r="DE25" i="51"/>
  <c r="DH25" i="51"/>
  <c r="DK25" i="51"/>
  <c r="DN25" i="51"/>
  <c r="DQ25" i="51"/>
  <c r="DT25" i="51"/>
  <c r="DW25" i="51"/>
  <c r="EG25" i="51"/>
  <c r="EI25" i="51" s="1"/>
  <c r="EL25" i="51"/>
  <c r="D26" i="51"/>
  <c r="G26" i="51"/>
  <c r="J26" i="51"/>
  <c r="M26" i="51"/>
  <c r="P26" i="51"/>
  <c r="S26" i="51"/>
  <c r="V26" i="51"/>
  <c r="Y26" i="51"/>
  <c r="AB26" i="51"/>
  <c r="AI26" i="51"/>
  <c r="AK26" i="51"/>
  <c r="AL26" i="51"/>
  <c r="AN26" i="51"/>
  <c r="AO26" i="51"/>
  <c r="AQ26" i="51" s="1"/>
  <c r="AR26" i="51"/>
  <c r="AT26" i="51" s="1"/>
  <c r="AU26" i="51"/>
  <c r="AW26" i="51" s="1"/>
  <c r="AX26" i="51"/>
  <c r="EK26" i="51" s="1"/>
  <c r="AZ26" i="51"/>
  <c r="BC26" i="51"/>
  <c r="BF26" i="51"/>
  <c r="BI26" i="51"/>
  <c r="BL26" i="51"/>
  <c r="BO26" i="51"/>
  <c r="BR26" i="51"/>
  <c r="BU26" i="51"/>
  <c r="BX26" i="51"/>
  <c r="CA26" i="51"/>
  <c r="CD26" i="51"/>
  <c r="CG26" i="51"/>
  <c r="CJ26" i="51"/>
  <c r="CM26" i="51"/>
  <c r="CP26" i="51"/>
  <c r="CS26" i="51"/>
  <c r="CV26" i="51"/>
  <c r="CY26" i="51"/>
  <c r="DB26" i="51"/>
  <c r="DE26" i="51"/>
  <c r="DH26" i="51"/>
  <c r="DK26" i="51"/>
  <c r="DN26" i="51"/>
  <c r="DQ26" i="51"/>
  <c r="DT26" i="51"/>
  <c r="DW26" i="51"/>
  <c r="EG26" i="51"/>
  <c r="EI26" i="51" s="1"/>
  <c r="EL26" i="51"/>
  <c r="D27" i="51"/>
  <c r="G27" i="51"/>
  <c r="J27" i="51"/>
  <c r="M27" i="51"/>
  <c r="P27" i="51"/>
  <c r="S27" i="51"/>
  <c r="V27" i="51"/>
  <c r="Y27" i="51"/>
  <c r="AB27" i="51"/>
  <c r="AI27" i="51"/>
  <c r="AK27" i="51" s="1"/>
  <c r="AL27" i="51"/>
  <c r="AN27" i="51" s="1"/>
  <c r="AO27" i="51"/>
  <c r="AQ27" i="51"/>
  <c r="AR27" i="51"/>
  <c r="AT27" i="51" s="1"/>
  <c r="AU27" i="51"/>
  <c r="AX27" i="51"/>
  <c r="AZ27" i="51" s="1"/>
  <c r="BC27" i="51"/>
  <c r="BF27" i="51"/>
  <c r="BI27" i="51"/>
  <c r="BL27" i="51"/>
  <c r="BO27" i="51"/>
  <c r="BR27" i="51"/>
  <c r="BU27" i="51"/>
  <c r="BX27" i="51"/>
  <c r="CA27" i="51"/>
  <c r="CD27" i="51"/>
  <c r="CG27" i="51"/>
  <c r="CJ27" i="51"/>
  <c r="CM27" i="51"/>
  <c r="CP27" i="51"/>
  <c r="CS27" i="51"/>
  <c r="CV27" i="51"/>
  <c r="CY27" i="51"/>
  <c r="DB27" i="51"/>
  <c r="DE27" i="51"/>
  <c r="DH27" i="51"/>
  <c r="DK27" i="51"/>
  <c r="DN27" i="51"/>
  <c r="DQ27" i="51"/>
  <c r="DT27" i="51"/>
  <c r="DW27" i="51"/>
  <c r="EG27" i="51"/>
  <c r="EI27" i="51" s="1"/>
  <c r="EL27" i="51"/>
  <c r="D28" i="51"/>
  <c r="G28" i="51"/>
  <c r="J28" i="51"/>
  <c r="M28" i="51"/>
  <c r="P28" i="51"/>
  <c r="S28" i="51"/>
  <c r="V28" i="51"/>
  <c r="Y28" i="51"/>
  <c r="AB28" i="51"/>
  <c r="AI28" i="51"/>
  <c r="AK28" i="51" s="1"/>
  <c r="AL28" i="51"/>
  <c r="AN28" i="51" s="1"/>
  <c r="AO28" i="51"/>
  <c r="AQ28" i="51" s="1"/>
  <c r="AR28" i="51"/>
  <c r="AT28" i="51" s="1"/>
  <c r="AU28" i="51"/>
  <c r="AW28" i="51"/>
  <c r="AX28" i="51"/>
  <c r="AZ28" i="51" s="1"/>
  <c r="BC28" i="51"/>
  <c r="BF28" i="51"/>
  <c r="BI28" i="51"/>
  <c r="BL28" i="51"/>
  <c r="BO28" i="51"/>
  <c r="BR28" i="51"/>
  <c r="BU28" i="51"/>
  <c r="BX28" i="51"/>
  <c r="CA28" i="51"/>
  <c r="CD28" i="51"/>
  <c r="CG28" i="51"/>
  <c r="CJ28" i="51"/>
  <c r="CM28" i="51"/>
  <c r="CP28" i="51"/>
  <c r="CS28" i="51"/>
  <c r="CV28" i="51"/>
  <c r="CY28" i="51"/>
  <c r="DB28" i="51"/>
  <c r="DE28" i="51"/>
  <c r="DH28" i="51"/>
  <c r="DK28" i="51"/>
  <c r="DN28" i="51"/>
  <c r="DQ28" i="51"/>
  <c r="DT28" i="51"/>
  <c r="DW28" i="51"/>
  <c r="EG28" i="51"/>
  <c r="EI28" i="51"/>
  <c r="EL28" i="51"/>
  <c r="D29" i="51"/>
  <c r="G29" i="51"/>
  <c r="J29" i="51"/>
  <c r="M29" i="51"/>
  <c r="P29" i="51"/>
  <c r="S29" i="51"/>
  <c r="V29" i="51"/>
  <c r="Y29" i="51"/>
  <c r="EH29" i="51" s="1"/>
  <c r="AB29" i="51"/>
  <c r="AI29" i="51"/>
  <c r="AK29" i="51" s="1"/>
  <c r="AL29" i="51"/>
  <c r="AN29" i="51" s="1"/>
  <c r="AO29" i="51"/>
  <c r="AQ29" i="51"/>
  <c r="AR29" i="51"/>
  <c r="AT29" i="51"/>
  <c r="AU29" i="51"/>
  <c r="AX29" i="51"/>
  <c r="AZ29" i="51" s="1"/>
  <c r="BC29" i="51"/>
  <c r="BF29" i="51"/>
  <c r="BI29" i="51"/>
  <c r="BL29" i="51"/>
  <c r="BO29" i="51"/>
  <c r="BR29" i="51"/>
  <c r="BU29" i="51"/>
  <c r="BX29" i="51"/>
  <c r="CA29" i="51"/>
  <c r="CD29" i="51"/>
  <c r="CG29" i="51"/>
  <c r="CJ29" i="51"/>
  <c r="CM29" i="51"/>
  <c r="CP29" i="51"/>
  <c r="CS29" i="51"/>
  <c r="CV29" i="51"/>
  <c r="CY29" i="51"/>
  <c r="DB29" i="51"/>
  <c r="DE29" i="51"/>
  <c r="DH29" i="51"/>
  <c r="DK29" i="51"/>
  <c r="DN29" i="51"/>
  <c r="DQ29" i="51"/>
  <c r="DT29" i="51"/>
  <c r="DW29" i="51"/>
  <c r="EG29" i="51"/>
  <c r="EI29" i="51" s="1"/>
  <c r="EL29" i="51"/>
  <c r="D30" i="51"/>
  <c r="G30" i="51"/>
  <c r="J30" i="51"/>
  <c r="M30" i="51"/>
  <c r="P30" i="51"/>
  <c r="S30" i="51"/>
  <c r="V30" i="51"/>
  <c r="Y30" i="51"/>
  <c r="AB30" i="51"/>
  <c r="AI30" i="51"/>
  <c r="AK30" i="51"/>
  <c r="AL30" i="51"/>
  <c r="AN30" i="51" s="1"/>
  <c r="AO30" i="51"/>
  <c r="AQ30" i="51" s="1"/>
  <c r="AR30" i="51"/>
  <c r="AT30" i="51" s="1"/>
  <c r="AU30" i="51"/>
  <c r="AW30" i="51"/>
  <c r="AX30" i="51"/>
  <c r="AZ30" i="51"/>
  <c r="BC30" i="51"/>
  <c r="BF30" i="51"/>
  <c r="BI30" i="51"/>
  <c r="BL30" i="51"/>
  <c r="BO30" i="51"/>
  <c r="BR30" i="51"/>
  <c r="BU30" i="51"/>
  <c r="BX30" i="51"/>
  <c r="CA30" i="51"/>
  <c r="CD30" i="51"/>
  <c r="CG30" i="51"/>
  <c r="CJ30" i="51"/>
  <c r="CM30" i="51"/>
  <c r="CP30" i="51"/>
  <c r="CS30" i="51"/>
  <c r="CV30" i="51"/>
  <c r="CY30" i="51"/>
  <c r="DB30" i="51"/>
  <c r="DE30" i="51"/>
  <c r="DH30" i="51"/>
  <c r="DK30" i="51"/>
  <c r="DN30" i="51"/>
  <c r="DQ30" i="51"/>
  <c r="DT30" i="51"/>
  <c r="DW30" i="51"/>
  <c r="EG30" i="51"/>
  <c r="EI30" i="51"/>
  <c r="EL30" i="51"/>
  <c r="D31" i="51"/>
  <c r="G31" i="51"/>
  <c r="J31" i="51"/>
  <c r="M31" i="51"/>
  <c r="P31" i="51"/>
  <c r="S31" i="51"/>
  <c r="V31" i="51"/>
  <c r="Y31" i="51"/>
  <c r="AB31" i="51"/>
  <c r="AI31" i="51"/>
  <c r="AK31" i="51" s="1"/>
  <c r="AL31" i="51"/>
  <c r="AN31" i="51" s="1"/>
  <c r="AO31" i="51"/>
  <c r="AQ31" i="51" s="1"/>
  <c r="AR31" i="51"/>
  <c r="AT31" i="51" s="1"/>
  <c r="AU31" i="51"/>
  <c r="AX31" i="51"/>
  <c r="AZ31" i="51" s="1"/>
  <c r="BC31" i="51"/>
  <c r="BF31" i="51"/>
  <c r="BI31" i="51"/>
  <c r="BL31" i="51"/>
  <c r="BO31" i="51"/>
  <c r="BR31" i="51"/>
  <c r="BU31" i="51"/>
  <c r="BX31" i="51"/>
  <c r="CA31" i="51"/>
  <c r="CD31" i="51"/>
  <c r="CG31" i="51"/>
  <c r="CJ31" i="51"/>
  <c r="CM31" i="51"/>
  <c r="CP31" i="51"/>
  <c r="CS31" i="51"/>
  <c r="CV31" i="51"/>
  <c r="CY31" i="51"/>
  <c r="DB31" i="51"/>
  <c r="DE31" i="51"/>
  <c r="DH31" i="51"/>
  <c r="DK31" i="51"/>
  <c r="DN31" i="51"/>
  <c r="DQ31" i="51"/>
  <c r="DT31" i="51"/>
  <c r="DW31" i="51"/>
  <c r="EG31" i="51"/>
  <c r="EI31" i="51" s="1"/>
  <c r="EL31" i="51"/>
  <c r="D32" i="51"/>
  <c r="G32" i="51"/>
  <c r="J32" i="51"/>
  <c r="M32" i="51"/>
  <c r="P32" i="51"/>
  <c r="S32" i="51"/>
  <c r="V32" i="51"/>
  <c r="Y32" i="51"/>
  <c r="AB32" i="51"/>
  <c r="AI32" i="51"/>
  <c r="AK32" i="51" s="1"/>
  <c r="AL32" i="51"/>
  <c r="AN32" i="51"/>
  <c r="AQ32" i="51"/>
  <c r="AR32" i="51"/>
  <c r="EB32" i="51" s="1"/>
  <c r="AT32" i="51"/>
  <c r="AU32" i="51"/>
  <c r="AW32" i="51"/>
  <c r="AX32" i="51"/>
  <c r="AZ32" i="51" s="1"/>
  <c r="BC32" i="51"/>
  <c r="BF32" i="51"/>
  <c r="BI32" i="51"/>
  <c r="BL32" i="51"/>
  <c r="BO32" i="51"/>
  <c r="BR32" i="51"/>
  <c r="BU32" i="51"/>
  <c r="BX32" i="51"/>
  <c r="CA32" i="51"/>
  <c r="CD32" i="51"/>
  <c r="CG32" i="51"/>
  <c r="CJ32" i="51"/>
  <c r="CM32" i="51"/>
  <c r="CP32" i="51"/>
  <c r="CS32" i="51"/>
  <c r="CV32" i="51"/>
  <c r="CY32" i="51"/>
  <c r="DB32" i="51"/>
  <c r="DE32" i="51"/>
  <c r="DH32" i="51"/>
  <c r="DK32" i="51"/>
  <c r="DN32" i="51"/>
  <c r="DQ32" i="51"/>
  <c r="DT32" i="51"/>
  <c r="DW32" i="51"/>
  <c r="EG32" i="51"/>
  <c r="EI32" i="51"/>
  <c r="EL32" i="51"/>
  <c r="D33" i="51"/>
  <c r="G33" i="51"/>
  <c r="J33" i="51"/>
  <c r="M33" i="51"/>
  <c r="P33" i="51"/>
  <c r="S33" i="51"/>
  <c r="EH33" i="51" s="1"/>
  <c r="V33" i="51"/>
  <c r="Y33" i="51"/>
  <c r="AB33" i="51"/>
  <c r="AI33" i="51"/>
  <c r="AK33" i="51" s="1"/>
  <c r="AL33" i="51"/>
  <c r="AN33" i="51" s="1"/>
  <c r="AQ33" i="51"/>
  <c r="AR33" i="51"/>
  <c r="AT33" i="51" s="1"/>
  <c r="AU33" i="51"/>
  <c r="AW33" i="51" s="1"/>
  <c r="AX33" i="51"/>
  <c r="BC33" i="51"/>
  <c r="BF33" i="51"/>
  <c r="BI33" i="51"/>
  <c r="BL33" i="51"/>
  <c r="BO33" i="51"/>
  <c r="BR33" i="51"/>
  <c r="BU33" i="51"/>
  <c r="BX33" i="51"/>
  <c r="CA33" i="51"/>
  <c r="CD33" i="51"/>
  <c r="CG33" i="51"/>
  <c r="CJ33" i="51"/>
  <c r="CM33" i="51"/>
  <c r="CP33" i="51"/>
  <c r="CS33" i="51"/>
  <c r="CV33" i="51"/>
  <c r="CY33" i="51"/>
  <c r="DB33" i="51"/>
  <c r="DE33" i="51"/>
  <c r="DH33" i="51"/>
  <c r="DK33" i="51"/>
  <c r="DN33" i="51"/>
  <c r="DQ33" i="51"/>
  <c r="DT33" i="51"/>
  <c r="DW33" i="51"/>
  <c r="EG33" i="51"/>
  <c r="EI33" i="51" s="1"/>
  <c r="EL33" i="51"/>
  <c r="D34" i="51"/>
  <c r="G34" i="51"/>
  <c r="J34" i="51"/>
  <c r="M34" i="51"/>
  <c r="P34" i="51"/>
  <c r="S34" i="51"/>
  <c r="V34" i="51"/>
  <c r="Y34" i="51"/>
  <c r="AB34" i="51"/>
  <c r="AI34" i="51"/>
  <c r="AK34" i="51" s="1"/>
  <c r="AL34" i="51"/>
  <c r="AN34" i="51" s="1"/>
  <c r="AQ34" i="51"/>
  <c r="AR34" i="51"/>
  <c r="AT34" i="51"/>
  <c r="AU34" i="51"/>
  <c r="AW34" i="51" s="1"/>
  <c r="AX34" i="51"/>
  <c r="AZ34" i="51" s="1"/>
  <c r="BC34" i="51"/>
  <c r="BF34" i="51"/>
  <c r="BI34" i="51"/>
  <c r="BL34" i="51"/>
  <c r="BO34" i="51"/>
  <c r="BR34" i="51"/>
  <c r="BU34" i="51"/>
  <c r="BX34" i="51"/>
  <c r="CA34" i="51"/>
  <c r="CD34" i="51"/>
  <c r="CG34" i="51"/>
  <c r="CJ34" i="51"/>
  <c r="CM34" i="51"/>
  <c r="CP34" i="51"/>
  <c r="CS34" i="51"/>
  <c r="CV34" i="51"/>
  <c r="CY34" i="51"/>
  <c r="DB34" i="51"/>
  <c r="DE34" i="51"/>
  <c r="DH34" i="51"/>
  <c r="DK34" i="51"/>
  <c r="DN34" i="51"/>
  <c r="DQ34" i="51"/>
  <c r="EM34" i="51" s="1"/>
  <c r="DT34" i="51"/>
  <c r="DW34" i="51"/>
  <c r="EG34" i="51"/>
  <c r="EI34" i="51" s="1"/>
  <c r="EL34" i="51"/>
  <c r="D35" i="51"/>
  <c r="G35" i="51"/>
  <c r="J35" i="51"/>
  <c r="M35" i="51"/>
  <c r="P35" i="51"/>
  <c r="S35" i="51"/>
  <c r="V35" i="51"/>
  <c r="Y35" i="51"/>
  <c r="AB35" i="51"/>
  <c r="AI35" i="51"/>
  <c r="AK35" i="51"/>
  <c r="AL35" i="51"/>
  <c r="AN35" i="51" s="1"/>
  <c r="AQ35" i="51"/>
  <c r="AR35" i="51"/>
  <c r="AT35" i="51" s="1"/>
  <c r="AU35" i="51"/>
  <c r="AW35" i="51"/>
  <c r="AX35" i="51"/>
  <c r="EK35" i="51" s="1"/>
  <c r="AZ35" i="51"/>
  <c r="BC35" i="51"/>
  <c r="BF35" i="51"/>
  <c r="BI35" i="51"/>
  <c r="BL35" i="51"/>
  <c r="BO35" i="51"/>
  <c r="BR35" i="51"/>
  <c r="BU35" i="51"/>
  <c r="BX35" i="51"/>
  <c r="CA35" i="51"/>
  <c r="CD35" i="51"/>
  <c r="CG35" i="51"/>
  <c r="CJ35" i="51"/>
  <c r="CM35" i="51"/>
  <c r="CP35" i="51"/>
  <c r="CS35" i="51"/>
  <c r="CV35" i="51"/>
  <c r="CY35" i="51"/>
  <c r="DB35" i="51"/>
  <c r="DE35" i="51"/>
  <c r="DH35" i="51"/>
  <c r="DK35" i="51"/>
  <c r="DN35" i="51"/>
  <c r="DQ35" i="51"/>
  <c r="DT35" i="51"/>
  <c r="DW35" i="51"/>
  <c r="EG35" i="51"/>
  <c r="EI35" i="51"/>
  <c r="EL35" i="51"/>
  <c r="D36" i="51"/>
  <c r="G36" i="51"/>
  <c r="J36" i="51"/>
  <c r="M36" i="51"/>
  <c r="P36" i="51"/>
  <c r="S36" i="51"/>
  <c r="V36" i="51"/>
  <c r="Y36" i="51"/>
  <c r="AB36" i="51"/>
  <c r="AI36" i="51"/>
  <c r="AK36" i="51" s="1"/>
  <c r="AL36" i="51"/>
  <c r="AN36" i="51" s="1"/>
  <c r="AQ36" i="51"/>
  <c r="AR36" i="51"/>
  <c r="AT36" i="51"/>
  <c r="AU36" i="51"/>
  <c r="AW36" i="51"/>
  <c r="AX36" i="51"/>
  <c r="AZ36" i="51" s="1"/>
  <c r="BC36" i="51"/>
  <c r="BF36" i="51"/>
  <c r="BI36" i="51"/>
  <c r="BL36" i="51"/>
  <c r="BO36" i="51"/>
  <c r="BR36" i="51"/>
  <c r="BU36" i="51"/>
  <c r="BX36" i="51"/>
  <c r="CA36" i="51"/>
  <c r="CD36" i="51"/>
  <c r="CG36" i="51"/>
  <c r="CJ36" i="51"/>
  <c r="CM36" i="51"/>
  <c r="CP36" i="51"/>
  <c r="CS36" i="51"/>
  <c r="CV36" i="51"/>
  <c r="CY36" i="51"/>
  <c r="DB36" i="51"/>
  <c r="DE36" i="51"/>
  <c r="DH36" i="51"/>
  <c r="DK36" i="51"/>
  <c r="DN36" i="51"/>
  <c r="DQ36" i="51"/>
  <c r="DT36" i="51"/>
  <c r="DW36" i="51"/>
  <c r="EG36" i="51"/>
  <c r="EI36" i="51" s="1"/>
  <c r="EL36" i="51"/>
  <c r="D37" i="51"/>
  <c r="G37" i="51"/>
  <c r="J37" i="51"/>
  <c r="M37" i="51"/>
  <c r="P37" i="51"/>
  <c r="S37" i="51"/>
  <c r="EH37" i="51" s="1"/>
  <c r="V37" i="51"/>
  <c r="Y37" i="51"/>
  <c r="AB37" i="51"/>
  <c r="AI37" i="51"/>
  <c r="AK37" i="51" s="1"/>
  <c r="AL37" i="51"/>
  <c r="AN37" i="51"/>
  <c r="AQ37" i="51"/>
  <c r="AR37" i="51"/>
  <c r="EB37" i="51" s="1"/>
  <c r="AU37" i="51"/>
  <c r="AW37" i="51" s="1"/>
  <c r="AX37" i="51"/>
  <c r="AZ37" i="51" s="1"/>
  <c r="BC37" i="51"/>
  <c r="BF37" i="51"/>
  <c r="BI37" i="51"/>
  <c r="BL37" i="51"/>
  <c r="BO37" i="51"/>
  <c r="BR37" i="51"/>
  <c r="BU37" i="51"/>
  <c r="BX37" i="51"/>
  <c r="CA37" i="51"/>
  <c r="CD37" i="51"/>
  <c r="CG37" i="51"/>
  <c r="CJ37" i="51"/>
  <c r="CM37" i="51"/>
  <c r="CP37" i="51"/>
  <c r="CS37" i="51"/>
  <c r="CV37" i="51"/>
  <c r="CY37" i="51"/>
  <c r="DB37" i="51"/>
  <c r="DE37" i="51"/>
  <c r="DH37" i="51"/>
  <c r="DK37" i="51"/>
  <c r="DN37" i="51"/>
  <c r="DQ37" i="51"/>
  <c r="DT37" i="51"/>
  <c r="DW37" i="51"/>
  <c r="EG37" i="51"/>
  <c r="EI37" i="51"/>
  <c r="EL37" i="51"/>
  <c r="D38" i="51"/>
  <c r="G38" i="51"/>
  <c r="J38" i="51"/>
  <c r="M38" i="51"/>
  <c r="P38" i="51"/>
  <c r="S38" i="51"/>
  <c r="V38" i="51"/>
  <c r="EH38" i="51" s="1"/>
  <c r="Y38" i="51"/>
  <c r="AB38" i="51"/>
  <c r="AI38" i="51"/>
  <c r="AK38" i="51" s="1"/>
  <c r="AL38" i="51"/>
  <c r="AQ38" i="51"/>
  <c r="AR38" i="51"/>
  <c r="AT38" i="51" s="1"/>
  <c r="AU38" i="51"/>
  <c r="AW38" i="51" s="1"/>
  <c r="AX38" i="51"/>
  <c r="AZ38" i="51"/>
  <c r="BC38" i="51"/>
  <c r="BF38" i="51"/>
  <c r="BI38" i="51"/>
  <c r="BL38" i="51"/>
  <c r="BO38" i="51"/>
  <c r="BR38" i="51"/>
  <c r="BU38" i="51"/>
  <c r="BX38" i="51"/>
  <c r="CA38" i="51"/>
  <c r="CD38" i="51"/>
  <c r="CG38" i="51"/>
  <c r="CJ38" i="51"/>
  <c r="CM38" i="51"/>
  <c r="CP38" i="51"/>
  <c r="CS38" i="51"/>
  <c r="CV38" i="51"/>
  <c r="CY38" i="51"/>
  <c r="DB38" i="51"/>
  <c r="DE38" i="51"/>
  <c r="DH38" i="51"/>
  <c r="DK38" i="51"/>
  <c r="DN38" i="51"/>
  <c r="DQ38" i="51"/>
  <c r="DT38" i="51"/>
  <c r="DW38" i="51"/>
  <c r="EG38" i="51"/>
  <c r="EI38" i="51"/>
  <c r="EL38" i="51"/>
  <c r="D39" i="51"/>
  <c r="G39" i="51"/>
  <c r="J39" i="51"/>
  <c r="M39" i="51"/>
  <c r="P39" i="51"/>
  <c r="S39" i="51"/>
  <c r="V39" i="51"/>
  <c r="Y39" i="51"/>
  <c r="AB39" i="51"/>
  <c r="AK39" i="51"/>
  <c r="AL39" i="51"/>
  <c r="AN39" i="51" s="1"/>
  <c r="AO39" i="51"/>
  <c r="AQ39" i="51"/>
  <c r="AR39" i="51"/>
  <c r="AT39" i="51"/>
  <c r="AU39" i="51"/>
  <c r="AX39" i="51"/>
  <c r="AZ39" i="51"/>
  <c r="BC39" i="51"/>
  <c r="BF39" i="51"/>
  <c r="BI39" i="51"/>
  <c r="BL39" i="51"/>
  <c r="BO39" i="51"/>
  <c r="BR39" i="51"/>
  <c r="BU39" i="51"/>
  <c r="BX39" i="51"/>
  <c r="CA39" i="51"/>
  <c r="CD39" i="51"/>
  <c r="CG39" i="51"/>
  <c r="CJ39" i="51"/>
  <c r="CM39" i="51"/>
  <c r="CP39" i="51"/>
  <c r="CS39" i="51"/>
  <c r="CV39" i="51"/>
  <c r="CY39" i="51"/>
  <c r="DB39" i="51"/>
  <c r="DE39" i="51"/>
  <c r="DH39" i="51"/>
  <c r="DK39" i="51"/>
  <c r="DN39" i="51"/>
  <c r="DQ39" i="51"/>
  <c r="DT39" i="51"/>
  <c r="DW39" i="51"/>
  <c r="EG39" i="51"/>
  <c r="EI39" i="51"/>
  <c r="EL39" i="51"/>
  <c r="D40" i="51"/>
  <c r="G40" i="51"/>
  <c r="J40" i="51"/>
  <c r="M40" i="51"/>
  <c r="P40" i="51"/>
  <c r="S40" i="51"/>
  <c r="V40" i="51"/>
  <c r="Y40" i="51"/>
  <c r="AB40" i="51"/>
  <c r="AI40" i="51"/>
  <c r="AK40" i="51" s="1"/>
  <c r="AL40" i="51"/>
  <c r="AN40" i="51" s="1"/>
  <c r="AO40" i="51"/>
  <c r="AQ40" i="51" s="1"/>
  <c r="AR40" i="51"/>
  <c r="AT40" i="51" s="1"/>
  <c r="AU40" i="51"/>
  <c r="AW40" i="51" s="1"/>
  <c r="AX40" i="51"/>
  <c r="AZ40" i="51"/>
  <c r="BC40" i="51"/>
  <c r="BF40" i="51"/>
  <c r="BI40" i="51"/>
  <c r="BL40" i="51"/>
  <c r="BO40" i="51"/>
  <c r="BR40" i="51"/>
  <c r="BU40" i="51"/>
  <c r="BX40" i="51"/>
  <c r="CA40" i="51"/>
  <c r="CD40" i="51"/>
  <c r="CG40" i="51"/>
  <c r="CJ40" i="51"/>
  <c r="CM40" i="51"/>
  <c r="CP40" i="51"/>
  <c r="CS40" i="51"/>
  <c r="CV40" i="51"/>
  <c r="CY40" i="51"/>
  <c r="DB40" i="51"/>
  <c r="DE40" i="51"/>
  <c r="DH40" i="51"/>
  <c r="DK40" i="51"/>
  <c r="DN40" i="51"/>
  <c r="DQ40" i="51"/>
  <c r="DT40" i="51"/>
  <c r="DW40" i="51"/>
  <c r="EG40" i="51"/>
  <c r="EI2" i="51" s="1"/>
  <c r="EI40" i="51"/>
  <c r="EL40" i="51"/>
  <c r="Y41" i="51" l="1"/>
  <c r="EK40" i="51"/>
  <c r="ED34" i="51"/>
  <c r="EK32" i="51"/>
  <c r="EB26" i="51"/>
  <c r="EH25" i="51"/>
  <c r="AZ22" i="51"/>
  <c r="EM22" i="51" s="1"/>
  <c r="EN22" i="51" s="1"/>
  <c r="EB13" i="51"/>
  <c r="EE13" i="51" s="1"/>
  <c r="EB30" i="51"/>
  <c r="EM15" i="51"/>
  <c r="CG41" i="51"/>
  <c r="BI41" i="51"/>
  <c r="EH18" i="51"/>
  <c r="ED13" i="51"/>
  <c r="EM12" i="51"/>
  <c r="M41" i="51"/>
  <c r="EH34" i="51"/>
  <c r="EB29" i="51"/>
  <c r="EM40" i="51"/>
  <c r="EB40" i="51"/>
  <c r="EH22" i="51"/>
  <c r="EK38" i="51"/>
  <c r="EB36" i="51"/>
  <c r="EC36" i="51" s="1"/>
  <c r="EH26" i="51"/>
  <c r="EB18" i="51"/>
  <c r="ED17" i="51"/>
  <c r="EK13" i="51"/>
  <c r="G41" i="51"/>
  <c r="CS41" i="51"/>
  <c r="BU41" i="51"/>
  <c r="EB35" i="51"/>
  <c r="EC35" i="51" s="1"/>
  <c r="EK30" i="51"/>
  <c r="EC30" i="51" s="1"/>
  <c r="EH30" i="51"/>
  <c r="AN22" i="51"/>
  <c r="EK16" i="51"/>
  <c r="DK41" i="51"/>
  <c r="CM41" i="51"/>
  <c r="BO41" i="51"/>
  <c r="D28" i="62"/>
  <c r="E28" i="63"/>
  <c r="E28" i="4"/>
  <c r="AK41" i="51"/>
  <c r="EE2" i="51"/>
  <c r="EQ2" i="51" s="1"/>
  <c r="G4" i="51" s="1"/>
  <c r="EC40" i="51"/>
  <c r="DQ41" i="51"/>
  <c r="ED28" i="51"/>
  <c r="ED24" i="51"/>
  <c r="EC22" i="51"/>
  <c r="ED20" i="51"/>
  <c r="EM17" i="51"/>
  <c r="DB41" i="51"/>
  <c r="CD41" i="51"/>
  <c r="BF41" i="51"/>
  <c r="EN15" i="51"/>
  <c r="AB41" i="51"/>
  <c r="D41" i="51"/>
  <c r="DN41" i="51"/>
  <c r="CP41" i="51"/>
  <c r="BR41" i="51"/>
  <c r="EK11" i="51"/>
  <c r="ED40" i="51"/>
  <c r="EE40" i="51" s="1"/>
  <c r="EC26" i="51"/>
  <c r="DE41" i="51"/>
  <c r="EB39" i="51"/>
  <c r="EK33" i="51"/>
  <c r="AZ33" i="51"/>
  <c r="EM30" i="51"/>
  <c r="EK28" i="51"/>
  <c r="EM26" i="51"/>
  <c r="EK24" i="51"/>
  <c r="EK20" i="51"/>
  <c r="EM18" i="51"/>
  <c r="EK17" i="51"/>
  <c r="EB17" i="51"/>
  <c r="EH15" i="51"/>
  <c r="EH14" i="51"/>
  <c r="V41" i="51"/>
  <c r="EB11" i="51"/>
  <c r="EH24" i="51"/>
  <c r="EH20" i="51"/>
  <c r="DW41" i="51"/>
  <c r="CY41" i="51"/>
  <c r="CA41" i="51"/>
  <c r="BC41" i="51"/>
  <c r="EC13" i="51"/>
  <c r="EH12" i="51"/>
  <c r="EI5" i="51"/>
  <c r="EK39" i="51"/>
  <c r="AW39" i="51"/>
  <c r="ED39" i="51" s="1"/>
  <c r="EH39" i="51"/>
  <c r="EC32" i="51"/>
  <c r="ED30" i="51"/>
  <c r="EE30" i="51" s="1"/>
  <c r="EB27" i="51"/>
  <c r="EK27" i="51"/>
  <c r="AW27" i="51"/>
  <c r="ED27" i="51" s="1"/>
  <c r="EK23" i="51"/>
  <c r="EB23" i="51"/>
  <c r="AW23" i="51"/>
  <c r="ED23" i="51" s="1"/>
  <c r="EH13" i="51"/>
  <c r="S41" i="51"/>
  <c r="ED36" i="51"/>
  <c r="EM35" i="51"/>
  <c r="EN35" i="51" s="1"/>
  <c r="EM32" i="51"/>
  <c r="EN32" i="51" s="1"/>
  <c r="EH32" i="51"/>
  <c r="EB31" i="51"/>
  <c r="EH31" i="51"/>
  <c r="EB28" i="51"/>
  <c r="EH27" i="51"/>
  <c r="ED26" i="51"/>
  <c r="EB24" i="51"/>
  <c r="EH23" i="51"/>
  <c r="ED22" i="51"/>
  <c r="EE22" i="51" s="1"/>
  <c r="EB20" i="51"/>
  <c r="ED18" i="51"/>
  <c r="EE18" i="51" s="1"/>
  <c r="AH41" i="51"/>
  <c r="J41" i="51"/>
  <c r="EM13" i="51"/>
  <c r="EN13" i="51" s="1"/>
  <c r="DT41" i="51"/>
  <c r="CV41" i="51"/>
  <c r="BX41" i="51"/>
  <c r="ED12" i="51"/>
  <c r="EM33" i="51"/>
  <c r="EK31" i="51"/>
  <c r="AW31" i="51"/>
  <c r="ED31" i="51" s="1"/>
  <c r="EK19" i="51"/>
  <c r="EB19" i="51"/>
  <c r="AW19" i="51"/>
  <c r="ED19" i="51" s="1"/>
  <c r="EN40" i="51"/>
  <c r="EN2" i="51"/>
  <c r="EP2" i="51" s="1"/>
  <c r="EH35" i="51"/>
  <c r="ED35" i="51"/>
  <c r="EB33" i="51"/>
  <c r="ED32" i="51"/>
  <c r="EE32" i="51" s="1"/>
  <c r="EM28" i="51"/>
  <c r="EN26" i="51"/>
  <c r="EM24" i="51"/>
  <c r="EM20" i="51"/>
  <c r="EK18" i="51"/>
  <c r="EN18" i="51" s="1"/>
  <c r="EB16" i="51"/>
  <c r="AN16" i="51"/>
  <c r="AN41" i="51" s="1"/>
  <c r="EK14" i="51"/>
  <c r="EB14" i="51"/>
  <c r="AW14" i="51"/>
  <c r="ED14" i="51" s="1"/>
  <c r="EI3" i="51"/>
  <c r="EI4" i="51" s="1"/>
  <c r="EH17" i="51"/>
  <c r="AQ41" i="51"/>
  <c r="ED33" i="51"/>
  <c r="EH28" i="51"/>
  <c r="EB38" i="51"/>
  <c r="AN38" i="51"/>
  <c r="EM38" i="51" s="1"/>
  <c r="EM36" i="51"/>
  <c r="EK34" i="51"/>
  <c r="EN34" i="51" s="1"/>
  <c r="EB34" i="51"/>
  <c r="EH40" i="51"/>
  <c r="EK37" i="51"/>
  <c r="AT37" i="51"/>
  <c r="ED37" i="51" s="1"/>
  <c r="EE37" i="51" s="1"/>
  <c r="EK36" i="51"/>
  <c r="EN36" i="51" s="1"/>
  <c r="EH36" i="51"/>
  <c r="EK29" i="51"/>
  <c r="AW29" i="51"/>
  <c r="ED29" i="51" s="1"/>
  <c r="EE29" i="51" s="1"/>
  <c r="EK25" i="51"/>
  <c r="AW25" i="51"/>
  <c r="EM25" i="51" s="1"/>
  <c r="EB25" i="51"/>
  <c r="EK21" i="51"/>
  <c r="EB21" i="51"/>
  <c r="AW21" i="51"/>
  <c r="ED21" i="51" s="1"/>
  <c r="ED15" i="51"/>
  <c r="EE15" i="51" s="1"/>
  <c r="EM14" i="51"/>
  <c r="EB12" i="51"/>
  <c r="AT11" i="51"/>
  <c r="EM11" i="51" s="1"/>
  <c r="EK12" i="51"/>
  <c r="EM23" i="51" l="1"/>
  <c r="EN23" i="51" s="1"/>
  <c r="EE35" i="51"/>
  <c r="EN17" i="51"/>
  <c r="EN12" i="51"/>
  <c r="EE36" i="51"/>
  <c r="EN30" i="51"/>
  <c r="EM16" i="51"/>
  <c r="EN16" i="51" s="1"/>
  <c r="EE26" i="51"/>
  <c r="EN38" i="51"/>
  <c r="AZ41" i="51"/>
  <c r="EM19" i="51"/>
  <c r="EM27" i="51"/>
  <c r="EC19" i="51"/>
  <c r="EE19" i="51"/>
  <c r="EM29" i="51"/>
  <c r="EN29" i="51" s="1"/>
  <c r="AW41" i="51"/>
  <c r="EC33" i="51"/>
  <c r="EE33" i="51"/>
  <c r="EN19" i="51"/>
  <c r="EC20" i="51"/>
  <c r="EE20" i="51"/>
  <c r="EC28" i="51"/>
  <c r="EE28" i="51"/>
  <c r="EN27" i="51"/>
  <c r="EM21" i="51"/>
  <c r="ED25" i="51"/>
  <c r="EC17" i="51"/>
  <c r="EE17" i="51"/>
  <c r="EC27" i="51"/>
  <c r="EE27" i="51"/>
  <c r="EH41" i="51"/>
  <c r="EN33" i="51"/>
  <c r="EM39" i="51"/>
  <c r="EN39" i="51" s="1"/>
  <c r="EM37" i="51"/>
  <c r="EN11" i="51"/>
  <c r="EN3" i="51"/>
  <c r="EN5" i="51"/>
  <c r="EC21" i="51"/>
  <c r="EE21" i="51"/>
  <c r="EC38" i="51"/>
  <c r="EE38" i="51"/>
  <c r="EC31" i="51"/>
  <c r="EE31" i="51"/>
  <c r="EC11" i="51"/>
  <c r="EE3" i="51"/>
  <c r="EE5" i="51"/>
  <c r="G7" i="51" s="1"/>
  <c r="EN20" i="51"/>
  <c r="EM31" i="51"/>
  <c r="EN31" i="51" s="1"/>
  <c r="EC39" i="51"/>
  <c r="EE39" i="51"/>
  <c r="ED38" i="51"/>
  <c r="ED16" i="51"/>
  <c r="EE16" i="51" s="1"/>
  <c r="EC25" i="51"/>
  <c r="EE25" i="51"/>
  <c r="EN37" i="51"/>
  <c r="EC37" i="51"/>
  <c r="EC14" i="51"/>
  <c r="EE14" i="51"/>
  <c r="EC24" i="51"/>
  <c r="EE24" i="51"/>
  <c r="EN24" i="51"/>
  <c r="EC16" i="51"/>
  <c r="AT41" i="51"/>
  <c r="ED11" i="51"/>
  <c r="EE11" i="51" s="1"/>
  <c r="EN14" i="51"/>
  <c r="EC23" i="51"/>
  <c r="EE23" i="51"/>
  <c r="EE12" i="51"/>
  <c r="EC12" i="51"/>
  <c r="EN25" i="51"/>
  <c r="EE34" i="51"/>
  <c r="EC34" i="51"/>
  <c r="EN28" i="51"/>
  <c r="EC18" i="51"/>
  <c r="EC29" i="51"/>
  <c r="EM41" i="51" l="1"/>
  <c r="EE4" i="51"/>
  <c r="G6" i="51" s="1"/>
  <c r="G5" i="51"/>
  <c r="EN4" i="51"/>
  <c r="ED41" i="51"/>
  <c r="EN21" i="51"/>
  <c r="C28" i="62" l="1"/>
  <c r="D28" i="63"/>
  <c r="D28" i="4"/>
  <c r="EL41" i="50"/>
  <c r="EG41" i="50"/>
  <c r="EI41" i="50" s="1"/>
  <c r="DW41" i="50"/>
  <c r="DT41" i="50"/>
  <c r="DQ41" i="50"/>
  <c r="DN41" i="50"/>
  <c r="DK41" i="50"/>
  <c r="DH41" i="50"/>
  <c r="DE41" i="50"/>
  <c r="DB41" i="50"/>
  <c r="CY41" i="50"/>
  <c r="CV41" i="50"/>
  <c r="CS41" i="50"/>
  <c r="CP41" i="50"/>
  <c r="CM41" i="50"/>
  <c r="CJ41" i="50"/>
  <c r="CG41" i="50"/>
  <c r="CD41" i="50"/>
  <c r="CA41" i="50"/>
  <c r="BX41" i="50"/>
  <c r="BU41" i="50"/>
  <c r="BR41" i="50"/>
  <c r="BO41" i="50"/>
  <c r="BL41" i="50"/>
  <c r="BI41" i="50"/>
  <c r="BF41" i="50"/>
  <c r="BA41" i="50"/>
  <c r="AX41" i="50"/>
  <c r="AZ41" i="50" s="1"/>
  <c r="AU41" i="50"/>
  <c r="AW41" i="50" s="1"/>
  <c r="AR41" i="50"/>
  <c r="AT41" i="50" s="1"/>
  <c r="AQ41" i="50"/>
  <c r="AO41" i="50"/>
  <c r="AN41" i="50"/>
  <c r="AI41" i="50"/>
  <c r="AK41" i="50" s="1"/>
  <c r="AB41" i="50"/>
  <c r="Y41" i="50"/>
  <c r="V41" i="50"/>
  <c r="S41" i="50"/>
  <c r="EH41" i="50" s="1"/>
  <c r="P41" i="50"/>
  <c r="M41" i="50"/>
  <c r="J41" i="50"/>
  <c r="G41" i="50"/>
  <c r="D41" i="50"/>
  <c r="EL40" i="50"/>
  <c r="EG40" i="50"/>
  <c r="EI2" i="50" s="1"/>
  <c r="DW40" i="50"/>
  <c r="DT40" i="50"/>
  <c r="DQ40" i="50"/>
  <c r="DN40" i="50"/>
  <c r="DK40" i="50"/>
  <c r="DH40" i="50"/>
  <c r="DE40" i="50"/>
  <c r="DB40" i="50"/>
  <c r="CY40" i="50"/>
  <c r="CV40" i="50"/>
  <c r="CS40" i="50"/>
  <c r="CP40" i="50"/>
  <c r="CM40" i="50"/>
  <c r="CJ40" i="50"/>
  <c r="CG40" i="50"/>
  <c r="CD40" i="50"/>
  <c r="CA40" i="50"/>
  <c r="BX40" i="50"/>
  <c r="BU40" i="50"/>
  <c r="BR40" i="50"/>
  <c r="BO40" i="50"/>
  <c r="BL40" i="50"/>
  <c r="BI40" i="50"/>
  <c r="BF40" i="50"/>
  <c r="BA40" i="50"/>
  <c r="AX40" i="50"/>
  <c r="AZ40" i="50" s="1"/>
  <c r="AU40" i="50"/>
  <c r="AW40" i="50" s="1"/>
  <c r="AR40" i="50"/>
  <c r="AT40" i="50" s="1"/>
  <c r="AO40" i="50"/>
  <c r="AN40" i="50"/>
  <c r="AI40" i="50"/>
  <c r="AK40" i="50" s="1"/>
  <c r="AB40" i="50"/>
  <c r="Y40" i="50"/>
  <c r="V40" i="50"/>
  <c r="S40" i="50"/>
  <c r="EH40" i="50" s="1"/>
  <c r="P40" i="50"/>
  <c r="M40" i="50"/>
  <c r="J40" i="50"/>
  <c r="G40" i="50"/>
  <c r="D40" i="50"/>
  <c r="EL39" i="50"/>
  <c r="EG39" i="50"/>
  <c r="EI39" i="50" s="1"/>
  <c r="DW39" i="50"/>
  <c r="DT39" i="50"/>
  <c r="DQ39" i="50"/>
  <c r="DN39" i="50"/>
  <c r="DK39" i="50"/>
  <c r="DH39" i="50"/>
  <c r="DE39" i="50"/>
  <c r="DB39" i="50"/>
  <c r="CY39" i="50"/>
  <c r="CV39" i="50"/>
  <c r="CS39" i="50"/>
  <c r="CP39" i="50"/>
  <c r="CM39" i="50"/>
  <c r="CJ39" i="50"/>
  <c r="CG39" i="50"/>
  <c r="CD39" i="50"/>
  <c r="CA39" i="50"/>
  <c r="BX39" i="50"/>
  <c r="BU39" i="50"/>
  <c r="BR39" i="50"/>
  <c r="BO39" i="50"/>
  <c r="BL39" i="50"/>
  <c r="BI39" i="50"/>
  <c r="BF39" i="50"/>
  <c r="BC39" i="50"/>
  <c r="BA39" i="50"/>
  <c r="AX39" i="50"/>
  <c r="AU39" i="50"/>
  <c r="AW39" i="50" s="1"/>
  <c r="AR39" i="50"/>
  <c r="AT39" i="50" s="1"/>
  <c r="AO39" i="50"/>
  <c r="AQ39" i="50" s="1"/>
  <c r="AL39" i="50"/>
  <c r="AN39" i="50" s="1"/>
  <c r="AK39" i="50"/>
  <c r="AB39" i="50"/>
  <c r="Y39" i="50"/>
  <c r="V39" i="50"/>
  <c r="S39" i="50"/>
  <c r="EH39" i="50" s="1"/>
  <c r="P39" i="50"/>
  <c r="M39" i="50"/>
  <c r="J39" i="50"/>
  <c r="G39" i="50"/>
  <c r="D39" i="50"/>
  <c r="EL38" i="50"/>
  <c r="EG38" i="50"/>
  <c r="EI38" i="50" s="1"/>
  <c r="DW38" i="50"/>
  <c r="DT38" i="50"/>
  <c r="DQ38" i="50"/>
  <c r="DN38" i="50"/>
  <c r="DK38" i="50"/>
  <c r="DH38" i="50"/>
  <c r="DE38" i="50"/>
  <c r="DB38" i="50"/>
  <c r="CY38" i="50"/>
  <c r="CV38" i="50"/>
  <c r="CS38" i="50"/>
  <c r="CP38" i="50"/>
  <c r="CM38" i="50"/>
  <c r="CJ38" i="50"/>
  <c r="CG38" i="50"/>
  <c r="CD38" i="50"/>
  <c r="CA38" i="50"/>
  <c r="BX38" i="50"/>
  <c r="BU38" i="50"/>
  <c r="BR38" i="50"/>
  <c r="BO38" i="50"/>
  <c r="BL38" i="50"/>
  <c r="BI38" i="50"/>
  <c r="BF38" i="50"/>
  <c r="BA38" i="50"/>
  <c r="AX38" i="50"/>
  <c r="AZ38" i="50" s="1"/>
  <c r="AU38" i="50"/>
  <c r="AW38" i="50" s="1"/>
  <c r="AR38" i="50"/>
  <c r="AT38" i="50" s="1"/>
  <c r="AO38" i="50"/>
  <c r="AQ38" i="50" s="1"/>
  <c r="AL38" i="50"/>
  <c r="AK38" i="50"/>
  <c r="AB38" i="50"/>
  <c r="Y38" i="50"/>
  <c r="V38" i="50"/>
  <c r="S38" i="50"/>
  <c r="EH38" i="50" s="1"/>
  <c r="P38" i="50"/>
  <c r="M38" i="50"/>
  <c r="J38" i="50"/>
  <c r="G38" i="50"/>
  <c r="D38" i="50"/>
  <c r="EL37" i="50"/>
  <c r="EG37" i="50"/>
  <c r="EI37" i="50" s="1"/>
  <c r="DW37" i="50"/>
  <c r="DT37" i="50"/>
  <c r="DQ37" i="50"/>
  <c r="DN37" i="50"/>
  <c r="DK37" i="50"/>
  <c r="DH37" i="50"/>
  <c r="DE37" i="50"/>
  <c r="DB37" i="50"/>
  <c r="CY37" i="50"/>
  <c r="CV37" i="50"/>
  <c r="CS37" i="50"/>
  <c r="CP37" i="50"/>
  <c r="CM37" i="50"/>
  <c r="CJ37" i="50"/>
  <c r="CG37" i="50"/>
  <c r="CD37" i="50"/>
  <c r="CA37" i="50"/>
  <c r="BX37" i="50"/>
  <c r="BU37" i="50"/>
  <c r="BR37" i="50"/>
  <c r="BO37" i="50"/>
  <c r="BL37" i="50"/>
  <c r="BI37" i="50"/>
  <c r="BF37" i="50"/>
  <c r="BA37" i="50"/>
  <c r="BC37" i="50" s="1"/>
  <c r="AX37" i="50"/>
  <c r="AU37" i="50"/>
  <c r="AW37" i="50" s="1"/>
  <c r="AR37" i="50"/>
  <c r="AQ37" i="50"/>
  <c r="AO37" i="50"/>
  <c r="AL37" i="50"/>
  <c r="AN37" i="50" s="1"/>
  <c r="AK37" i="50"/>
  <c r="AB37" i="50"/>
  <c r="Y37" i="50"/>
  <c r="V37" i="50"/>
  <c r="S37" i="50"/>
  <c r="P37" i="50"/>
  <c r="M37" i="50"/>
  <c r="J37" i="50"/>
  <c r="G37" i="50"/>
  <c r="D37" i="50"/>
  <c r="EL36" i="50"/>
  <c r="EG36" i="50"/>
  <c r="EI36" i="50" s="1"/>
  <c r="DW36" i="50"/>
  <c r="DT36" i="50"/>
  <c r="DQ36" i="50"/>
  <c r="DN36" i="50"/>
  <c r="DK36" i="50"/>
  <c r="DH36" i="50"/>
  <c r="DE36" i="50"/>
  <c r="DB36" i="50"/>
  <c r="CY36" i="50"/>
  <c r="CV36" i="50"/>
  <c r="CS36" i="50"/>
  <c r="CP36" i="50"/>
  <c r="CM36" i="50"/>
  <c r="CJ36" i="50"/>
  <c r="CG36" i="50"/>
  <c r="CD36" i="50"/>
  <c r="CA36" i="50"/>
  <c r="BX36" i="50"/>
  <c r="BU36" i="50"/>
  <c r="BR36" i="50"/>
  <c r="BO36" i="50"/>
  <c r="BL36" i="50"/>
  <c r="BI36" i="50"/>
  <c r="BF36" i="50"/>
  <c r="BC36" i="50"/>
  <c r="AX36" i="50"/>
  <c r="AU36" i="50"/>
  <c r="AW36" i="50" s="1"/>
  <c r="AR36" i="50"/>
  <c r="AT36" i="50" s="1"/>
  <c r="AO36" i="50"/>
  <c r="AQ36" i="50" s="1"/>
  <c r="AL36" i="50"/>
  <c r="AI36" i="50"/>
  <c r="AK36" i="50" s="1"/>
  <c r="AB36" i="50"/>
  <c r="Y36" i="50"/>
  <c r="V36" i="50"/>
  <c r="S36" i="50"/>
  <c r="EH36" i="50" s="1"/>
  <c r="P36" i="50"/>
  <c r="M36" i="50"/>
  <c r="J36" i="50"/>
  <c r="G36" i="50"/>
  <c r="D36" i="50"/>
  <c r="EL35" i="50"/>
  <c r="EG35" i="50"/>
  <c r="EI35" i="50" s="1"/>
  <c r="DW35" i="50"/>
  <c r="DT35" i="50"/>
  <c r="DQ35" i="50"/>
  <c r="DN35" i="50"/>
  <c r="DK35" i="50"/>
  <c r="DH35" i="50"/>
  <c r="DE35" i="50"/>
  <c r="DB35" i="50"/>
  <c r="CY35" i="50"/>
  <c r="CV35" i="50"/>
  <c r="CS35" i="50"/>
  <c r="CP35" i="50"/>
  <c r="CM35" i="50"/>
  <c r="CJ35" i="50"/>
  <c r="CG35" i="50"/>
  <c r="CD35" i="50"/>
  <c r="CA35" i="50"/>
  <c r="BX35" i="50"/>
  <c r="BU35" i="50"/>
  <c r="BR35" i="50"/>
  <c r="BO35" i="50"/>
  <c r="BL35" i="50"/>
  <c r="BI35" i="50"/>
  <c r="BF35" i="50"/>
  <c r="BC35" i="50"/>
  <c r="AX35" i="50"/>
  <c r="AZ35" i="50" s="1"/>
  <c r="AU35" i="50"/>
  <c r="AR35" i="50"/>
  <c r="AT35" i="50" s="1"/>
  <c r="AO35" i="50"/>
  <c r="AQ35" i="50" s="1"/>
  <c r="AL35" i="50"/>
  <c r="AN35" i="50" s="1"/>
  <c r="AI35" i="50"/>
  <c r="AK35" i="50" s="1"/>
  <c r="AB35" i="50"/>
  <c r="Y35" i="50"/>
  <c r="V35" i="50"/>
  <c r="S35" i="50"/>
  <c r="EH35" i="50" s="1"/>
  <c r="P35" i="50"/>
  <c r="M35" i="50"/>
  <c r="J35" i="50"/>
  <c r="G35" i="50"/>
  <c r="D35" i="50"/>
  <c r="EL34" i="50"/>
  <c r="EG34" i="50"/>
  <c r="EI34" i="50" s="1"/>
  <c r="DW34" i="50"/>
  <c r="DT34" i="50"/>
  <c r="DQ34" i="50"/>
  <c r="DN34" i="50"/>
  <c r="DK34" i="50"/>
  <c r="DH34" i="50"/>
  <c r="DE34" i="50"/>
  <c r="DB34" i="50"/>
  <c r="CY34" i="50"/>
  <c r="CV34" i="50"/>
  <c r="CS34" i="50"/>
  <c r="CP34" i="50"/>
  <c r="CM34" i="50"/>
  <c r="CJ34" i="50"/>
  <c r="CG34" i="50"/>
  <c r="CD34" i="50"/>
  <c r="CA34" i="50"/>
  <c r="BX34" i="50"/>
  <c r="BU34" i="50"/>
  <c r="BR34" i="50"/>
  <c r="BO34" i="50"/>
  <c r="BL34" i="50"/>
  <c r="BI34" i="50"/>
  <c r="BF34" i="50"/>
  <c r="BC34" i="50"/>
  <c r="AX34" i="50"/>
  <c r="AU34" i="50"/>
  <c r="AW34" i="50" s="1"/>
  <c r="AT34" i="50"/>
  <c r="AR34" i="50"/>
  <c r="AO34" i="50"/>
  <c r="AQ34" i="50" s="1"/>
  <c r="AL34" i="50"/>
  <c r="AK34" i="50"/>
  <c r="AI34" i="50"/>
  <c r="AB34" i="50"/>
  <c r="Y34" i="50"/>
  <c r="V34" i="50"/>
  <c r="S34" i="50"/>
  <c r="P34" i="50"/>
  <c r="M34" i="50"/>
  <c r="J34" i="50"/>
  <c r="G34" i="50"/>
  <c r="D34" i="50"/>
  <c r="EL33" i="50"/>
  <c r="EG33" i="50"/>
  <c r="EI33" i="50" s="1"/>
  <c r="DW33" i="50"/>
  <c r="DT33" i="50"/>
  <c r="DQ33" i="50"/>
  <c r="DN33" i="50"/>
  <c r="DK33" i="50"/>
  <c r="DH33" i="50"/>
  <c r="DE33" i="50"/>
  <c r="DB33" i="50"/>
  <c r="CY33" i="50"/>
  <c r="CV33" i="50"/>
  <c r="CS33" i="50"/>
  <c r="CP33" i="50"/>
  <c r="CM33" i="50"/>
  <c r="CJ33" i="50"/>
  <c r="CG33" i="50"/>
  <c r="CD33" i="50"/>
  <c r="CA33" i="50"/>
  <c r="BX33" i="50"/>
  <c r="BU33" i="50"/>
  <c r="BR33" i="50"/>
  <c r="BO33" i="50"/>
  <c r="BL33" i="50"/>
  <c r="BI33" i="50"/>
  <c r="BF33" i="50"/>
  <c r="BC33" i="50"/>
  <c r="AX33" i="50"/>
  <c r="AZ33" i="50" s="1"/>
  <c r="AU33" i="50"/>
  <c r="AR33" i="50"/>
  <c r="AT33" i="50" s="1"/>
  <c r="AO33" i="50"/>
  <c r="AQ33" i="50" s="1"/>
  <c r="AL33" i="50"/>
  <c r="AN33" i="50" s="1"/>
  <c r="AI33" i="50"/>
  <c r="AK33" i="50" s="1"/>
  <c r="AB33" i="50"/>
  <c r="Y33" i="50"/>
  <c r="V33" i="50"/>
  <c r="S33" i="50"/>
  <c r="P33" i="50"/>
  <c r="M33" i="50"/>
  <c r="J33" i="50"/>
  <c r="G33" i="50"/>
  <c r="D33" i="50"/>
  <c r="EL32" i="50"/>
  <c r="EG32" i="50"/>
  <c r="EI32" i="50" s="1"/>
  <c r="DW32" i="50"/>
  <c r="DT32" i="50"/>
  <c r="DQ32" i="50"/>
  <c r="DN32" i="50"/>
  <c r="DK32" i="50"/>
  <c r="DH32" i="50"/>
  <c r="DE32" i="50"/>
  <c r="DB32" i="50"/>
  <c r="CY32" i="50"/>
  <c r="CV32" i="50"/>
  <c r="CS32" i="50"/>
  <c r="CP32" i="50"/>
  <c r="CM32" i="50"/>
  <c r="CJ32" i="50"/>
  <c r="CG32" i="50"/>
  <c r="CD32" i="50"/>
  <c r="CA32" i="50"/>
  <c r="BX32" i="50"/>
  <c r="BU32" i="50"/>
  <c r="BR32" i="50"/>
  <c r="BO32" i="50"/>
  <c r="BL32" i="50"/>
  <c r="BI32" i="50"/>
  <c r="BF32" i="50"/>
  <c r="BC32" i="50"/>
  <c r="AZ32" i="50"/>
  <c r="AU32" i="50"/>
  <c r="EK32" i="50" s="1"/>
  <c r="AT32" i="50"/>
  <c r="AR32" i="50"/>
  <c r="AQ32" i="50"/>
  <c r="AL32" i="50"/>
  <c r="AI32" i="50"/>
  <c r="AK32" i="50" s="1"/>
  <c r="AB32" i="50"/>
  <c r="Y32" i="50"/>
  <c r="V32" i="50"/>
  <c r="S32" i="50"/>
  <c r="EH32" i="50" s="1"/>
  <c r="P32" i="50"/>
  <c r="M32" i="50"/>
  <c r="J32" i="50"/>
  <c r="G32" i="50"/>
  <c r="D32" i="50"/>
  <c r="EL31" i="50"/>
  <c r="EG31" i="50"/>
  <c r="EI31" i="50" s="1"/>
  <c r="DW31" i="50"/>
  <c r="DT31" i="50"/>
  <c r="DQ31" i="50"/>
  <c r="DN31" i="50"/>
  <c r="DK31" i="50"/>
  <c r="DH31" i="50"/>
  <c r="DE31" i="50"/>
  <c r="DB31" i="50"/>
  <c r="CY31" i="50"/>
  <c r="CV31" i="50"/>
  <c r="CS31" i="50"/>
  <c r="CP31" i="50"/>
  <c r="CM31" i="50"/>
  <c r="CJ31" i="50"/>
  <c r="CG31" i="50"/>
  <c r="CD31" i="50"/>
  <c r="CA31" i="50"/>
  <c r="BX31" i="50"/>
  <c r="BU31" i="50"/>
  <c r="BR31" i="50"/>
  <c r="BO31" i="50"/>
  <c r="BL31" i="50"/>
  <c r="BI31" i="50"/>
  <c r="BF31" i="50"/>
  <c r="BC31" i="50"/>
  <c r="AZ31" i="50"/>
  <c r="AW31" i="50"/>
  <c r="AU31" i="50"/>
  <c r="AR31" i="50"/>
  <c r="AT31" i="50" s="1"/>
  <c r="AQ31" i="50"/>
  <c r="AL31" i="50"/>
  <c r="EB31" i="50" s="1"/>
  <c r="AK31" i="50"/>
  <c r="AI31" i="50"/>
  <c r="AB31" i="50"/>
  <c r="Y31" i="50"/>
  <c r="V31" i="50"/>
  <c r="S31" i="50"/>
  <c r="P31" i="50"/>
  <c r="M31" i="50"/>
  <c r="J31" i="50"/>
  <c r="G31" i="50"/>
  <c r="D31" i="50"/>
  <c r="EL30" i="50"/>
  <c r="EG30" i="50"/>
  <c r="EI30" i="50" s="1"/>
  <c r="DW30" i="50"/>
  <c r="DT30" i="50"/>
  <c r="DQ30" i="50"/>
  <c r="DN30" i="50"/>
  <c r="DK30" i="50"/>
  <c r="DH30" i="50"/>
  <c r="DE30" i="50"/>
  <c r="DB30" i="50"/>
  <c r="CY30" i="50"/>
  <c r="CV30" i="50"/>
  <c r="CS30" i="50"/>
  <c r="CP30" i="50"/>
  <c r="CM30" i="50"/>
  <c r="CJ30" i="50"/>
  <c r="CG30" i="50"/>
  <c r="CD30" i="50"/>
  <c r="CA30" i="50"/>
  <c r="BX30" i="50"/>
  <c r="BU30" i="50"/>
  <c r="BR30" i="50"/>
  <c r="BO30" i="50"/>
  <c r="BL30" i="50"/>
  <c r="BI30" i="50"/>
  <c r="BF30" i="50"/>
  <c r="BC30" i="50"/>
  <c r="AZ30" i="50"/>
  <c r="AU30" i="50"/>
  <c r="AW30" i="50" s="1"/>
  <c r="AT30" i="50"/>
  <c r="AR30" i="50"/>
  <c r="AQ30" i="50"/>
  <c r="AN30" i="50"/>
  <c r="AL30" i="50"/>
  <c r="AI30" i="50"/>
  <c r="AK30" i="50" s="1"/>
  <c r="AB30" i="50"/>
  <c r="Y30" i="50"/>
  <c r="V30" i="50"/>
  <c r="S30" i="50"/>
  <c r="P30" i="50"/>
  <c r="M30" i="50"/>
  <c r="J30" i="50"/>
  <c r="G30" i="50"/>
  <c r="D30" i="50"/>
  <c r="EL29" i="50"/>
  <c r="EI29" i="50"/>
  <c r="EG29" i="50"/>
  <c r="DW29" i="50"/>
  <c r="DT29" i="50"/>
  <c r="DQ29" i="50"/>
  <c r="DN29" i="50"/>
  <c r="DK29" i="50"/>
  <c r="DH29" i="50"/>
  <c r="DE29" i="50"/>
  <c r="DB29" i="50"/>
  <c r="CY29" i="50"/>
  <c r="CV29" i="50"/>
  <c r="CS29" i="50"/>
  <c r="CP29" i="50"/>
  <c r="CM29" i="50"/>
  <c r="CJ29" i="50"/>
  <c r="CG29" i="50"/>
  <c r="CD29" i="50"/>
  <c r="CA29" i="50"/>
  <c r="BX29" i="50"/>
  <c r="BU29" i="50"/>
  <c r="BR29" i="50"/>
  <c r="BO29" i="50"/>
  <c r="BL29" i="50"/>
  <c r="BI29" i="50"/>
  <c r="BF29" i="50"/>
  <c r="BC29" i="50"/>
  <c r="AZ29" i="50"/>
  <c r="AU29" i="50"/>
  <c r="AR29" i="50"/>
  <c r="AT29" i="50" s="1"/>
  <c r="AQ29" i="50"/>
  <c r="AL29" i="50"/>
  <c r="AI29" i="50"/>
  <c r="AK29" i="50" s="1"/>
  <c r="AB29" i="50"/>
  <c r="Y29" i="50"/>
  <c r="V29" i="50"/>
  <c r="S29" i="50"/>
  <c r="P29" i="50"/>
  <c r="M29" i="50"/>
  <c r="J29" i="50"/>
  <c r="G29" i="50"/>
  <c r="D29" i="50"/>
  <c r="EL28" i="50"/>
  <c r="EG28" i="50"/>
  <c r="EI28" i="50" s="1"/>
  <c r="DW28" i="50"/>
  <c r="DT28" i="50"/>
  <c r="DQ28" i="50"/>
  <c r="DN28" i="50"/>
  <c r="DK28" i="50"/>
  <c r="DH28" i="50"/>
  <c r="DE28" i="50"/>
  <c r="DB28" i="50"/>
  <c r="CY28" i="50"/>
  <c r="CV28" i="50"/>
  <c r="CS28" i="50"/>
  <c r="CP28" i="50"/>
  <c r="CM28" i="50"/>
  <c r="CJ28" i="50"/>
  <c r="CG28" i="50"/>
  <c r="CD28" i="50"/>
  <c r="CA28" i="50"/>
  <c r="BX28" i="50"/>
  <c r="BU28" i="50"/>
  <c r="BR28" i="50"/>
  <c r="BO28" i="50"/>
  <c r="BL28" i="50"/>
  <c r="BI28" i="50"/>
  <c r="BF28" i="50"/>
  <c r="BC28" i="50"/>
  <c r="AZ28" i="50"/>
  <c r="AU28" i="50"/>
  <c r="AR28" i="50"/>
  <c r="AT28" i="50" s="1"/>
  <c r="AQ28" i="50"/>
  <c r="AL28" i="50"/>
  <c r="AI28" i="50"/>
  <c r="AK28" i="50" s="1"/>
  <c r="AB28" i="50"/>
  <c r="Y28" i="50"/>
  <c r="V28" i="50"/>
  <c r="S28" i="50"/>
  <c r="P28" i="50"/>
  <c r="M28" i="50"/>
  <c r="J28" i="50"/>
  <c r="G28" i="50"/>
  <c r="D28" i="50"/>
  <c r="EL27" i="50"/>
  <c r="EG27" i="50"/>
  <c r="EI27" i="50" s="1"/>
  <c r="DW27" i="50"/>
  <c r="DT27" i="50"/>
  <c r="DQ27" i="50"/>
  <c r="DN27" i="50"/>
  <c r="DK27" i="50"/>
  <c r="DH27" i="50"/>
  <c r="DE27" i="50"/>
  <c r="DB27" i="50"/>
  <c r="CY27" i="50"/>
  <c r="CV27" i="50"/>
  <c r="CS27" i="50"/>
  <c r="CP27" i="50"/>
  <c r="CM27" i="50"/>
  <c r="CJ27" i="50"/>
  <c r="CG27" i="50"/>
  <c r="CD27" i="50"/>
  <c r="CA27" i="50"/>
  <c r="BX27" i="50"/>
  <c r="BU27" i="50"/>
  <c r="BR27" i="50"/>
  <c r="BO27" i="50"/>
  <c r="BL27" i="50"/>
  <c r="BI27" i="50"/>
  <c r="BF27" i="50"/>
  <c r="BC27" i="50"/>
  <c r="AZ27" i="50"/>
  <c r="AU27" i="50"/>
  <c r="AW27" i="50" s="1"/>
  <c r="AR27" i="50"/>
  <c r="AT27" i="50" s="1"/>
  <c r="AQ27" i="50"/>
  <c r="AL27" i="50"/>
  <c r="AK27" i="50"/>
  <c r="AI27" i="50"/>
  <c r="AB27" i="50"/>
  <c r="Y27" i="50"/>
  <c r="V27" i="50"/>
  <c r="S27" i="50"/>
  <c r="EH27" i="50" s="1"/>
  <c r="P27" i="50"/>
  <c r="M27" i="50"/>
  <c r="J27" i="50"/>
  <c r="G27" i="50"/>
  <c r="D27" i="50"/>
  <c r="EL26" i="50"/>
  <c r="EG26" i="50"/>
  <c r="EI26" i="50" s="1"/>
  <c r="EB26" i="50"/>
  <c r="DW26" i="50"/>
  <c r="DT26" i="50"/>
  <c r="DQ26" i="50"/>
  <c r="DN26" i="50"/>
  <c r="DK26" i="50"/>
  <c r="DH26" i="50"/>
  <c r="DE26" i="50"/>
  <c r="DB26" i="50"/>
  <c r="CY26" i="50"/>
  <c r="CV26" i="50"/>
  <c r="CS26" i="50"/>
  <c r="CP26" i="50"/>
  <c r="CM26" i="50"/>
  <c r="CJ26" i="50"/>
  <c r="CG26" i="50"/>
  <c r="CD26" i="50"/>
  <c r="CA26" i="50"/>
  <c r="BX26" i="50"/>
  <c r="BU26" i="50"/>
  <c r="BR26" i="50"/>
  <c r="BO26" i="50"/>
  <c r="BL26" i="50"/>
  <c r="BI26" i="50"/>
  <c r="BF26" i="50"/>
  <c r="BC26" i="50"/>
  <c r="AZ26" i="50"/>
  <c r="AU26" i="50"/>
  <c r="AT26" i="50"/>
  <c r="AR26" i="50"/>
  <c r="AQ26" i="50"/>
  <c r="AL26" i="50"/>
  <c r="AN26" i="50" s="1"/>
  <c r="AI26" i="50"/>
  <c r="AK26" i="50" s="1"/>
  <c r="AB26" i="50"/>
  <c r="Y26" i="50"/>
  <c r="V26" i="50"/>
  <c r="S26" i="50"/>
  <c r="P26" i="50"/>
  <c r="M26" i="50"/>
  <c r="J26" i="50"/>
  <c r="G26" i="50"/>
  <c r="D26" i="50"/>
  <c r="EL25" i="50"/>
  <c r="EI25" i="50"/>
  <c r="EG25" i="50"/>
  <c r="DW25" i="50"/>
  <c r="DT25" i="50"/>
  <c r="DQ25" i="50"/>
  <c r="DN25" i="50"/>
  <c r="DK25" i="50"/>
  <c r="DH25" i="50"/>
  <c r="DE25" i="50"/>
  <c r="DB25" i="50"/>
  <c r="CY25" i="50"/>
  <c r="CV25" i="50"/>
  <c r="CS25" i="50"/>
  <c r="CP25" i="50"/>
  <c r="CM25" i="50"/>
  <c r="CJ25" i="50"/>
  <c r="CG25" i="50"/>
  <c r="CD25" i="50"/>
  <c r="CA25" i="50"/>
  <c r="BX25" i="50"/>
  <c r="BU25" i="50"/>
  <c r="BR25" i="50"/>
  <c r="BO25" i="50"/>
  <c r="BL25" i="50"/>
  <c r="BI25" i="50"/>
  <c r="BF25" i="50"/>
  <c r="BC25" i="50"/>
  <c r="AZ25" i="50"/>
  <c r="AW25" i="50"/>
  <c r="AU25" i="50"/>
  <c r="AR25" i="50"/>
  <c r="AT25" i="50" s="1"/>
  <c r="AQ25" i="50"/>
  <c r="AO25" i="50"/>
  <c r="AL25" i="50"/>
  <c r="AI25" i="50"/>
  <c r="AK25" i="50" s="1"/>
  <c r="AB25" i="50"/>
  <c r="Y25" i="50"/>
  <c r="V25" i="50"/>
  <c r="S25" i="50"/>
  <c r="P25" i="50"/>
  <c r="M25" i="50"/>
  <c r="J25" i="50"/>
  <c r="G25" i="50"/>
  <c r="D25" i="50"/>
  <c r="EL24" i="50"/>
  <c r="EG24" i="50"/>
  <c r="EI24" i="50" s="1"/>
  <c r="DW24" i="50"/>
  <c r="DT24" i="50"/>
  <c r="DQ24" i="50"/>
  <c r="DN24" i="50"/>
  <c r="DK24" i="50"/>
  <c r="DH24" i="50"/>
  <c r="DE24" i="50"/>
  <c r="DB24" i="50"/>
  <c r="CY24" i="50"/>
  <c r="CV24" i="50"/>
  <c r="CS24" i="50"/>
  <c r="CP24" i="50"/>
  <c r="CM24" i="50"/>
  <c r="CJ24" i="50"/>
  <c r="CG24" i="50"/>
  <c r="CD24" i="50"/>
  <c r="CA24" i="50"/>
  <c r="BX24" i="50"/>
  <c r="BU24" i="50"/>
  <c r="BR24" i="50"/>
  <c r="BO24" i="50"/>
  <c r="BL24" i="50"/>
  <c r="BI24" i="50"/>
  <c r="BF24" i="50"/>
  <c r="BC24" i="50"/>
  <c r="AZ24" i="50"/>
  <c r="AU24" i="50"/>
  <c r="AW24" i="50" s="1"/>
  <c r="AR24" i="50"/>
  <c r="AT24" i="50" s="1"/>
  <c r="AO24" i="50"/>
  <c r="AQ24" i="50" s="1"/>
  <c r="AL24" i="50"/>
  <c r="AN24" i="50" s="1"/>
  <c r="AK24" i="50"/>
  <c r="AI24" i="50"/>
  <c r="AB24" i="50"/>
  <c r="Y24" i="50"/>
  <c r="V24" i="50"/>
  <c r="S24" i="50"/>
  <c r="EH24" i="50" s="1"/>
  <c r="P24" i="50"/>
  <c r="M24" i="50"/>
  <c r="J24" i="50"/>
  <c r="G24" i="50"/>
  <c r="D24" i="50"/>
  <c r="EL23" i="50"/>
  <c r="EG23" i="50"/>
  <c r="EI23" i="50" s="1"/>
  <c r="DW23" i="50"/>
  <c r="DT23" i="50"/>
  <c r="DQ23" i="50"/>
  <c r="DN23" i="50"/>
  <c r="DK23" i="50"/>
  <c r="DH23" i="50"/>
  <c r="DE23" i="50"/>
  <c r="DB23" i="50"/>
  <c r="CY23" i="50"/>
  <c r="CV23" i="50"/>
  <c r="CS23" i="50"/>
  <c r="CP23" i="50"/>
  <c r="CM23" i="50"/>
  <c r="CJ23" i="50"/>
  <c r="CG23" i="50"/>
  <c r="CD23" i="50"/>
  <c r="CA23" i="50"/>
  <c r="BX23" i="50"/>
  <c r="BU23" i="50"/>
  <c r="BR23" i="50"/>
  <c r="BO23" i="50"/>
  <c r="BL23" i="50"/>
  <c r="BI23" i="50"/>
  <c r="BF23" i="50"/>
  <c r="BC23" i="50"/>
  <c r="AZ23" i="50"/>
  <c r="AU23" i="50"/>
  <c r="AT23" i="50"/>
  <c r="AR23" i="50"/>
  <c r="AO23" i="50"/>
  <c r="AQ23" i="50" s="1"/>
  <c r="AL23" i="50"/>
  <c r="EB23" i="50" s="1"/>
  <c r="AI23" i="50"/>
  <c r="AK23" i="50" s="1"/>
  <c r="AB23" i="50"/>
  <c r="Y23" i="50"/>
  <c r="V23" i="50"/>
  <c r="S23" i="50"/>
  <c r="P23" i="50"/>
  <c r="M23" i="50"/>
  <c r="J23" i="50"/>
  <c r="G23" i="50"/>
  <c r="D23" i="50"/>
  <c r="EL22" i="50"/>
  <c r="EI22" i="50"/>
  <c r="EG22" i="50"/>
  <c r="DW22" i="50"/>
  <c r="DT22" i="50"/>
  <c r="DQ22" i="50"/>
  <c r="DN22" i="50"/>
  <c r="DK22" i="50"/>
  <c r="DH22" i="50"/>
  <c r="DE22" i="50"/>
  <c r="DB22" i="50"/>
  <c r="CY22" i="50"/>
  <c r="CV22" i="50"/>
  <c r="CS22" i="50"/>
  <c r="CP22" i="50"/>
  <c r="CM22" i="50"/>
  <c r="CJ22" i="50"/>
  <c r="CG22" i="50"/>
  <c r="CD22" i="50"/>
  <c r="CA22" i="50"/>
  <c r="BX22" i="50"/>
  <c r="BU22" i="50"/>
  <c r="BR22" i="50"/>
  <c r="BO22" i="50"/>
  <c r="BL22" i="50"/>
  <c r="BI22" i="50"/>
  <c r="BF22" i="50"/>
  <c r="BC22" i="50"/>
  <c r="AZ22" i="50"/>
  <c r="AU22" i="50"/>
  <c r="AW22" i="50" s="1"/>
  <c r="AT22" i="50"/>
  <c r="AR22" i="50"/>
  <c r="AO22" i="50"/>
  <c r="AQ22" i="50" s="1"/>
  <c r="AL22" i="50"/>
  <c r="AI22" i="50"/>
  <c r="AK22" i="50" s="1"/>
  <c r="AB22" i="50"/>
  <c r="Y22" i="50"/>
  <c r="V22" i="50"/>
  <c r="S22" i="50"/>
  <c r="P22" i="50"/>
  <c r="M22" i="50"/>
  <c r="J22" i="50"/>
  <c r="G22" i="50"/>
  <c r="D22" i="50"/>
  <c r="EL21" i="50"/>
  <c r="EI21" i="50"/>
  <c r="EG21" i="50"/>
  <c r="DW21" i="50"/>
  <c r="DT21" i="50"/>
  <c r="DQ21" i="50"/>
  <c r="DN21" i="50"/>
  <c r="DK21" i="50"/>
  <c r="DH21" i="50"/>
  <c r="DE21" i="50"/>
  <c r="DB21" i="50"/>
  <c r="CY21" i="50"/>
  <c r="CV21" i="50"/>
  <c r="CS21" i="50"/>
  <c r="CP21" i="50"/>
  <c r="CM21" i="50"/>
  <c r="CJ21" i="50"/>
  <c r="CG21" i="50"/>
  <c r="CD21" i="50"/>
  <c r="CA21" i="50"/>
  <c r="BX21" i="50"/>
  <c r="BU21" i="50"/>
  <c r="BR21" i="50"/>
  <c r="BO21" i="50"/>
  <c r="BL21" i="50"/>
  <c r="BI21" i="50"/>
  <c r="BF21" i="50"/>
  <c r="BC21" i="50"/>
  <c r="AZ21" i="50"/>
  <c r="AW21" i="50"/>
  <c r="AU21" i="50"/>
  <c r="AR21" i="50"/>
  <c r="AT21" i="50" s="1"/>
  <c r="AO21" i="50"/>
  <c r="AQ21" i="50" s="1"/>
  <c r="AL21" i="50"/>
  <c r="AI21" i="50"/>
  <c r="AK21" i="50" s="1"/>
  <c r="AB21" i="50"/>
  <c r="Y21" i="50"/>
  <c r="V21" i="50"/>
  <c r="S21" i="50"/>
  <c r="EH21" i="50" s="1"/>
  <c r="P21" i="50"/>
  <c r="M21" i="50"/>
  <c r="J21" i="50"/>
  <c r="G21" i="50"/>
  <c r="D21" i="50"/>
  <c r="EL20" i="50"/>
  <c r="EG20" i="50"/>
  <c r="EI20" i="50" s="1"/>
  <c r="DW20" i="50"/>
  <c r="DT20" i="50"/>
  <c r="DQ20" i="50"/>
  <c r="DN20" i="50"/>
  <c r="DK20" i="50"/>
  <c r="DH20" i="50"/>
  <c r="DE20" i="50"/>
  <c r="DB20" i="50"/>
  <c r="CY20" i="50"/>
  <c r="CV20" i="50"/>
  <c r="CS20" i="50"/>
  <c r="CP20" i="50"/>
  <c r="CM20" i="50"/>
  <c r="CJ20" i="50"/>
  <c r="CG20" i="50"/>
  <c r="CD20" i="50"/>
  <c r="CA20" i="50"/>
  <c r="BX20" i="50"/>
  <c r="BU20" i="50"/>
  <c r="BR20" i="50"/>
  <c r="BO20" i="50"/>
  <c r="BL20" i="50"/>
  <c r="BI20" i="50"/>
  <c r="BF20" i="50"/>
  <c r="BC20" i="50"/>
  <c r="AZ20" i="50"/>
  <c r="AU20" i="50"/>
  <c r="AR20" i="50"/>
  <c r="AT20" i="50" s="1"/>
  <c r="AQ20" i="50"/>
  <c r="AO20" i="50"/>
  <c r="AL20" i="50"/>
  <c r="AN20" i="50" s="1"/>
  <c r="AI20" i="50"/>
  <c r="AK20" i="50" s="1"/>
  <c r="AB20" i="50"/>
  <c r="Y20" i="50"/>
  <c r="EH20" i="50" s="1"/>
  <c r="V20" i="50"/>
  <c r="S20" i="50"/>
  <c r="P20" i="50"/>
  <c r="M20" i="50"/>
  <c r="J20" i="50"/>
  <c r="G20" i="50"/>
  <c r="D20" i="50"/>
  <c r="EL19" i="50"/>
  <c r="EG19" i="50"/>
  <c r="EI19" i="50" s="1"/>
  <c r="DW19" i="50"/>
  <c r="DT19" i="50"/>
  <c r="DQ19" i="50"/>
  <c r="DN19" i="50"/>
  <c r="DK19" i="50"/>
  <c r="DH19" i="50"/>
  <c r="DE19" i="50"/>
  <c r="DB19" i="50"/>
  <c r="CY19" i="50"/>
  <c r="CV19" i="50"/>
  <c r="CS19" i="50"/>
  <c r="CP19" i="50"/>
  <c r="CM19" i="50"/>
  <c r="CJ19" i="50"/>
  <c r="CG19" i="50"/>
  <c r="CD19" i="50"/>
  <c r="CA19" i="50"/>
  <c r="BX19" i="50"/>
  <c r="BU19" i="50"/>
  <c r="BR19" i="50"/>
  <c r="BO19" i="50"/>
  <c r="BL19" i="50"/>
  <c r="BI19" i="50"/>
  <c r="BF19" i="50"/>
  <c r="BC19" i="50"/>
  <c r="AZ19" i="50"/>
  <c r="AU19" i="50"/>
  <c r="AR19" i="50"/>
  <c r="AT19" i="50" s="1"/>
  <c r="AO19" i="50"/>
  <c r="AQ19" i="50" s="1"/>
  <c r="AN19" i="50"/>
  <c r="AL19" i="50"/>
  <c r="AK19" i="50"/>
  <c r="AB19" i="50"/>
  <c r="Y19" i="50"/>
  <c r="V19" i="50"/>
  <c r="S19" i="50"/>
  <c r="EH19" i="50" s="1"/>
  <c r="P19" i="50"/>
  <c r="M19" i="50"/>
  <c r="J19" i="50"/>
  <c r="G19" i="50"/>
  <c r="D19" i="50"/>
  <c r="EL18" i="50"/>
  <c r="EG18" i="50"/>
  <c r="EI18" i="50" s="1"/>
  <c r="DW18" i="50"/>
  <c r="DT18" i="50"/>
  <c r="DQ18" i="50"/>
  <c r="DN18" i="50"/>
  <c r="DK18" i="50"/>
  <c r="DH18" i="50"/>
  <c r="DE18" i="50"/>
  <c r="DB18" i="50"/>
  <c r="CY18" i="50"/>
  <c r="CV18" i="50"/>
  <c r="CS18" i="50"/>
  <c r="CP18" i="50"/>
  <c r="CM18" i="50"/>
  <c r="CJ18" i="50"/>
  <c r="CG18" i="50"/>
  <c r="CD18" i="50"/>
  <c r="CA18" i="50"/>
  <c r="BX18" i="50"/>
  <c r="BU18" i="50"/>
  <c r="BR18" i="50"/>
  <c r="BO18" i="50"/>
  <c r="BL18" i="50"/>
  <c r="BI18" i="50"/>
  <c r="BF18" i="50"/>
  <c r="BC18" i="50"/>
  <c r="AZ18" i="50"/>
  <c r="AW18" i="50"/>
  <c r="AU18" i="50"/>
  <c r="AR18" i="50"/>
  <c r="AT18" i="50" s="1"/>
  <c r="AQ18" i="50"/>
  <c r="AO18" i="50"/>
  <c r="AL18" i="50"/>
  <c r="AI18" i="50"/>
  <c r="AK18" i="50" s="1"/>
  <c r="AB18" i="50"/>
  <c r="Y18" i="50"/>
  <c r="V18" i="50"/>
  <c r="S18" i="50"/>
  <c r="P18" i="50"/>
  <c r="M18" i="50"/>
  <c r="J18" i="50"/>
  <c r="G18" i="50"/>
  <c r="D18" i="50"/>
  <c r="EL17" i="50"/>
  <c r="EG17" i="50"/>
  <c r="EI17" i="50" s="1"/>
  <c r="DW17" i="50"/>
  <c r="DT17" i="50"/>
  <c r="DQ17" i="50"/>
  <c r="DN17" i="50"/>
  <c r="DK17" i="50"/>
  <c r="DH17" i="50"/>
  <c r="DE17" i="50"/>
  <c r="DB17" i="50"/>
  <c r="CY17" i="50"/>
  <c r="CV17" i="50"/>
  <c r="CS17" i="50"/>
  <c r="CP17" i="50"/>
  <c r="CM17" i="50"/>
  <c r="CJ17" i="50"/>
  <c r="CG17" i="50"/>
  <c r="CD17" i="50"/>
  <c r="CA17" i="50"/>
  <c r="BX17" i="50"/>
  <c r="BU17" i="50"/>
  <c r="BR17" i="50"/>
  <c r="BO17" i="50"/>
  <c r="BL17" i="50"/>
  <c r="BI17" i="50"/>
  <c r="BF17" i="50"/>
  <c r="BC17" i="50"/>
  <c r="AZ17" i="50"/>
  <c r="AU17" i="50"/>
  <c r="AR17" i="50"/>
  <c r="AT17" i="50" s="1"/>
  <c r="AQ17" i="50"/>
  <c r="AO17" i="50"/>
  <c r="AL17" i="50"/>
  <c r="AN17" i="50" s="1"/>
  <c r="AI17" i="50"/>
  <c r="AK17" i="50" s="1"/>
  <c r="AB17" i="50"/>
  <c r="Y17" i="50"/>
  <c r="V17" i="50"/>
  <c r="S17" i="50"/>
  <c r="P17" i="50"/>
  <c r="M17" i="50"/>
  <c r="J17" i="50"/>
  <c r="G17" i="50"/>
  <c r="D17" i="50"/>
  <c r="EL16" i="50"/>
  <c r="EG16" i="50"/>
  <c r="EI16" i="50" s="1"/>
  <c r="DW16" i="50"/>
  <c r="DT16" i="50"/>
  <c r="DQ16" i="50"/>
  <c r="DN16" i="50"/>
  <c r="DK16" i="50"/>
  <c r="DH16" i="50"/>
  <c r="DE16" i="50"/>
  <c r="DB16" i="50"/>
  <c r="CY16" i="50"/>
  <c r="CV16" i="50"/>
  <c r="CS16" i="50"/>
  <c r="CP16" i="50"/>
  <c r="CM16" i="50"/>
  <c r="CJ16" i="50"/>
  <c r="CG16" i="50"/>
  <c r="CD16" i="50"/>
  <c r="CA16" i="50"/>
  <c r="BX16" i="50"/>
  <c r="BU16" i="50"/>
  <c r="BR16" i="50"/>
  <c r="BO16" i="50"/>
  <c r="BL16" i="50"/>
  <c r="BI16" i="50"/>
  <c r="BF16" i="50"/>
  <c r="BC16" i="50"/>
  <c r="AZ16" i="50"/>
  <c r="AU16" i="50"/>
  <c r="AR16" i="50"/>
  <c r="AT16" i="50" s="1"/>
  <c r="AO16" i="50"/>
  <c r="AQ16" i="50" s="1"/>
  <c r="AL16" i="50"/>
  <c r="AN16" i="50" s="1"/>
  <c r="AI16" i="50"/>
  <c r="AK16" i="50" s="1"/>
  <c r="AB16" i="50"/>
  <c r="Y16" i="50"/>
  <c r="V16" i="50"/>
  <c r="S16" i="50"/>
  <c r="P16" i="50"/>
  <c r="M16" i="50"/>
  <c r="J16" i="50"/>
  <c r="G16" i="50"/>
  <c r="D16" i="50"/>
  <c r="EL15" i="50"/>
  <c r="EG15" i="50"/>
  <c r="EI15" i="50" s="1"/>
  <c r="DW15" i="50"/>
  <c r="DT15" i="50"/>
  <c r="DQ15" i="50"/>
  <c r="DN15" i="50"/>
  <c r="DK15" i="50"/>
  <c r="DH15" i="50"/>
  <c r="DE15" i="50"/>
  <c r="DB15" i="50"/>
  <c r="CY15" i="50"/>
  <c r="CV15" i="50"/>
  <c r="CS15" i="50"/>
  <c r="CP15" i="50"/>
  <c r="CM15" i="50"/>
  <c r="CJ15" i="50"/>
  <c r="CG15" i="50"/>
  <c r="CD15" i="50"/>
  <c r="CA15" i="50"/>
  <c r="BX15" i="50"/>
  <c r="BU15" i="50"/>
  <c r="BR15" i="50"/>
  <c r="BO15" i="50"/>
  <c r="BL15" i="50"/>
  <c r="BI15" i="50"/>
  <c r="BF15" i="50"/>
  <c r="BC15" i="50"/>
  <c r="AZ15" i="50"/>
  <c r="AU15" i="50"/>
  <c r="AW15" i="50" s="1"/>
  <c r="AR15" i="50"/>
  <c r="AT15" i="50" s="1"/>
  <c r="AO15" i="50"/>
  <c r="AQ15" i="50" s="1"/>
  <c r="AL15" i="50"/>
  <c r="AI15" i="50"/>
  <c r="AK15" i="50" s="1"/>
  <c r="AB15" i="50"/>
  <c r="Y15" i="50"/>
  <c r="V15" i="50"/>
  <c r="S15" i="50"/>
  <c r="EH15" i="50" s="1"/>
  <c r="P15" i="50"/>
  <c r="M15" i="50"/>
  <c r="J15" i="50"/>
  <c r="G15" i="50"/>
  <c r="D15" i="50"/>
  <c r="EL14" i="50"/>
  <c r="EG14" i="50"/>
  <c r="EI14" i="50" s="1"/>
  <c r="DW14" i="50"/>
  <c r="DT14" i="50"/>
  <c r="DQ14" i="50"/>
  <c r="DN14" i="50"/>
  <c r="DK14" i="50"/>
  <c r="DH14" i="50"/>
  <c r="DE14" i="50"/>
  <c r="DB14" i="50"/>
  <c r="CY14" i="50"/>
  <c r="CV14" i="50"/>
  <c r="CS14" i="50"/>
  <c r="CP14" i="50"/>
  <c r="CM14" i="50"/>
  <c r="CJ14" i="50"/>
  <c r="CG14" i="50"/>
  <c r="CD14" i="50"/>
  <c r="CA14" i="50"/>
  <c r="BX14" i="50"/>
  <c r="BU14" i="50"/>
  <c r="BR14" i="50"/>
  <c r="BO14" i="50"/>
  <c r="BL14" i="50"/>
  <c r="BI14" i="50"/>
  <c r="BF14" i="50"/>
  <c r="BC14" i="50"/>
  <c r="AZ14" i="50"/>
  <c r="AU14" i="50"/>
  <c r="AR14" i="50"/>
  <c r="AT14" i="50" s="1"/>
  <c r="AO14" i="50"/>
  <c r="AQ14" i="50" s="1"/>
  <c r="AL14" i="50"/>
  <c r="EB14" i="50" s="1"/>
  <c r="AK14" i="50"/>
  <c r="AI14" i="50"/>
  <c r="AB14" i="50"/>
  <c r="Y14" i="50"/>
  <c r="V14" i="50"/>
  <c r="S14" i="50"/>
  <c r="EH14" i="50" s="1"/>
  <c r="P14" i="50"/>
  <c r="M14" i="50"/>
  <c r="J14" i="50"/>
  <c r="G14" i="50"/>
  <c r="D14" i="50"/>
  <c r="EL13" i="50"/>
  <c r="EH13" i="50"/>
  <c r="EG13" i="50"/>
  <c r="EI13" i="50" s="1"/>
  <c r="DW13" i="50"/>
  <c r="DT13" i="50"/>
  <c r="DQ13" i="50"/>
  <c r="DN13" i="50"/>
  <c r="DK13" i="50"/>
  <c r="DH13" i="50"/>
  <c r="DE13" i="50"/>
  <c r="DB13" i="50"/>
  <c r="CY13" i="50"/>
  <c r="CV13" i="50"/>
  <c r="CS13" i="50"/>
  <c r="CP13" i="50"/>
  <c r="CM13" i="50"/>
  <c r="CJ13" i="50"/>
  <c r="CG13" i="50"/>
  <c r="CD13" i="50"/>
  <c r="CA13" i="50"/>
  <c r="BX13" i="50"/>
  <c r="BU13" i="50"/>
  <c r="BR13" i="50"/>
  <c r="BO13" i="50"/>
  <c r="BL13" i="50"/>
  <c r="BI13" i="50"/>
  <c r="BF13" i="50"/>
  <c r="BC13" i="50"/>
  <c r="AZ13" i="50"/>
  <c r="AU13" i="50"/>
  <c r="AR13" i="50"/>
  <c r="AT13" i="50" s="1"/>
  <c r="AO13" i="50"/>
  <c r="AQ13" i="50" s="1"/>
  <c r="AL13" i="50"/>
  <c r="AN13" i="50" s="1"/>
  <c r="AI13" i="50"/>
  <c r="AK13" i="50" s="1"/>
  <c r="AB13" i="50"/>
  <c r="Y13" i="50"/>
  <c r="V13" i="50"/>
  <c r="S13" i="50"/>
  <c r="P13" i="50"/>
  <c r="M13" i="50"/>
  <c r="J13" i="50"/>
  <c r="G13" i="50"/>
  <c r="D13" i="50"/>
  <c r="EL12" i="50"/>
  <c r="EG12" i="50"/>
  <c r="EI12" i="50" s="1"/>
  <c r="DW12" i="50"/>
  <c r="DT12" i="50"/>
  <c r="DQ12" i="50"/>
  <c r="DN12" i="50"/>
  <c r="DK12" i="50"/>
  <c r="DH12" i="50"/>
  <c r="DE12" i="50"/>
  <c r="DB12" i="50"/>
  <c r="CY12" i="50"/>
  <c r="CV12" i="50"/>
  <c r="CS12" i="50"/>
  <c r="CP12" i="50"/>
  <c r="CM12" i="50"/>
  <c r="CJ12" i="50"/>
  <c r="CG12" i="50"/>
  <c r="CD12" i="50"/>
  <c r="CA12" i="50"/>
  <c r="BX12" i="50"/>
  <c r="BU12" i="50"/>
  <c r="BR12" i="50"/>
  <c r="BO12" i="50"/>
  <c r="BL12" i="50"/>
  <c r="BI12" i="50"/>
  <c r="BF12" i="50"/>
  <c r="BC12" i="50"/>
  <c r="AZ12" i="50"/>
  <c r="AU12" i="50"/>
  <c r="EK12" i="50" s="1"/>
  <c r="AT12" i="50"/>
  <c r="AR12" i="50"/>
  <c r="AO12" i="50"/>
  <c r="AL12" i="50"/>
  <c r="AN12" i="50" s="1"/>
  <c r="AK12" i="50"/>
  <c r="AB12" i="50"/>
  <c r="Y12" i="50"/>
  <c r="V12" i="50"/>
  <c r="S12" i="50"/>
  <c r="P12" i="50"/>
  <c r="M12" i="50"/>
  <c r="J12" i="50"/>
  <c r="G12" i="50"/>
  <c r="D12" i="50"/>
  <c r="A12" i="50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EL11" i="50"/>
  <c r="EI11" i="50"/>
  <c r="EG11" i="50"/>
  <c r="DW11" i="50"/>
  <c r="DT11" i="50"/>
  <c r="DQ11" i="50"/>
  <c r="DN11" i="50"/>
  <c r="DK11" i="50"/>
  <c r="DH11" i="50"/>
  <c r="DH42" i="50" s="1"/>
  <c r="DE11" i="50"/>
  <c r="DB11" i="50"/>
  <c r="CY11" i="50"/>
  <c r="CV11" i="50"/>
  <c r="CS11" i="50"/>
  <c r="CP11" i="50"/>
  <c r="CM11" i="50"/>
  <c r="CJ11" i="50"/>
  <c r="CJ42" i="50" s="1"/>
  <c r="CG11" i="50"/>
  <c r="CD11" i="50"/>
  <c r="CA11" i="50"/>
  <c r="BX11" i="50"/>
  <c r="BU11" i="50"/>
  <c r="BR11" i="50"/>
  <c r="BO11" i="50"/>
  <c r="BL11" i="50"/>
  <c r="BL42" i="50" s="1"/>
  <c r="BI11" i="50"/>
  <c r="BF11" i="50"/>
  <c r="BC11" i="50"/>
  <c r="AZ11" i="50"/>
  <c r="AW11" i="50"/>
  <c r="AR11" i="50"/>
  <c r="AO11" i="50"/>
  <c r="AQ11" i="50" s="1"/>
  <c r="AL11" i="50"/>
  <c r="AK11" i="50"/>
  <c r="AH42" i="50"/>
  <c r="AE42" i="50"/>
  <c r="AB11" i="50"/>
  <c r="Y11" i="50"/>
  <c r="V11" i="50"/>
  <c r="S11" i="50"/>
  <c r="P11" i="50"/>
  <c r="M11" i="50"/>
  <c r="J11" i="50"/>
  <c r="G11" i="50"/>
  <c r="D11" i="50"/>
  <c r="EO2" i="50"/>
  <c r="EB35" i="50" l="1"/>
  <c r="EK41" i="50"/>
  <c r="V42" i="50"/>
  <c r="AN23" i="50"/>
  <c r="BC41" i="50"/>
  <c r="EH11" i="50"/>
  <c r="EM15" i="50"/>
  <c r="EB28" i="50"/>
  <c r="EC28" i="50" s="1"/>
  <c r="EK29" i="50"/>
  <c r="EB41" i="50"/>
  <c r="EE2" i="50" s="1"/>
  <c r="EQ2" i="50" s="1"/>
  <c r="G4" i="50" s="1"/>
  <c r="EK24" i="50"/>
  <c r="BR42" i="50"/>
  <c r="EK17" i="50"/>
  <c r="EB18" i="50"/>
  <c r="D42" i="50"/>
  <c r="AB42" i="50"/>
  <c r="BU42" i="50"/>
  <c r="CS42" i="50"/>
  <c r="EH17" i="50"/>
  <c r="EH23" i="50"/>
  <c r="EB25" i="50"/>
  <c r="EH26" i="50"/>
  <c r="AN28" i="50"/>
  <c r="EH29" i="50"/>
  <c r="AW29" i="50"/>
  <c r="EK30" i="50"/>
  <c r="EB30" i="50"/>
  <c r="EH31" i="50"/>
  <c r="EH33" i="50"/>
  <c r="EK34" i="50"/>
  <c r="EK14" i="50"/>
  <c r="EC14" i="50" s="1"/>
  <c r="ED15" i="50"/>
  <c r="EE15" i="50" s="1"/>
  <c r="EH18" i="50"/>
  <c r="EK19" i="50"/>
  <c r="EB20" i="50"/>
  <c r="EB22" i="50"/>
  <c r="EK33" i="50"/>
  <c r="EK36" i="50"/>
  <c r="EK38" i="50"/>
  <c r="EK40" i="50"/>
  <c r="EC40" i="50" s="1"/>
  <c r="CP42" i="50"/>
  <c r="CV42" i="50"/>
  <c r="J42" i="50"/>
  <c r="CY42" i="50"/>
  <c r="EK23" i="50"/>
  <c r="EH25" i="50"/>
  <c r="EK26" i="50"/>
  <c r="EC26" i="50" s="1"/>
  <c r="EH28" i="50"/>
  <c r="EB32" i="50"/>
  <c r="EB34" i="50"/>
  <c r="EK35" i="50"/>
  <c r="EH37" i="50"/>
  <c r="EB37" i="50"/>
  <c r="DN42" i="50"/>
  <c r="G42" i="50"/>
  <c r="BX42" i="50"/>
  <c r="DT42" i="50"/>
  <c r="CA42" i="50"/>
  <c r="DW42" i="50"/>
  <c r="EK13" i="50"/>
  <c r="AW14" i="50"/>
  <c r="EB15" i="50"/>
  <c r="M42" i="50"/>
  <c r="BF42" i="50"/>
  <c r="CD42" i="50"/>
  <c r="DB42" i="50"/>
  <c r="EB12" i="50"/>
  <c r="EC12" i="50" s="1"/>
  <c r="AW13" i="50"/>
  <c r="EM13" i="50" s="1"/>
  <c r="EN13" i="50" s="1"/>
  <c r="AN15" i="50"/>
  <c r="EK15" i="50"/>
  <c r="EN15" i="50" s="1"/>
  <c r="EH16" i="50"/>
  <c r="BO42" i="50"/>
  <c r="CM42" i="50"/>
  <c r="DK42" i="50"/>
  <c r="EB27" i="50"/>
  <c r="EH30" i="50"/>
  <c r="EM30" i="50"/>
  <c r="EB36" i="50"/>
  <c r="EB38" i="50"/>
  <c r="EK39" i="50"/>
  <c r="EK11" i="50"/>
  <c r="P42" i="50"/>
  <c r="EB11" i="50"/>
  <c r="BI42" i="50"/>
  <c r="CG42" i="50"/>
  <c r="DE42" i="50"/>
  <c r="EH12" i="50"/>
  <c r="EH42" i="50" s="1"/>
  <c r="ED13" i="50"/>
  <c r="EK16" i="50"/>
  <c r="EB17" i="50"/>
  <c r="EK20" i="50"/>
  <c r="EC20" i="50" s="1"/>
  <c r="EB21" i="50"/>
  <c r="EH22" i="50"/>
  <c r="EK25" i="50"/>
  <c r="EK28" i="50"/>
  <c r="EB29" i="50"/>
  <c r="EC29" i="50" s="1"/>
  <c r="EB33" i="50"/>
  <c r="EH34" i="50"/>
  <c r="EK37" i="50"/>
  <c r="EC37" i="50" s="1"/>
  <c r="EB40" i="50"/>
  <c r="ED41" i="50"/>
  <c r="EE41" i="50" s="1"/>
  <c r="ED24" i="50"/>
  <c r="EC34" i="50"/>
  <c r="AQ42" i="50"/>
  <c r="EM24" i="50"/>
  <c r="EN24" i="50" s="1"/>
  <c r="EC38" i="50"/>
  <c r="EN2" i="50"/>
  <c r="EP2" i="50" s="1"/>
  <c r="EM41" i="50"/>
  <c r="EN41" i="50" s="1"/>
  <c r="EC15" i="50"/>
  <c r="ED30" i="50"/>
  <c r="EE30" i="50" s="1"/>
  <c r="EC27" i="50"/>
  <c r="AK42" i="50"/>
  <c r="EC25" i="50"/>
  <c r="EC32" i="50"/>
  <c r="EC17" i="50"/>
  <c r="EC11" i="50"/>
  <c r="ED16" i="50"/>
  <c r="EC36" i="50"/>
  <c r="EB39" i="50"/>
  <c r="AQ12" i="50"/>
  <c r="AW16" i="50"/>
  <c r="EM16" i="50" s="1"/>
  <c r="EN16" i="50" s="1"/>
  <c r="AN18" i="50"/>
  <c r="ED18" i="50" s="1"/>
  <c r="EE18" i="50" s="1"/>
  <c r="EK18" i="50"/>
  <c r="AW19" i="50"/>
  <c r="EM19" i="50" s="1"/>
  <c r="EN19" i="50" s="1"/>
  <c r="AN21" i="50"/>
  <c r="EM21" i="50" s="1"/>
  <c r="EK21" i="50"/>
  <c r="EC21" i="50" s="1"/>
  <c r="EC23" i="50"/>
  <c r="EK27" i="50"/>
  <c r="AW28" i="50"/>
  <c r="EC30" i="50"/>
  <c r="EK31" i="50"/>
  <c r="AW32" i="50"/>
  <c r="EM32" i="50" s="1"/>
  <c r="EN32" i="50" s="1"/>
  <c r="EC33" i="50"/>
  <c r="EC35" i="50"/>
  <c r="AT37" i="50"/>
  <c r="AN38" i="50"/>
  <c r="ED38" i="50" s="1"/>
  <c r="EC41" i="50"/>
  <c r="AT11" i="50"/>
  <c r="AT42" i="50" s="1"/>
  <c r="AN27" i="50"/>
  <c r="EM27" i="50" s="1"/>
  <c r="AN31" i="50"/>
  <c r="ED31" i="50" s="1"/>
  <c r="EE31" i="50" s="1"/>
  <c r="AN34" i="50"/>
  <c r="ED34" i="50" s="1"/>
  <c r="EE34" i="50" s="1"/>
  <c r="AZ34" i="50"/>
  <c r="AZ42" i="50" s="1"/>
  <c r="AN36" i="50"/>
  <c r="AZ36" i="50"/>
  <c r="EM36" i="50" s="1"/>
  <c r="EN36" i="50" s="1"/>
  <c r="EI40" i="50"/>
  <c r="Y42" i="50"/>
  <c r="DQ42" i="50"/>
  <c r="EB13" i="50"/>
  <c r="EB24" i="50"/>
  <c r="BC38" i="50"/>
  <c r="AQ40" i="50"/>
  <c r="BC40" i="50"/>
  <c r="EM40" i="50" s="1"/>
  <c r="S42" i="50"/>
  <c r="EB16" i="50"/>
  <c r="AW17" i="50"/>
  <c r="ED17" i="50" s="1"/>
  <c r="EE17" i="50" s="1"/>
  <c r="EB19" i="50"/>
  <c r="AW20" i="50"/>
  <c r="ED20" i="50" s="1"/>
  <c r="EE20" i="50" s="1"/>
  <c r="AN22" i="50"/>
  <c r="ED22" i="50" s="1"/>
  <c r="EE22" i="50" s="1"/>
  <c r="EK22" i="50"/>
  <c r="EC22" i="50" s="1"/>
  <c r="AN32" i="50"/>
  <c r="AW33" i="50"/>
  <c r="EM33" i="50" s="1"/>
  <c r="EN33" i="50" s="1"/>
  <c r="AW35" i="50"/>
  <c r="EM35" i="50" s="1"/>
  <c r="EN35" i="50" s="1"/>
  <c r="EI3" i="50"/>
  <c r="EI4" i="50" s="1"/>
  <c r="EI5" i="50"/>
  <c r="AW12" i="50"/>
  <c r="EM12" i="50" s="1"/>
  <c r="EN12" i="50" s="1"/>
  <c r="AN14" i="50"/>
  <c r="EM14" i="50" s="1"/>
  <c r="AW23" i="50"/>
  <c r="ED23" i="50" s="1"/>
  <c r="EE23" i="50" s="1"/>
  <c r="AN25" i="50"/>
  <c r="ED25" i="50" s="1"/>
  <c r="EE25" i="50" s="1"/>
  <c r="AW26" i="50"/>
  <c r="EM26" i="50" s="1"/>
  <c r="AZ37" i="50"/>
  <c r="EM37" i="50" s="1"/>
  <c r="EN37" i="50" s="1"/>
  <c r="AZ39" i="50"/>
  <c r="ED39" i="50" s="1"/>
  <c r="AN11" i="50"/>
  <c r="AN29" i="50"/>
  <c r="EM29" i="50" s="1"/>
  <c r="EN29" i="50" s="1"/>
  <c r="EN26" i="50" l="1"/>
  <c r="ED32" i="50"/>
  <c r="EE32" i="50" s="1"/>
  <c r="EM28" i="50"/>
  <c r="EN28" i="50" s="1"/>
  <c r="EE5" i="50"/>
  <c r="G7" i="50" s="1"/>
  <c r="EN40" i="50"/>
  <c r="EE38" i="50"/>
  <c r="EM17" i="50"/>
  <c r="EN17" i="50" s="1"/>
  <c r="EN14" i="50"/>
  <c r="ED40" i="50"/>
  <c r="EE40" i="50" s="1"/>
  <c r="ED36" i="50"/>
  <c r="EE36" i="50" s="1"/>
  <c r="ED37" i="50"/>
  <c r="EE37" i="50" s="1"/>
  <c r="ED12" i="50"/>
  <c r="EE12" i="50" s="1"/>
  <c r="EM22" i="50"/>
  <c r="EN30" i="50"/>
  <c r="ED21" i="50"/>
  <c r="EE21" i="50" s="1"/>
  <c r="BC42" i="50"/>
  <c r="EM34" i="50"/>
  <c r="EN34" i="50" s="1"/>
  <c r="ED35" i="50"/>
  <c r="EE35" i="50" s="1"/>
  <c r="ED29" i="50"/>
  <c r="EE29" i="50" s="1"/>
  <c r="ED26" i="50"/>
  <c r="EE26" i="50" s="1"/>
  <c r="EN22" i="50"/>
  <c r="ED14" i="50"/>
  <c r="EE14" i="50" s="1"/>
  <c r="AW42" i="50"/>
  <c r="EM38" i="50"/>
  <c r="EN38" i="50" s="1"/>
  <c r="EN27" i="50"/>
  <c r="ED33" i="50"/>
  <c r="EE33" i="50" s="1"/>
  <c r="EE3" i="50"/>
  <c r="EM25" i="50"/>
  <c r="EN25" i="50" s="1"/>
  <c r="EM23" i="50"/>
  <c r="EN23" i="50" s="1"/>
  <c r="ED27" i="50"/>
  <c r="EE27" i="50" s="1"/>
  <c r="EM18" i="50"/>
  <c r="EN18" i="50" s="1"/>
  <c r="ED19" i="50"/>
  <c r="EE19" i="50" s="1"/>
  <c r="AN42" i="50"/>
  <c r="EC19" i="50"/>
  <c r="EE24" i="50"/>
  <c r="EC24" i="50"/>
  <c r="EE39" i="50"/>
  <c r="EC39" i="50"/>
  <c r="ED28" i="50"/>
  <c r="EE28" i="50" s="1"/>
  <c r="EN3" i="50"/>
  <c r="EM20" i="50"/>
  <c r="EN20" i="50" s="1"/>
  <c r="EE13" i="50"/>
  <c r="EC13" i="50"/>
  <c r="EN21" i="50"/>
  <c r="EM11" i="50"/>
  <c r="EM31" i="50"/>
  <c r="EN31" i="50" s="1"/>
  <c r="EN5" i="50"/>
  <c r="EM39" i="50"/>
  <c r="EN39" i="50" s="1"/>
  <c r="EE16" i="50"/>
  <c r="EC16" i="50"/>
  <c r="ED11" i="50"/>
  <c r="EC18" i="50"/>
  <c r="EC31" i="50"/>
  <c r="EM42" i="50" l="1"/>
  <c r="EN11" i="50"/>
  <c r="ED42" i="50"/>
  <c r="EE11" i="50"/>
  <c r="G5" i="50"/>
  <c r="EE4" i="50"/>
  <c r="G6" i="50" s="1"/>
  <c r="EN4" i="50"/>
  <c r="C28" i="63" l="1"/>
  <c r="C29" i="63" s="1"/>
  <c r="C33" i="63" s="1"/>
  <c r="D29" i="63" s="1"/>
  <c r="D33" i="63" s="1"/>
  <c r="E29" i="63" s="1"/>
  <c r="E33" i="63" s="1"/>
  <c r="F29" i="63" s="1"/>
  <c r="F33" i="63" s="1"/>
  <c r="G29" i="63" s="1"/>
  <c r="G33" i="63" s="1"/>
  <c r="H29" i="63" s="1"/>
  <c r="H33" i="63" s="1"/>
  <c r="I29" i="63" s="1"/>
  <c r="I33" i="63" s="1"/>
  <c r="J29" i="63" s="1"/>
  <c r="J33" i="63" s="1"/>
  <c r="K29" i="63" s="1"/>
  <c r="K33" i="63" s="1"/>
  <c r="L29" i="63" s="1"/>
  <c r="L33" i="63" s="1"/>
  <c r="M29" i="63" s="1"/>
  <c r="M33" i="63" s="1"/>
  <c r="N29" i="63" s="1"/>
  <c r="N33" i="63" s="1"/>
  <c r="B28" i="62"/>
  <c r="B29" i="62" s="1"/>
  <c r="C28" i="4"/>
  <c r="G7" i="48"/>
  <c r="G10" i="48" s="1"/>
  <c r="F7" i="48"/>
  <c r="F10" i="48" s="1"/>
  <c r="E7" i="48"/>
  <c r="E10" i="48" s="1"/>
  <c r="D7" i="48"/>
  <c r="D14" i="48" s="1"/>
  <c r="D17" i="48" s="1"/>
  <c r="C7" i="48"/>
  <c r="B7" i="48"/>
  <c r="M7" i="48"/>
  <c r="L7" i="48"/>
  <c r="K7" i="48"/>
  <c r="J7" i="48"/>
  <c r="I7" i="48"/>
  <c r="H7" i="48"/>
  <c r="B31" i="62" l="1"/>
  <c r="C29" i="62" s="1"/>
  <c r="C31" i="62" s="1"/>
  <c r="D29" i="62" s="1"/>
  <c r="D31" i="62" s="1"/>
  <c r="E29" i="62" s="1"/>
  <c r="E31" i="62" s="1"/>
  <c r="F29" i="62" s="1"/>
  <c r="F31" i="62" s="1"/>
  <c r="G29" i="62" s="1"/>
  <c r="G31" i="62" s="1"/>
  <c r="H29" i="62" s="1"/>
  <c r="H31" i="62" s="1"/>
  <c r="I29" i="62" s="1"/>
  <c r="I31" i="62" s="1"/>
  <c r="J29" i="62" s="1"/>
  <c r="J31" i="62" s="1"/>
  <c r="K29" i="62" s="1"/>
  <c r="K31" i="62" s="1"/>
  <c r="L29" i="62" s="1"/>
  <c r="L31" i="62" s="1"/>
  <c r="M29" i="62" s="1"/>
  <c r="M31" i="62" s="1"/>
  <c r="F14" i="48"/>
  <c r="F17" i="48" s="1"/>
  <c r="G14" i="48"/>
  <c r="G17" i="48" s="1"/>
  <c r="E14" i="48"/>
  <c r="E17" i="48" s="1"/>
  <c r="J14" i="48"/>
  <c r="J17" i="48" s="1"/>
  <c r="J10" i="48"/>
  <c r="K10" i="48"/>
  <c r="K14" i="48"/>
  <c r="K17" i="48" s="1"/>
  <c r="M10" i="48"/>
  <c r="M14" i="48"/>
  <c r="M17" i="48" s="1"/>
  <c r="B17" i="48"/>
  <c r="B10" i="48"/>
  <c r="L10" i="48"/>
  <c r="L14" i="48"/>
  <c r="L17" i="48" s="1"/>
  <c r="C17" i="48"/>
  <c r="C10" i="48"/>
  <c r="H10" i="48"/>
  <c r="H14" i="48"/>
  <c r="H17" i="48" s="1"/>
  <c r="I14" i="48"/>
  <c r="I17" i="48" s="1"/>
  <c r="I10" i="48"/>
  <c r="D10" i="48"/>
  <c r="G8" i="32" l="1"/>
  <c r="G9" i="32"/>
  <c r="G10" i="32"/>
  <c r="G11" i="32"/>
  <c r="G12" i="32"/>
  <c r="G13" i="32"/>
  <c r="C18" i="2" l="1"/>
  <c r="G25" i="32" l="1"/>
  <c r="G24" i="32"/>
  <c r="G23" i="32"/>
  <c r="G22" i="32"/>
  <c r="G21" i="32"/>
  <c r="G20" i="32"/>
  <c r="G19" i="32"/>
  <c r="G18" i="32"/>
  <c r="G17" i="32"/>
  <c r="G16" i="32"/>
  <c r="G15" i="32"/>
  <c r="G14" i="32"/>
  <c r="G27" i="32" l="1"/>
  <c r="B27" i="32" l="1"/>
  <c r="H13" i="32"/>
  <c r="H11" i="32"/>
  <c r="H9" i="32"/>
  <c r="H8" i="32"/>
  <c r="H12" i="32" l="1"/>
  <c r="H10" i="32"/>
  <c r="D27" i="32" l="1"/>
  <c r="H14" i="32" l="1"/>
  <c r="F9" i="9" l="1"/>
  <c r="F11" i="9" s="1"/>
  <c r="G9" i="9" l="1"/>
  <c r="C25" i="4"/>
  <c r="D25" i="4"/>
  <c r="E25" i="4"/>
  <c r="F25" i="4"/>
  <c r="G25" i="4"/>
  <c r="H25" i="4"/>
  <c r="N25" i="4"/>
  <c r="M25" i="4"/>
  <c r="L25" i="4"/>
  <c r="K25" i="4"/>
  <c r="J25" i="4"/>
  <c r="I25" i="4"/>
  <c r="G11" i="9" l="1"/>
  <c r="C14" i="2" s="1"/>
  <c r="C21" i="32" l="1"/>
  <c r="C22" i="32"/>
  <c r="C23" i="32"/>
  <c r="C24" i="32"/>
  <c r="C25" i="32"/>
  <c r="C27" i="32" l="1"/>
  <c r="H24" i="32"/>
  <c r="H21" i="32"/>
  <c r="H23" i="32"/>
  <c r="H22" i="32"/>
  <c r="H20" i="32"/>
  <c r="H25" i="32" l="1"/>
  <c r="H19" i="32" l="1"/>
  <c r="H18" i="32" l="1"/>
  <c r="H17" i="32"/>
  <c r="H16" i="32"/>
  <c r="H15" i="32" l="1"/>
  <c r="H27" i="32" s="1"/>
  <c r="C15" i="2" l="1"/>
  <c r="EL40" i="18"/>
  <c r="EG40" i="18"/>
  <c r="EI40" i="18" s="1"/>
  <c r="DW40" i="18"/>
  <c r="DT40" i="18"/>
  <c r="DQ40" i="18"/>
  <c r="DN40" i="18"/>
  <c r="DK40" i="18"/>
  <c r="DH40" i="18"/>
  <c r="DE40" i="18"/>
  <c r="DB40" i="18"/>
  <c r="CY40" i="18"/>
  <c r="CV40" i="18"/>
  <c r="CS40" i="18"/>
  <c r="CP40" i="18"/>
  <c r="CM40" i="18"/>
  <c r="CJ40" i="18"/>
  <c r="CG40" i="18"/>
  <c r="CD40" i="18"/>
  <c r="CA40" i="18"/>
  <c r="BX40" i="18"/>
  <c r="BU40" i="18"/>
  <c r="BR40" i="18"/>
  <c r="BO40" i="18"/>
  <c r="BL40" i="18"/>
  <c r="BI40" i="18"/>
  <c r="BF40" i="18"/>
  <c r="BC40" i="18"/>
  <c r="AZ40" i="18"/>
  <c r="AW40" i="18"/>
  <c r="AR40" i="18"/>
  <c r="AT40" i="18" s="1"/>
  <c r="AQ40" i="18"/>
  <c r="AL40" i="18"/>
  <c r="AN40" i="18" s="1"/>
  <c r="AI40" i="18"/>
  <c r="AK40" i="18" s="1"/>
  <c r="AB40" i="18"/>
  <c r="Y40" i="18"/>
  <c r="V40" i="18"/>
  <c r="S40" i="18"/>
  <c r="EH40" i="18" s="1"/>
  <c r="P40" i="18"/>
  <c r="M40" i="18"/>
  <c r="J40" i="18"/>
  <c r="G40" i="18"/>
  <c r="D40" i="18"/>
  <c r="EL39" i="18"/>
  <c r="EG39" i="18"/>
  <c r="EI39" i="18" s="1"/>
  <c r="DW39" i="18"/>
  <c r="DT39" i="18"/>
  <c r="DQ39" i="18"/>
  <c r="DN39" i="18"/>
  <c r="DK39" i="18"/>
  <c r="DH39" i="18"/>
  <c r="DE39" i="18"/>
  <c r="DB39" i="18"/>
  <c r="CY39" i="18"/>
  <c r="CV39" i="18"/>
  <c r="CS39" i="18"/>
  <c r="CP39" i="18"/>
  <c r="CM39" i="18"/>
  <c r="CJ39" i="18"/>
  <c r="CG39" i="18"/>
  <c r="CD39" i="18"/>
  <c r="CA39" i="18"/>
  <c r="BX39" i="18"/>
  <c r="BU39" i="18"/>
  <c r="BR39" i="18"/>
  <c r="BO39" i="18"/>
  <c r="BL39" i="18"/>
  <c r="BI39" i="18"/>
  <c r="BF39" i="18"/>
  <c r="BC39" i="18"/>
  <c r="AZ39" i="18"/>
  <c r="AW39" i="18"/>
  <c r="AR39" i="18"/>
  <c r="AT39" i="18" s="1"/>
  <c r="AQ39" i="18"/>
  <c r="AL39" i="18"/>
  <c r="AN39" i="18" s="1"/>
  <c r="AI39" i="18"/>
  <c r="AK39" i="18" s="1"/>
  <c r="AB39" i="18"/>
  <c r="Y39" i="18"/>
  <c r="V39" i="18"/>
  <c r="S39" i="18"/>
  <c r="P39" i="18"/>
  <c r="M39" i="18"/>
  <c r="J39" i="18"/>
  <c r="G39" i="18"/>
  <c r="D39" i="18"/>
  <c r="EL38" i="18"/>
  <c r="EG38" i="18"/>
  <c r="EI38" i="18" s="1"/>
  <c r="DW38" i="18"/>
  <c r="DT38" i="18"/>
  <c r="DQ38" i="18"/>
  <c r="DN38" i="18"/>
  <c r="DK38" i="18"/>
  <c r="DH38" i="18"/>
  <c r="DE38" i="18"/>
  <c r="DB38" i="18"/>
  <c r="CY38" i="18"/>
  <c r="CV38" i="18"/>
  <c r="CS38" i="18"/>
  <c r="CP38" i="18"/>
  <c r="CM38" i="18"/>
  <c r="CJ38" i="18"/>
  <c r="CG38" i="18"/>
  <c r="CD38" i="18"/>
  <c r="CA38" i="18"/>
  <c r="BX38" i="18"/>
  <c r="BU38" i="18"/>
  <c r="BR38" i="18"/>
  <c r="BO38" i="18"/>
  <c r="BL38" i="18"/>
  <c r="BI38" i="18"/>
  <c r="BF38" i="18"/>
  <c r="BC38" i="18"/>
  <c r="AZ38" i="18"/>
  <c r="AW38" i="18"/>
  <c r="AR38" i="18"/>
  <c r="AT38" i="18" s="1"/>
  <c r="AQ38" i="18"/>
  <c r="AN38" i="18"/>
  <c r="AL38" i="18"/>
  <c r="AI38" i="18"/>
  <c r="AK38" i="18" s="1"/>
  <c r="AB38" i="18"/>
  <c r="Y38" i="18"/>
  <c r="V38" i="18"/>
  <c r="S38" i="18"/>
  <c r="P38" i="18"/>
  <c r="M38" i="18"/>
  <c r="J38" i="18"/>
  <c r="G38" i="18"/>
  <c r="D38" i="18"/>
  <c r="EL37" i="18"/>
  <c r="EG37" i="18"/>
  <c r="EI37" i="18" s="1"/>
  <c r="DW37" i="18"/>
  <c r="DT37" i="18"/>
  <c r="DQ37" i="18"/>
  <c r="DN37" i="18"/>
  <c r="DK37" i="18"/>
  <c r="DH37" i="18"/>
  <c r="DE37" i="18"/>
  <c r="DB37" i="18"/>
  <c r="CY37" i="18"/>
  <c r="CV37" i="18"/>
  <c r="CS37" i="18"/>
  <c r="CP37" i="18"/>
  <c r="CM37" i="18"/>
  <c r="CJ37" i="18"/>
  <c r="CG37" i="18"/>
  <c r="CD37" i="18"/>
  <c r="CA37" i="18"/>
  <c r="BX37" i="18"/>
  <c r="BU37" i="18"/>
  <c r="BR37" i="18"/>
  <c r="BO37" i="18"/>
  <c r="BL37" i="18"/>
  <c r="BI37" i="18"/>
  <c r="BF37" i="18"/>
  <c r="BC37" i="18"/>
  <c r="AZ37" i="18"/>
  <c r="AW37" i="18"/>
  <c r="AR37" i="18"/>
  <c r="AT37" i="18" s="1"/>
  <c r="AQ37" i="18"/>
  <c r="AL37" i="18"/>
  <c r="AI37" i="18"/>
  <c r="AK37" i="18" s="1"/>
  <c r="AB37" i="18"/>
  <c r="Y37" i="18"/>
  <c r="V37" i="18"/>
  <c r="S37" i="18"/>
  <c r="P37" i="18"/>
  <c r="M37" i="18"/>
  <c r="J37" i="18"/>
  <c r="G37" i="18"/>
  <c r="D37" i="18"/>
  <c r="EL36" i="18"/>
  <c r="EG36" i="18"/>
  <c r="EI36" i="18" s="1"/>
  <c r="DW36" i="18"/>
  <c r="DT36" i="18"/>
  <c r="DQ36" i="18"/>
  <c r="DN36" i="18"/>
  <c r="DK36" i="18"/>
  <c r="DH36" i="18"/>
  <c r="DE36" i="18"/>
  <c r="DB36" i="18"/>
  <c r="CY36" i="18"/>
  <c r="CV36" i="18"/>
  <c r="CS36" i="18"/>
  <c r="CP36" i="18"/>
  <c r="CM36" i="18"/>
  <c r="CJ36" i="18"/>
  <c r="CG36" i="18"/>
  <c r="CD36" i="18"/>
  <c r="CA36" i="18"/>
  <c r="BX36" i="18"/>
  <c r="BU36" i="18"/>
  <c r="BR36" i="18"/>
  <c r="BO36" i="18"/>
  <c r="BL36" i="18"/>
  <c r="BI36" i="18"/>
  <c r="BF36" i="18"/>
  <c r="BC36" i="18"/>
  <c r="AZ36" i="18"/>
  <c r="AW36" i="18"/>
  <c r="AR36" i="18"/>
  <c r="AT36" i="18" s="1"/>
  <c r="AQ36" i="18"/>
  <c r="AL36" i="18"/>
  <c r="AN36" i="18" s="1"/>
  <c r="AI36" i="18"/>
  <c r="AK36" i="18" s="1"/>
  <c r="AB36" i="18"/>
  <c r="Y36" i="18"/>
  <c r="V36" i="18"/>
  <c r="S36" i="18"/>
  <c r="EH36" i="18" s="1"/>
  <c r="P36" i="18"/>
  <c r="M36" i="18"/>
  <c r="J36" i="18"/>
  <c r="G36" i="18"/>
  <c r="D36" i="18"/>
  <c r="EL35" i="18"/>
  <c r="EG35" i="18"/>
  <c r="EI35" i="18" s="1"/>
  <c r="DW35" i="18"/>
  <c r="DT35" i="18"/>
  <c r="DQ35" i="18"/>
  <c r="DN35" i="18"/>
  <c r="DK35" i="18"/>
  <c r="DH35" i="18"/>
  <c r="DE35" i="18"/>
  <c r="DB35" i="18"/>
  <c r="CY35" i="18"/>
  <c r="CV35" i="18"/>
  <c r="CS35" i="18"/>
  <c r="CP35" i="18"/>
  <c r="CM35" i="18"/>
  <c r="CJ35" i="18"/>
  <c r="CG35" i="18"/>
  <c r="CD35" i="18"/>
  <c r="CA35" i="18"/>
  <c r="BX35" i="18"/>
  <c r="BU35" i="18"/>
  <c r="BR35" i="18"/>
  <c r="BO35" i="18"/>
  <c r="BL35" i="18"/>
  <c r="BI35" i="18"/>
  <c r="BF35" i="18"/>
  <c r="BC35" i="18"/>
  <c r="AZ35" i="18"/>
  <c r="AW35" i="18"/>
  <c r="AR35" i="18"/>
  <c r="AT35" i="18" s="1"/>
  <c r="AQ35" i="18"/>
  <c r="AL35" i="18"/>
  <c r="AI35" i="18"/>
  <c r="AK35" i="18" s="1"/>
  <c r="AB35" i="18"/>
  <c r="Y35" i="18"/>
  <c r="V35" i="18"/>
  <c r="S35" i="18"/>
  <c r="P35" i="18"/>
  <c r="M35" i="18"/>
  <c r="J35" i="18"/>
  <c r="G35" i="18"/>
  <c r="D35" i="18"/>
  <c r="EL34" i="18"/>
  <c r="EG34" i="18"/>
  <c r="EI34" i="18" s="1"/>
  <c r="DW34" i="18"/>
  <c r="DT34" i="18"/>
  <c r="DQ34" i="18"/>
  <c r="DN34" i="18"/>
  <c r="DK34" i="18"/>
  <c r="DH34" i="18"/>
  <c r="DE34" i="18"/>
  <c r="DB34" i="18"/>
  <c r="CY34" i="18"/>
  <c r="CV34" i="18"/>
  <c r="CS34" i="18"/>
  <c r="CP34" i="18"/>
  <c r="CM34" i="18"/>
  <c r="CJ34" i="18"/>
  <c r="CG34" i="18"/>
  <c r="CD34" i="18"/>
  <c r="CA34" i="18"/>
  <c r="BX34" i="18"/>
  <c r="BU34" i="18"/>
  <c r="BR34" i="18"/>
  <c r="BO34" i="18"/>
  <c r="BL34" i="18"/>
  <c r="BI34" i="18"/>
  <c r="BF34" i="18"/>
  <c r="BC34" i="18"/>
  <c r="AZ34" i="18"/>
  <c r="AW34" i="18"/>
  <c r="AR34" i="18"/>
  <c r="AT34" i="18" s="1"/>
  <c r="AQ34" i="18"/>
  <c r="AL34" i="18"/>
  <c r="AN34" i="18" s="1"/>
  <c r="AK34" i="18"/>
  <c r="AI34" i="18"/>
  <c r="AB34" i="18"/>
  <c r="Y34" i="18"/>
  <c r="V34" i="18"/>
  <c r="S34" i="18"/>
  <c r="P34" i="18"/>
  <c r="M34" i="18"/>
  <c r="J34" i="18"/>
  <c r="G34" i="18"/>
  <c r="D34" i="18"/>
  <c r="EL33" i="18"/>
  <c r="EG33" i="18"/>
  <c r="EI33" i="18" s="1"/>
  <c r="DW33" i="18"/>
  <c r="DT33" i="18"/>
  <c r="DQ33" i="18"/>
  <c r="DN33" i="18"/>
  <c r="DK33" i="18"/>
  <c r="DH33" i="18"/>
  <c r="DE33" i="18"/>
  <c r="DB33" i="18"/>
  <c r="CY33" i="18"/>
  <c r="CV33" i="18"/>
  <c r="CS33" i="18"/>
  <c r="CP33" i="18"/>
  <c r="CM33" i="18"/>
  <c r="CJ33" i="18"/>
  <c r="CG33" i="18"/>
  <c r="CD33" i="18"/>
  <c r="CA33" i="18"/>
  <c r="BX33" i="18"/>
  <c r="BU33" i="18"/>
  <c r="BR33" i="18"/>
  <c r="BO33" i="18"/>
  <c r="BL33" i="18"/>
  <c r="BI33" i="18"/>
  <c r="BF33" i="18"/>
  <c r="BC33" i="18"/>
  <c r="AZ33" i="18"/>
  <c r="AW33" i="18"/>
  <c r="AR33" i="18"/>
  <c r="AQ33" i="18"/>
  <c r="AL33" i="18"/>
  <c r="AN33" i="18" s="1"/>
  <c r="AI33" i="18"/>
  <c r="AK33" i="18" s="1"/>
  <c r="AB33" i="18"/>
  <c r="Y33" i="18"/>
  <c r="V33" i="18"/>
  <c r="S33" i="18"/>
  <c r="P33" i="18"/>
  <c r="M33" i="18"/>
  <c r="J33" i="18"/>
  <c r="G33" i="18"/>
  <c r="D33" i="18"/>
  <c r="EL32" i="18"/>
  <c r="EG32" i="18"/>
  <c r="EI32" i="18" s="1"/>
  <c r="DW32" i="18"/>
  <c r="DT32" i="18"/>
  <c r="DQ32" i="18"/>
  <c r="DN32" i="18"/>
  <c r="DK32" i="18"/>
  <c r="DH32" i="18"/>
  <c r="DE32" i="18"/>
  <c r="DB32" i="18"/>
  <c r="CY32" i="18"/>
  <c r="CV32" i="18"/>
  <c r="CS32" i="18"/>
  <c r="CP32" i="18"/>
  <c r="CM32" i="18"/>
  <c r="CJ32" i="18"/>
  <c r="CG32" i="18"/>
  <c r="CD32" i="18"/>
  <c r="CA32" i="18"/>
  <c r="BX32" i="18"/>
  <c r="BU32" i="18"/>
  <c r="BR32" i="18"/>
  <c r="BO32" i="18"/>
  <c r="BL32" i="18"/>
  <c r="BI32" i="18"/>
  <c r="BF32" i="18"/>
  <c r="BC32" i="18"/>
  <c r="AZ32" i="18"/>
  <c r="AW32" i="18"/>
  <c r="AR32" i="18"/>
  <c r="AT32" i="18" s="1"/>
  <c r="AQ32" i="18"/>
  <c r="AL32" i="18"/>
  <c r="AN32" i="18" s="1"/>
  <c r="AK32" i="18"/>
  <c r="AI32" i="18"/>
  <c r="AB32" i="18"/>
  <c r="Y32" i="18"/>
  <c r="V32" i="18"/>
  <c r="S32" i="18"/>
  <c r="EH32" i="18" s="1"/>
  <c r="P32" i="18"/>
  <c r="M32" i="18"/>
  <c r="J32" i="18"/>
  <c r="G32" i="18"/>
  <c r="D32" i="18"/>
  <c r="EL31" i="18"/>
  <c r="EI31" i="18"/>
  <c r="EG31" i="18"/>
  <c r="DW31" i="18"/>
  <c r="DT31" i="18"/>
  <c r="DQ31" i="18"/>
  <c r="DN31" i="18"/>
  <c r="DK31" i="18"/>
  <c r="DH31" i="18"/>
  <c r="DE31" i="18"/>
  <c r="DB31" i="18"/>
  <c r="CY31" i="18"/>
  <c r="CV31" i="18"/>
  <c r="CS31" i="18"/>
  <c r="CP31" i="18"/>
  <c r="CM31" i="18"/>
  <c r="CJ31" i="18"/>
  <c r="CG31" i="18"/>
  <c r="CD31" i="18"/>
  <c r="CA31" i="18"/>
  <c r="BX31" i="18"/>
  <c r="BU31" i="18"/>
  <c r="BR31" i="18"/>
  <c r="BO31" i="18"/>
  <c r="BL31" i="18"/>
  <c r="BI31" i="18"/>
  <c r="BF31" i="18"/>
  <c r="BC31" i="18"/>
  <c r="AZ31" i="18"/>
  <c r="AW31" i="18"/>
  <c r="AR31" i="18"/>
  <c r="AT31" i="18" s="1"/>
  <c r="AQ31" i="18"/>
  <c r="AL31" i="18"/>
  <c r="AN31" i="18" s="1"/>
  <c r="AI31" i="18"/>
  <c r="AK31" i="18" s="1"/>
  <c r="AB31" i="18"/>
  <c r="Y31" i="18"/>
  <c r="V31" i="18"/>
  <c r="S31" i="18"/>
  <c r="P31" i="18"/>
  <c r="M31" i="18"/>
  <c r="J31" i="18"/>
  <c r="G31" i="18"/>
  <c r="D31" i="18"/>
  <c r="EL30" i="18"/>
  <c r="EG30" i="18"/>
  <c r="EI30" i="18" s="1"/>
  <c r="DW30" i="18"/>
  <c r="DT30" i="18"/>
  <c r="DQ30" i="18"/>
  <c r="DN30" i="18"/>
  <c r="DK30" i="18"/>
  <c r="DH30" i="18"/>
  <c r="DE30" i="18"/>
  <c r="DB30" i="18"/>
  <c r="CY30" i="18"/>
  <c r="CV30" i="18"/>
  <c r="CS30" i="18"/>
  <c r="CP30" i="18"/>
  <c r="CM30" i="18"/>
  <c r="CJ30" i="18"/>
  <c r="CG30" i="18"/>
  <c r="CD30" i="18"/>
  <c r="CA30" i="18"/>
  <c r="BX30" i="18"/>
  <c r="BU30" i="18"/>
  <c r="BR30" i="18"/>
  <c r="BO30" i="18"/>
  <c r="BL30" i="18"/>
  <c r="BI30" i="18"/>
  <c r="BF30" i="18"/>
  <c r="BC30" i="18"/>
  <c r="AZ30" i="18"/>
  <c r="AW30" i="18"/>
  <c r="AR30" i="18"/>
  <c r="AT30" i="18" s="1"/>
  <c r="AQ30" i="18"/>
  <c r="AL30" i="18"/>
  <c r="AI30" i="18"/>
  <c r="AK30" i="18" s="1"/>
  <c r="AB30" i="18"/>
  <c r="Y30" i="18"/>
  <c r="V30" i="18"/>
  <c r="S30" i="18"/>
  <c r="P30" i="18"/>
  <c r="M30" i="18"/>
  <c r="J30" i="18"/>
  <c r="G30" i="18"/>
  <c r="D30" i="18"/>
  <c r="EL29" i="18"/>
  <c r="EG29" i="18"/>
  <c r="EI29" i="18" s="1"/>
  <c r="DW29" i="18"/>
  <c r="DT29" i="18"/>
  <c r="DQ29" i="18"/>
  <c r="DN29" i="18"/>
  <c r="DK29" i="18"/>
  <c r="DH29" i="18"/>
  <c r="DE29" i="18"/>
  <c r="DB29" i="18"/>
  <c r="CY29" i="18"/>
  <c r="CV29" i="18"/>
  <c r="CS29" i="18"/>
  <c r="CP29" i="18"/>
  <c r="CM29" i="18"/>
  <c r="CJ29" i="18"/>
  <c r="CG29" i="18"/>
  <c r="CD29" i="18"/>
  <c r="CA29" i="18"/>
  <c r="BX29" i="18"/>
  <c r="BU29" i="18"/>
  <c r="BR29" i="18"/>
  <c r="BO29" i="18"/>
  <c r="BL29" i="18"/>
  <c r="BI29" i="18"/>
  <c r="BF29" i="18"/>
  <c r="BC29" i="18"/>
  <c r="AZ29" i="18"/>
  <c r="AW29" i="18"/>
  <c r="AT29" i="18"/>
  <c r="AR29" i="18"/>
  <c r="EK29" i="18" s="1"/>
  <c r="AQ29" i="18"/>
  <c r="AL29" i="18"/>
  <c r="AN29" i="18" s="1"/>
  <c r="AK29" i="18"/>
  <c r="AI29" i="18"/>
  <c r="AB29" i="18"/>
  <c r="Y29" i="18"/>
  <c r="V29" i="18"/>
  <c r="S29" i="18"/>
  <c r="P29" i="18"/>
  <c r="M29" i="18"/>
  <c r="J29" i="18"/>
  <c r="G29" i="18"/>
  <c r="D29" i="18"/>
  <c r="EL28" i="18"/>
  <c r="EG28" i="18"/>
  <c r="EI28" i="18" s="1"/>
  <c r="DW28" i="18"/>
  <c r="DT28" i="18"/>
  <c r="DQ28" i="18"/>
  <c r="DN28" i="18"/>
  <c r="DK28" i="18"/>
  <c r="DH28" i="18"/>
  <c r="DE28" i="18"/>
  <c r="DB28" i="18"/>
  <c r="CY28" i="18"/>
  <c r="CV28" i="18"/>
  <c r="CS28" i="18"/>
  <c r="CP28" i="18"/>
  <c r="CM28" i="18"/>
  <c r="CJ28" i="18"/>
  <c r="CG28" i="18"/>
  <c r="CD28" i="18"/>
  <c r="CA28" i="18"/>
  <c r="BX28" i="18"/>
  <c r="BU28" i="18"/>
  <c r="BR28" i="18"/>
  <c r="BO28" i="18"/>
  <c r="BL28" i="18"/>
  <c r="BI28" i="18"/>
  <c r="BF28" i="18"/>
  <c r="BC28" i="18"/>
  <c r="AZ28" i="18"/>
  <c r="AW28" i="18"/>
  <c r="AT28" i="18"/>
  <c r="AR28" i="18"/>
  <c r="AQ28" i="18"/>
  <c r="AL28" i="18"/>
  <c r="EB28" i="18" s="1"/>
  <c r="AK28" i="18"/>
  <c r="AI28" i="18"/>
  <c r="AB28" i="18"/>
  <c r="Y28" i="18"/>
  <c r="V28" i="18"/>
  <c r="S28" i="18"/>
  <c r="P28" i="18"/>
  <c r="M28" i="18"/>
  <c r="J28" i="18"/>
  <c r="G28" i="18"/>
  <c r="D28" i="18"/>
  <c r="EL27" i="18"/>
  <c r="EG27" i="18"/>
  <c r="EI27" i="18" s="1"/>
  <c r="DW27" i="18"/>
  <c r="DT27" i="18"/>
  <c r="DQ27" i="18"/>
  <c r="DN27" i="18"/>
  <c r="DK27" i="18"/>
  <c r="DH27" i="18"/>
  <c r="DE27" i="18"/>
  <c r="DB27" i="18"/>
  <c r="CY27" i="18"/>
  <c r="CV27" i="18"/>
  <c r="CS27" i="18"/>
  <c r="CP27" i="18"/>
  <c r="CM27" i="18"/>
  <c r="CJ27" i="18"/>
  <c r="CG27" i="18"/>
  <c r="CD27" i="18"/>
  <c r="CA27" i="18"/>
  <c r="BX27" i="18"/>
  <c r="BU27" i="18"/>
  <c r="BR27" i="18"/>
  <c r="BO27" i="18"/>
  <c r="BL27" i="18"/>
  <c r="BI27" i="18"/>
  <c r="BF27" i="18"/>
  <c r="BC27" i="18"/>
  <c r="AZ27" i="18"/>
  <c r="AW27" i="18"/>
  <c r="AR27" i="18"/>
  <c r="AT27" i="18" s="1"/>
  <c r="AQ27" i="18"/>
  <c r="AL27" i="18"/>
  <c r="AN27" i="18" s="1"/>
  <c r="AI27" i="18"/>
  <c r="AK27" i="18" s="1"/>
  <c r="AB27" i="18"/>
  <c r="Y27" i="18"/>
  <c r="V27" i="18"/>
  <c r="S27" i="18"/>
  <c r="P27" i="18"/>
  <c r="M27" i="18"/>
  <c r="J27" i="18"/>
  <c r="G27" i="18"/>
  <c r="D27" i="18"/>
  <c r="EL26" i="18"/>
  <c r="EG26" i="18"/>
  <c r="EI26" i="18" s="1"/>
  <c r="DW26" i="18"/>
  <c r="DT26" i="18"/>
  <c r="DQ26" i="18"/>
  <c r="DN26" i="18"/>
  <c r="DK26" i="18"/>
  <c r="DH26" i="18"/>
  <c r="DE26" i="18"/>
  <c r="DB26" i="18"/>
  <c r="CY26" i="18"/>
  <c r="CV26" i="18"/>
  <c r="CS26" i="18"/>
  <c r="CP26" i="18"/>
  <c r="CM26" i="18"/>
  <c r="CJ26" i="18"/>
  <c r="CG26" i="18"/>
  <c r="CD26" i="18"/>
  <c r="CA26" i="18"/>
  <c r="BX26" i="18"/>
  <c r="BU26" i="18"/>
  <c r="BR26" i="18"/>
  <c r="BO26" i="18"/>
  <c r="BL26" i="18"/>
  <c r="BI26" i="18"/>
  <c r="BF26" i="18"/>
  <c r="BC26" i="18"/>
  <c r="AZ26" i="18"/>
  <c r="AW26" i="18"/>
  <c r="AR26" i="18"/>
  <c r="AT26" i="18" s="1"/>
  <c r="AQ26" i="18"/>
  <c r="AN26" i="18"/>
  <c r="AL26" i="18"/>
  <c r="AI26" i="18"/>
  <c r="AK26" i="18" s="1"/>
  <c r="AB26" i="18"/>
  <c r="Y26" i="18"/>
  <c r="V26" i="18"/>
  <c r="S26" i="18"/>
  <c r="P26" i="18"/>
  <c r="M26" i="18"/>
  <c r="J26" i="18"/>
  <c r="G26" i="18"/>
  <c r="D26" i="18"/>
  <c r="EL25" i="18"/>
  <c r="EG25" i="18"/>
  <c r="EI25" i="18" s="1"/>
  <c r="DW25" i="18"/>
  <c r="DT25" i="18"/>
  <c r="DQ25" i="18"/>
  <c r="DN25" i="18"/>
  <c r="DK25" i="18"/>
  <c r="DH25" i="18"/>
  <c r="DE25" i="18"/>
  <c r="DB25" i="18"/>
  <c r="CY25" i="18"/>
  <c r="CV25" i="18"/>
  <c r="CS25" i="18"/>
  <c r="CP25" i="18"/>
  <c r="CM25" i="18"/>
  <c r="CJ25" i="18"/>
  <c r="CG25" i="18"/>
  <c r="CD25" i="18"/>
  <c r="CA25" i="18"/>
  <c r="BX25" i="18"/>
  <c r="BU25" i="18"/>
  <c r="BR25" i="18"/>
  <c r="BO25" i="18"/>
  <c r="BL25" i="18"/>
  <c r="BI25" i="18"/>
  <c r="BF25" i="18"/>
  <c r="BC25" i="18"/>
  <c r="AZ25" i="18"/>
  <c r="AW25" i="18"/>
  <c r="AT25" i="18"/>
  <c r="AR25" i="18"/>
  <c r="AQ25" i="18"/>
  <c r="AL25" i="18"/>
  <c r="AN25" i="18" s="1"/>
  <c r="AI25" i="18"/>
  <c r="EB25" i="18" s="1"/>
  <c r="AB25" i="18"/>
  <c r="Y25" i="18"/>
  <c r="V25" i="18"/>
  <c r="S25" i="18"/>
  <c r="P25" i="18"/>
  <c r="M25" i="18"/>
  <c r="J25" i="18"/>
  <c r="G25" i="18"/>
  <c r="D25" i="18"/>
  <c r="EL24" i="18"/>
  <c r="EG24" i="18"/>
  <c r="EI24" i="18" s="1"/>
  <c r="DW24" i="18"/>
  <c r="DT24" i="18"/>
  <c r="DQ24" i="18"/>
  <c r="DN24" i="18"/>
  <c r="DK24" i="18"/>
  <c r="DH24" i="18"/>
  <c r="DE24" i="18"/>
  <c r="DB24" i="18"/>
  <c r="CY24" i="18"/>
  <c r="CV24" i="18"/>
  <c r="CS24" i="18"/>
  <c r="CP24" i="18"/>
  <c r="CM24" i="18"/>
  <c r="CJ24" i="18"/>
  <c r="CG24" i="18"/>
  <c r="CD24" i="18"/>
  <c r="CA24" i="18"/>
  <c r="BX24" i="18"/>
  <c r="BU24" i="18"/>
  <c r="BR24" i="18"/>
  <c r="BO24" i="18"/>
  <c r="BL24" i="18"/>
  <c r="BI24" i="18"/>
  <c r="BF24" i="18"/>
  <c r="BC24" i="18"/>
  <c r="AZ24" i="18"/>
  <c r="AW24" i="18"/>
  <c r="AT24" i="18"/>
  <c r="AR24" i="18"/>
  <c r="AQ24" i="18"/>
  <c r="AL24" i="18"/>
  <c r="AN24" i="18" s="1"/>
  <c r="AK24" i="18"/>
  <c r="AI24" i="18"/>
  <c r="AB24" i="18"/>
  <c r="Y24" i="18"/>
  <c r="V24" i="18"/>
  <c r="S24" i="18"/>
  <c r="EH24" i="18" s="1"/>
  <c r="P24" i="18"/>
  <c r="M24" i="18"/>
  <c r="J24" i="18"/>
  <c r="G24" i="18"/>
  <c r="D24" i="18"/>
  <c r="EL23" i="18"/>
  <c r="EI23" i="18"/>
  <c r="EG23" i="18"/>
  <c r="DW23" i="18"/>
  <c r="DT23" i="18"/>
  <c r="DQ23" i="18"/>
  <c r="DN23" i="18"/>
  <c r="DK23" i="18"/>
  <c r="DH23" i="18"/>
  <c r="DE23" i="18"/>
  <c r="DB23" i="18"/>
  <c r="CY23" i="18"/>
  <c r="CV23" i="18"/>
  <c r="CS23" i="18"/>
  <c r="CP23" i="18"/>
  <c r="CM23" i="18"/>
  <c r="CJ23" i="18"/>
  <c r="CG23" i="18"/>
  <c r="CD23" i="18"/>
  <c r="CA23" i="18"/>
  <c r="BX23" i="18"/>
  <c r="BU23" i="18"/>
  <c r="BR23" i="18"/>
  <c r="BO23" i="18"/>
  <c r="BL23" i="18"/>
  <c r="BI23" i="18"/>
  <c r="BF23" i="18"/>
  <c r="BC23" i="18"/>
  <c r="AZ23" i="18"/>
  <c r="AW23" i="18"/>
  <c r="AR23" i="18"/>
  <c r="AT23" i="18" s="1"/>
  <c r="AO23" i="18"/>
  <c r="AQ23" i="18" s="1"/>
  <c r="AL23" i="18"/>
  <c r="AI23" i="18"/>
  <c r="AK23" i="18" s="1"/>
  <c r="AB23" i="18"/>
  <c r="Y23" i="18"/>
  <c r="V23" i="18"/>
  <c r="S23" i="18"/>
  <c r="EH23" i="18" s="1"/>
  <c r="P23" i="18"/>
  <c r="M23" i="18"/>
  <c r="J23" i="18"/>
  <c r="G23" i="18"/>
  <c r="D23" i="18"/>
  <c r="EL22" i="18"/>
  <c r="EG22" i="18"/>
  <c r="EI22" i="18" s="1"/>
  <c r="DW22" i="18"/>
  <c r="DT22" i="18"/>
  <c r="DQ22" i="18"/>
  <c r="DN22" i="18"/>
  <c r="DK22" i="18"/>
  <c r="DH22" i="18"/>
  <c r="DE22" i="18"/>
  <c r="DB22" i="18"/>
  <c r="CY22" i="18"/>
  <c r="CV22" i="18"/>
  <c r="CS22" i="18"/>
  <c r="CP22" i="18"/>
  <c r="CM22" i="18"/>
  <c r="CJ22" i="18"/>
  <c r="CG22" i="18"/>
  <c r="CD22" i="18"/>
  <c r="CA22" i="18"/>
  <c r="BX22" i="18"/>
  <c r="BU22" i="18"/>
  <c r="BR22" i="18"/>
  <c r="BO22" i="18"/>
  <c r="BL22" i="18"/>
  <c r="BI22" i="18"/>
  <c r="BF22" i="18"/>
  <c r="BC22" i="18"/>
  <c r="AZ22" i="18"/>
  <c r="AW22" i="18"/>
  <c r="AR22" i="18"/>
  <c r="AT22" i="18" s="1"/>
  <c r="AO22" i="18"/>
  <c r="AQ22" i="18" s="1"/>
  <c r="AL22" i="18"/>
  <c r="AI22" i="18"/>
  <c r="EK22" i="18" s="1"/>
  <c r="AB22" i="18"/>
  <c r="Y22" i="18"/>
  <c r="V22" i="18"/>
  <c r="S22" i="18"/>
  <c r="P22" i="18"/>
  <c r="M22" i="18"/>
  <c r="J22" i="18"/>
  <c r="G22" i="18"/>
  <c r="D22" i="18"/>
  <c r="EL21" i="18"/>
  <c r="EI21" i="18"/>
  <c r="EG21" i="18"/>
  <c r="DW21" i="18"/>
  <c r="DT21" i="18"/>
  <c r="DQ21" i="18"/>
  <c r="DN21" i="18"/>
  <c r="DK21" i="18"/>
  <c r="DH21" i="18"/>
  <c r="DE21" i="18"/>
  <c r="DB21" i="18"/>
  <c r="CY21" i="18"/>
  <c r="CV21" i="18"/>
  <c r="CS21" i="18"/>
  <c r="CP21" i="18"/>
  <c r="CM21" i="18"/>
  <c r="CJ21" i="18"/>
  <c r="CG21" i="18"/>
  <c r="CD21" i="18"/>
  <c r="CA21" i="18"/>
  <c r="BX21" i="18"/>
  <c r="BU21" i="18"/>
  <c r="BR21" i="18"/>
  <c r="BO21" i="18"/>
  <c r="BL21" i="18"/>
  <c r="BI21" i="18"/>
  <c r="BF21" i="18"/>
  <c r="BC21" i="18"/>
  <c r="AZ21" i="18"/>
  <c r="AW21" i="18"/>
  <c r="AT21" i="18"/>
  <c r="AR21" i="18"/>
  <c r="AO21" i="18"/>
  <c r="AQ21" i="18" s="1"/>
  <c r="AN21" i="18"/>
  <c r="AL21" i="18"/>
  <c r="AI21" i="18"/>
  <c r="AK21" i="18" s="1"/>
  <c r="AB21" i="18"/>
  <c r="Y21" i="18"/>
  <c r="V21" i="18"/>
  <c r="S21" i="18"/>
  <c r="P21" i="18"/>
  <c r="M21" i="18"/>
  <c r="J21" i="18"/>
  <c r="G21" i="18"/>
  <c r="D21" i="18"/>
  <c r="EL20" i="18"/>
  <c r="EG20" i="18"/>
  <c r="EI20" i="18" s="1"/>
  <c r="DW20" i="18"/>
  <c r="DT20" i="18"/>
  <c r="DQ20" i="18"/>
  <c r="DN20" i="18"/>
  <c r="DK20" i="18"/>
  <c r="DH20" i="18"/>
  <c r="DE20" i="18"/>
  <c r="DB20" i="18"/>
  <c r="CY20" i="18"/>
  <c r="CV20" i="18"/>
  <c r="CS20" i="18"/>
  <c r="CP20" i="18"/>
  <c r="CM20" i="18"/>
  <c r="CJ20" i="18"/>
  <c r="CG20" i="18"/>
  <c r="CD20" i="18"/>
  <c r="CA20" i="18"/>
  <c r="BX20" i="18"/>
  <c r="BU20" i="18"/>
  <c r="BR20" i="18"/>
  <c r="BO20" i="18"/>
  <c r="BL20" i="18"/>
  <c r="BI20" i="18"/>
  <c r="BF20" i="18"/>
  <c r="BC20" i="18"/>
  <c r="AZ20" i="18"/>
  <c r="AW20" i="18"/>
  <c r="AR20" i="18"/>
  <c r="AT20" i="18" s="1"/>
  <c r="AO20" i="18"/>
  <c r="AQ20" i="18" s="1"/>
  <c r="AL20" i="18"/>
  <c r="EB20" i="18" s="1"/>
  <c r="AK20" i="18"/>
  <c r="AI20" i="18"/>
  <c r="AB20" i="18"/>
  <c r="Y20" i="18"/>
  <c r="V20" i="18"/>
  <c r="S20" i="18"/>
  <c r="P20" i="18"/>
  <c r="M20" i="18"/>
  <c r="J20" i="18"/>
  <c r="G20" i="18"/>
  <c r="D20" i="18"/>
  <c r="EL19" i="18"/>
  <c r="EG19" i="18"/>
  <c r="EI19" i="18" s="1"/>
  <c r="DW19" i="18"/>
  <c r="DT19" i="18"/>
  <c r="DQ19" i="18"/>
  <c r="DN19" i="18"/>
  <c r="DK19" i="18"/>
  <c r="DH19" i="18"/>
  <c r="DE19" i="18"/>
  <c r="DB19" i="18"/>
  <c r="CY19" i="18"/>
  <c r="CV19" i="18"/>
  <c r="CS19" i="18"/>
  <c r="CP19" i="18"/>
  <c r="CM19" i="18"/>
  <c r="CJ19" i="18"/>
  <c r="CG19" i="18"/>
  <c r="CD19" i="18"/>
  <c r="CA19" i="18"/>
  <c r="BX19" i="18"/>
  <c r="BU19" i="18"/>
  <c r="BR19" i="18"/>
  <c r="BO19" i="18"/>
  <c r="BL19" i="18"/>
  <c r="BI19" i="18"/>
  <c r="BF19" i="18"/>
  <c r="BC19" i="18"/>
  <c r="AZ19" i="18"/>
  <c r="AW19" i="18"/>
  <c r="AR19" i="18"/>
  <c r="AO19" i="18"/>
  <c r="AQ19" i="18" s="1"/>
  <c r="AL19" i="18"/>
  <c r="AI19" i="18"/>
  <c r="AK19" i="18" s="1"/>
  <c r="AB19" i="18"/>
  <c r="Y19" i="18"/>
  <c r="V19" i="18"/>
  <c r="S19" i="18"/>
  <c r="EH19" i="18" s="1"/>
  <c r="P19" i="18"/>
  <c r="M19" i="18"/>
  <c r="J19" i="18"/>
  <c r="G19" i="18"/>
  <c r="D19" i="18"/>
  <c r="EL18" i="18"/>
  <c r="EG18" i="18"/>
  <c r="EI18" i="18" s="1"/>
  <c r="DW18" i="18"/>
  <c r="DT18" i="18"/>
  <c r="DQ18" i="18"/>
  <c r="DN18" i="18"/>
  <c r="DK18" i="18"/>
  <c r="DH18" i="18"/>
  <c r="DE18" i="18"/>
  <c r="DB18" i="18"/>
  <c r="CY18" i="18"/>
  <c r="CV18" i="18"/>
  <c r="CS18" i="18"/>
  <c r="CP18" i="18"/>
  <c r="CM18" i="18"/>
  <c r="CJ18" i="18"/>
  <c r="CG18" i="18"/>
  <c r="CD18" i="18"/>
  <c r="CA18" i="18"/>
  <c r="BX18" i="18"/>
  <c r="BU18" i="18"/>
  <c r="BR18" i="18"/>
  <c r="BO18" i="18"/>
  <c r="BL18" i="18"/>
  <c r="BI18" i="18"/>
  <c r="BF18" i="18"/>
  <c r="BC18" i="18"/>
  <c r="AZ18" i="18"/>
  <c r="AW18" i="18"/>
  <c r="AT18" i="18"/>
  <c r="AR18" i="18"/>
  <c r="EK18" i="18" s="1"/>
  <c r="AO18" i="18"/>
  <c r="AQ18" i="18" s="1"/>
  <c r="AL18" i="18"/>
  <c r="EB18" i="18" s="1"/>
  <c r="AI18" i="18"/>
  <c r="AK18" i="18" s="1"/>
  <c r="AB18" i="18"/>
  <c r="Y18" i="18"/>
  <c r="V18" i="18"/>
  <c r="S18" i="18"/>
  <c r="P18" i="18"/>
  <c r="M18" i="18"/>
  <c r="J18" i="18"/>
  <c r="G18" i="18"/>
  <c r="D18" i="18"/>
  <c r="EL17" i="18"/>
  <c r="EG17" i="18"/>
  <c r="EI17" i="18" s="1"/>
  <c r="DW17" i="18"/>
  <c r="DT17" i="18"/>
  <c r="DQ17" i="18"/>
  <c r="DN17" i="18"/>
  <c r="DK17" i="18"/>
  <c r="DH17" i="18"/>
  <c r="DE17" i="18"/>
  <c r="DB17" i="18"/>
  <c r="CY17" i="18"/>
  <c r="CV17" i="18"/>
  <c r="CS17" i="18"/>
  <c r="CP17" i="18"/>
  <c r="CM17" i="18"/>
  <c r="CJ17" i="18"/>
  <c r="CG17" i="18"/>
  <c r="CD17" i="18"/>
  <c r="CA17" i="18"/>
  <c r="BX17" i="18"/>
  <c r="BU17" i="18"/>
  <c r="BR17" i="18"/>
  <c r="BO17" i="18"/>
  <c r="BL17" i="18"/>
  <c r="BI17" i="18"/>
  <c r="BF17" i="18"/>
  <c r="BC17" i="18"/>
  <c r="AZ17" i="18"/>
  <c r="AW17" i="18"/>
  <c r="AR17" i="18"/>
  <c r="AT17" i="18" s="1"/>
  <c r="AO17" i="18"/>
  <c r="AQ17" i="18" s="1"/>
  <c r="AL17" i="18"/>
  <c r="AN17" i="18" s="1"/>
  <c r="AI17" i="18"/>
  <c r="AK17" i="18" s="1"/>
  <c r="AB17" i="18"/>
  <c r="Y17" i="18"/>
  <c r="V17" i="18"/>
  <c r="S17" i="18"/>
  <c r="P17" i="18"/>
  <c r="M17" i="18"/>
  <c r="J17" i="18"/>
  <c r="G17" i="18"/>
  <c r="D17" i="18"/>
  <c r="EL16" i="18"/>
  <c r="EG16" i="18"/>
  <c r="EI16" i="18" s="1"/>
  <c r="DW16" i="18"/>
  <c r="DT16" i="18"/>
  <c r="DQ16" i="18"/>
  <c r="DN16" i="18"/>
  <c r="DK16" i="18"/>
  <c r="DH16" i="18"/>
  <c r="DE16" i="18"/>
  <c r="DB16" i="18"/>
  <c r="CY16" i="18"/>
  <c r="CV16" i="18"/>
  <c r="CS16" i="18"/>
  <c r="CP16" i="18"/>
  <c r="CM16" i="18"/>
  <c r="CJ16" i="18"/>
  <c r="CG16" i="18"/>
  <c r="CD16" i="18"/>
  <c r="CA16" i="18"/>
  <c r="BX16" i="18"/>
  <c r="BU16" i="18"/>
  <c r="BR16" i="18"/>
  <c r="BO16" i="18"/>
  <c r="BL16" i="18"/>
  <c r="BI16" i="18"/>
  <c r="BF16" i="18"/>
  <c r="BC16" i="18"/>
  <c r="AZ16" i="18"/>
  <c r="AW16" i="18"/>
  <c r="AR16" i="18"/>
  <c r="AT16" i="18" s="1"/>
  <c r="AO16" i="18"/>
  <c r="AQ16" i="18" s="1"/>
  <c r="AL16" i="18"/>
  <c r="AK16" i="18"/>
  <c r="AI16" i="18"/>
  <c r="AB16" i="18"/>
  <c r="Y16" i="18"/>
  <c r="V16" i="18"/>
  <c r="S16" i="18"/>
  <c r="P16" i="18"/>
  <c r="M16" i="18"/>
  <c r="J16" i="18"/>
  <c r="G16" i="18"/>
  <c r="D16" i="18"/>
  <c r="EL15" i="18"/>
  <c r="EG15" i="18"/>
  <c r="EI15" i="18" s="1"/>
  <c r="DW15" i="18"/>
  <c r="DT15" i="18"/>
  <c r="DQ15" i="18"/>
  <c r="DN15" i="18"/>
  <c r="DK15" i="18"/>
  <c r="DH15" i="18"/>
  <c r="DE15" i="18"/>
  <c r="DB15" i="18"/>
  <c r="CY15" i="18"/>
  <c r="CV15" i="18"/>
  <c r="CS15" i="18"/>
  <c r="CP15" i="18"/>
  <c r="CM15" i="18"/>
  <c r="CJ15" i="18"/>
  <c r="CG15" i="18"/>
  <c r="CD15" i="18"/>
  <c r="CA15" i="18"/>
  <c r="BX15" i="18"/>
  <c r="BU15" i="18"/>
  <c r="BR15" i="18"/>
  <c r="BO15" i="18"/>
  <c r="BL15" i="18"/>
  <c r="BI15" i="18"/>
  <c r="BF15" i="18"/>
  <c r="BC15" i="18"/>
  <c r="AZ15" i="18"/>
  <c r="AW15" i="18"/>
  <c r="AT15" i="18"/>
  <c r="AR15" i="18"/>
  <c r="AO15" i="18"/>
  <c r="AQ15" i="18" s="1"/>
  <c r="AN15" i="18"/>
  <c r="AL15" i="18"/>
  <c r="AI15" i="18"/>
  <c r="AK15" i="18" s="1"/>
  <c r="AB15" i="18"/>
  <c r="Y15" i="18"/>
  <c r="V15" i="18"/>
  <c r="EH15" i="18" s="1"/>
  <c r="S15" i="18"/>
  <c r="P15" i="18"/>
  <c r="M15" i="18"/>
  <c r="J15" i="18"/>
  <c r="G15" i="18"/>
  <c r="D15" i="18"/>
  <c r="EL14" i="18"/>
  <c r="EI14" i="18"/>
  <c r="EG14" i="18"/>
  <c r="DW14" i="18"/>
  <c r="DT14" i="18"/>
  <c r="DQ14" i="18"/>
  <c r="DN14" i="18"/>
  <c r="DK14" i="18"/>
  <c r="DH14" i="18"/>
  <c r="DE14" i="18"/>
  <c r="DB14" i="18"/>
  <c r="CY14" i="18"/>
  <c r="CV14" i="18"/>
  <c r="CS14" i="18"/>
  <c r="CP14" i="18"/>
  <c r="CM14" i="18"/>
  <c r="CJ14" i="18"/>
  <c r="CG14" i="18"/>
  <c r="CD14" i="18"/>
  <c r="CA14" i="18"/>
  <c r="BX14" i="18"/>
  <c r="BU14" i="18"/>
  <c r="BR14" i="18"/>
  <c r="BO14" i="18"/>
  <c r="BL14" i="18"/>
  <c r="BI14" i="18"/>
  <c r="BF14" i="18"/>
  <c r="BC14" i="18"/>
  <c r="AZ14" i="18"/>
  <c r="AW14" i="18"/>
  <c r="AR14" i="18"/>
  <c r="AT14" i="18" s="1"/>
  <c r="AO14" i="18"/>
  <c r="AQ14" i="18" s="1"/>
  <c r="AL14" i="18"/>
  <c r="AI14" i="18"/>
  <c r="AK14" i="18" s="1"/>
  <c r="AB14" i="18"/>
  <c r="Y14" i="18"/>
  <c r="V14" i="18"/>
  <c r="S14" i="18"/>
  <c r="P14" i="18"/>
  <c r="M14" i="18"/>
  <c r="J14" i="18"/>
  <c r="G14" i="18"/>
  <c r="D14" i="18"/>
  <c r="EL13" i="18"/>
  <c r="EG13" i="18"/>
  <c r="EI13" i="18" s="1"/>
  <c r="DW13" i="18"/>
  <c r="DT13" i="18"/>
  <c r="DQ13" i="18"/>
  <c r="DN13" i="18"/>
  <c r="DK13" i="18"/>
  <c r="DH13" i="18"/>
  <c r="DE13" i="18"/>
  <c r="DB13" i="18"/>
  <c r="CY13" i="18"/>
  <c r="CV13" i="18"/>
  <c r="CS13" i="18"/>
  <c r="CP13" i="18"/>
  <c r="CM13" i="18"/>
  <c r="CJ13" i="18"/>
  <c r="CG13" i="18"/>
  <c r="CD13" i="18"/>
  <c r="CA13" i="18"/>
  <c r="BX13" i="18"/>
  <c r="BU13" i="18"/>
  <c r="BR13" i="18"/>
  <c r="BO13" i="18"/>
  <c r="BL13" i="18"/>
  <c r="BI13" i="18"/>
  <c r="BF13" i="18"/>
  <c r="BC13" i="18"/>
  <c r="AZ13" i="18"/>
  <c r="AW13" i="18"/>
  <c r="AR13" i="18"/>
  <c r="AT13" i="18" s="1"/>
  <c r="AO13" i="18"/>
  <c r="AQ13" i="18" s="1"/>
  <c r="AL13" i="18"/>
  <c r="EB13" i="18" s="1"/>
  <c r="AI13" i="18"/>
  <c r="AK13" i="18" s="1"/>
  <c r="AB13" i="18"/>
  <c r="Y13" i="18"/>
  <c r="V13" i="18"/>
  <c r="S13" i="18"/>
  <c r="P13" i="18"/>
  <c r="M13" i="18"/>
  <c r="J13" i="18"/>
  <c r="G13" i="18"/>
  <c r="D13" i="18"/>
  <c r="EL12" i="18"/>
  <c r="EG12" i="18"/>
  <c r="EI12" i="18" s="1"/>
  <c r="DW12" i="18"/>
  <c r="DT12" i="18"/>
  <c r="DQ12" i="18"/>
  <c r="DN12" i="18"/>
  <c r="DK12" i="18"/>
  <c r="DH12" i="18"/>
  <c r="DE12" i="18"/>
  <c r="DB12" i="18"/>
  <c r="CY12" i="18"/>
  <c r="CV12" i="18"/>
  <c r="CS12" i="18"/>
  <c r="CP12" i="18"/>
  <c r="CM12" i="18"/>
  <c r="CJ12" i="18"/>
  <c r="CG12" i="18"/>
  <c r="CD12" i="18"/>
  <c r="CA12" i="18"/>
  <c r="BX12" i="18"/>
  <c r="BU12" i="18"/>
  <c r="BR12" i="18"/>
  <c r="BO12" i="18"/>
  <c r="BL12" i="18"/>
  <c r="BI12" i="18"/>
  <c r="BF12" i="18"/>
  <c r="BC12" i="18"/>
  <c r="AZ12" i="18"/>
  <c r="AW12" i="18"/>
  <c r="AT12" i="18"/>
  <c r="AO12" i="18"/>
  <c r="AL12" i="18"/>
  <c r="AN12" i="18" s="1"/>
  <c r="AI12" i="18"/>
  <c r="AK12" i="18" s="1"/>
  <c r="AB12" i="18"/>
  <c r="Y12" i="18"/>
  <c r="V12" i="18"/>
  <c r="S12" i="18"/>
  <c r="P12" i="18"/>
  <c r="M12" i="18"/>
  <c r="J12" i="18"/>
  <c r="G12" i="18"/>
  <c r="D12" i="18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EL11" i="18"/>
  <c r="EG11" i="18"/>
  <c r="EI11" i="18" s="1"/>
  <c r="DW11" i="18"/>
  <c r="DT11" i="18"/>
  <c r="DQ11" i="18"/>
  <c r="DN11" i="18"/>
  <c r="DK11" i="18"/>
  <c r="DH11" i="18"/>
  <c r="DE11" i="18"/>
  <c r="DB11" i="18"/>
  <c r="CY11" i="18"/>
  <c r="CV11" i="18"/>
  <c r="CS11" i="18"/>
  <c r="CP11" i="18"/>
  <c r="CM11" i="18"/>
  <c r="CJ11" i="18"/>
  <c r="CG11" i="18"/>
  <c r="CD11" i="18"/>
  <c r="CA11" i="18"/>
  <c r="BX11" i="18"/>
  <c r="BU11" i="18"/>
  <c r="BR11" i="18"/>
  <c r="BO11" i="18"/>
  <c r="BL11" i="18"/>
  <c r="BI11" i="18"/>
  <c r="BF11" i="18"/>
  <c r="BC11" i="18"/>
  <c r="AZ11" i="18"/>
  <c r="AW11" i="18"/>
  <c r="AT11" i="18"/>
  <c r="AO11" i="18"/>
  <c r="AQ11" i="18" s="1"/>
  <c r="AL11" i="18"/>
  <c r="AI11" i="18"/>
  <c r="AK11" i="18" s="1"/>
  <c r="AE41" i="18"/>
  <c r="AB11" i="18"/>
  <c r="AB41" i="18" s="1"/>
  <c r="Y11" i="18"/>
  <c r="V11" i="18"/>
  <c r="S11" i="18"/>
  <c r="P11" i="18"/>
  <c r="M11" i="18"/>
  <c r="J11" i="18"/>
  <c r="G11" i="18"/>
  <c r="D11" i="18"/>
  <c r="EI2" i="18"/>
  <c r="EL41" i="17"/>
  <c r="EG41" i="17"/>
  <c r="EI41" i="17" s="1"/>
  <c r="DW41" i="17"/>
  <c r="DT41" i="17"/>
  <c r="DQ41" i="17"/>
  <c r="DN41" i="17"/>
  <c r="DK41" i="17"/>
  <c r="DH41" i="17"/>
  <c r="DE41" i="17"/>
  <c r="DB41" i="17"/>
  <c r="CY41" i="17"/>
  <c r="CV41" i="17"/>
  <c r="CS41" i="17"/>
  <c r="CP41" i="17"/>
  <c r="CM41" i="17"/>
  <c r="CJ41" i="17"/>
  <c r="CG41" i="17"/>
  <c r="CD41" i="17"/>
  <c r="CA41" i="17"/>
  <c r="BX41" i="17"/>
  <c r="BU41" i="17"/>
  <c r="BR41" i="17"/>
  <c r="BO41" i="17"/>
  <c r="BL41" i="17"/>
  <c r="BI41" i="17"/>
  <c r="BF41" i="17"/>
  <c r="BC41" i="17"/>
  <c r="AZ41" i="17"/>
  <c r="AW41" i="17"/>
  <c r="AT41" i="17"/>
  <c r="AR41" i="17"/>
  <c r="EB41" i="17" s="1"/>
  <c r="EE2" i="17" s="1"/>
  <c r="EQ2" i="17" s="1"/>
  <c r="G4" i="17" s="1"/>
  <c r="AQ41" i="17"/>
  <c r="AN41" i="17"/>
  <c r="AI41" i="17"/>
  <c r="AK41" i="17" s="1"/>
  <c r="AB41" i="17"/>
  <c r="Y41" i="17"/>
  <c r="V41" i="17"/>
  <c r="S41" i="17"/>
  <c r="P41" i="17"/>
  <c r="M41" i="17"/>
  <c r="J41" i="17"/>
  <c r="G41" i="17"/>
  <c r="D41" i="17"/>
  <c r="EL40" i="17"/>
  <c r="EG40" i="17"/>
  <c r="EI40" i="17" s="1"/>
  <c r="DW40" i="17"/>
  <c r="DT40" i="17"/>
  <c r="DQ40" i="17"/>
  <c r="DN40" i="17"/>
  <c r="DK40" i="17"/>
  <c r="DH40" i="17"/>
  <c r="DE40" i="17"/>
  <c r="DB40" i="17"/>
  <c r="CY40" i="17"/>
  <c r="CV40" i="17"/>
  <c r="CS40" i="17"/>
  <c r="CP40" i="17"/>
  <c r="CM40" i="17"/>
  <c r="CJ40" i="17"/>
  <c r="CG40" i="17"/>
  <c r="CD40" i="17"/>
  <c r="CA40" i="17"/>
  <c r="BX40" i="17"/>
  <c r="BU40" i="17"/>
  <c r="BR40" i="17"/>
  <c r="BO40" i="17"/>
  <c r="BL40" i="17"/>
  <c r="BI40" i="17"/>
  <c r="BF40" i="17"/>
  <c r="BC40" i="17"/>
  <c r="AZ40" i="17"/>
  <c r="AW40" i="17"/>
  <c r="AR40" i="17"/>
  <c r="EK40" i="17" s="1"/>
  <c r="AQ40" i="17"/>
  <c r="AN40" i="17"/>
  <c r="AI40" i="17"/>
  <c r="AK40" i="17" s="1"/>
  <c r="AB40" i="17"/>
  <c r="Y40" i="17"/>
  <c r="V40" i="17"/>
  <c r="S40" i="17"/>
  <c r="EH40" i="17" s="1"/>
  <c r="P40" i="17"/>
  <c r="M40" i="17"/>
  <c r="J40" i="17"/>
  <c r="G40" i="17"/>
  <c r="D40" i="17"/>
  <c r="EL39" i="17"/>
  <c r="EG39" i="17"/>
  <c r="EI39" i="17" s="1"/>
  <c r="DW39" i="17"/>
  <c r="DT39" i="17"/>
  <c r="DQ39" i="17"/>
  <c r="DN39" i="17"/>
  <c r="DK39" i="17"/>
  <c r="DH39" i="17"/>
  <c r="DE39" i="17"/>
  <c r="DB39" i="17"/>
  <c r="CY39" i="17"/>
  <c r="CV39" i="17"/>
  <c r="CS39" i="17"/>
  <c r="CP39" i="17"/>
  <c r="CM39" i="17"/>
  <c r="CJ39" i="17"/>
  <c r="CG39" i="17"/>
  <c r="CD39" i="17"/>
  <c r="CA39" i="17"/>
  <c r="BX39" i="17"/>
  <c r="BU39" i="17"/>
  <c r="BR39" i="17"/>
  <c r="BO39" i="17"/>
  <c r="BL39" i="17"/>
  <c r="BI39" i="17"/>
  <c r="BF39" i="17"/>
  <c r="BC39" i="17"/>
  <c r="AZ39" i="17"/>
  <c r="AW39" i="17"/>
  <c r="AR39" i="17"/>
  <c r="AQ39" i="17"/>
  <c r="AN39" i="17"/>
  <c r="AI39" i="17"/>
  <c r="AK39" i="17" s="1"/>
  <c r="AB39" i="17"/>
  <c r="Y39" i="17"/>
  <c r="V39" i="17"/>
  <c r="S39" i="17"/>
  <c r="P39" i="17"/>
  <c r="M39" i="17"/>
  <c r="J39" i="17"/>
  <c r="G39" i="17"/>
  <c r="D39" i="17"/>
  <c r="EL38" i="17"/>
  <c r="EG38" i="17"/>
  <c r="EI38" i="17" s="1"/>
  <c r="DW38" i="17"/>
  <c r="DT38" i="17"/>
  <c r="DQ38" i="17"/>
  <c r="DN38" i="17"/>
  <c r="DK38" i="17"/>
  <c r="DH38" i="17"/>
  <c r="DE38" i="17"/>
  <c r="DB38" i="17"/>
  <c r="CY38" i="17"/>
  <c r="CV38" i="17"/>
  <c r="CS38" i="17"/>
  <c r="CP38" i="17"/>
  <c r="CM38" i="17"/>
  <c r="CJ38" i="17"/>
  <c r="CG38" i="17"/>
  <c r="CD38" i="17"/>
  <c r="CA38" i="17"/>
  <c r="BX38" i="17"/>
  <c r="BU38" i="17"/>
  <c r="BR38" i="17"/>
  <c r="BO38" i="17"/>
  <c r="BL38" i="17"/>
  <c r="BI38" i="17"/>
  <c r="BF38" i="17"/>
  <c r="BC38" i="17"/>
  <c r="AZ38" i="17"/>
  <c r="AW38" i="17"/>
  <c r="AR38" i="17"/>
  <c r="EK38" i="17" s="1"/>
  <c r="AQ38" i="17"/>
  <c r="AN38" i="17"/>
  <c r="AK38" i="17"/>
  <c r="AI38" i="17"/>
  <c r="AB38" i="17"/>
  <c r="Y38" i="17"/>
  <c r="V38" i="17"/>
  <c r="S38" i="17"/>
  <c r="P38" i="17"/>
  <c r="M38" i="17"/>
  <c r="J38" i="17"/>
  <c r="G38" i="17"/>
  <c r="D38" i="17"/>
  <c r="EL37" i="17"/>
  <c r="EG37" i="17"/>
  <c r="EI37" i="17" s="1"/>
  <c r="EB37" i="17"/>
  <c r="DW37" i="17"/>
  <c r="DT37" i="17"/>
  <c r="DQ37" i="17"/>
  <c r="DN37" i="17"/>
  <c r="DK37" i="17"/>
  <c r="DH37" i="17"/>
  <c r="DE37" i="17"/>
  <c r="DB37" i="17"/>
  <c r="CY37" i="17"/>
  <c r="CV37" i="17"/>
  <c r="CS37" i="17"/>
  <c r="CP37" i="17"/>
  <c r="CM37" i="17"/>
  <c r="CJ37" i="17"/>
  <c r="CG37" i="17"/>
  <c r="CD37" i="17"/>
  <c r="CA37" i="17"/>
  <c r="BX37" i="17"/>
  <c r="BU37" i="17"/>
  <c r="BR37" i="17"/>
  <c r="BO37" i="17"/>
  <c r="BL37" i="17"/>
  <c r="BI37" i="17"/>
  <c r="BF37" i="17"/>
  <c r="BC37" i="17"/>
  <c r="AZ37" i="17"/>
  <c r="AW37" i="17"/>
  <c r="AR37" i="17"/>
  <c r="EK37" i="17" s="1"/>
  <c r="AQ37" i="17"/>
  <c r="AN37" i="17"/>
  <c r="AK37" i="17"/>
  <c r="AI37" i="17"/>
  <c r="AB37" i="17"/>
  <c r="Y37" i="17"/>
  <c r="V37" i="17"/>
  <c r="S37" i="17"/>
  <c r="P37" i="17"/>
  <c r="M37" i="17"/>
  <c r="J37" i="17"/>
  <c r="G37" i="17"/>
  <c r="D37" i="17"/>
  <c r="EL36" i="17"/>
  <c r="EG36" i="17"/>
  <c r="EI36" i="17" s="1"/>
  <c r="DW36" i="17"/>
  <c r="DT36" i="17"/>
  <c r="DQ36" i="17"/>
  <c r="DN36" i="17"/>
  <c r="DK36" i="17"/>
  <c r="DH36" i="17"/>
  <c r="DE36" i="17"/>
  <c r="DB36" i="17"/>
  <c r="CY36" i="17"/>
  <c r="CV36" i="17"/>
  <c r="CS36" i="17"/>
  <c r="CP36" i="17"/>
  <c r="CM36" i="17"/>
  <c r="CJ36" i="17"/>
  <c r="CG36" i="17"/>
  <c r="CD36" i="17"/>
  <c r="CA36" i="17"/>
  <c r="BX36" i="17"/>
  <c r="BU36" i="17"/>
  <c r="BR36" i="17"/>
  <c r="BO36" i="17"/>
  <c r="BL36" i="17"/>
  <c r="BI36" i="17"/>
  <c r="BF36" i="17"/>
  <c r="BC36" i="17"/>
  <c r="AZ36" i="17"/>
  <c r="AW36" i="17"/>
  <c r="AR36" i="17"/>
  <c r="AQ36" i="17"/>
  <c r="AN36" i="17"/>
  <c r="AI36" i="17"/>
  <c r="EB36" i="17" s="1"/>
  <c r="AB36" i="17"/>
  <c r="Y36" i="17"/>
  <c r="V36" i="17"/>
  <c r="S36" i="17"/>
  <c r="P36" i="17"/>
  <c r="M36" i="17"/>
  <c r="J36" i="17"/>
  <c r="G36" i="17"/>
  <c r="D36" i="17"/>
  <c r="EL35" i="17"/>
  <c r="EG35" i="17"/>
  <c r="EI35" i="17" s="1"/>
  <c r="DW35" i="17"/>
  <c r="DT35" i="17"/>
  <c r="DQ35" i="17"/>
  <c r="DN35" i="17"/>
  <c r="DK35" i="17"/>
  <c r="DH35" i="17"/>
  <c r="DE35" i="17"/>
  <c r="DB35" i="17"/>
  <c r="CY35" i="17"/>
  <c r="CV35" i="17"/>
  <c r="CS35" i="17"/>
  <c r="CP35" i="17"/>
  <c r="CM35" i="17"/>
  <c r="CJ35" i="17"/>
  <c r="CG35" i="17"/>
  <c r="CD35" i="17"/>
  <c r="CA35" i="17"/>
  <c r="BX35" i="17"/>
  <c r="BU35" i="17"/>
  <c r="BR35" i="17"/>
  <c r="BO35" i="17"/>
  <c r="BL35" i="17"/>
  <c r="BI35" i="17"/>
  <c r="BF35" i="17"/>
  <c r="BC35" i="17"/>
  <c r="AZ35" i="17"/>
  <c r="AW35" i="17"/>
  <c r="AR35" i="17"/>
  <c r="EK35" i="17" s="1"/>
  <c r="AQ35" i="17"/>
  <c r="AN35" i="17"/>
  <c r="AI35" i="17"/>
  <c r="AK35" i="17" s="1"/>
  <c r="AB35" i="17"/>
  <c r="Y35" i="17"/>
  <c r="V35" i="17"/>
  <c r="S35" i="17"/>
  <c r="P35" i="17"/>
  <c r="M35" i="17"/>
  <c r="J35" i="17"/>
  <c r="G35" i="17"/>
  <c r="D35" i="17"/>
  <c r="EL34" i="17"/>
  <c r="EG34" i="17"/>
  <c r="EI34" i="17" s="1"/>
  <c r="DW34" i="17"/>
  <c r="DT34" i="17"/>
  <c r="DQ34" i="17"/>
  <c r="DN34" i="17"/>
  <c r="DK34" i="17"/>
  <c r="DH34" i="17"/>
  <c r="DE34" i="17"/>
  <c r="DB34" i="17"/>
  <c r="CY34" i="17"/>
  <c r="CV34" i="17"/>
  <c r="CS34" i="17"/>
  <c r="CP34" i="17"/>
  <c r="CM34" i="17"/>
  <c r="CJ34" i="17"/>
  <c r="CG34" i="17"/>
  <c r="CD34" i="17"/>
  <c r="CA34" i="17"/>
  <c r="BX34" i="17"/>
  <c r="BU34" i="17"/>
  <c r="BR34" i="17"/>
  <c r="BO34" i="17"/>
  <c r="BL34" i="17"/>
  <c r="BI34" i="17"/>
  <c r="BF34" i="17"/>
  <c r="BC34" i="17"/>
  <c r="AZ34" i="17"/>
  <c r="AW34" i="17"/>
  <c r="AT34" i="17"/>
  <c r="AR34" i="17"/>
  <c r="AQ34" i="17"/>
  <c r="AN34" i="17"/>
  <c r="AI34" i="17"/>
  <c r="AK34" i="17" s="1"/>
  <c r="AB34" i="17"/>
  <c r="Y34" i="17"/>
  <c r="V34" i="17"/>
  <c r="S34" i="17"/>
  <c r="P34" i="17"/>
  <c r="M34" i="17"/>
  <c r="J34" i="17"/>
  <c r="G34" i="17"/>
  <c r="D34" i="17"/>
  <c r="EL33" i="17"/>
  <c r="EG33" i="17"/>
  <c r="EI33" i="17" s="1"/>
  <c r="DW33" i="17"/>
  <c r="DT33" i="17"/>
  <c r="DQ33" i="17"/>
  <c r="DN33" i="17"/>
  <c r="DK33" i="17"/>
  <c r="DH33" i="17"/>
  <c r="DE33" i="17"/>
  <c r="DB33" i="17"/>
  <c r="CY33" i="17"/>
  <c r="CV33" i="17"/>
  <c r="CS33" i="17"/>
  <c r="CP33" i="17"/>
  <c r="CM33" i="17"/>
  <c r="CJ33" i="17"/>
  <c r="CG33" i="17"/>
  <c r="CD33" i="17"/>
  <c r="CA33" i="17"/>
  <c r="BX33" i="17"/>
  <c r="BU33" i="17"/>
  <c r="BR33" i="17"/>
  <c r="BO33" i="17"/>
  <c r="BL33" i="17"/>
  <c r="BI33" i="17"/>
  <c r="BF33" i="17"/>
  <c r="BC33" i="17"/>
  <c r="AZ33" i="17"/>
  <c r="AW33" i="17"/>
  <c r="AT33" i="17"/>
  <c r="AR33" i="17"/>
  <c r="EB33" i="17" s="1"/>
  <c r="AQ33" i="17"/>
  <c r="AN33" i="17"/>
  <c r="AI33" i="17"/>
  <c r="AK33" i="17" s="1"/>
  <c r="AB33" i="17"/>
  <c r="Y33" i="17"/>
  <c r="V33" i="17"/>
  <c r="S33" i="17"/>
  <c r="P33" i="17"/>
  <c r="M33" i="17"/>
  <c r="J33" i="17"/>
  <c r="G33" i="17"/>
  <c r="D33" i="17"/>
  <c r="EL32" i="17"/>
  <c r="EG32" i="17"/>
  <c r="EI32" i="17" s="1"/>
  <c r="DW32" i="17"/>
  <c r="DT32" i="17"/>
  <c r="DQ32" i="17"/>
  <c r="DN32" i="17"/>
  <c r="DK32" i="17"/>
  <c r="DH32" i="17"/>
  <c r="DE32" i="17"/>
  <c r="DB32" i="17"/>
  <c r="CY32" i="17"/>
  <c r="CV32" i="17"/>
  <c r="CS32" i="17"/>
  <c r="CP32" i="17"/>
  <c r="CM32" i="17"/>
  <c r="CJ32" i="17"/>
  <c r="CG32" i="17"/>
  <c r="CD32" i="17"/>
  <c r="CA32" i="17"/>
  <c r="BX32" i="17"/>
  <c r="BU32" i="17"/>
  <c r="BR32" i="17"/>
  <c r="BO32" i="17"/>
  <c r="BL32" i="17"/>
  <c r="BI32" i="17"/>
  <c r="BF32" i="17"/>
  <c r="BC32" i="17"/>
  <c r="AZ32" i="17"/>
  <c r="AW32" i="17"/>
  <c r="AR32" i="17"/>
  <c r="EK32" i="17" s="1"/>
  <c r="AQ32" i="17"/>
  <c r="AN32" i="17"/>
  <c r="AK32" i="17"/>
  <c r="AI32" i="17"/>
  <c r="AB32" i="17"/>
  <c r="Y32" i="17"/>
  <c r="V32" i="17"/>
  <c r="S32" i="17"/>
  <c r="EH32" i="17" s="1"/>
  <c r="P32" i="17"/>
  <c r="M32" i="17"/>
  <c r="J32" i="17"/>
  <c r="G32" i="17"/>
  <c r="D32" i="17"/>
  <c r="EL31" i="17"/>
  <c r="EG31" i="17"/>
  <c r="EI31" i="17" s="1"/>
  <c r="DW31" i="17"/>
  <c r="DT31" i="17"/>
  <c r="DQ31" i="17"/>
  <c r="DN31" i="17"/>
  <c r="DK31" i="17"/>
  <c r="DH31" i="17"/>
  <c r="DE31" i="17"/>
  <c r="DB31" i="17"/>
  <c r="CY31" i="17"/>
  <c r="CV31" i="17"/>
  <c r="CS31" i="17"/>
  <c r="CP31" i="17"/>
  <c r="CM31" i="17"/>
  <c r="CJ31" i="17"/>
  <c r="CG31" i="17"/>
  <c r="CD31" i="17"/>
  <c r="CA31" i="17"/>
  <c r="BX31" i="17"/>
  <c r="BU31" i="17"/>
  <c r="BR31" i="17"/>
  <c r="BO31" i="17"/>
  <c r="BL31" i="17"/>
  <c r="BI31" i="17"/>
  <c r="BF31" i="17"/>
  <c r="BC31" i="17"/>
  <c r="AZ31" i="17"/>
  <c r="AW31" i="17"/>
  <c r="AR31" i="17"/>
  <c r="AQ31" i="17"/>
  <c r="AN31" i="17"/>
  <c r="AI31" i="17"/>
  <c r="EB31" i="17" s="1"/>
  <c r="AB31" i="17"/>
  <c r="Y31" i="17"/>
  <c r="V31" i="17"/>
  <c r="S31" i="17"/>
  <c r="P31" i="17"/>
  <c r="M31" i="17"/>
  <c r="J31" i="17"/>
  <c r="G31" i="17"/>
  <c r="D31" i="17"/>
  <c r="EL30" i="17"/>
  <c r="EG30" i="17"/>
  <c r="EI30" i="17" s="1"/>
  <c r="DW30" i="17"/>
  <c r="DT30" i="17"/>
  <c r="DQ30" i="17"/>
  <c r="DN30" i="17"/>
  <c r="DK30" i="17"/>
  <c r="DH30" i="17"/>
  <c r="DE30" i="17"/>
  <c r="DB30" i="17"/>
  <c r="CY30" i="17"/>
  <c r="CV30" i="17"/>
  <c r="CS30" i="17"/>
  <c r="CP30" i="17"/>
  <c r="CM30" i="17"/>
  <c r="CJ30" i="17"/>
  <c r="CG30" i="17"/>
  <c r="CD30" i="17"/>
  <c r="CA30" i="17"/>
  <c r="BX30" i="17"/>
  <c r="BU30" i="17"/>
  <c r="BR30" i="17"/>
  <c r="BO30" i="17"/>
  <c r="BL30" i="17"/>
  <c r="BI30" i="17"/>
  <c r="BF30" i="17"/>
  <c r="BC30" i="17"/>
  <c r="AZ30" i="17"/>
  <c r="AW30" i="17"/>
  <c r="AR30" i="17"/>
  <c r="EK30" i="17" s="1"/>
  <c r="AQ30" i="17"/>
  <c r="AN30" i="17"/>
  <c r="AK30" i="17"/>
  <c r="AI30" i="17"/>
  <c r="AB30" i="17"/>
  <c r="Y30" i="17"/>
  <c r="V30" i="17"/>
  <c r="S30" i="17"/>
  <c r="P30" i="17"/>
  <c r="M30" i="17"/>
  <c r="J30" i="17"/>
  <c r="G30" i="17"/>
  <c r="D30" i="17"/>
  <c r="EL29" i="17"/>
  <c r="EG29" i="17"/>
  <c r="EI29" i="17" s="1"/>
  <c r="EB29" i="17"/>
  <c r="DW29" i="17"/>
  <c r="DT29" i="17"/>
  <c r="DQ29" i="17"/>
  <c r="DN29" i="17"/>
  <c r="DK29" i="17"/>
  <c r="DH29" i="17"/>
  <c r="DE29" i="17"/>
  <c r="DB29" i="17"/>
  <c r="CY29" i="17"/>
  <c r="CV29" i="17"/>
  <c r="CS29" i="17"/>
  <c r="CP29" i="17"/>
  <c r="CM29" i="17"/>
  <c r="CJ29" i="17"/>
  <c r="CG29" i="17"/>
  <c r="CD29" i="17"/>
  <c r="CA29" i="17"/>
  <c r="BX29" i="17"/>
  <c r="BU29" i="17"/>
  <c r="BR29" i="17"/>
  <c r="BO29" i="17"/>
  <c r="BL29" i="17"/>
  <c r="BI29" i="17"/>
  <c r="BF29" i="17"/>
  <c r="BC29" i="17"/>
  <c r="AZ29" i="17"/>
  <c r="AW29" i="17"/>
  <c r="AR29" i="17"/>
  <c r="EK29" i="17" s="1"/>
  <c r="AQ29" i="17"/>
  <c r="AN29" i="17"/>
  <c r="AK29" i="17"/>
  <c r="AI29" i="17"/>
  <c r="AB29" i="17"/>
  <c r="Y29" i="17"/>
  <c r="V29" i="17"/>
  <c r="S29" i="17"/>
  <c r="P29" i="17"/>
  <c r="M29" i="17"/>
  <c r="J29" i="17"/>
  <c r="G29" i="17"/>
  <c r="D29" i="17"/>
  <c r="EL28" i="17"/>
  <c r="EG28" i="17"/>
  <c r="EI28" i="17" s="1"/>
  <c r="DW28" i="17"/>
  <c r="DT28" i="17"/>
  <c r="DQ28" i="17"/>
  <c r="DN28" i="17"/>
  <c r="DK28" i="17"/>
  <c r="DH28" i="17"/>
  <c r="DE28" i="17"/>
  <c r="DB28" i="17"/>
  <c r="CY28" i="17"/>
  <c r="CV28" i="17"/>
  <c r="CS28" i="17"/>
  <c r="CP28" i="17"/>
  <c r="CM28" i="17"/>
  <c r="CJ28" i="17"/>
  <c r="CG28" i="17"/>
  <c r="CD28" i="17"/>
  <c r="CA28" i="17"/>
  <c r="BX28" i="17"/>
  <c r="BU28" i="17"/>
  <c r="BR28" i="17"/>
  <c r="BO28" i="17"/>
  <c r="BL28" i="17"/>
  <c r="BI28" i="17"/>
  <c r="BF28" i="17"/>
  <c r="BC28" i="17"/>
  <c r="AZ28" i="17"/>
  <c r="AW28" i="17"/>
  <c r="AR28" i="17"/>
  <c r="AQ28" i="17"/>
  <c r="AN28" i="17"/>
  <c r="AI28" i="17"/>
  <c r="EB28" i="17" s="1"/>
  <c r="AB28" i="17"/>
  <c r="Y28" i="17"/>
  <c r="V28" i="17"/>
  <c r="S28" i="17"/>
  <c r="P28" i="17"/>
  <c r="M28" i="17"/>
  <c r="J28" i="17"/>
  <c r="G28" i="17"/>
  <c r="D28" i="17"/>
  <c r="EL27" i="17"/>
  <c r="EG27" i="17"/>
  <c r="EI27" i="17" s="1"/>
  <c r="DW27" i="17"/>
  <c r="DT27" i="17"/>
  <c r="DQ27" i="17"/>
  <c r="DN27" i="17"/>
  <c r="DK27" i="17"/>
  <c r="DH27" i="17"/>
  <c r="DE27" i="17"/>
  <c r="DB27" i="17"/>
  <c r="CY27" i="17"/>
  <c r="CV27" i="17"/>
  <c r="CS27" i="17"/>
  <c r="CP27" i="17"/>
  <c r="CM27" i="17"/>
  <c r="CJ27" i="17"/>
  <c r="CG27" i="17"/>
  <c r="CD27" i="17"/>
  <c r="CA27" i="17"/>
  <c r="BX27" i="17"/>
  <c r="BU27" i="17"/>
  <c r="BR27" i="17"/>
  <c r="BO27" i="17"/>
  <c r="BL27" i="17"/>
  <c r="BI27" i="17"/>
  <c r="BF27" i="17"/>
  <c r="BC27" i="17"/>
  <c r="AZ27" i="17"/>
  <c r="AW27" i="17"/>
  <c r="AR27" i="17"/>
  <c r="EK27" i="17" s="1"/>
  <c r="AQ27" i="17"/>
  <c r="AN27" i="17"/>
  <c r="AI27" i="17"/>
  <c r="AK27" i="17" s="1"/>
  <c r="AB27" i="17"/>
  <c r="Y27" i="17"/>
  <c r="V27" i="17"/>
  <c r="S27" i="17"/>
  <c r="P27" i="17"/>
  <c r="M27" i="17"/>
  <c r="J27" i="17"/>
  <c r="G27" i="17"/>
  <c r="D27" i="17"/>
  <c r="EL26" i="17"/>
  <c r="EG26" i="17"/>
  <c r="EI26" i="17" s="1"/>
  <c r="DW26" i="17"/>
  <c r="DT26" i="17"/>
  <c r="DQ26" i="17"/>
  <c r="DN26" i="17"/>
  <c r="DK26" i="17"/>
  <c r="DH26" i="17"/>
  <c r="DE26" i="17"/>
  <c r="DB26" i="17"/>
  <c r="CY26" i="17"/>
  <c r="CV26" i="17"/>
  <c r="CS26" i="17"/>
  <c r="CP26" i="17"/>
  <c r="CM26" i="17"/>
  <c r="CJ26" i="17"/>
  <c r="CG26" i="17"/>
  <c r="CD26" i="17"/>
  <c r="CA26" i="17"/>
  <c r="BX26" i="17"/>
  <c r="BU26" i="17"/>
  <c r="BR26" i="17"/>
  <c r="BO26" i="17"/>
  <c r="BL26" i="17"/>
  <c r="BI26" i="17"/>
  <c r="BF26" i="17"/>
  <c r="BC26" i="17"/>
  <c r="AZ26" i="17"/>
  <c r="AW26" i="17"/>
  <c r="AT26" i="17"/>
  <c r="AR26" i="17"/>
  <c r="AQ26" i="17"/>
  <c r="AN26" i="17"/>
  <c r="AI26" i="17"/>
  <c r="EB26" i="17" s="1"/>
  <c r="AB26" i="17"/>
  <c r="Y26" i="17"/>
  <c r="V26" i="17"/>
  <c r="S26" i="17"/>
  <c r="P26" i="17"/>
  <c r="M26" i="17"/>
  <c r="J26" i="17"/>
  <c r="G26" i="17"/>
  <c r="D26" i="17"/>
  <c r="EL25" i="17"/>
  <c r="EG25" i="17"/>
  <c r="EI25" i="17" s="1"/>
  <c r="DW25" i="17"/>
  <c r="DT25" i="17"/>
  <c r="DQ25" i="17"/>
  <c r="DN25" i="17"/>
  <c r="DK25" i="17"/>
  <c r="DH25" i="17"/>
  <c r="DE25" i="17"/>
  <c r="DB25" i="17"/>
  <c r="CY25" i="17"/>
  <c r="CV25" i="17"/>
  <c r="CS25" i="17"/>
  <c r="CP25" i="17"/>
  <c r="CM25" i="17"/>
  <c r="CJ25" i="17"/>
  <c r="CG25" i="17"/>
  <c r="CD25" i="17"/>
  <c r="CA25" i="17"/>
  <c r="BX25" i="17"/>
  <c r="BU25" i="17"/>
  <c r="BR25" i="17"/>
  <c r="BO25" i="17"/>
  <c r="BL25" i="17"/>
  <c r="BI25" i="17"/>
  <c r="BF25" i="17"/>
  <c r="BC25" i="17"/>
  <c r="AZ25" i="17"/>
  <c r="AW25" i="17"/>
  <c r="AT25" i="17"/>
  <c r="AR25" i="17"/>
  <c r="AQ25" i="17"/>
  <c r="AN25" i="17"/>
  <c r="AI25" i="17"/>
  <c r="EB25" i="17" s="1"/>
  <c r="AB25" i="17"/>
  <c r="Y25" i="17"/>
  <c r="V25" i="17"/>
  <c r="S25" i="17"/>
  <c r="P25" i="17"/>
  <c r="M25" i="17"/>
  <c r="J25" i="17"/>
  <c r="G25" i="17"/>
  <c r="D25" i="17"/>
  <c r="EL24" i="17"/>
  <c r="EG24" i="17"/>
  <c r="EI24" i="17" s="1"/>
  <c r="DW24" i="17"/>
  <c r="DT24" i="17"/>
  <c r="DQ24" i="17"/>
  <c r="DN24" i="17"/>
  <c r="DK24" i="17"/>
  <c r="DH24" i="17"/>
  <c r="DE24" i="17"/>
  <c r="DB24" i="17"/>
  <c r="CY24" i="17"/>
  <c r="CV24" i="17"/>
  <c r="CS24" i="17"/>
  <c r="CP24" i="17"/>
  <c r="CM24" i="17"/>
  <c r="CJ24" i="17"/>
  <c r="CG24" i="17"/>
  <c r="CD24" i="17"/>
  <c r="CA24" i="17"/>
  <c r="BX24" i="17"/>
  <c r="BU24" i="17"/>
  <c r="BR24" i="17"/>
  <c r="BO24" i="17"/>
  <c r="BL24" i="17"/>
  <c r="BI24" i="17"/>
  <c r="BF24" i="17"/>
  <c r="BC24" i="17"/>
  <c r="AZ24" i="17"/>
  <c r="AW24" i="17"/>
  <c r="AR24" i="17"/>
  <c r="EK24" i="17" s="1"/>
  <c r="AQ24" i="17"/>
  <c r="AN24" i="17"/>
  <c r="AK24" i="17"/>
  <c r="AI24" i="17"/>
  <c r="AB24" i="17"/>
  <c r="Y24" i="17"/>
  <c r="V24" i="17"/>
  <c r="S24" i="17"/>
  <c r="EH24" i="17" s="1"/>
  <c r="P24" i="17"/>
  <c r="M24" i="17"/>
  <c r="J24" i="17"/>
  <c r="G24" i="17"/>
  <c r="D24" i="17"/>
  <c r="EL23" i="17"/>
  <c r="EG23" i="17"/>
  <c r="EI23" i="17" s="1"/>
  <c r="DW23" i="17"/>
  <c r="DT23" i="17"/>
  <c r="DQ23" i="17"/>
  <c r="DN23" i="17"/>
  <c r="DK23" i="17"/>
  <c r="DH23" i="17"/>
  <c r="DE23" i="17"/>
  <c r="DB23" i="17"/>
  <c r="CY23" i="17"/>
  <c r="CV23" i="17"/>
  <c r="CS23" i="17"/>
  <c r="CP23" i="17"/>
  <c r="CM23" i="17"/>
  <c r="CJ23" i="17"/>
  <c r="CG23" i="17"/>
  <c r="CD23" i="17"/>
  <c r="CA23" i="17"/>
  <c r="BX23" i="17"/>
  <c r="BU23" i="17"/>
  <c r="BR23" i="17"/>
  <c r="BO23" i="17"/>
  <c r="BL23" i="17"/>
  <c r="BI23" i="17"/>
  <c r="BF23" i="17"/>
  <c r="BC23" i="17"/>
  <c r="AZ23" i="17"/>
  <c r="AW23" i="17"/>
  <c r="AR23" i="17"/>
  <c r="AQ23" i="17"/>
  <c r="AN23" i="17"/>
  <c r="AI23" i="17"/>
  <c r="EB23" i="17" s="1"/>
  <c r="AB23" i="17"/>
  <c r="Y23" i="17"/>
  <c r="V23" i="17"/>
  <c r="S23" i="17"/>
  <c r="P23" i="17"/>
  <c r="M23" i="17"/>
  <c r="J23" i="17"/>
  <c r="G23" i="17"/>
  <c r="D23" i="17"/>
  <c r="EL22" i="17"/>
  <c r="EG22" i="17"/>
  <c r="EI22" i="17" s="1"/>
  <c r="DW22" i="17"/>
  <c r="DT22" i="17"/>
  <c r="DQ22" i="17"/>
  <c r="DN22" i="17"/>
  <c r="DK22" i="17"/>
  <c r="DH22" i="17"/>
  <c r="DE22" i="17"/>
  <c r="DB22" i="17"/>
  <c r="CY22" i="17"/>
  <c r="CV22" i="17"/>
  <c r="CS22" i="17"/>
  <c r="CP22" i="17"/>
  <c r="CM22" i="17"/>
  <c r="CJ22" i="17"/>
  <c r="CG22" i="17"/>
  <c r="CD22" i="17"/>
  <c r="CA22" i="17"/>
  <c r="BX22" i="17"/>
  <c r="BU22" i="17"/>
  <c r="BR22" i="17"/>
  <c r="BO22" i="17"/>
  <c r="BL22" i="17"/>
  <c r="BI22" i="17"/>
  <c r="BF22" i="17"/>
  <c r="BC22" i="17"/>
  <c r="AZ22" i="17"/>
  <c r="AW22" i="17"/>
  <c r="AR22" i="17"/>
  <c r="EK22" i="17" s="1"/>
  <c r="AQ22" i="17"/>
  <c r="AN22" i="17"/>
  <c r="AK22" i="17"/>
  <c r="AI22" i="17"/>
  <c r="AB22" i="17"/>
  <c r="Y22" i="17"/>
  <c r="V22" i="17"/>
  <c r="S22" i="17"/>
  <c r="P22" i="17"/>
  <c r="M22" i="17"/>
  <c r="J22" i="17"/>
  <c r="G22" i="17"/>
  <c r="D22" i="17"/>
  <c r="EL21" i="17"/>
  <c r="EG21" i="17"/>
  <c r="EI21" i="17" s="1"/>
  <c r="EB21" i="17"/>
  <c r="DW21" i="17"/>
  <c r="DT21" i="17"/>
  <c r="DQ21" i="17"/>
  <c r="DN21" i="17"/>
  <c r="DK21" i="17"/>
  <c r="DH21" i="17"/>
  <c r="DE21" i="17"/>
  <c r="DB21" i="17"/>
  <c r="CY21" i="17"/>
  <c r="CV21" i="17"/>
  <c r="CS21" i="17"/>
  <c r="CP21" i="17"/>
  <c r="CM21" i="17"/>
  <c r="CJ21" i="17"/>
  <c r="CG21" i="17"/>
  <c r="CD21" i="17"/>
  <c r="CA21" i="17"/>
  <c r="BX21" i="17"/>
  <c r="BU21" i="17"/>
  <c r="BR21" i="17"/>
  <c r="BO21" i="17"/>
  <c r="BL21" i="17"/>
  <c r="BI21" i="17"/>
  <c r="BF21" i="17"/>
  <c r="BC21" i="17"/>
  <c r="AZ21" i="17"/>
  <c r="AW21" i="17"/>
  <c r="AR21" i="17"/>
  <c r="EK21" i="17" s="1"/>
  <c r="AQ21" i="17"/>
  <c r="AN21" i="17"/>
  <c r="AK21" i="17"/>
  <c r="AI21" i="17"/>
  <c r="AB21" i="17"/>
  <c r="Y21" i="17"/>
  <c r="V21" i="17"/>
  <c r="S21" i="17"/>
  <c r="P21" i="17"/>
  <c r="M21" i="17"/>
  <c r="J21" i="17"/>
  <c r="G21" i="17"/>
  <c r="D21" i="17"/>
  <c r="EL20" i="17"/>
  <c r="EG20" i="17"/>
  <c r="EI20" i="17" s="1"/>
  <c r="DW20" i="17"/>
  <c r="DT20" i="17"/>
  <c r="DQ20" i="17"/>
  <c r="DN20" i="17"/>
  <c r="DK20" i="17"/>
  <c r="DH20" i="17"/>
  <c r="DE20" i="17"/>
  <c r="DB20" i="17"/>
  <c r="CY20" i="17"/>
  <c r="CV20" i="17"/>
  <c r="CS20" i="17"/>
  <c r="CP20" i="17"/>
  <c r="CM20" i="17"/>
  <c r="CJ20" i="17"/>
  <c r="CG20" i="17"/>
  <c r="CD20" i="17"/>
  <c r="CA20" i="17"/>
  <c r="BX20" i="17"/>
  <c r="BU20" i="17"/>
  <c r="BR20" i="17"/>
  <c r="BO20" i="17"/>
  <c r="BL20" i="17"/>
  <c r="BI20" i="17"/>
  <c r="BF20" i="17"/>
  <c r="BC20" i="17"/>
  <c r="AZ20" i="17"/>
  <c r="AW20" i="17"/>
  <c r="AT20" i="17"/>
  <c r="AR20" i="17"/>
  <c r="AQ20" i="17"/>
  <c r="AN20" i="17"/>
  <c r="AI20" i="17"/>
  <c r="EB20" i="17" s="1"/>
  <c r="AB20" i="17"/>
  <c r="Y20" i="17"/>
  <c r="V20" i="17"/>
  <c r="S20" i="17"/>
  <c r="P20" i="17"/>
  <c r="M20" i="17"/>
  <c r="J20" i="17"/>
  <c r="G20" i="17"/>
  <c r="D20" i="17"/>
  <c r="EL19" i="17"/>
  <c r="EG19" i="17"/>
  <c r="EI19" i="17" s="1"/>
  <c r="DW19" i="17"/>
  <c r="DT19" i="17"/>
  <c r="DQ19" i="17"/>
  <c r="DN19" i="17"/>
  <c r="DK19" i="17"/>
  <c r="DH19" i="17"/>
  <c r="DE19" i="17"/>
  <c r="DB19" i="17"/>
  <c r="CY19" i="17"/>
  <c r="CV19" i="17"/>
  <c r="CS19" i="17"/>
  <c r="CP19" i="17"/>
  <c r="CM19" i="17"/>
  <c r="CJ19" i="17"/>
  <c r="CG19" i="17"/>
  <c r="CD19" i="17"/>
  <c r="CA19" i="17"/>
  <c r="BX19" i="17"/>
  <c r="BU19" i="17"/>
  <c r="BR19" i="17"/>
  <c r="BO19" i="17"/>
  <c r="BL19" i="17"/>
  <c r="BI19" i="17"/>
  <c r="BF19" i="17"/>
  <c r="BC19" i="17"/>
  <c r="AZ19" i="17"/>
  <c r="AW19" i="17"/>
  <c r="AR19" i="17"/>
  <c r="EK19" i="17" s="1"/>
  <c r="AQ19" i="17"/>
  <c r="AN19" i="17"/>
  <c r="AI19" i="17"/>
  <c r="AK19" i="17" s="1"/>
  <c r="AB19" i="17"/>
  <c r="Y19" i="17"/>
  <c r="V19" i="17"/>
  <c r="S19" i="17"/>
  <c r="P19" i="17"/>
  <c r="M19" i="17"/>
  <c r="J19" i="17"/>
  <c r="G19" i="17"/>
  <c r="D19" i="17"/>
  <c r="EL18" i="17"/>
  <c r="EG18" i="17"/>
  <c r="EI18" i="17" s="1"/>
  <c r="DW18" i="17"/>
  <c r="DT18" i="17"/>
  <c r="DQ18" i="17"/>
  <c r="DN18" i="17"/>
  <c r="DK18" i="17"/>
  <c r="DH18" i="17"/>
  <c r="DE18" i="17"/>
  <c r="DB18" i="17"/>
  <c r="CY18" i="17"/>
  <c r="CV18" i="17"/>
  <c r="CS18" i="17"/>
  <c r="CP18" i="17"/>
  <c r="CM18" i="17"/>
  <c r="CJ18" i="17"/>
  <c r="CG18" i="17"/>
  <c r="CD18" i="17"/>
  <c r="CA18" i="17"/>
  <c r="BX18" i="17"/>
  <c r="BU18" i="17"/>
  <c r="BR18" i="17"/>
  <c r="BO18" i="17"/>
  <c r="BL18" i="17"/>
  <c r="BI18" i="17"/>
  <c r="BF18" i="17"/>
  <c r="BC18" i="17"/>
  <c r="AZ18" i="17"/>
  <c r="AW18" i="17"/>
  <c r="AT18" i="17"/>
  <c r="AR18" i="17"/>
  <c r="AQ18" i="17"/>
  <c r="AN18" i="17"/>
  <c r="AI18" i="17"/>
  <c r="AK18" i="17" s="1"/>
  <c r="AB18" i="17"/>
  <c r="Y18" i="17"/>
  <c r="V18" i="17"/>
  <c r="S18" i="17"/>
  <c r="P18" i="17"/>
  <c r="M18" i="17"/>
  <c r="J18" i="17"/>
  <c r="G18" i="17"/>
  <c r="D18" i="17"/>
  <c r="EL17" i="17"/>
  <c r="EG17" i="17"/>
  <c r="EI17" i="17" s="1"/>
  <c r="DW17" i="17"/>
  <c r="DT17" i="17"/>
  <c r="DQ17" i="17"/>
  <c r="DN17" i="17"/>
  <c r="DK17" i="17"/>
  <c r="DH17" i="17"/>
  <c r="DE17" i="17"/>
  <c r="DB17" i="17"/>
  <c r="CY17" i="17"/>
  <c r="CV17" i="17"/>
  <c r="CS17" i="17"/>
  <c r="CP17" i="17"/>
  <c r="CM17" i="17"/>
  <c r="CJ17" i="17"/>
  <c r="CG17" i="17"/>
  <c r="CD17" i="17"/>
  <c r="CA17" i="17"/>
  <c r="BX17" i="17"/>
  <c r="BU17" i="17"/>
  <c r="BR17" i="17"/>
  <c r="BO17" i="17"/>
  <c r="BL17" i="17"/>
  <c r="BI17" i="17"/>
  <c r="BF17" i="17"/>
  <c r="BC17" i="17"/>
  <c r="AZ17" i="17"/>
  <c r="AW17" i="17"/>
  <c r="AR17" i="17"/>
  <c r="AT17" i="17" s="1"/>
  <c r="AQ17" i="17"/>
  <c r="AL17" i="17"/>
  <c r="AI17" i="17"/>
  <c r="AK17" i="17" s="1"/>
  <c r="AB17" i="17"/>
  <c r="Y17" i="17"/>
  <c r="V17" i="17"/>
  <c r="S17" i="17"/>
  <c r="EH17" i="17" s="1"/>
  <c r="P17" i="17"/>
  <c r="M17" i="17"/>
  <c r="J17" i="17"/>
  <c r="G17" i="17"/>
  <c r="D17" i="17"/>
  <c r="EL16" i="17"/>
  <c r="EG16" i="17"/>
  <c r="EI16" i="17" s="1"/>
  <c r="DW16" i="17"/>
  <c r="DT16" i="17"/>
  <c r="DQ16" i="17"/>
  <c r="DN16" i="17"/>
  <c r="DK16" i="17"/>
  <c r="DH16" i="17"/>
  <c r="DE16" i="17"/>
  <c r="DB16" i="17"/>
  <c r="CY16" i="17"/>
  <c r="CV16" i="17"/>
  <c r="CS16" i="17"/>
  <c r="CP16" i="17"/>
  <c r="CM16" i="17"/>
  <c r="CJ16" i="17"/>
  <c r="CG16" i="17"/>
  <c r="CD16" i="17"/>
  <c r="CA16" i="17"/>
  <c r="BX16" i="17"/>
  <c r="BU16" i="17"/>
  <c r="BR16" i="17"/>
  <c r="BO16" i="17"/>
  <c r="BL16" i="17"/>
  <c r="BI16" i="17"/>
  <c r="BF16" i="17"/>
  <c r="BC16" i="17"/>
  <c r="AZ16" i="17"/>
  <c r="AW16" i="17"/>
  <c r="AR16" i="17"/>
  <c r="AT16" i="17" s="1"/>
  <c r="AQ16" i="17"/>
  <c r="AL16" i="17"/>
  <c r="AI16" i="17"/>
  <c r="AK16" i="17" s="1"/>
  <c r="AB16" i="17"/>
  <c r="Y16" i="17"/>
  <c r="V16" i="17"/>
  <c r="S16" i="17"/>
  <c r="P16" i="17"/>
  <c r="M16" i="17"/>
  <c r="J16" i="17"/>
  <c r="G16" i="17"/>
  <c r="D16" i="17"/>
  <c r="EL15" i="17"/>
  <c r="EG15" i="17"/>
  <c r="EI15" i="17" s="1"/>
  <c r="DW15" i="17"/>
  <c r="DT15" i="17"/>
  <c r="DQ15" i="17"/>
  <c r="DN15" i="17"/>
  <c r="DK15" i="17"/>
  <c r="DH15" i="17"/>
  <c r="DE15" i="17"/>
  <c r="DB15" i="17"/>
  <c r="CY15" i="17"/>
  <c r="CV15" i="17"/>
  <c r="CS15" i="17"/>
  <c r="CP15" i="17"/>
  <c r="CM15" i="17"/>
  <c r="CJ15" i="17"/>
  <c r="CG15" i="17"/>
  <c r="CD15" i="17"/>
  <c r="CA15" i="17"/>
  <c r="BX15" i="17"/>
  <c r="BU15" i="17"/>
  <c r="BR15" i="17"/>
  <c r="BO15" i="17"/>
  <c r="BL15" i="17"/>
  <c r="BI15" i="17"/>
  <c r="BF15" i="17"/>
  <c r="BC15" i="17"/>
  <c r="AZ15" i="17"/>
  <c r="AW15" i="17"/>
  <c r="AR15" i="17"/>
  <c r="AT15" i="17" s="1"/>
  <c r="AQ15" i="17"/>
  <c r="AL15" i="17"/>
  <c r="AN15" i="17" s="1"/>
  <c r="AI15" i="17"/>
  <c r="AK15" i="17" s="1"/>
  <c r="AB15" i="17"/>
  <c r="Y15" i="17"/>
  <c r="V15" i="17"/>
  <c r="S15" i="17"/>
  <c r="EH15" i="17" s="1"/>
  <c r="P15" i="17"/>
  <c r="M15" i="17"/>
  <c r="J15" i="17"/>
  <c r="G15" i="17"/>
  <c r="D15" i="17"/>
  <c r="EL14" i="17"/>
  <c r="EG14" i="17"/>
  <c r="EI14" i="17" s="1"/>
  <c r="DW14" i="17"/>
  <c r="DT14" i="17"/>
  <c r="DQ14" i="17"/>
  <c r="DN14" i="17"/>
  <c r="DK14" i="17"/>
  <c r="DH14" i="17"/>
  <c r="DE14" i="17"/>
  <c r="DB14" i="17"/>
  <c r="CY14" i="17"/>
  <c r="CV14" i="17"/>
  <c r="CS14" i="17"/>
  <c r="CP14" i="17"/>
  <c r="CM14" i="17"/>
  <c r="CJ14" i="17"/>
  <c r="CG14" i="17"/>
  <c r="CD14" i="17"/>
  <c r="CA14" i="17"/>
  <c r="BX14" i="17"/>
  <c r="BU14" i="17"/>
  <c r="BR14" i="17"/>
  <c r="BO14" i="17"/>
  <c r="BL14" i="17"/>
  <c r="BI14" i="17"/>
  <c r="BF14" i="17"/>
  <c r="BC14" i="17"/>
  <c r="AZ14" i="17"/>
  <c r="AW14" i="17"/>
  <c r="AR14" i="17"/>
  <c r="AT14" i="17" s="1"/>
  <c r="AQ14" i="17"/>
  <c r="AL14" i="17"/>
  <c r="AN14" i="17" s="1"/>
  <c r="AI14" i="17"/>
  <c r="AK14" i="17" s="1"/>
  <c r="AB14" i="17"/>
  <c r="Y14" i="17"/>
  <c r="V14" i="17"/>
  <c r="S14" i="17"/>
  <c r="P14" i="17"/>
  <c r="M14" i="17"/>
  <c r="J14" i="17"/>
  <c r="G14" i="17"/>
  <c r="D14" i="17"/>
  <c r="EL13" i="17"/>
  <c r="EG13" i="17"/>
  <c r="EI13" i="17" s="1"/>
  <c r="DW13" i="17"/>
  <c r="DT13" i="17"/>
  <c r="DQ13" i="17"/>
  <c r="DN13" i="17"/>
  <c r="DK13" i="17"/>
  <c r="DH13" i="17"/>
  <c r="DE13" i="17"/>
  <c r="DB13" i="17"/>
  <c r="CY13" i="17"/>
  <c r="CV13" i="17"/>
  <c r="CS13" i="17"/>
  <c r="CP13" i="17"/>
  <c r="CM13" i="17"/>
  <c r="CJ13" i="17"/>
  <c r="CG13" i="17"/>
  <c r="CD13" i="17"/>
  <c r="CA13" i="17"/>
  <c r="BX13" i="17"/>
  <c r="BU13" i="17"/>
  <c r="BR13" i="17"/>
  <c r="BO13" i="17"/>
  <c r="BL13" i="17"/>
  <c r="BI13" i="17"/>
  <c r="BF13" i="17"/>
  <c r="BC13" i="17"/>
  <c r="AZ13" i="17"/>
  <c r="AW13" i="17"/>
  <c r="AR13" i="17"/>
  <c r="AQ13" i="17"/>
  <c r="AL13" i="17"/>
  <c r="AN13" i="17" s="1"/>
  <c r="AI13" i="17"/>
  <c r="AK13" i="17" s="1"/>
  <c r="AB13" i="17"/>
  <c r="Y13" i="17"/>
  <c r="V13" i="17"/>
  <c r="S13" i="17"/>
  <c r="P13" i="17"/>
  <c r="M13" i="17"/>
  <c r="J13" i="17"/>
  <c r="G13" i="17"/>
  <c r="D13" i="17"/>
  <c r="EL12" i="17"/>
  <c r="EI12" i="17"/>
  <c r="EG12" i="17"/>
  <c r="DW12" i="17"/>
  <c r="DT12" i="17"/>
  <c r="DQ12" i="17"/>
  <c r="DN12" i="17"/>
  <c r="DK12" i="17"/>
  <c r="DH12" i="17"/>
  <c r="DE12" i="17"/>
  <c r="DB12" i="17"/>
  <c r="CY12" i="17"/>
  <c r="CV12" i="17"/>
  <c r="CS12" i="17"/>
  <c r="CP12" i="17"/>
  <c r="CM12" i="17"/>
  <c r="CJ12" i="17"/>
  <c r="CG12" i="17"/>
  <c r="CD12" i="17"/>
  <c r="CA12" i="17"/>
  <c r="BX12" i="17"/>
  <c r="BU12" i="17"/>
  <c r="BR12" i="17"/>
  <c r="BO12" i="17"/>
  <c r="BL12" i="17"/>
  <c r="BI12" i="17"/>
  <c r="BF12" i="17"/>
  <c r="BC12" i="17"/>
  <c r="AZ12" i="17"/>
  <c r="AW12" i="17"/>
  <c r="AR12" i="17"/>
  <c r="AT12" i="17" s="1"/>
  <c r="AQ12" i="17"/>
  <c r="AL12" i="17"/>
  <c r="AI12" i="17"/>
  <c r="AK12" i="17" s="1"/>
  <c r="AB12" i="17"/>
  <c r="Y12" i="17"/>
  <c r="V12" i="17"/>
  <c r="S12" i="17"/>
  <c r="P12" i="17"/>
  <c r="M12" i="17"/>
  <c r="J12" i="17"/>
  <c r="G12" i="17"/>
  <c r="D12" i="17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EL11" i="17"/>
  <c r="EI11" i="17"/>
  <c r="EG11" i="17"/>
  <c r="DW11" i="17"/>
  <c r="DT11" i="17"/>
  <c r="DQ11" i="17"/>
  <c r="DN11" i="17"/>
  <c r="DK11" i="17"/>
  <c r="DH11" i="17"/>
  <c r="DE11" i="17"/>
  <c r="DB11" i="17"/>
  <c r="CY11" i="17"/>
  <c r="CV11" i="17"/>
  <c r="CS11" i="17"/>
  <c r="CP11" i="17"/>
  <c r="CM11" i="17"/>
  <c r="CJ11" i="17"/>
  <c r="CG11" i="17"/>
  <c r="CD11" i="17"/>
  <c r="CA11" i="17"/>
  <c r="BX11" i="17"/>
  <c r="BU11" i="17"/>
  <c r="BR11" i="17"/>
  <c r="BO11" i="17"/>
  <c r="BL11" i="17"/>
  <c r="BI11" i="17"/>
  <c r="BF11" i="17"/>
  <c r="BC11" i="17"/>
  <c r="AZ11" i="17"/>
  <c r="AW11" i="17"/>
  <c r="AR11" i="17"/>
  <c r="AT11" i="17" s="1"/>
  <c r="AO11" i="17"/>
  <c r="AQ11" i="17" s="1"/>
  <c r="AQ42" i="17" s="1"/>
  <c r="AL11" i="17"/>
  <c r="EB11" i="17" s="1"/>
  <c r="AI11" i="17"/>
  <c r="AK11" i="17" s="1"/>
  <c r="AE42" i="17"/>
  <c r="AB11" i="17"/>
  <c r="Y11" i="17"/>
  <c r="V11" i="17"/>
  <c r="S11" i="17"/>
  <c r="EH11" i="17" s="1"/>
  <c r="P11" i="17"/>
  <c r="P42" i="17" s="1"/>
  <c r="M11" i="17"/>
  <c r="J11" i="17"/>
  <c r="G11" i="17"/>
  <c r="D11" i="17"/>
  <c r="EM31" i="18" l="1"/>
  <c r="ED31" i="18"/>
  <c r="DH42" i="17"/>
  <c r="EB18" i="17"/>
  <c r="EH21" i="18"/>
  <c r="AK25" i="18"/>
  <c r="ED25" i="18" s="1"/>
  <c r="EE25" i="18" s="1"/>
  <c r="EB35" i="18"/>
  <c r="EE35" i="18" s="1"/>
  <c r="ED33" i="17"/>
  <c r="CJ42" i="17"/>
  <c r="AT22" i="17"/>
  <c r="AK26" i="17"/>
  <c r="AK22" i="18"/>
  <c r="ED22" i="18" s="1"/>
  <c r="AN28" i="18"/>
  <c r="EM28" i="18" s="1"/>
  <c r="BO42" i="17"/>
  <c r="EB16" i="17"/>
  <c r="EB39" i="17"/>
  <c r="CA41" i="18"/>
  <c r="EB19" i="18"/>
  <c r="EB30" i="18"/>
  <c r="EI5" i="17"/>
  <c r="EK13" i="17"/>
  <c r="AN16" i="17"/>
  <c r="AK20" i="17"/>
  <c r="ED22" i="17"/>
  <c r="AT24" i="17"/>
  <c r="AK28" i="17"/>
  <c r="ED30" i="17"/>
  <c r="AT32" i="17"/>
  <c r="EM32" i="17" s="1"/>
  <c r="EN32" i="17" s="1"/>
  <c r="AK36" i="17"/>
  <c r="EM36" i="17" s="1"/>
  <c r="EN36" i="17" s="1"/>
  <c r="AT40" i="17"/>
  <c r="AN13" i="18"/>
  <c r="ED17" i="18"/>
  <c r="AN19" i="18"/>
  <c r="EH20" i="18"/>
  <c r="EH28" i="18"/>
  <c r="EK28" i="18"/>
  <c r="EC28" i="18" s="1"/>
  <c r="AN30" i="18"/>
  <c r="ED30" i="18" s="1"/>
  <c r="EE30" i="18" s="1"/>
  <c r="ED39" i="18"/>
  <c r="AT30" i="17"/>
  <c r="AT38" i="17"/>
  <c r="ED38" i="17" s="1"/>
  <c r="EE38" i="17" s="1"/>
  <c r="EH17" i="18"/>
  <c r="AT19" i="17"/>
  <c r="ED19" i="17" s="1"/>
  <c r="EE19" i="17" s="1"/>
  <c r="AK23" i="17"/>
  <c r="ED23" i="17" s="1"/>
  <c r="EE23" i="17" s="1"/>
  <c r="AT35" i="17"/>
  <c r="DW41" i="18"/>
  <c r="ED29" i="18"/>
  <c r="D42" i="17"/>
  <c r="AB42" i="17"/>
  <c r="EH13" i="17"/>
  <c r="AT13" i="17"/>
  <c r="AT42" i="17" s="1"/>
  <c r="EK18" i="17"/>
  <c r="AT21" i="17"/>
  <c r="EM24" i="17"/>
  <c r="AK25" i="17"/>
  <c r="EK26" i="17"/>
  <c r="EC26" i="17" s="1"/>
  <c r="ED27" i="17"/>
  <c r="AT29" i="17"/>
  <c r="ED29" i="17" s="1"/>
  <c r="EE29" i="17" s="1"/>
  <c r="EK34" i="17"/>
  <c r="ED35" i="17"/>
  <c r="AT37" i="17"/>
  <c r="P41" i="18"/>
  <c r="EB11" i="18"/>
  <c r="EC11" i="18" s="1"/>
  <c r="AN18" i="18"/>
  <c r="EH22" i="18"/>
  <c r="EB29" i="18"/>
  <c r="EC29" i="18" s="1"/>
  <c r="ED36" i="18"/>
  <c r="EK12" i="18"/>
  <c r="AT27" i="17"/>
  <c r="ED41" i="17"/>
  <c r="EE41" i="17" s="1"/>
  <c r="ED24" i="18"/>
  <c r="EB12" i="17"/>
  <c r="EB22" i="17"/>
  <c r="EK23" i="17"/>
  <c r="ED24" i="17"/>
  <c r="EB30" i="17"/>
  <c r="EK31" i="17"/>
  <c r="EB38" i="17"/>
  <c r="EK39" i="17"/>
  <c r="ED40" i="17"/>
  <c r="EM40" i="17"/>
  <c r="EH11" i="18"/>
  <c r="EB17" i="18"/>
  <c r="EK19" i="18"/>
  <c r="EH30" i="18"/>
  <c r="EH35" i="18"/>
  <c r="EH12" i="17"/>
  <c r="ED20" i="17"/>
  <c r="EM20" i="17"/>
  <c r="EB34" i="17"/>
  <c r="EE34" i="17" s="1"/>
  <c r="EK23" i="18"/>
  <c r="EM32" i="18"/>
  <c r="EI3" i="17"/>
  <c r="EI4" i="17" s="1"/>
  <c r="ED25" i="17"/>
  <c r="EN40" i="17"/>
  <c r="BC41" i="18"/>
  <c r="EM17" i="18"/>
  <c r="EH31" i="18"/>
  <c r="AN35" i="18"/>
  <c r="ED35" i="18" s="1"/>
  <c r="G42" i="17"/>
  <c r="BX42" i="17"/>
  <c r="DT42" i="17"/>
  <c r="BC42" i="17"/>
  <c r="CA42" i="17"/>
  <c r="CY42" i="17"/>
  <c r="DW42" i="17"/>
  <c r="AN12" i="17"/>
  <c r="ED12" i="17" s="1"/>
  <c r="EE12" i="17" s="1"/>
  <c r="CM42" i="17"/>
  <c r="EH16" i="17"/>
  <c r="EK17" i="17"/>
  <c r="EB19" i="17"/>
  <c r="EH20" i="17"/>
  <c r="EK20" i="17"/>
  <c r="EN20" i="17" s="1"/>
  <c r="ED21" i="17"/>
  <c r="EE21" i="17" s="1"/>
  <c r="AT23" i="17"/>
  <c r="EB27" i="17"/>
  <c r="EC27" i="17" s="1"/>
  <c r="EH28" i="17"/>
  <c r="EK28" i="17"/>
  <c r="AT31" i="17"/>
  <c r="EB35" i="17"/>
  <c r="EH36" i="17"/>
  <c r="EK36" i="17"/>
  <c r="ED37" i="17"/>
  <c r="AT39" i="17"/>
  <c r="ED39" i="17" s="1"/>
  <c r="EE39" i="17" s="1"/>
  <c r="V41" i="18"/>
  <c r="BO41" i="18"/>
  <c r="CM41" i="18"/>
  <c r="DK41" i="18"/>
  <c r="EH13" i="18"/>
  <c r="AT19" i="18"/>
  <c r="EM19" i="18" s="1"/>
  <c r="EN19" i="18" s="1"/>
  <c r="EM21" i="18"/>
  <c r="EB23" i="18"/>
  <c r="EB36" i="18"/>
  <c r="EH37" i="18"/>
  <c r="BL42" i="17"/>
  <c r="G41" i="18"/>
  <c r="EM15" i="18"/>
  <c r="EM27" i="18"/>
  <c r="EM40" i="18"/>
  <c r="DK42" i="17"/>
  <c r="AK31" i="17"/>
  <c r="ED31" i="17" s="1"/>
  <c r="EE31" i="17" s="1"/>
  <c r="CY41" i="18"/>
  <c r="EB22" i="18"/>
  <c r="EC22" i="18" s="1"/>
  <c r="ED34" i="18"/>
  <c r="AZ42" i="17"/>
  <c r="CV42" i="17"/>
  <c r="EH14" i="17"/>
  <c r="ED18" i="17"/>
  <c r="EB24" i="17"/>
  <c r="EK25" i="17"/>
  <c r="ED26" i="17"/>
  <c r="EE26" i="17" s="1"/>
  <c r="AT28" i="17"/>
  <c r="EM28" i="17" s="1"/>
  <c r="EN28" i="17" s="1"/>
  <c r="EB32" i="17"/>
  <c r="EC32" i="17" s="1"/>
  <c r="EK33" i="17"/>
  <c r="ED34" i="17"/>
  <c r="AT36" i="17"/>
  <c r="EB40" i="17"/>
  <c r="EK41" i="17"/>
  <c r="EN2" i="17" s="1"/>
  <c r="EP2" i="17" s="1"/>
  <c r="BR41" i="18"/>
  <c r="CP41" i="18"/>
  <c r="DN41" i="18"/>
  <c r="AN23" i="18"/>
  <c r="ED23" i="18" s="1"/>
  <c r="EE23" i="18" s="1"/>
  <c r="EK24" i="18"/>
  <c r="EH27" i="18"/>
  <c r="EM13" i="18"/>
  <c r="ED21" i="18"/>
  <c r="ED38" i="18"/>
  <c r="D41" i="18"/>
  <c r="ED11" i="18"/>
  <c r="EM11" i="18"/>
  <c r="EK16" i="18"/>
  <c r="EE17" i="18"/>
  <c r="EC18" i="18"/>
  <c r="EE29" i="18"/>
  <c r="EE36" i="18"/>
  <c r="EI3" i="18"/>
  <c r="EI4" i="18" s="1"/>
  <c r="EI5" i="18"/>
  <c r="BF41" i="18"/>
  <c r="CD41" i="18"/>
  <c r="EH16" i="18"/>
  <c r="EB16" i="18"/>
  <c r="AN16" i="18"/>
  <c r="EM16" i="18" s="1"/>
  <c r="EC17" i="18"/>
  <c r="EN22" i="18"/>
  <c r="EM23" i="18"/>
  <c r="ED26" i="18"/>
  <c r="EK34" i="18"/>
  <c r="EM36" i="18"/>
  <c r="AN37" i="18"/>
  <c r="EM37" i="18" s="1"/>
  <c r="EB37" i="18"/>
  <c r="EB39" i="18"/>
  <c r="ED40" i="18"/>
  <c r="EB40" i="18"/>
  <c r="J41" i="18"/>
  <c r="AH41" i="18"/>
  <c r="AN11" i="18"/>
  <c r="AW41" i="18"/>
  <c r="BI41" i="18"/>
  <c r="BU41" i="18"/>
  <c r="CG41" i="18"/>
  <c r="CS41" i="18"/>
  <c r="DE41" i="18"/>
  <c r="DQ41" i="18"/>
  <c r="EK11" i="18"/>
  <c r="EB12" i="18"/>
  <c r="EK14" i="18"/>
  <c r="ED15" i="18"/>
  <c r="EB15" i="18"/>
  <c r="EM24" i="18"/>
  <c r="EN24" i="18" s="1"/>
  <c r="EM26" i="18"/>
  <c r="EB32" i="18"/>
  <c r="EB33" i="18"/>
  <c r="AT33" i="18"/>
  <c r="ED33" i="18" s="1"/>
  <c r="EH34" i="18"/>
  <c r="EB34" i="18"/>
  <c r="EK38" i="18"/>
  <c r="EM39" i="18"/>
  <c r="S41" i="18"/>
  <c r="AK41" i="18"/>
  <c r="EE13" i="18"/>
  <c r="EC19" i="18"/>
  <c r="EK27" i="18"/>
  <c r="DB41" i="18"/>
  <c r="AQ12" i="18"/>
  <c r="AQ41" i="18" s="1"/>
  <c r="EK15" i="18"/>
  <c r="EH25" i="18"/>
  <c r="EM30" i="18"/>
  <c r="EH12" i="18"/>
  <c r="ED13" i="18"/>
  <c r="EK13" i="18"/>
  <c r="EC13" i="18" s="1"/>
  <c r="EH14" i="18"/>
  <c r="EB14" i="18"/>
  <c r="AN14" i="18"/>
  <c r="ED14" i="18" s="1"/>
  <c r="EK17" i="18"/>
  <c r="EN17" i="18" s="1"/>
  <c r="EH18" i="18"/>
  <c r="AN22" i="18"/>
  <c r="EC23" i="18"/>
  <c r="EK25" i="18"/>
  <c r="EC25" i="18" s="1"/>
  <c r="ED27" i="18"/>
  <c r="EK33" i="18"/>
  <c r="EK36" i="18"/>
  <c r="EN36" i="18" s="1"/>
  <c r="EH39" i="18"/>
  <c r="EK20" i="18"/>
  <c r="EB21" i="18"/>
  <c r="EK21" i="18"/>
  <c r="EB24" i="18"/>
  <c r="EK26" i="18"/>
  <c r="EB27" i="18"/>
  <c r="EH29" i="18"/>
  <c r="EK31" i="18"/>
  <c r="EN31" i="18" s="1"/>
  <c r="EM34" i="18"/>
  <c r="EK37" i="18"/>
  <c r="EH38" i="18"/>
  <c r="EB38" i="18"/>
  <c r="M41" i="18"/>
  <c r="Y41" i="18"/>
  <c r="AZ41" i="18"/>
  <c r="BL41" i="18"/>
  <c r="BX41" i="18"/>
  <c r="CJ41" i="18"/>
  <c r="CV41" i="18"/>
  <c r="DH41" i="18"/>
  <c r="DT41" i="18"/>
  <c r="ED18" i="18"/>
  <c r="EE18" i="18" s="1"/>
  <c r="EM18" i="18"/>
  <c r="EN18" i="18" s="1"/>
  <c r="AN20" i="18"/>
  <c r="ED20" i="18" s="1"/>
  <c r="EE20" i="18" s="1"/>
  <c r="EM22" i="18"/>
  <c r="EH26" i="18"/>
  <c r="EB26" i="18"/>
  <c r="EM29" i="18"/>
  <c r="EN29" i="18" s="1"/>
  <c r="EK30" i="18"/>
  <c r="EN30" i="18" s="1"/>
  <c r="EB31" i="18"/>
  <c r="ED32" i="18"/>
  <c r="EK32" i="18"/>
  <c r="EH33" i="18"/>
  <c r="EK35" i="18"/>
  <c r="ED37" i="18"/>
  <c r="EM38" i="18"/>
  <c r="EK40" i="18"/>
  <c r="EK39" i="18"/>
  <c r="EM16" i="17"/>
  <c r="EM15" i="17"/>
  <c r="ED17" i="17"/>
  <c r="ED14" i="17"/>
  <c r="EM14" i="17"/>
  <c r="ED15" i="17"/>
  <c r="ED16" i="17"/>
  <c r="EE16" i="17" s="1"/>
  <c r="EB13" i="17"/>
  <c r="EK14" i="17"/>
  <c r="EK11" i="17"/>
  <c r="EB14" i="17"/>
  <c r="EK15" i="17"/>
  <c r="EN15" i="17" s="1"/>
  <c r="AN17" i="17"/>
  <c r="EE18" i="17"/>
  <c r="EC18" i="17"/>
  <c r="EH19" i="17"/>
  <c r="EE22" i="17"/>
  <c r="EC22" i="17"/>
  <c r="EH23" i="17"/>
  <c r="EM23" i="17"/>
  <c r="EN23" i="17" s="1"/>
  <c r="EH27" i="17"/>
  <c r="EM27" i="17"/>
  <c r="EE30" i="17"/>
  <c r="EC30" i="17"/>
  <c r="EH31" i="17"/>
  <c r="EM31" i="17"/>
  <c r="EH35" i="17"/>
  <c r="EM35" i="17"/>
  <c r="EN35" i="17" s="1"/>
  <c r="EC38" i="17"/>
  <c r="EH39" i="17"/>
  <c r="EB17" i="17"/>
  <c r="EC19" i="17"/>
  <c r="EC23" i="17"/>
  <c r="EE27" i="17"/>
  <c r="EE35" i="17"/>
  <c r="EC35" i="17"/>
  <c r="J42" i="17"/>
  <c r="V42" i="17"/>
  <c r="AH42" i="17"/>
  <c r="AN11" i="17"/>
  <c r="AN42" i="17" s="1"/>
  <c r="BF42" i="17"/>
  <c r="BR42" i="17"/>
  <c r="CD42" i="17"/>
  <c r="CP42" i="17"/>
  <c r="DB42" i="17"/>
  <c r="DN42" i="17"/>
  <c r="EK12" i="17"/>
  <c r="EB15" i="17"/>
  <c r="EK16" i="17"/>
  <c r="EM17" i="17"/>
  <c r="EN17" i="17" s="1"/>
  <c r="EH18" i="17"/>
  <c r="EC21" i="17"/>
  <c r="EH22" i="17"/>
  <c r="EM22" i="17"/>
  <c r="EN22" i="17" s="1"/>
  <c r="EN24" i="17"/>
  <c r="EE25" i="17"/>
  <c r="EC25" i="17"/>
  <c r="EH26" i="17"/>
  <c r="EM26" i="17"/>
  <c r="EC29" i="17"/>
  <c r="EH30" i="17"/>
  <c r="EM30" i="17"/>
  <c r="EN30" i="17" s="1"/>
  <c r="EE33" i="17"/>
  <c r="EC33" i="17"/>
  <c r="EH34" i="17"/>
  <c r="EM34" i="17"/>
  <c r="EN34" i="17" s="1"/>
  <c r="EE37" i="17"/>
  <c r="EC37" i="17"/>
  <c r="EH38" i="17"/>
  <c r="EC41" i="17"/>
  <c r="S42" i="17"/>
  <c r="EN26" i="17"/>
  <c r="EC31" i="17"/>
  <c r="EI2" i="17"/>
  <c r="M42" i="17"/>
  <c r="Y42" i="17"/>
  <c r="AW42" i="17"/>
  <c r="BI42" i="17"/>
  <c r="BU42" i="17"/>
  <c r="CG42" i="17"/>
  <c r="CS42" i="17"/>
  <c r="DE42" i="17"/>
  <c r="DQ42" i="17"/>
  <c r="EM11" i="17"/>
  <c r="EM18" i="17"/>
  <c r="EN18" i="17" s="1"/>
  <c r="EE20" i="17"/>
  <c r="EC20" i="17"/>
  <c r="EH21" i="17"/>
  <c r="EM21" i="17"/>
  <c r="EN21" i="17" s="1"/>
  <c r="EE24" i="17"/>
  <c r="EC24" i="17"/>
  <c r="EH25" i="17"/>
  <c r="EM25" i="17"/>
  <c r="EN25" i="17" s="1"/>
  <c r="EN27" i="17"/>
  <c r="EC28" i="17"/>
  <c r="EH29" i="17"/>
  <c r="EN31" i="17"/>
  <c r="EH33" i="17"/>
  <c r="EM33" i="17"/>
  <c r="EN33" i="17" s="1"/>
  <c r="EC36" i="17"/>
  <c r="EH37" i="17"/>
  <c r="EM37" i="17"/>
  <c r="EN37" i="17" s="1"/>
  <c r="EE40" i="17"/>
  <c r="EC40" i="17"/>
  <c r="EH41" i="17"/>
  <c r="EM41" i="17"/>
  <c r="EN41" i="17" s="1"/>
  <c r="ED13" i="17" l="1"/>
  <c r="EN28" i="18"/>
  <c r="EM29" i="17"/>
  <c r="EN29" i="17" s="1"/>
  <c r="ED28" i="18"/>
  <c r="EE28" i="18" s="1"/>
  <c r="ED36" i="17"/>
  <c r="EE36" i="17" s="1"/>
  <c r="ED32" i="17"/>
  <c r="EE32" i="17" s="1"/>
  <c r="EM13" i="17"/>
  <c r="EN13" i="17" s="1"/>
  <c r="EN14" i="17"/>
  <c r="EM33" i="18"/>
  <c r="EN38" i="18"/>
  <c r="EM35" i="18"/>
  <c r="EM12" i="17"/>
  <c r="EN12" i="17" s="1"/>
  <c r="ED16" i="18"/>
  <c r="EE16" i="18" s="1"/>
  <c r="EH42" i="17"/>
  <c r="EC34" i="17"/>
  <c r="ED19" i="18"/>
  <c r="EE19" i="18" s="1"/>
  <c r="EN32" i="18"/>
  <c r="EM25" i="18"/>
  <c r="EN33" i="18"/>
  <c r="EN27" i="18"/>
  <c r="EN34" i="18"/>
  <c r="EE22" i="18"/>
  <c r="ED28" i="17"/>
  <c r="EE28" i="17" s="1"/>
  <c r="EN15" i="18"/>
  <c r="EC39" i="17"/>
  <c r="AK42" i="17"/>
  <c r="EH41" i="18"/>
  <c r="EM38" i="17"/>
  <c r="EN38" i="17" s="1"/>
  <c r="EM19" i="17"/>
  <c r="EN19" i="17" s="1"/>
  <c r="EM39" i="17"/>
  <c r="EN39" i="17" s="1"/>
  <c r="EN21" i="18"/>
  <c r="EM14" i="18"/>
  <c r="AT41" i="18"/>
  <c r="EN23" i="18"/>
  <c r="EC26" i="18"/>
  <c r="EE26" i="18"/>
  <c r="EE24" i="18"/>
  <c r="EC24" i="18"/>
  <c r="EC14" i="18"/>
  <c r="EE14" i="18"/>
  <c r="EE39" i="18"/>
  <c r="EC39" i="18"/>
  <c r="EN35" i="18"/>
  <c r="EE27" i="18"/>
  <c r="EC27" i="18"/>
  <c r="EC37" i="18"/>
  <c r="EE37" i="18"/>
  <c r="EE11" i="18"/>
  <c r="EN40" i="18"/>
  <c r="EN2" i="18"/>
  <c r="EP2" i="18" s="1"/>
  <c r="EN37" i="18"/>
  <c r="EN26" i="18"/>
  <c r="EE21" i="18"/>
  <c r="EC21" i="18"/>
  <c r="EC35" i="18"/>
  <c r="EN13" i="18"/>
  <c r="EC34" i="18"/>
  <c r="EE34" i="18"/>
  <c r="EE32" i="18"/>
  <c r="EC32" i="18"/>
  <c r="EC12" i="18"/>
  <c r="EE40" i="18"/>
  <c r="EE2" i="18"/>
  <c r="EQ2" i="18" s="1"/>
  <c r="G4" i="18" s="1"/>
  <c r="EC40" i="18"/>
  <c r="EM20" i="18"/>
  <c r="EN16" i="18"/>
  <c r="EE3" i="18"/>
  <c r="ED12" i="18"/>
  <c r="EE12" i="18" s="1"/>
  <c r="EC38" i="18"/>
  <c r="EE38" i="18"/>
  <c r="EN39" i="18"/>
  <c r="EE31" i="18"/>
  <c r="EC31" i="18"/>
  <c r="EC33" i="18"/>
  <c r="EE33" i="18"/>
  <c r="EN14" i="18"/>
  <c r="EC36" i="18"/>
  <c r="EN20" i="18"/>
  <c r="EN25" i="18"/>
  <c r="EC20" i="18"/>
  <c r="EE15" i="18"/>
  <c r="EC15" i="18"/>
  <c r="EN11" i="18"/>
  <c r="EN5" i="18"/>
  <c r="EN3" i="18"/>
  <c r="AN41" i="18"/>
  <c r="EC16" i="18"/>
  <c r="EC30" i="18"/>
  <c r="EM12" i="18"/>
  <c r="EN12" i="18" s="1"/>
  <c r="EE5" i="18"/>
  <c r="G7" i="18" s="1"/>
  <c r="EE17" i="17"/>
  <c r="EC17" i="17"/>
  <c r="EE13" i="17"/>
  <c r="EC13" i="17"/>
  <c r="EE3" i="17"/>
  <c r="EN16" i="17"/>
  <c r="EN3" i="17"/>
  <c r="EN5" i="17"/>
  <c r="EN11" i="17"/>
  <c r="ED11" i="17"/>
  <c r="EC16" i="17"/>
  <c r="EE5" i="17"/>
  <c r="G7" i="17" s="1"/>
  <c r="EC15" i="17"/>
  <c r="EE15" i="17"/>
  <c r="EC12" i="17"/>
  <c r="EC11" i="17"/>
  <c r="EE14" i="17"/>
  <c r="EC14" i="17"/>
  <c r="EN4" i="17" l="1"/>
  <c r="EM42" i="17"/>
  <c r="EM41" i="18"/>
  <c r="G5" i="18"/>
  <c r="EE4" i="18"/>
  <c r="G6" i="18" s="1"/>
  <c r="EN4" i="18"/>
  <c r="ED41" i="18"/>
  <c r="ED42" i="17"/>
  <c r="EE11" i="17"/>
  <c r="EE4" i="17"/>
  <c r="G6" i="17" s="1"/>
  <c r="G5" i="17"/>
  <c r="EL41" i="16" l="1"/>
  <c r="EG41" i="16"/>
  <c r="EI41" i="16" s="1"/>
  <c r="DW41" i="16"/>
  <c r="DT41" i="16"/>
  <c r="DQ41" i="16"/>
  <c r="DN41" i="16"/>
  <c r="DK41" i="16"/>
  <c r="DH41" i="16"/>
  <c r="DE41" i="16"/>
  <c r="DB41" i="16"/>
  <c r="CY41" i="16"/>
  <c r="CV41" i="16"/>
  <c r="CS41" i="16"/>
  <c r="CP41" i="16"/>
  <c r="CM41" i="16"/>
  <c r="CJ41" i="16"/>
  <c r="CG41" i="16"/>
  <c r="CD41" i="16"/>
  <c r="CA41" i="16"/>
  <c r="BX41" i="16"/>
  <c r="BU41" i="16"/>
  <c r="BR41" i="16"/>
  <c r="BO41" i="16"/>
  <c r="BL41" i="16"/>
  <c r="BI41" i="16"/>
  <c r="BF41" i="16"/>
  <c r="BC41" i="16"/>
  <c r="AZ41" i="16"/>
  <c r="AW41" i="16"/>
  <c r="AT41" i="16"/>
  <c r="AQ41" i="16"/>
  <c r="AN41" i="16"/>
  <c r="AI41" i="16"/>
  <c r="EB41" i="16" s="1"/>
  <c r="EE2" i="16" s="1"/>
  <c r="EQ2" i="16" s="1"/>
  <c r="G4" i="16" s="1"/>
  <c r="AB41" i="16"/>
  <c r="Y41" i="16"/>
  <c r="V41" i="16"/>
  <c r="S41" i="16"/>
  <c r="EH41" i="16" s="1"/>
  <c r="P41" i="16"/>
  <c r="M41" i="16"/>
  <c r="J41" i="16"/>
  <c r="G41" i="16"/>
  <c r="D41" i="16"/>
  <c r="EL40" i="16"/>
  <c r="EI40" i="16"/>
  <c r="EG40" i="16"/>
  <c r="DW40" i="16"/>
  <c r="DT40" i="16"/>
  <c r="DQ40" i="16"/>
  <c r="DN40" i="16"/>
  <c r="DK40" i="16"/>
  <c r="DH40" i="16"/>
  <c r="DE40" i="16"/>
  <c r="DB40" i="16"/>
  <c r="CY40" i="16"/>
  <c r="CV40" i="16"/>
  <c r="CS40" i="16"/>
  <c r="CP40" i="16"/>
  <c r="CM40" i="16"/>
  <c r="CJ40" i="16"/>
  <c r="CG40" i="16"/>
  <c r="CD40" i="16"/>
  <c r="CA40" i="16"/>
  <c r="BX40" i="16"/>
  <c r="BU40" i="16"/>
  <c r="BR40" i="16"/>
  <c r="BO40" i="16"/>
  <c r="BL40" i="16"/>
  <c r="BI40" i="16"/>
  <c r="BF40" i="16"/>
  <c r="BC40" i="16"/>
  <c r="AZ40" i="16"/>
  <c r="AW40" i="16"/>
  <c r="AT40" i="16"/>
  <c r="AQ40" i="16"/>
  <c r="AN40" i="16"/>
  <c r="AK40" i="16"/>
  <c r="AI40" i="16"/>
  <c r="EB40" i="16" s="1"/>
  <c r="AB40" i="16"/>
  <c r="Y40" i="16"/>
  <c r="V40" i="16"/>
  <c r="S40" i="16"/>
  <c r="P40" i="16"/>
  <c r="M40" i="16"/>
  <c r="J40" i="16"/>
  <c r="G40" i="16"/>
  <c r="D40" i="16"/>
  <c r="EL39" i="16"/>
  <c r="EI39" i="16"/>
  <c r="EG39" i="16"/>
  <c r="DW39" i="16"/>
  <c r="DT39" i="16"/>
  <c r="DQ39" i="16"/>
  <c r="DN39" i="16"/>
  <c r="DK39" i="16"/>
  <c r="DH39" i="16"/>
  <c r="DE39" i="16"/>
  <c r="DB39" i="16"/>
  <c r="CY39" i="16"/>
  <c r="CV39" i="16"/>
  <c r="CS39" i="16"/>
  <c r="CP39" i="16"/>
  <c r="CM39" i="16"/>
  <c r="CJ39" i="16"/>
  <c r="CG39" i="16"/>
  <c r="CD39" i="16"/>
  <c r="CA39" i="16"/>
  <c r="BX39" i="16"/>
  <c r="BU39" i="16"/>
  <c r="BR39" i="16"/>
  <c r="BO39" i="16"/>
  <c r="BL39" i="16"/>
  <c r="BI39" i="16"/>
  <c r="BF39" i="16"/>
  <c r="BC39" i="16"/>
  <c r="AZ39" i="16"/>
  <c r="AW39" i="16"/>
  <c r="AT39" i="16"/>
  <c r="AQ39" i="16"/>
  <c r="AN39" i="16"/>
  <c r="AI39" i="16"/>
  <c r="AK39" i="16" s="1"/>
  <c r="AB39" i="16"/>
  <c r="Y39" i="16"/>
  <c r="V39" i="16"/>
  <c r="S39" i="16"/>
  <c r="EH39" i="16" s="1"/>
  <c r="P39" i="16"/>
  <c r="M39" i="16"/>
  <c r="J39" i="16"/>
  <c r="G39" i="16"/>
  <c r="D39" i="16"/>
  <c r="EL38" i="16"/>
  <c r="EG38" i="16"/>
  <c r="EI38" i="16" s="1"/>
  <c r="DW38" i="16"/>
  <c r="DT38" i="16"/>
  <c r="DQ38" i="16"/>
  <c r="DN38" i="16"/>
  <c r="DK38" i="16"/>
  <c r="DH38" i="16"/>
  <c r="DE38" i="16"/>
  <c r="DB38" i="16"/>
  <c r="CY38" i="16"/>
  <c r="CV38" i="16"/>
  <c r="CS38" i="16"/>
  <c r="CP38" i="16"/>
  <c r="CM38" i="16"/>
  <c r="CJ38" i="16"/>
  <c r="CG38" i="16"/>
  <c r="CD38" i="16"/>
  <c r="CA38" i="16"/>
  <c r="BX38" i="16"/>
  <c r="BU38" i="16"/>
  <c r="BR38" i="16"/>
  <c r="BO38" i="16"/>
  <c r="BL38" i="16"/>
  <c r="BI38" i="16"/>
  <c r="BF38" i="16"/>
  <c r="BC38" i="16"/>
  <c r="AZ38" i="16"/>
  <c r="AW38" i="16"/>
  <c r="AT38" i="16"/>
  <c r="AQ38" i="16"/>
  <c r="AN38" i="16"/>
  <c r="AI38" i="16"/>
  <c r="EB38" i="16" s="1"/>
  <c r="AB38" i="16"/>
  <c r="EH38" i="16" s="1"/>
  <c r="Y38" i="16"/>
  <c r="V38" i="16"/>
  <c r="S38" i="16"/>
  <c r="P38" i="16"/>
  <c r="M38" i="16"/>
  <c r="J38" i="16"/>
  <c r="G38" i="16"/>
  <c r="D38" i="16"/>
  <c r="EL37" i="16"/>
  <c r="EG37" i="16"/>
  <c r="EI37" i="16" s="1"/>
  <c r="DW37" i="16"/>
  <c r="DT37" i="16"/>
  <c r="DQ37" i="16"/>
  <c r="DN37" i="16"/>
  <c r="DK37" i="16"/>
  <c r="DH37" i="16"/>
  <c r="DE37" i="16"/>
  <c r="DB37" i="16"/>
  <c r="CY37" i="16"/>
  <c r="CV37" i="16"/>
  <c r="CS37" i="16"/>
  <c r="CP37" i="16"/>
  <c r="CM37" i="16"/>
  <c r="CJ37" i="16"/>
  <c r="CG37" i="16"/>
  <c r="CD37" i="16"/>
  <c r="CA37" i="16"/>
  <c r="BX37" i="16"/>
  <c r="BU37" i="16"/>
  <c r="BR37" i="16"/>
  <c r="BO37" i="16"/>
  <c r="BL37" i="16"/>
  <c r="BI37" i="16"/>
  <c r="BF37" i="16"/>
  <c r="BC37" i="16"/>
  <c r="AZ37" i="16"/>
  <c r="AW37" i="16"/>
  <c r="AT37" i="16"/>
  <c r="AQ37" i="16"/>
  <c r="AN37" i="16"/>
  <c r="AI37" i="16"/>
  <c r="EB37" i="16" s="1"/>
  <c r="AB37" i="16"/>
  <c r="Y37" i="16"/>
  <c r="V37" i="16"/>
  <c r="S37" i="16"/>
  <c r="P37" i="16"/>
  <c r="M37" i="16"/>
  <c r="J37" i="16"/>
  <c r="G37" i="16"/>
  <c r="D37" i="16"/>
  <c r="EL36" i="16"/>
  <c r="EG36" i="16"/>
  <c r="EI36" i="16" s="1"/>
  <c r="DW36" i="16"/>
  <c r="DT36" i="16"/>
  <c r="DQ36" i="16"/>
  <c r="DN36" i="16"/>
  <c r="DK36" i="16"/>
  <c r="DH36" i="16"/>
  <c r="DE36" i="16"/>
  <c r="DB36" i="16"/>
  <c r="CY36" i="16"/>
  <c r="CV36" i="16"/>
  <c r="CS36" i="16"/>
  <c r="CP36" i="16"/>
  <c r="CM36" i="16"/>
  <c r="CJ36" i="16"/>
  <c r="CG36" i="16"/>
  <c r="CD36" i="16"/>
  <c r="CA36" i="16"/>
  <c r="BX36" i="16"/>
  <c r="BU36" i="16"/>
  <c r="BR36" i="16"/>
  <c r="BO36" i="16"/>
  <c r="BL36" i="16"/>
  <c r="BI36" i="16"/>
  <c r="BF36" i="16"/>
  <c r="BC36" i="16"/>
  <c r="AZ36" i="16"/>
  <c r="AW36" i="16"/>
  <c r="AT36" i="16"/>
  <c r="AQ36" i="16"/>
  <c r="AN36" i="16"/>
  <c r="AI36" i="16"/>
  <c r="AK36" i="16" s="1"/>
  <c r="AB36" i="16"/>
  <c r="Y36" i="16"/>
  <c r="V36" i="16"/>
  <c r="S36" i="16"/>
  <c r="P36" i="16"/>
  <c r="M36" i="16"/>
  <c r="J36" i="16"/>
  <c r="G36" i="16"/>
  <c r="D36" i="16"/>
  <c r="EL35" i="16"/>
  <c r="EI35" i="16"/>
  <c r="EG35" i="16"/>
  <c r="DW35" i="16"/>
  <c r="DT35" i="16"/>
  <c r="DQ35" i="16"/>
  <c r="DN35" i="16"/>
  <c r="DK35" i="16"/>
  <c r="DH35" i="16"/>
  <c r="DE35" i="16"/>
  <c r="DB35" i="16"/>
  <c r="CY35" i="16"/>
  <c r="CV35" i="16"/>
  <c r="CS35" i="16"/>
  <c r="CP35" i="16"/>
  <c r="CM35" i="16"/>
  <c r="CJ35" i="16"/>
  <c r="CG35" i="16"/>
  <c r="CD35" i="16"/>
  <c r="CA35" i="16"/>
  <c r="BX35" i="16"/>
  <c r="BU35" i="16"/>
  <c r="BR35" i="16"/>
  <c r="BO35" i="16"/>
  <c r="BL35" i="16"/>
  <c r="BI35" i="16"/>
  <c r="BF35" i="16"/>
  <c r="BC35" i="16"/>
  <c r="AZ35" i="16"/>
  <c r="AW35" i="16"/>
  <c r="AT35" i="16"/>
  <c r="AQ35" i="16"/>
  <c r="AN35" i="16"/>
  <c r="AK35" i="16"/>
  <c r="AI35" i="16"/>
  <c r="EB35" i="16" s="1"/>
  <c r="AB35" i="16"/>
  <c r="Y35" i="16"/>
  <c r="V35" i="16"/>
  <c r="S35" i="16"/>
  <c r="P35" i="16"/>
  <c r="M35" i="16"/>
  <c r="J35" i="16"/>
  <c r="G35" i="16"/>
  <c r="D35" i="16"/>
  <c r="EL34" i="16"/>
  <c r="EG34" i="16"/>
  <c r="EI34" i="16" s="1"/>
  <c r="DW34" i="16"/>
  <c r="DT34" i="16"/>
  <c r="DQ34" i="16"/>
  <c r="DN34" i="16"/>
  <c r="DK34" i="16"/>
  <c r="DH34" i="16"/>
  <c r="DE34" i="16"/>
  <c r="DB34" i="16"/>
  <c r="CY34" i="16"/>
  <c r="CV34" i="16"/>
  <c r="CS34" i="16"/>
  <c r="CP34" i="16"/>
  <c r="CM34" i="16"/>
  <c r="CJ34" i="16"/>
  <c r="CG34" i="16"/>
  <c r="CD34" i="16"/>
  <c r="CA34" i="16"/>
  <c r="BX34" i="16"/>
  <c r="BU34" i="16"/>
  <c r="BR34" i="16"/>
  <c r="BO34" i="16"/>
  <c r="BL34" i="16"/>
  <c r="BI34" i="16"/>
  <c r="BF34" i="16"/>
  <c r="BC34" i="16"/>
  <c r="AZ34" i="16"/>
  <c r="AW34" i="16"/>
  <c r="AT34" i="16"/>
  <c r="AQ34" i="16"/>
  <c r="AN34" i="16"/>
  <c r="AI34" i="16"/>
  <c r="EB34" i="16" s="1"/>
  <c r="AB34" i="16"/>
  <c r="Y34" i="16"/>
  <c r="V34" i="16"/>
  <c r="S34" i="16"/>
  <c r="EH34" i="16" s="1"/>
  <c r="P34" i="16"/>
  <c r="M34" i="16"/>
  <c r="J34" i="16"/>
  <c r="G34" i="16"/>
  <c r="D34" i="16"/>
  <c r="EL33" i="16"/>
  <c r="EG33" i="16"/>
  <c r="EI33" i="16" s="1"/>
  <c r="DW33" i="16"/>
  <c r="DT33" i="16"/>
  <c r="DQ33" i="16"/>
  <c r="DN33" i="16"/>
  <c r="DK33" i="16"/>
  <c r="DH33" i="16"/>
  <c r="DE33" i="16"/>
  <c r="DB33" i="16"/>
  <c r="CY33" i="16"/>
  <c r="CV33" i="16"/>
  <c r="CS33" i="16"/>
  <c r="CP33" i="16"/>
  <c r="CM33" i="16"/>
  <c r="CJ33" i="16"/>
  <c r="CG33" i="16"/>
  <c r="CD33" i="16"/>
  <c r="CA33" i="16"/>
  <c r="BX33" i="16"/>
  <c r="BU33" i="16"/>
  <c r="BR33" i="16"/>
  <c r="BO33" i="16"/>
  <c r="BL33" i="16"/>
  <c r="BI33" i="16"/>
  <c r="BF33" i="16"/>
  <c r="BC33" i="16"/>
  <c r="AZ33" i="16"/>
  <c r="AW33" i="16"/>
  <c r="AT33" i="16"/>
  <c r="AQ33" i="16"/>
  <c r="AN33" i="16"/>
  <c r="AI33" i="16"/>
  <c r="EB33" i="16" s="1"/>
  <c r="AB33" i="16"/>
  <c r="Y33" i="16"/>
  <c r="V33" i="16"/>
  <c r="S33" i="16"/>
  <c r="P33" i="16"/>
  <c r="M33" i="16"/>
  <c r="J33" i="16"/>
  <c r="G33" i="16"/>
  <c r="D33" i="16"/>
  <c r="EL32" i="16"/>
  <c r="EG32" i="16"/>
  <c r="EI32" i="16" s="1"/>
  <c r="DW32" i="16"/>
  <c r="DT32" i="16"/>
  <c r="DQ32" i="16"/>
  <c r="DN32" i="16"/>
  <c r="DK32" i="16"/>
  <c r="DH32" i="16"/>
  <c r="DE32" i="16"/>
  <c r="DB32" i="16"/>
  <c r="CY32" i="16"/>
  <c r="CV32" i="16"/>
  <c r="CS32" i="16"/>
  <c r="CP32" i="16"/>
  <c r="CM32" i="16"/>
  <c r="CJ32" i="16"/>
  <c r="CG32" i="16"/>
  <c r="CD32" i="16"/>
  <c r="CA32" i="16"/>
  <c r="BX32" i="16"/>
  <c r="BU32" i="16"/>
  <c r="BR32" i="16"/>
  <c r="BO32" i="16"/>
  <c r="BL32" i="16"/>
  <c r="BI32" i="16"/>
  <c r="BF32" i="16"/>
  <c r="BC32" i="16"/>
  <c r="AZ32" i="16"/>
  <c r="AW32" i="16"/>
  <c r="AT32" i="16"/>
  <c r="AQ32" i="16"/>
  <c r="AN32" i="16"/>
  <c r="AI32" i="16"/>
  <c r="AK32" i="16" s="1"/>
  <c r="AB32" i="16"/>
  <c r="Y32" i="16"/>
  <c r="V32" i="16"/>
  <c r="S32" i="16"/>
  <c r="P32" i="16"/>
  <c r="M32" i="16"/>
  <c r="J32" i="16"/>
  <c r="G32" i="16"/>
  <c r="D32" i="16"/>
  <c r="EL31" i="16"/>
  <c r="EI31" i="16"/>
  <c r="EG31" i="16"/>
  <c r="DW31" i="16"/>
  <c r="DT31" i="16"/>
  <c r="DQ31" i="16"/>
  <c r="DN31" i="16"/>
  <c r="DK31" i="16"/>
  <c r="DH31" i="16"/>
  <c r="DE31" i="16"/>
  <c r="DB31" i="16"/>
  <c r="CY31" i="16"/>
  <c r="CV31" i="16"/>
  <c r="CS31" i="16"/>
  <c r="CP31" i="16"/>
  <c r="CM31" i="16"/>
  <c r="CJ31" i="16"/>
  <c r="CG31" i="16"/>
  <c r="CD31" i="16"/>
  <c r="CA31" i="16"/>
  <c r="BX31" i="16"/>
  <c r="BU31" i="16"/>
  <c r="BR31" i="16"/>
  <c r="BO31" i="16"/>
  <c r="BL31" i="16"/>
  <c r="BI31" i="16"/>
  <c r="BF31" i="16"/>
  <c r="BC31" i="16"/>
  <c r="AZ31" i="16"/>
  <c r="AW31" i="16"/>
  <c r="AT31" i="16"/>
  <c r="AQ31" i="16"/>
  <c r="AN31" i="16"/>
  <c r="AK31" i="16"/>
  <c r="AI31" i="16"/>
  <c r="EB31" i="16" s="1"/>
  <c r="AB31" i="16"/>
  <c r="Y31" i="16"/>
  <c r="V31" i="16"/>
  <c r="S31" i="16"/>
  <c r="P31" i="16"/>
  <c r="M31" i="16"/>
  <c r="J31" i="16"/>
  <c r="G31" i="16"/>
  <c r="D31" i="16"/>
  <c r="EL30" i="16"/>
  <c r="EG30" i="16"/>
  <c r="EI30" i="16" s="1"/>
  <c r="DW30" i="16"/>
  <c r="DT30" i="16"/>
  <c r="DQ30" i="16"/>
  <c r="DN30" i="16"/>
  <c r="DK30" i="16"/>
  <c r="DH30" i="16"/>
  <c r="DE30" i="16"/>
  <c r="DB30" i="16"/>
  <c r="CY30" i="16"/>
  <c r="CV30" i="16"/>
  <c r="CS30" i="16"/>
  <c r="CP30" i="16"/>
  <c r="CM30" i="16"/>
  <c r="CJ30" i="16"/>
  <c r="CG30" i="16"/>
  <c r="CD30" i="16"/>
  <c r="CA30" i="16"/>
  <c r="BX30" i="16"/>
  <c r="BU30" i="16"/>
  <c r="BR30" i="16"/>
  <c r="BO30" i="16"/>
  <c r="BL30" i="16"/>
  <c r="BI30" i="16"/>
  <c r="BF30" i="16"/>
  <c r="BC30" i="16"/>
  <c r="AZ30" i="16"/>
  <c r="AW30" i="16"/>
  <c r="AT30" i="16"/>
  <c r="AQ30" i="16"/>
  <c r="AN30" i="16"/>
  <c r="AI30" i="16"/>
  <c r="EB30" i="16" s="1"/>
  <c r="AB30" i="16"/>
  <c r="Y30" i="16"/>
  <c r="V30" i="16"/>
  <c r="S30" i="16"/>
  <c r="EH30" i="16" s="1"/>
  <c r="P30" i="16"/>
  <c r="M30" i="16"/>
  <c r="J30" i="16"/>
  <c r="G30" i="16"/>
  <c r="D30" i="16"/>
  <c r="EL29" i="16"/>
  <c r="EG29" i="16"/>
  <c r="EI29" i="16" s="1"/>
  <c r="EB29" i="16"/>
  <c r="DW29" i="16"/>
  <c r="DT29" i="16"/>
  <c r="DQ29" i="16"/>
  <c r="DN29" i="16"/>
  <c r="DK29" i="16"/>
  <c r="DH29" i="16"/>
  <c r="DE29" i="16"/>
  <c r="DB29" i="16"/>
  <c r="CY29" i="16"/>
  <c r="CV29" i="16"/>
  <c r="CS29" i="16"/>
  <c r="CP29" i="16"/>
  <c r="CM29" i="16"/>
  <c r="CJ29" i="16"/>
  <c r="CG29" i="16"/>
  <c r="CD29" i="16"/>
  <c r="CA29" i="16"/>
  <c r="BX29" i="16"/>
  <c r="BU29" i="16"/>
  <c r="BR29" i="16"/>
  <c r="BO29" i="16"/>
  <c r="BL29" i="16"/>
  <c r="BI29" i="16"/>
  <c r="BF29" i="16"/>
  <c r="BC29" i="16"/>
  <c r="AZ29" i="16"/>
  <c r="AW29" i="16"/>
  <c r="AT29" i="16"/>
  <c r="AQ29" i="16"/>
  <c r="AN29" i="16"/>
  <c r="AI29" i="16"/>
  <c r="AB29" i="16"/>
  <c r="Y29" i="16"/>
  <c r="V29" i="16"/>
  <c r="S29" i="16"/>
  <c r="P29" i="16"/>
  <c r="M29" i="16"/>
  <c r="J29" i="16"/>
  <c r="G29" i="16"/>
  <c r="D29" i="16"/>
  <c r="EL28" i="16"/>
  <c r="EG28" i="16"/>
  <c r="EI28" i="16" s="1"/>
  <c r="DW28" i="16"/>
  <c r="DT28" i="16"/>
  <c r="DQ28" i="16"/>
  <c r="DN28" i="16"/>
  <c r="DK28" i="16"/>
  <c r="DH28" i="16"/>
  <c r="DE28" i="16"/>
  <c r="DB28" i="16"/>
  <c r="CY28" i="16"/>
  <c r="CV28" i="16"/>
  <c r="CS28" i="16"/>
  <c r="CP28" i="16"/>
  <c r="CM28" i="16"/>
  <c r="CJ28" i="16"/>
  <c r="CG28" i="16"/>
  <c r="CD28" i="16"/>
  <c r="CA28" i="16"/>
  <c r="BX28" i="16"/>
  <c r="BU28" i="16"/>
  <c r="BR28" i="16"/>
  <c r="BO28" i="16"/>
  <c r="BL28" i="16"/>
  <c r="BI28" i="16"/>
  <c r="BF28" i="16"/>
  <c r="BC28" i="16"/>
  <c r="AZ28" i="16"/>
  <c r="AW28" i="16"/>
  <c r="AT28" i="16"/>
  <c r="AQ28" i="16"/>
  <c r="AN28" i="16"/>
  <c r="AI28" i="16"/>
  <c r="EB28" i="16" s="1"/>
  <c r="AB28" i="16"/>
  <c r="Y28" i="16"/>
  <c r="V28" i="16"/>
  <c r="S28" i="16"/>
  <c r="P28" i="16"/>
  <c r="M28" i="16"/>
  <c r="J28" i="16"/>
  <c r="G28" i="16"/>
  <c r="D28" i="16"/>
  <c r="EL27" i="16"/>
  <c r="EG27" i="16"/>
  <c r="EI27" i="16" s="1"/>
  <c r="DW27" i="16"/>
  <c r="DT27" i="16"/>
  <c r="DQ27" i="16"/>
  <c r="DN27" i="16"/>
  <c r="DK27" i="16"/>
  <c r="DH27" i="16"/>
  <c r="DE27" i="16"/>
  <c r="DB27" i="16"/>
  <c r="CY27" i="16"/>
  <c r="CV27" i="16"/>
  <c r="CS27" i="16"/>
  <c r="CP27" i="16"/>
  <c r="CM27" i="16"/>
  <c r="CJ27" i="16"/>
  <c r="CG27" i="16"/>
  <c r="CD27" i="16"/>
  <c r="CA27" i="16"/>
  <c r="BX27" i="16"/>
  <c r="BU27" i="16"/>
  <c r="BR27" i="16"/>
  <c r="BO27" i="16"/>
  <c r="BL27" i="16"/>
  <c r="BI27" i="16"/>
  <c r="BF27" i="16"/>
  <c r="BC27" i="16"/>
  <c r="AZ27" i="16"/>
  <c r="AW27" i="16"/>
  <c r="AT27" i="16"/>
  <c r="AQ27" i="16"/>
  <c r="AN27" i="16"/>
  <c r="AI27" i="16"/>
  <c r="AK27" i="16" s="1"/>
  <c r="AB27" i="16"/>
  <c r="Y27" i="16"/>
  <c r="V27" i="16"/>
  <c r="S27" i="16"/>
  <c r="EH27" i="16" s="1"/>
  <c r="P27" i="16"/>
  <c r="M27" i="16"/>
  <c r="J27" i="16"/>
  <c r="G27" i="16"/>
  <c r="D27" i="16"/>
  <c r="ED27" i="16" s="1"/>
  <c r="EL26" i="16"/>
  <c r="EH26" i="16"/>
  <c r="EG26" i="16"/>
  <c r="EI26" i="16" s="1"/>
  <c r="DW26" i="16"/>
  <c r="DT26" i="16"/>
  <c r="DQ26" i="16"/>
  <c r="DN26" i="16"/>
  <c r="DK26" i="16"/>
  <c r="DH26" i="16"/>
  <c r="DE26" i="16"/>
  <c r="DB26" i="16"/>
  <c r="CY26" i="16"/>
  <c r="CV26" i="16"/>
  <c r="CS26" i="16"/>
  <c r="CP26" i="16"/>
  <c r="CM26" i="16"/>
  <c r="CJ26" i="16"/>
  <c r="CG26" i="16"/>
  <c r="CD26" i="16"/>
  <c r="CA26" i="16"/>
  <c r="BX26" i="16"/>
  <c r="BU26" i="16"/>
  <c r="BR26" i="16"/>
  <c r="BO26" i="16"/>
  <c r="BL26" i="16"/>
  <c r="BI26" i="16"/>
  <c r="BF26" i="16"/>
  <c r="BC26" i="16"/>
  <c r="AZ26" i="16"/>
  <c r="AW26" i="16"/>
  <c r="AT26" i="16"/>
  <c r="AQ26" i="16"/>
  <c r="AN26" i="16"/>
  <c r="AK26" i="16"/>
  <c r="AI26" i="16"/>
  <c r="EB26" i="16" s="1"/>
  <c r="AB26" i="16"/>
  <c r="Y26" i="16"/>
  <c r="V26" i="16"/>
  <c r="S26" i="16"/>
  <c r="P26" i="16"/>
  <c r="M26" i="16"/>
  <c r="J26" i="16"/>
  <c r="G26" i="16"/>
  <c r="D26" i="16"/>
  <c r="EL25" i="16"/>
  <c r="EG25" i="16"/>
  <c r="EI25" i="16" s="1"/>
  <c r="DW25" i="16"/>
  <c r="DT25" i="16"/>
  <c r="DQ25" i="16"/>
  <c r="DN25" i="16"/>
  <c r="DK25" i="16"/>
  <c r="DH25" i="16"/>
  <c r="DE25" i="16"/>
  <c r="DB25" i="16"/>
  <c r="CY25" i="16"/>
  <c r="CV25" i="16"/>
  <c r="CS25" i="16"/>
  <c r="CP25" i="16"/>
  <c r="CM25" i="16"/>
  <c r="CJ25" i="16"/>
  <c r="CG25" i="16"/>
  <c r="CD25" i="16"/>
  <c r="CA25" i="16"/>
  <c r="BX25" i="16"/>
  <c r="BU25" i="16"/>
  <c r="BR25" i="16"/>
  <c r="BO25" i="16"/>
  <c r="BL25" i="16"/>
  <c r="BI25" i="16"/>
  <c r="BF25" i="16"/>
  <c r="BC25" i="16"/>
  <c r="AZ25" i="16"/>
  <c r="AW25" i="16"/>
  <c r="AT25" i="16"/>
  <c r="AQ25" i="16"/>
  <c r="AN25" i="16"/>
  <c r="AI25" i="16"/>
  <c r="EB25" i="16" s="1"/>
  <c r="AB25" i="16"/>
  <c r="Y25" i="16"/>
  <c r="V25" i="16"/>
  <c r="S25" i="16"/>
  <c r="EH25" i="16" s="1"/>
  <c r="P25" i="16"/>
  <c r="M25" i="16"/>
  <c r="J25" i="16"/>
  <c r="G25" i="16"/>
  <c r="D25" i="16"/>
  <c r="EL24" i="16"/>
  <c r="EG24" i="16"/>
  <c r="EI24" i="16" s="1"/>
  <c r="DW24" i="16"/>
  <c r="DT24" i="16"/>
  <c r="DQ24" i="16"/>
  <c r="DN24" i="16"/>
  <c r="DK24" i="16"/>
  <c r="DH24" i="16"/>
  <c r="DE24" i="16"/>
  <c r="DB24" i="16"/>
  <c r="CY24" i="16"/>
  <c r="CV24" i="16"/>
  <c r="CS24" i="16"/>
  <c r="CP24" i="16"/>
  <c r="CM24" i="16"/>
  <c r="CJ24" i="16"/>
  <c r="CG24" i="16"/>
  <c r="CD24" i="16"/>
  <c r="CA24" i="16"/>
  <c r="BX24" i="16"/>
  <c r="BU24" i="16"/>
  <c r="BR24" i="16"/>
  <c r="BO24" i="16"/>
  <c r="BL24" i="16"/>
  <c r="BI24" i="16"/>
  <c r="BF24" i="16"/>
  <c r="BC24" i="16"/>
  <c r="AZ24" i="16"/>
  <c r="AW24" i="16"/>
  <c r="AT24" i="16"/>
  <c r="AQ24" i="16"/>
  <c r="AN24" i="16"/>
  <c r="AI24" i="16"/>
  <c r="EB24" i="16" s="1"/>
  <c r="AB24" i="16"/>
  <c r="Y24" i="16"/>
  <c r="V24" i="16"/>
  <c r="S24" i="16"/>
  <c r="P24" i="16"/>
  <c r="M24" i="16"/>
  <c r="J24" i="16"/>
  <c r="G24" i="16"/>
  <c r="D24" i="16"/>
  <c r="EL23" i="16"/>
  <c r="EG23" i="16"/>
  <c r="EI23" i="16" s="1"/>
  <c r="DW23" i="16"/>
  <c r="DT23" i="16"/>
  <c r="DQ23" i="16"/>
  <c r="DN23" i="16"/>
  <c r="DK23" i="16"/>
  <c r="DH23" i="16"/>
  <c r="DE23" i="16"/>
  <c r="DB23" i="16"/>
  <c r="CY23" i="16"/>
  <c r="CV23" i="16"/>
  <c r="CS23" i="16"/>
  <c r="CP23" i="16"/>
  <c r="CM23" i="16"/>
  <c r="CJ23" i="16"/>
  <c r="CG23" i="16"/>
  <c r="CD23" i="16"/>
  <c r="CA23" i="16"/>
  <c r="BX23" i="16"/>
  <c r="BU23" i="16"/>
  <c r="BR23" i="16"/>
  <c r="BO23" i="16"/>
  <c r="BL23" i="16"/>
  <c r="BI23" i="16"/>
  <c r="BF23" i="16"/>
  <c r="BC23" i="16"/>
  <c r="AZ23" i="16"/>
  <c r="AW23" i="16"/>
  <c r="AT23" i="16"/>
  <c r="AQ23" i="16"/>
  <c r="AN23" i="16"/>
  <c r="AI23" i="16"/>
  <c r="AK23" i="16" s="1"/>
  <c r="AB23" i="16"/>
  <c r="Y23" i="16"/>
  <c r="V23" i="16"/>
  <c r="S23" i="16"/>
  <c r="P23" i="16"/>
  <c r="M23" i="16"/>
  <c r="J23" i="16"/>
  <c r="G23" i="16"/>
  <c r="D23" i="16"/>
  <c r="EL22" i="16"/>
  <c r="EG22" i="16"/>
  <c r="EI22" i="16" s="1"/>
  <c r="DW22" i="16"/>
  <c r="DT22" i="16"/>
  <c r="DQ22" i="16"/>
  <c r="DN22" i="16"/>
  <c r="DK22" i="16"/>
  <c r="DH22" i="16"/>
  <c r="DE22" i="16"/>
  <c r="DB22" i="16"/>
  <c r="CY22" i="16"/>
  <c r="CV22" i="16"/>
  <c r="CS22" i="16"/>
  <c r="CP22" i="16"/>
  <c r="CM22" i="16"/>
  <c r="CJ22" i="16"/>
  <c r="CG22" i="16"/>
  <c r="CD22" i="16"/>
  <c r="CA22" i="16"/>
  <c r="BX22" i="16"/>
  <c r="BU22" i="16"/>
  <c r="BR22" i="16"/>
  <c r="BO22" i="16"/>
  <c r="BL22" i="16"/>
  <c r="BI22" i="16"/>
  <c r="BF22" i="16"/>
  <c r="BC22" i="16"/>
  <c r="AZ22" i="16"/>
  <c r="AW22" i="16"/>
  <c r="AT22" i="16"/>
  <c r="AQ22" i="16"/>
  <c r="AN22" i="16"/>
  <c r="AI22" i="16"/>
  <c r="EB22" i="16" s="1"/>
  <c r="AB22" i="16"/>
  <c r="EH22" i="16" s="1"/>
  <c r="Y22" i="16"/>
  <c r="V22" i="16"/>
  <c r="S22" i="16"/>
  <c r="P22" i="16"/>
  <c r="M22" i="16"/>
  <c r="J22" i="16"/>
  <c r="G22" i="16"/>
  <c r="D22" i="16"/>
  <c r="EL21" i="16"/>
  <c r="EG21" i="16"/>
  <c r="EI21" i="16" s="1"/>
  <c r="DW21" i="16"/>
  <c r="DT21" i="16"/>
  <c r="DQ21" i="16"/>
  <c r="DN21" i="16"/>
  <c r="DK21" i="16"/>
  <c r="DH21" i="16"/>
  <c r="DE21" i="16"/>
  <c r="DB21" i="16"/>
  <c r="CY21" i="16"/>
  <c r="CV21" i="16"/>
  <c r="CS21" i="16"/>
  <c r="CP21" i="16"/>
  <c r="CM21" i="16"/>
  <c r="CJ21" i="16"/>
  <c r="CG21" i="16"/>
  <c r="CD21" i="16"/>
  <c r="CA21" i="16"/>
  <c r="BX21" i="16"/>
  <c r="BU21" i="16"/>
  <c r="BR21" i="16"/>
  <c r="BO21" i="16"/>
  <c r="BL21" i="16"/>
  <c r="BI21" i="16"/>
  <c r="BF21" i="16"/>
  <c r="BC21" i="16"/>
  <c r="AZ21" i="16"/>
  <c r="AW21" i="16"/>
  <c r="AT21" i="16"/>
  <c r="AQ21" i="16"/>
  <c r="AN21" i="16"/>
  <c r="AI21" i="16"/>
  <c r="EB21" i="16" s="1"/>
  <c r="AB21" i="16"/>
  <c r="Y21" i="16"/>
  <c r="V21" i="16"/>
  <c r="S21" i="16"/>
  <c r="P21" i="16"/>
  <c r="M21" i="16"/>
  <c r="J21" i="16"/>
  <c r="G21" i="16"/>
  <c r="D21" i="16"/>
  <c r="EL20" i="16"/>
  <c r="EG20" i="16"/>
  <c r="EI20" i="16" s="1"/>
  <c r="DW20" i="16"/>
  <c r="DT20" i="16"/>
  <c r="DQ20" i="16"/>
  <c r="DN20" i="16"/>
  <c r="DK20" i="16"/>
  <c r="DH20" i="16"/>
  <c r="DE20" i="16"/>
  <c r="DB20" i="16"/>
  <c r="CY20" i="16"/>
  <c r="CV20" i="16"/>
  <c r="CS20" i="16"/>
  <c r="CP20" i="16"/>
  <c r="CM20" i="16"/>
  <c r="CJ20" i="16"/>
  <c r="CG20" i="16"/>
  <c r="CD20" i="16"/>
  <c r="CA20" i="16"/>
  <c r="BX20" i="16"/>
  <c r="BU20" i="16"/>
  <c r="BR20" i="16"/>
  <c r="BO20" i="16"/>
  <c r="BL20" i="16"/>
  <c r="BI20" i="16"/>
  <c r="BF20" i="16"/>
  <c r="BC20" i="16"/>
  <c r="AZ20" i="16"/>
  <c r="AW20" i="16"/>
  <c r="AT20" i="16"/>
  <c r="AQ20" i="16"/>
  <c r="AN20" i="16"/>
  <c r="AI20" i="16"/>
  <c r="AK20" i="16" s="1"/>
  <c r="AB20" i="16"/>
  <c r="Y20" i="16"/>
  <c r="V20" i="16"/>
  <c r="S20" i="16"/>
  <c r="P20" i="16"/>
  <c r="M20" i="16"/>
  <c r="J20" i="16"/>
  <c r="G20" i="16"/>
  <c r="D20" i="16"/>
  <c r="EL19" i="16"/>
  <c r="EG19" i="16"/>
  <c r="EI19" i="16" s="1"/>
  <c r="DW19" i="16"/>
  <c r="DT19" i="16"/>
  <c r="DQ19" i="16"/>
  <c r="DN19" i="16"/>
  <c r="DK19" i="16"/>
  <c r="DH19" i="16"/>
  <c r="DE19" i="16"/>
  <c r="DB19" i="16"/>
  <c r="CY19" i="16"/>
  <c r="CV19" i="16"/>
  <c r="CS19" i="16"/>
  <c r="CP19" i="16"/>
  <c r="CM19" i="16"/>
  <c r="CJ19" i="16"/>
  <c r="CG19" i="16"/>
  <c r="CD19" i="16"/>
  <c r="CA19" i="16"/>
  <c r="BX19" i="16"/>
  <c r="BU19" i="16"/>
  <c r="BR19" i="16"/>
  <c r="BO19" i="16"/>
  <c r="BL19" i="16"/>
  <c r="BI19" i="16"/>
  <c r="BF19" i="16"/>
  <c r="BC19" i="16"/>
  <c r="AZ19" i="16"/>
  <c r="AW19" i="16"/>
  <c r="AT19" i="16"/>
  <c r="AQ19" i="16"/>
  <c r="AN19" i="16"/>
  <c r="AI19" i="16"/>
  <c r="AK19" i="16" s="1"/>
  <c r="AB19" i="16"/>
  <c r="Y19" i="16"/>
  <c r="V19" i="16"/>
  <c r="S19" i="16"/>
  <c r="P19" i="16"/>
  <c r="M19" i="16"/>
  <c r="J19" i="16"/>
  <c r="G19" i="16"/>
  <c r="D19" i="16"/>
  <c r="EL18" i="16"/>
  <c r="EG18" i="16"/>
  <c r="EI18" i="16" s="1"/>
  <c r="DW18" i="16"/>
  <c r="DT18" i="16"/>
  <c r="DQ18" i="16"/>
  <c r="DN18" i="16"/>
  <c r="DK18" i="16"/>
  <c r="DH18" i="16"/>
  <c r="DE18" i="16"/>
  <c r="DB18" i="16"/>
  <c r="CY18" i="16"/>
  <c r="CV18" i="16"/>
  <c r="CS18" i="16"/>
  <c r="CP18" i="16"/>
  <c r="CM18" i="16"/>
  <c r="CJ18" i="16"/>
  <c r="CG18" i="16"/>
  <c r="CD18" i="16"/>
  <c r="CA18" i="16"/>
  <c r="BX18" i="16"/>
  <c r="BU18" i="16"/>
  <c r="BR18" i="16"/>
  <c r="BO18" i="16"/>
  <c r="BL18" i="16"/>
  <c r="BI18" i="16"/>
  <c r="BF18" i="16"/>
  <c r="BC18" i="16"/>
  <c r="AZ18" i="16"/>
  <c r="AW18" i="16"/>
  <c r="AT18" i="16"/>
  <c r="AQ18" i="16"/>
  <c r="AN18" i="16"/>
  <c r="AI18" i="16"/>
  <c r="EB18" i="16" s="1"/>
  <c r="AB18" i="16"/>
  <c r="Y18" i="16"/>
  <c r="V18" i="16"/>
  <c r="S18" i="16"/>
  <c r="EH18" i="16" s="1"/>
  <c r="P18" i="16"/>
  <c r="M18" i="16"/>
  <c r="J18" i="16"/>
  <c r="G18" i="16"/>
  <c r="D18" i="16"/>
  <c r="EL17" i="16"/>
  <c r="EG17" i="16"/>
  <c r="EI17" i="16" s="1"/>
  <c r="EB17" i="16"/>
  <c r="DW17" i="16"/>
  <c r="DT17" i="16"/>
  <c r="DQ17" i="16"/>
  <c r="DN17" i="16"/>
  <c r="DK17" i="16"/>
  <c r="DH17" i="16"/>
  <c r="DE17" i="16"/>
  <c r="DB17" i="16"/>
  <c r="CY17" i="16"/>
  <c r="CV17" i="16"/>
  <c r="CS17" i="16"/>
  <c r="CP17" i="16"/>
  <c r="CM17" i="16"/>
  <c r="CJ17" i="16"/>
  <c r="CG17" i="16"/>
  <c r="CD17" i="16"/>
  <c r="CA17" i="16"/>
  <c r="BX17" i="16"/>
  <c r="BU17" i="16"/>
  <c r="BR17" i="16"/>
  <c r="BO17" i="16"/>
  <c r="BL17" i="16"/>
  <c r="BI17" i="16"/>
  <c r="BF17" i="16"/>
  <c r="BC17" i="16"/>
  <c r="AZ17" i="16"/>
  <c r="AW17" i="16"/>
  <c r="AT17" i="16"/>
  <c r="AQ17" i="16"/>
  <c r="AN17" i="16"/>
  <c r="AI17" i="16"/>
  <c r="AB17" i="16"/>
  <c r="Y17" i="16"/>
  <c r="V17" i="16"/>
  <c r="S17" i="16"/>
  <c r="P17" i="16"/>
  <c r="M17" i="16"/>
  <c r="J17" i="16"/>
  <c r="G17" i="16"/>
  <c r="D17" i="16"/>
  <c r="EL16" i="16"/>
  <c r="EK16" i="16"/>
  <c r="EG16" i="16"/>
  <c r="EI16" i="16" s="1"/>
  <c r="DW16" i="16"/>
  <c r="DT16" i="16"/>
  <c r="DQ16" i="16"/>
  <c r="DN16" i="16"/>
  <c r="DK16" i="16"/>
  <c r="DH16" i="16"/>
  <c r="DE16" i="16"/>
  <c r="DB16" i="16"/>
  <c r="CY16" i="16"/>
  <c r="CV16" i="16"/>
  <c r="CS16" i="16"/>
  <c r="CP16" i="16"/>
  <c r="CM16" i="16"/>
  <c r="CJ16" i="16"/>
  <c r="CG16" i="16"/>
  <c r="CD16" i="16"/>
  <c r="CA16" i="16"/>
  <c r="BX16" i="16"/>
  <c r="BU16" i="16"/>
  <c r="BR16" i="16"/>
  <c r="BO16" i="16"/>
  <c r="BL16" i="16"/>
  <c r="BI16" i="16"/>
  <c r="BF16" i="16"/>
  <c r="BC16" i="16"/>
  <c r="AZ16" i="16"/>
  <c r="AW16" i="16"/>
  <c r="AT16" i="16"/>
  <c r="AQ16" i="16"/>
  <c r="AN16" i="16"/>
  <c r="AI16" i="16"/>
  <c r="EB16" i="16" s="1"/>
  <c r="AB16" i="16"/>
  <c r="Y16" i="16"/>
  <c r="V16" i="16"/>
  <c r="S16" i="16"/>
  <c r="EH16" i="16" s="1"/>
  <c r="P16" i="16"/>
  <c r="M16" i="16"/>
  <c r="J16" i="16"/>
  <c r="G16" i="16"/>
  <c r="D16" i="16"/>
  <c r="EL15" i="16"/>
  <c r="EG15" i="16"/>
  <c r="EI15" i="16" s="1"/>
  <c r="DW15" i="16"/>
  <c r="DT15" i="16"/>
  <c r="DQ15" i="16"/>
  <c r="DN15" i="16"/>
  <c r="DK15" i="16"/>
  <c r="DH15" i="16"/>
  <c r="DE15" i="16"/>
  <c r="DB15" i="16"/>
  <c r="CY15" i="16"/>
  <c r="CV15" i="16"/>
  <c r="CS15" i="16"/>
  <c r="CP15" i="16"/>
  <c r="CM15" i="16"/>
  <c r="CJ15" i="16"/>
  <c r="CG15" i="16"/>
  <c r="CD15" i="16"/>
  <c r="CA15" i="16"/>
  <c r="BX15" i="16"/>
  <c r="BU15" i="16"/>
  <c r="BR15" i="16"/>
  <c r="BO15" i="16"/>
  <c r="BL15" i="16"/>
  <c r="BI15" i="16"/>
  <c r="BF15" i="16"/>
  <c r="BC15" i="16"/>
  <c r="AZ15" i="16"/>
  <c r="AW15" i="16"/>
  <c r="AR15" i="16"/>
  <c r="AT15" i="16" s="1"/>
  <c r="AQ15" i="16"/>
  <c r="AO15" i="16"/>
  <c r="AL15" i="16"/>
  <c r="AK15" i="16"/>
  <c r="AI15" i="16"/>
  <c r="AB15" i="16"/>
  <c r="Y15" i="16"/>
  <c r="V15" i="16"/>
  <c r="S15" i="16"/>
  <c r="P15" i="16"/>
  <c r="M15" i="16"/>
  <c r="J15" i="16"/>
  <c r="G15" i="16"/>
  <c r="D15" i="16"/>
  <c r="EL14" i="16"/>
  <c r="EG14" i="16"/>
  <c r="EI14" i="16" s="1"/>
  <c r="DW14" i="16"/>
  <c r="DT14" i="16"/>
  <c r="DQ14" i="16"/>
  <c r="DN14" i="16"/>
  <c r="DK14" i="16"/>
  <c r="DH14" i="16"/>
  <c r="DE14" i="16"/>
  <c r="DB14" i="16"/>
  <c r="CY14" i="16"/>
  <c r="CV14" i="16"/>
  <c r="CS14" i="16"/>
  <c r="CP14" i="16"/>
  <c r="CM14" i="16"/>
  <c r="CJ14" i="16"/>
  <c r="CG14" i="16"/>
  <c r="CD14" i="16"/>
  <c r="CA14" i="16"/>
  <c r="BX14" i="16"/>
  <c r="BU14" i="16"/>
  <c r="BR14" i="16"/>
  <c r="BO14" i="16"/>
  <c r="BL14" i="16"/>
  <c r="BI14" i="16"/>
  <c r="BF14" i="16"/>
  <c r="BC14" i="16"/>
  <c r="AZ14" i="16"/>
  <c r="AW14" i="16"/>
  <c r="AR14" i="16"/>
  <c r="AT14" i="16" s="1"/>
  <c r="AO14" i="16"/>
  <c r="EB14" i="16" s="1"/>
  <c r="AN14" i="16"/>
  <c r="AL14" i="16"/>
  <c r="AI14" i="16"/>
  <c r="AK14" i="16" s="1"/>
  <c r="AB14" i="16"/>
  <c r="Y14" i="16"/>
  <c r="V14" i="16"/>
  <c r="S14" i="16"/>
  <c r="EH14" i="16" s="1"/>
  <c r="P14" i="16"/>
  <c r="M14" i="16"/>
  <c r="J14" i="16"/>
  <c r="G14" i="16"/>
  <c r="D14" i="16"/>
  <c r="EL13" i="16"/>
  <c r="EG13" i="16"/>
  <c r="EI13" i="16" s="1"/>
  <c r="EB13" i="16"/>
  <c r="DW13" i="16"/>
  <c r="DT13" i="16"/>
  <c r="DQ13" i="16"/>
  <c r="DN13" i="16"/>
  <c r="DK13" i="16"/>
  <c r="DH13" i="16"/>
  <c r="DE13" i="16"/>
  <c r="DB13" i="16"/>
  <c r="CY13" i="16"/>
  <c r="CV13" i="16"/>
  <c r="CS13" i="16"/>
  <c r="CP13" i="16"/>
  <c r="CM13" i="16"/>
  <c r="CJ13" i="16"/>
  <c r="CG13" i="16"/>
  <c r="CD13" i="16"/>
  <c r="CA13" i="16"/>
  <c r="BX13" i="16"/>
  <c r="BU13" i="16"/>
  <c r="BR13" i="16"/>
  <c r="BO13" i="16"/>
  <c r="BL13" i="16"/>
  <c r="BI13" i="16"/>
  <c r="BF13" i="16"/>
  <c r="BC13" i="16"/>
  <c r="AZ13" i="16"/>
  <c r="AW13" i="16"/>
  <c r="AT13" i="16"/>
  <c r="AR13" i="16"/>
  <c r="EK13" i="16" s="1"/>
  <c r="AQ13" i="16"/>
  <c r="AO13" i="16"/>
  <c r="AN13" i="16"/>
  <c r="AL13" i="16"/>
  <c r="AI13" i="16"/>
  <c r="AK13" i="16" s="1"/>
  <c r="AB13" i="16"/>
  <c r="Y13" i="16"/>
  <c r="V13" i="16"/>
  <c r="S13" i="16"/>
  <c r="P13" i="16"/>
  <c r="M13" i="16"/>
  <c r="J13" i="16"/>
  <c r="G13" i="16"/>
  <c r="D13" i="16"/>
  <c r="EL12" i="16"/>
  <c r="EG12" i="16"/>
  <c r="EI12" i="16" s="1"/>
  <c r="DW12" i="16"/>
  <c r="DT12" i="16"/>
  <c r="DQ12" i="16"/>
  <c r="DN12" i="16"/>
  <c r="DK12" i="16"/>
  <c r="DH12" i="16"/>
  <c r="DE12" i="16"/>
  <c r="DB12" i="16"/>
  <c r="CY12" i="16"/>
  <c r="CV12" i="16"/>
  <c r="CS12" i="16"/>
  <c r="CP12" i="16"/>
  <c r="CM12" i="16"/>
  <c r="CJ12" i="16"/>
  <c r="CG12" i="16"/>
  <c r="CD12" i="16"/>
  <c r="CA12" i="16"/>
  <c r="BX12" i="16"/>
  <c r="BU12" i="16"/>
  <c r="BR12" i="16"/>
  <c r="BO12" i="16"/>
  <c r="BL12" i="16"/>
  <c r="BI12" i="16"/>
  <c r="BF12" i="16"/>
  <c r="BC12" i="16"/>
  <c r="AZ12" i="16"/>
  <c r="AW12" i="16"/>
  <c r="AR12" i="16"/>
  <c r="AO12" i="16"/>
  <c r="EB12" i="16" s="1"/>
  <c r="AN12" i="16"/>
  <c r="AL12" i="16"/>
  <c r="AI12" i="16"/>
  <c r="AK12" i="16" s="1"/>
  <c r="AB12" i="16"/>
  <c r="Y12" i="16"/>
  <c r="V12" i="16"/>
  <c r="S12" i="16"/>
  <c r="EH12" i="16" s="1"/>
  <c r="P12" i="16"/>
  <c r="M12" i="16"/>
  <c r="J12" i="16"/>
  <c r="G12" i="16"/>
  <c r="D12" i="16"/>
  <c r="A12" i="16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EL11" i="16"/>
  <c r="EG11" i="16"/>
  <c r="EI11" i="16" s="1"/>
  <c r="DW11" i="16"/>
  <c r="DT11" i="16"/>
  <c r="DQ11" i="16"/>
  <c r="DN11" i="16"/>
  <c r="DK11" i="16"/>
  <c r="DK42" i="16" s="1"/>
  <c r="DH11" i="16"/>
  <c r="DE11" i="16"/>
  <c r="DB11" i="16"/>
  <c r="CY11" i="16"/>
  <c r="CV11" i="16"/>
  <c r="CS11" i="16"/>
  <c r="CP11" i="16"/>
  <c r="CM11" i="16"/>
  <c r="CJ11" i="16"/>
  <c r="CG11" i="16"/>
  <c r="CD11" i="16"/>
  <c r="CA11" i="16"/>
  <c r="BX11" i="16"/>
  <c r="BU11" i="16"/>
  <c r="BR11" i="16"/>
  <c r="BO11" i="16"/>
  <c r="BO42" i="16" s="1"/>
  <c r="BL11" i="16"/>
  <c r="BI11" i="16"/>
  <c r="BF11" i="16"/>
  <c r="BC11" i="16"/>
  <c r="AZ11" i="16"/>
  <c r="AW11" i="16"/>
  <c r="AR11" i="16"/>
  <c r="AO11" i="16"/>
  <c r="EB11" i="16" s="1"/>
  <c r="AN11" i="16"/>
  <c r="AL11" i="16"/>
  <c r="AI11" i="16"/>
  <c r="AK11" i="16" s="1"/>
  <c r="AH42" i="16"/>
  <c r="AE42" i="16"/>
  <c r="AB11" i="16"/>
  <c r="Y11" i="16"/>
  <c r="Y42" i="16" s="1"/>
  <c r="V11" i="16"/>
  <c r="S11" i="16"/>
  <c r="P11" i="16"/>
  <c r="M11" i="16"/>
  <c r="M42" i="16" s="1"/>
  <c r="J11" i="16"/>
  <c r="G11" i="16"/>
  <c r="D11" i="16"/>
  <c r="EI2" i="16"/>
  <c r="EL38" i="15"/>
  <c r="EG38" i="15"/>
  <c r="EI38" i="15" s="1"/>
  <c r="DW38" i="15"/>
  <c r="DT38" i="15"/>
  <c r="DQ38" i="15"/>
  <c r="DN38" i="15"/>
  <c r="DK38" i="15"/>
  <c r="DH38" i="15"/>
  <c r="DE38" i="15"/>
  <c r="DB38" i="15"/>
  <c r="CY38" i="15"/>
  <c r="CV38" i="15"/>
  <c r="CS38" i="15"/>
  <c r="CP38" i="15"/>
  <c r="CM38" i="15"/>
  <c r="CJ38" i="15"/>
  <c r="CG38" i="15"/>
  <c r="CD38" i="15"/>
  <c r="CA38" i="15"/>
  <c r="BX38" i="15"/>
  <c r="BU38" i="15"/>
  <c r="BR38" i="15"/>
  <c r="BO38" i="15"/>
  <c r="BL38" i="15"/>
  <c r="BI38" i="15"/>
  <c r="BF38" i="15"/>
  <c r="BC38" i="15"/>
  <c r="AX38" i="15"/>
  <c r="AW38" i="15"/>
  <c r="AU38" i="15"/>
  <c r="AR38" i="15"/>
  <c r="AT38" i="15" s="1"/>
  <c r="AQ38" i="15"/>
  <c r="AN38" i="15"/>
  <c r="AI38" i="15"/>
  <c r="AK38" i="15" s="1"/>
  <c r="AB38" i="15"/>
  <c r="Y38" i="15"/>
  <c r="V38" i="15"/>
  <c r="S38" i="15"/>
  <c r="P38" i="15"/>
  <c r="M38" i="15"/>
  <c r="J38" i="15"/>
  <c r="G38" i="15"/>
  <c r="D38" i="15"/>
  <c r="EL37" i="15"/>
  <c r="EI37" i="15"/>
  <c r="EG37" i="15"/>
  <c r="DW37" i="15"/>
  <c r="DT37" i="15"/>
  <c r="DQ37" i="15"/>
  <c r="DN37" i="15"/>
  <c r="DK37" i="15"/>
  <c r="DH37" i="15"/>
  <c r="DE37" i="15"/>
  <c r="DB37" i="15"/>
  <c r="CY37" i="15"/>
  <c r="CV37" i="15"/>
  <c r="CS37" i="15"/>
  <c r="CP37" i="15"/>
  <c r="CM37" i="15"/>
  <c r="CJ37" i="15"/>
  <c r="CG37" i="15"/>
  <c r="CD37" i="15"/>
  <c r="CA37" i="15"/>
  <c r="BX37" i="15"/>
  <c r="BU37" i="15"/>
  <c r="BR37" i="15"/>
  <c r="BO37" i="15"/>
  <c r="BL37" i="15"/>
  <c r="BI37" i="15"/>
  <c r="BF37" i="15"/>
  <c r="BC37" i="15"/>
  <c r="AX37" i="15"/>
  <c r="EK37" i="15" s="1"/>
  <c r="AU37" i="15"/>
  <c r="AW37" i="15" s="1"/>
  <c r="AT37" i="15"/>
  <c r="AR37" i="15"/>
  <c r="AQ37" i="15"/>
  <c r="AN37" i="15"/>
  <c r="AI37" i="15"/>
  <c r="AK37" i="15" s="1"/>
  <c r="AB37" i="15"/>
  <c r="Y37" i="15"/>
  <c r="V37" i="15"/>
  <c r="S37" i="15"/>
  <c r="P37" i="15"/>
  <c r="M37" i="15"/>
  <c r="J37" i="15"/>
  <c r="G37" i="15"/>
  <c r="D37" i="15"/>
  <c r="EL36" i="15"/>
  <c r="EG36" i="15"/>
  <c r="EI36" i="15" s="1"/>
  <c r="DW36" i="15"/>
  <c r="DT36" i="15"/>
  <c r="DQ36" i="15"/>
  <c r="DN36" i="15"/>
  <c r="DK36" i="15"/>
  <c r="DH36" i="15"/>
  <c r="DE36" i="15"/>
  <c r="DB36" i="15"/>
  <c r="CY36" i="15"/>
  <c r="CV36" i="15"/>
  <c r="CS36" i="15"/>
  <c r="CP36" i="15"/>
  <c r="CM36" i="15"/>
  <c r="CJ36" i="15"/>
  <c r="CG36" i="15"/>
  <c r="CD36" i="15"/>
  <c r="CA36" i="15"/>
  <c r="BX36" i="15"/>
  <c r="BU36" i="15"/>
  <c r="BR36" i="15"/>
  <c r="BO36" i="15"/>
  <c r="BL36" i="15"/>
  <c r="BI36" i="15"/>
  <c r="BF36" i="15"/>
  <c r="BC36" i="15"/>
  <c r="AX36" i="15"/>
  <c r="AU36" i="15"/>
  <c r="AW36" i="15" s="1"/>
  <c r="AR36" i="15"/>
  <c r="AT36" i="15" s="1"/>
  <c r="AQ36" i="15"/>
  <c r="AN36" i="15"/>
  <c r="AI36" i="15"/>
  <c r="AK36" i="15" s="1"/>
  <c r="AB36" i="15"/>
  <c r="Y36" i="15"/>
  <c r="V36" i="15"/>
  <c r="S36" i="15"/>
  <c r="P36" i="15"/>
  <c r="M36" i="15"/>
  <c r="J36" i="15"/>
  <c r="G36" i="15"/>
  <c r="D36" i="15"/>
  <c r="EL35" i="15"/>
  <c r="EG35" i="15"/>
  <c r="EI35" i="15" s="1"/>
  <c r="DW35" i="15"/>
  <c r="DT35" i="15"/>
  <c r="DQ35" i="15"/>
  <c r="DN35" i="15"/>
  <c r="DK35" i="15"/>
  <c r="DH35" i="15"/>
  <c r="DE35" i="15"/>
  <c r="DB35" i="15"/>
  <c r="CY35" i="15"/>
  <c r="CV35" i="15"/>
  <c r="CS35" i="15"/>
  <c r="CP35" i="15"/>
  <c r="CM35" i="15"/>
  <c r="CJ35" i="15"/>
  <c r="CG35" i="15"/>
  <c r="CD35" i="15"/>
  <c r="CA35" i="15"/>
  <c r="BX35" i="15"/>
  <c r="BU35" i="15"/>
  <c r="BR35" i="15"/>
  <c r="BO35" i="15"/>
  <c r="BL35" i="15"/>
  <c r="BI35" i="15"/>
  <c r="BF35" i="15"/>
  <c r="BC35" i="15"/>
  <c r="AX35" i="15"/>
  <c r="EK35" i="15" s="1"/>
  <c r="AU35" i="15"/>
  <c r="AW35" i="15" s="1"/>
  <c r="AT35" i="15"/>
  <c r="AR35" i="15"/>
  <c r="AQ35" i="15"/>
  <c r="AN35" i="15"/>
  <c r="AK35" i="15"/>
  <c r="AI35" i="15"/>
  <c r="AB35" i="15"/>
  <c r="Y35" i="15"/>
  <c r="V35" i="15"/>
  <c r="S35" i="15"/>
  <c r="P35" i="15"/>
  <c r="M35" i="15"/>
  <c r="J35" i="15"/>
  <c r="G35" i="15"/>
  <c r="D35" i="15"/>
  <c r="EL34" i="15"/>
  <c r="EG34" i="15"/>
  <c r="EI34" i="15" s="1"/>
  <c r="DW34" i="15"/>
  <c r="DT34" i="15"/>
  <c r="DQ34" i="15"/>
  <c r="DN34" i="15"/>
  <c r="DK34" i="15"/>
  <c r="DH34" i="15"/>
  <c r="DE34" i="15"/>
  <c r="DB34" i="15"/>
  <c r="CY34" i="15"/>
  <c r="CV34" i="15"/>
  <c r="CS34" i="15"/>
  <c r="CP34" i="15"/>
  <c r="CM34" i="15"/>
  <c r="CJ34" i="15"/>
  <c r="CG34" i="15"/>
  <c r="CD34" i="15"/>
  <c r="CA34" i="15"/>
  <c r="BX34" i="15"/>
  <c r="BU34" i="15"/>
  <c r="BR34" i="15"/>
  <c r="BO34" i="15"/>
  <c r="BL34" i="15"/>
  <c r="BI34" i="15"/>
  <c r="BF34" i="15"/>
  <c r="BC34" i="15"/>
  <c r="AX34" i="15"/>
  <c r="AW34" i="15"/>
  <c r="AU34" i="15"/>
  <c r="AR34" i="15"/>
  <c r="AT34" i="15" s="1"/>
  <c r="AQ34" i="15"/>
  <c r="AN34" i="15"/>
  <c r="AI34" i="15"/>
  <c r="AK34" i="15" s="1"/>
  <c r="AB34" i="15"/>
  <c r="Y34" i="15"/>
  <c r="V34" i="15"/>
  <c r="S34" i="15"/>
  <c r="P34" i="15"/>
  <c r="M34" i="15"/>
  <c r="J34" i="15"/>
  <c r="G34" i="15"/>
  <c r="D34" i="15"/>
  <c r="EL33" i="15"/>
  <c r="EI33" i="15"/>
  <c r="EG33" i="15"/>
  <c r="DW33" i="15"/>
  <c r="DT33" i="15"/>
  <c r="DQ33" i="15"/>
  <c r="DN33" i="15"/>
  <c r="DK33" i="15"/>
  <c r="DH33" i="15"/>
  <c r="DE33" i="15"/>
  <c r="DB33" i="15"/>
  <c r="CY33" i="15"/>
  <c r="CV33" i="15"/>
  <c r="CS33" i="15"/>
  <c r="CP33" i="15"/>
  <c r="CM33" i="15"/>
  <c r="CJ33" i="15"/>
  <c r="CG33" i="15"/>
  <c r="CD33" i="15"/>
  <c r="CA33" i="15"/>
  <c r="BX33" i="15"/>
  <c r="BU33" i="15"/>
  <c r="BR33" i="15"/>
  <c r="BO33" i="15"/>
  <c r="BL33" i="15"/>
  <c r="BI33" i="15"/>
  <c r="BF33" i="15"/>
  <c r="BC33" i="15"/>
  <c r="AX33" i="15"/>
  <c r="EK33" i="15" s="1"/>
  <c r="AU33" i="15"/>
  <c r="AW33" i="15" s="1"/>
  <c r="AR33" i="15"/>
  <c r="AQ33" i="15"/>
  <c r="AN33" i="15"/>
  <c r="AK33" i="15"/>
  <c r="AI33" i="15"/>
  <c r="AB33" i="15"/>
  <c r="Y33" i="15"/>
  <c r="V33" i="15"/>
  <c r="S33" i="15"/>
  <c r="P33" i="15"/>
  <c r="M33" i="15"/>
  <c r="J33" i="15"/>
  <c r="G33" i="15"/>
  <c r="D33" i="15"/>
  <c r="EL32" i="15"/>
  <c r="EG32" i="15"/>
  <c r="EI32" i="15" s="1"/>
  <c r="DW32" i="15"/>
  <c r="DT32" i="15"/>
  <c r="DQ32" i="15"/>
  <c r="DN32" i="15"/>
  <c r="DK32" i="15"/>
  <c r="DH32" i="15"/>
  <c r="DE32" i="15"/>
  <c r="DB32" i="15"/>
  <c r="CY32" i="15"/>
  <c r="CV32" i="15"/>
  <c r="CS32" i="15"/>
  <c r="CP32" i="15"/>
  <c r="CM32" i="15"/>
  <c r="CJ32" i="15"/>
  <c r="CG32" i="15"/>
  <c r="CD32" i="15"/>
  <c r="CA32" i="15"/>
  <c r="BX32" i="15"/>
  <c r="BU32" i="15"/>
  <c r="BR32" i="15"/>
  <c r="BO32" i="15"/>
  <c r="BL32" i="15"/>
  <c r="BI32" i="15"/>
  <c r="BF32" i="15"/>
  <c r="BC32" i="15"/>
  <c r="AX32" i="15"/>
  <c r="AW32" i="15"/>
  <c r="AU32" i="15"/>
  <c r="AR32" i="15"/>
  <c r="AT32" i="15" s="1"/>
  <c r="AQ32" i="15"/>
  <c r="AN32" i="15"/>
  <c r="AI32" i="15"/>
  <c r="AK32" i="15" s="1"/>
  <c r="AB32" i="15"/>
  <c r="Y32" i="15"/>
  <c r="V32" i="15"/>
  <c r="S32" i="15"/>
  <c r="P32" i="15"/>
  <c r="M32" i="15"/>
  <c r="J32" i="15"/>
  <c r="G32" i="15"/>
  <c r="D32" i="15"/>
  <c r="EL31" i="15"/>
  <c r="EI31" i="15"/>
  <c r="EG31" i="15"/>
  <c r="DW31" i="15"/>
  <c r="DT31" i="15"/>
  <c r="DQ31" i="15"/>
  <c r="DN31" i="15"/>
  <c r="DK31" i="15"/>
  <c r="DH31" i="15"/>
  <c r="DE31" i="15"/>
  <c r="DB31" i="15"/>
  <c r="CY31" i="15"/>
  <c r="CV31" i="15"/>
  <c r="CS31" i="15"/>
  <c r="CP31" i="15"/>
  <c r="CM31" i="15"/>
  <c r="CJ31" i="15"/>
  <c r="CG31" i="15"/>
  <c r="CD31" i="15"/>
  <c r="CA31" i="15"/>
  <c r="BX31" i="15"/>
  <c r="BU31" i="15"/>
  <c r="BR31" i="15"/>
  <c r="BO31" i="15"/>
  <c r="BL31" i="15"/>
  <c r="BI31" i="15"/>
  <c r="BF31" i="15"/>
  <c r="BC31" i="15"/>
  <c r="AZ31" i="15"/>
  <c r="AX31" i="15"/>
  <c r="AU31" i="15"/>
  <c r="AW31" i="15" s="1"/>
  <c r="AT31" i="15"/>
  <c r="AR31" i="15"/>
  <c r="AQ31" i="15"/>
  <c r="AN31" i="15"/>
  <c r="AK31" i="15"/>
  <c r="AI31" i="15"/>
  <c r="AB31" i="15"/>
  <c r="Y31" i="15"/>
  <c r="V31" i="15"/>
  <c r="S31" i="15"/>
  <c r="P31" i="15"/>
  <c r="M31" i="15"/>
  <c r="J31" i="15"/>
  <c r="G31" i="15"/>
  <c r="D31" i="15"/>
  <c r="EL30" i="15"/>
  <c r="EG30" i="15"/>
  <c r="EI30" i="15" s="1"/>
  <c r="DW30" i="15"/>
  <c r="DT30" i="15"/>
  <c r="DQ30" i="15"/>
  <c r="DN30" i="15"/>
  <c r="DK30" i="15"/>
  <c r="DH30" i="15"/>
  <c r="DE30" i="15"/>
  <c r="DB30" i="15"/>
  <c r="CY30" i="15"/>
  <c r="CV30" i="15"/>
  <c r="CS30" i="15"/>
  <c r="CP30" i="15"/>
  <c r="CM30" i="15"/>
  <c r="CJ30" i="15"/>
  <c r="CG30" i="15"/>
  <c r="CD30" i="15"/>
  <c r="CA30" i="15"/>
  <c r="BX30" i="15"/>
  <c r="BU30" i="15"/>
  <c r="BR30" i="15"/>
  <c r="BO30" i="15"/>
  <c r="BL30" i="15"/>
  <c r="BI30" i="15"/>
  <c r="BF30" i="15"/>
  <c r="BC30" i="15"/>
  <c r="AX30" i="15"/>
  <c r="AW30" i="15"/>
  <c r="AU30" i="15"/>
  <c r="AR30" i="15"/>
  <c r="AT30" i="15" s="1"/>
  <c r="AQ30" i="15"/>
  <c r="AN30" i="15"/>
  <c r="AI30" i="15"/>
  <c r="AK30" i="15" s="1"/>
  <c r="AB30" i="15"/>
  <c r="Y30" i="15"/>
  <c r="V30" i="15"/>
  <c r="S30" i="15"/>
  <c r="P30" i="15"/>
  <c r="M30" i="15"/>
  <c r="J30" i="15"/>
  <c r="G30" i="15"/>
  <c r="D30" i="15"/>
  <c r="EL29" i="15"/>
  <c r="EI29" i="15"/>
  <c r="EG29" i="15"/>
  <c r="DW29" i="15"/>
  <c r="DT29" i="15"/>
  <c r="DQ29" i="15"/>
  <c r="DN29" i="15"/>
  <c r="DK29" i="15"/>
  <c r="DH29" i="15"/>
  <c r="DE29" i="15"/>
  <c r="DB29" i="15"/>
  <c r="CY29" i="15"/>
  <c r="CV29" i="15"/>
  <c r="CS29" i="15"/>
  <c r="CP29" i="15"/>
  <c r="CM29" i="15"/>
  <c r="CJ29" i="15"/>
  <c r="CG29" i="15"/>
  <c r="CD29" i="15"/>
  <c r="CA29" i="15"/>
  <c r="BX29" i="15"/>
  <c r="BU29" i="15"/>
  <c r="BR29" i="15"/>
  <c r="BO29" i="15"/>
  <c r="BL29" i="15"/>
  <c r="BI29" i="15"/>
  <c r="BF29" i="15"/>
  <c r="BC29" i="15"/>
  <c r="AX29" i="15"/>
  <c r="EK29" i="15" s="1"/>
  <c r="AU29" i="15"/>
  <c r="AW29" i="15" s="1"/>
  <c r="AT29" i="15"/>
  <c r="AR29" i="15"/>
  <c r="AQ29" i="15"/>
  <c r="AN29" i="15"/>
  <c r="AI29" i="15"/>
  <c r="AK29" i="15" s="1"/>
  <c r="AB29" i="15"/>
  <c r="Y29" i="15"/>
  <c r="V29" i="15"/>
  <c r="S29" i="15"/>
  <c r="P29" i="15"/>
  <c r="M29" i="15"/>
  <c r="J29" i="15"/>
  <c r="G29" i="15"/>
  <c r="D29" i="15"/>
  <c r="EL28" i="15"/>
  <c r="EG28" i="15"/>
  <c r="EI28" i="15" s="1"/>
  <c r="DW28" i="15"/>
  <c r="DT28" i="15"/>
  <c r="DQ28" i="15"/>
  <c r="DN28" i="15"/>
  <c r="DK28" i="15"/>
  <c r="DH28" i="15"/>
  <c r="DE28" i="15"/>
  <c r="DB28" i="15"/>
  <c r="CY28" i="15"/>
  <c r="CV28" i="15"/>
  <c r="CS28" i="15"/>
  <c r="CP28" i="15"/>
  <c r="CM28" i="15"/>
  <c r="CJ28" i="15"/>
  <c r="CG28" i="15"/>
  <c r="CD28" i="15"/>
  <c r="CA28" i="15"/>
  <c r="BX28" i="15"/>
  <c r="BU28" i="15"/>
  <c r="BR28" i="15"/>
  <c r="BO28" i="15"/>
  <c r="BL28" i="15"/>
  <c r="BI28" i="15"/>
  <c r="BF28" i="15"/>
  <c r="BC28" i="15"/>
  <c r="AX28" i="15"/>
  <c r="AU28" i="15"/>
  <c r="AW28" i="15" s="1"/>
  <c r="AR28" i="15"/>
  <c r="AT28" i="15" s="1"/>
  <c r="AQ28" i="15"/>
  <c r="AN28" i="15"/>
  <c r="AI28" i="15"/>
  <c r="AK28" i="15" s="1"/>
  <c r="AB28" i="15"/>
  <c r="Y28" i="15"/>
  <c r="V28" i="15"/>
  <c r="S28" i="15"/>
  <c r="P28" i="15"/>
  <c r="M28" i="15"/>
  <c r="J28" i="15"/>
  <c r="G28" i="15"/>
  <c r="D28" i="15"/>
  <c r="EL27" i="15"/>
  <c r="EG27" i="15"/>
  <c r="EI27" i="15" s="1"/>
  <c r="DW27" i="15"/>
  <c r="DT27" i="15"/>
  <c r="DQ27" i="15"/>
  <c r="DN27" i="15"/>
  <c r="DK27" i="15"/>
  <c r="DH27" i="15"/>
  <c r="DE27" i="15"/>
  <c r="DB27" i="15"/>
  <c r="CY27" i="15"/>
  <c r="CV27" i="15"/>
  <c r="CS27" i="15"/>
  <c r="CP27" i="15"/>
  <c r="CM27" i="15"/>
  <c r="CJ27" i="15"/>
  <c r="CG27" i="15"/>
  <c r="CD27" i="15"/>
  <c r="CA27" i="15"/>
  <c r="BX27" i="15"/>
  <c r="BU27" i="15"/>
  <c r="BR27" i="15"/>
  <c r="BO27" i="15"/>
  <c r="BL27" i="15"/>
  <c r="BI27" i="15"/>
  <c r="BF27" i="15"/>
  <c r="BC27" i="15"/>
  <c r="AX27" i="15"/>
  <c r="EK27" i="15" s="1"/>
  <c r="AU27" i="15"/>
  <c r="AW27" i="15" s="1"/>
  <c r="AT27" i="15"/>
  <c r="AR27" i="15"/>
  <c r="AQ27" i="15"/>
  <c r="AN27" i="15"/>
  <c r="AK27" i="15"/>
  <c r="AI27" i="15"/>
  <c r="AB27" i="15"/>
  <c r="Y27" i="15"/>
  <c r="V27" i="15"/>
  <c r="S27" i="15"/>
  <c r="P27" i="15"/>
  <c r="M27" i="15"/>
  <c r="J27" i="15"/>
  <c r="G27" i="15"/>
  <c r="D27" i="15"/>
  <c r="EL26" i="15"/>
  <c r="EG26" i="15"/>
  <c r="EI26" i="15" s="1"/>
  <c r="DW26" i="15"/>
  <c r="DT26" i="15"/>
  <c r="DQ26" i="15"/>
  <c r="DN26" i="15"/>
  <c r="DK26" i="15"/>
  <c r="DH26" i="15"/>
  <c r="DE26" i="15"/>
  <c r="DB26" i="15"/>
  <c r="CY26" i="15"/>
  <c r="CV26" i="15"/>
  <c r="CS26" i="15"/>
  <c r="CP26" i="15"/>
  <c r="CM26" i="15"/>
  <c r="CJ26" i="15"/>
  <c r="CG26" i="15"/>
  <c r="CD26" i="15"/>
  <c r="CA26" i="15"/>
  <c r="BX26" i="15"/>
  <c r="BU26" i="15"/>
  <c r="BR26" i="15"/>
  <c r="BO26" i="15"/>
  <c r="BL26" i="15"/>
  <c r="BI26" i="15"/>
  <c r="BF26" i="15"/>
  <c r="BC26" i="15"/>
  <c r="AX26" i="15"/>
  <c r="AW26" i="15"/>
  <c r="AU26" i="15"/>
  <c r="AR26" i="15"/>
  <c r="AT26" i="15" s="1"/>
  <c r="AQ26" i="15"/>
  <c r="AN26" i="15"/>
  <c r="AI26" i="15"/>
  <c r="AK26" i="15" s="1"/>
  <c r="AB26" i="15"/>
  <c r="Y26" i="15"/>
  <c r="V26" i="15"/>
  <c r="S26" i="15"/>
  <c r="P26" i="15"/>
  <c r="M26" i="15"/>
  <c r="J26" i="15"/>
  <c r="G26" i="15"/>
  <c r="D26" i="15"/>
  <c r="EL25" i="15"/>
  <c r="EI25" i="15"/>
  <c r="EG25" i="15"/>
  <c r="DW25" i="15"/>
  <c r="DT25" i="15"/>
  <c r="DQ25" i="15"/>
  <c r="DN25" i="15"/>
  <c r="DK25" i="15"/>
  <c r="DH25" i="15"/>
  <c r="DE25" i="15"/>
  <c r="DB25" i="15"/>
  <c r="CY25" i="15"/>
  <c r="CV25" i="15"/>
  <c r="CS25" i="15"/>
  <c r="CP25" i="15"/>
  <c r="CM25" i="15"/>
  <c r="CJ25" i="15"/>
  <c r="CG25" i="15"/>
  <c r="CD25" i="15"/>
  <c r="CA25" i="15"/>
  <c r="BX25" i="15"/>
  <c r="BU25" i="15"/>
  <c r="BR25" i="15"/>
  <c r="BO25" i="15"/>
  <c r="BL25" i="15"/>
  <c r="BI25" i="15"/>
  <c r="BF25" i="15"/>
  <c r="BC25" i="15"/>
  <c r="AX25" i="15"/>
  <c r="EK25" i="15" s="1"/>
  <c r="AU25" i="15"/>
  <c r="AW25" i="15" s="1"/>
  <c r="AR25" i="15"/>
  <c r="AQ25" i="15"/>
  <c r="AN25" i="15"/>
  <c r="AK25" i="15"/>
  <c r="AI25" i="15"/>
  <c r="AB25" i="15"/>
  <c r="Y25" i="15"/>
  <c r="V25" i="15"/>
  <c r="S25" i="15"/>
  <c r="P25" i="15"/>
  <c r="M25" i="15"/>
  <c r="J25" i="15"/>
  <c r="G25" i="15"/>
  <c r="D25" i="15"/>
  <c r="EL24" i="15"/>
  <c r="EG24" i="15"/>
  <c r="EI24" i="15" s="1"/>
  <c r="DW24" i="15"/>
  <c r="DT24" i="15"/>
  <c r="DQ24" i="15"/>
  <c r="DN24" i="15"/>
  <c r="DK24" i="15"/>
  <c r="DH24" i="15"/>
  <c r="DE24" i="15"/>
  <c r="DB24" i="15"/>
  <c r="CY24" i="15"/>
  <c r="CV24" i="15"/>
  <c r="CS24" i="15"/>
  <c r="CP24" i="15"/>
  <c r="CM24" i="15"/>
  <c r="CJ24" i="15"/>
  <c r="CG24" i="15"/>
  <c r="CD24" i="15"/>
  <c r="CA24" i="15"/>
  <c r="BX24" i="15"/>
  <c r="BU24" i="15"/>
  <c r="BR24" i="15"/>
  <c r="BO24" i="15"/>
  <c r="BL24" i="15"/>
  <c r="BI24" i="15"/>
  <c r="BF24" i="15"/>
  <c r="BC24" i="15"/>
  <c r="AX24" i="15"/>
  <c r="AW24" i="15"/>
  <c r="AU24" i="15"/>
  <c r="AR24" i="15"/>
  <c r="AT24" i="15" s="1"/>
  <c r="AQ24" i="15"/>
  <c r="AL24" i="15"/>
  <c r="AN24" i="15" s="1"/>
  <c r="AI24" i="15"/>
  <c r="AK24" i="15" s="1"/>
  <c r="AB24" i="15"/>
  <c r="Y24" i="15"/>
  <c r="V24" i="15"/>
  <c r="S24" i="15"/>
  <c r="P24" i="15"/>
  <c r="M24" i="15"/>
  <c r="J24" i="15"/>
  <c r="G24" i="15"/>
  <c r="D24" i="15"/>
  <c r="EL23" i="15"/>
  <c r="EG23" i="15"/>
  <c r="EI23" i="15" s="1"/>
  <c r="DW23" i="15"/>
  <c r="DT23" i="15"/>
  <c r="DQ23" i="15"/>
  <c r="DN23" i="15"/>
  <c r="DK23" i="15"/>
  <c r="DH23" i="15"/>
  <c r="DE23" i="15"/>
  <c r="DB23" i="15"/>
  <c r="CY23" i="15"/>
  <c r="CV23" i="15"/>
  <c r="CS23" i="15"/>
  <c r="CP23" i="15"/>
  <c r="CM23" i="15"/>
  <c r="CJ23" i="15"/>
  <c r="CG23" i="15"/>
  <c r="CD23" i="15"/>
  <c r="CA23" i="15"/>
  <c r="BX23" i="15"/>
  <c r="BU23" i="15"/>
  <c r="BR23" i="15"/>
  <c r="BO23" i="15"/>
  <c r="BL23" i="15"/>
  <c r="BI23" i="15"/>
  <c r="BF23" i="15"/>
  <c r="BC23" i="15"/>
  <c r="AZ23" i="15"/>
  <c r="AU23" i="15"/>
  <c r="AW23" i="15" s="1"/>
  <c r="AT23" i="15"/>
  <c r="AR23" i="15"/>
  <c r="AO23" i="15"/>
  <c r="AQ23" i="15" s="1"/>
  <c r="AL23" i="15"/>
  <c r="EB23" i="15" s="1"/>
  <c r="AI23" i="15"/>
  <c r="AK23" i="15" s="1"/>
  <c r="AB23" i="15"/>
  <c r="Y23" i="15"/>
  <c r="V23" i="15"/>
  <c r="S23" i="15"/>
  <c r="P23" i="15"/>
  <c r="M23" i="15"/>
  <c r="J23" i="15"/>
  <c r="G23" i="15"/>
  <c r="D23" i="15"/>
  <c r="EL22" i="15"/>
  <c r="EI22" i="15"/>
  <c r="EG22" i="15"/>
  <c r="DW22" i="15"/>
  <c r="DT22" i="15"/>
  <c r="DQ22" i="15"/>
  <c r="DN22" i="15"/>
  <c r="DK22" i="15"/>
  <c r="DH22" i="15"/>
  <c r="DE22" i="15"/>
  <c r="DB22" i="15"/>
  <c r="CY22" i="15"/>
  <c r="CV22" i="15"/>
  <c r="CS22" i="15"/>
  <c r="CP22" i="15"/>
  <c r="CM22" i="15"/>
  <c r="CJ22" i="15"/>
  <c r="CG22" i="15"/>
  <c r="CD22" i="15"/>
  <c r="CA22" i="15"/>
  <c r="BX22" i="15"/>
  <c r="BU22" i="15"/>
  <c r="BR22" i="15"/>
  <c r="BO22" i="15"/>
  <c r="BL22" i="15"/>
  <c r="BI22" i="15"/>
  <c r="BF22" i="15"/>
  <c r="BC22" i="15"/>
  <c r="AZ22" i="15"/>
  <c r="AW22" i="15"/>
  <c r="AU22" i="15"/>
  <c r="AR22" i="15"/>
  <c r="AO22" i="15"/>
  <c r="AQ22" i="15" s="1"/>
  <c r="AL22" i="15"/>
  <c r="AK22" i="15"/>
  <c r="AI22" i="15"/>
  <c r="AB22" i="15"/>
  <c r="Y22" i="15"/>
  <c r="V22" i="15"/>
  <c r="S22" i="15"/>
  <c r="P22" i="15"/>
  <c r="M22" i="15"/>
  <c r="J22" i="15"/>
  <c r="G22" i="15"/>
  <c r="D22" i="15"/>
  <c r="EL21" i="15"/>
  <c r="EG21" i="15"/>
  <c r="EI21" i="15" s="1"/>
  <c r="DW21" i="15"/>
  <c r="DT21" i="15"/>
  <c r="DQ21" i="15"/>
  <c r="DN21" i="15"/>
  <c r="DK21" i="15"/>
  <c r="DH21" i="15"/>
  <c r="DE21" i="15"/>
  <c r="DB21" i="15"/>
  <c r="CY21" i="15"/>
  <c r="CV21" i="15"/>
  <c r="CS21" i="15"/>
  <c r="CP21" i="15"/>
  <c r="CM21" i="15"/>
  <c r="CJ21" i="15"/>
  <c r="CG21" i="15"/>
  <c r="CD21" i="15"/>
  <c r="CA21" i="15"/>
  <c r="BX21" i="15"/>
  <c r="BU21" i="15"/>
  <c r="BR21" i="15"/>
  <c r="BO21" i="15"/>
  <c r="BL21" i="15"/>
  <c r="BI21" i="15"/>
  <c r="BF21" i="15"/>
  <c r="BC21" i="15"/>
  <c r="AZ21" i="15"/>
  <c r="AU21" i="15"/>
  <c r="AR21" i="15"/>
  <c r="AT21" i="15" s="1"/>
  <c r="AQ21" i="15"/>
  <c r="AO21" i="15"/>
  <c r="AL21" i="15"/>
  <c r="AN21" i="15" s="1"/>
  <c r="AI21" i="15"/>
  <c r="AK21" i="15" s="1"/>
  <c r="AB21" i="15"/>
  <c r="Y21" i="15"/>
  <c r="V21" i="15"/>
  <c r="S21" i="15"/>
  <c r="P21" i="15"/>
  <c r="M21" i="15"/>
  <c r="J21" i="15"/>
  <c r="G21" i="15"/>
  <c r="D21" i="15"/>
  <c r="EL20" i="15"/>
  <c r="EI20" i="15"/>
  <c r="EG20" i="15"/>
  <c r="DW20" i="15"/>
  <c r="DT20" i="15"/>
  <c r="DQ20" i="15"/>
  <c r="DN20" i="15"/>
  <c r="DK20" i="15"/>
  <c r="DH20" i="15"/>
  <c r="DE20" i="15"/>
  <c r="DB20" i="15"/>
  <c r="CY20" i="15"/>
  <c r="CV20" i="15"/>
  <c r="CS20" i="15"/>
  <c r="CP20" i="15"/>
  <c r="CM20" i="15"/>
  <c r="CJ20" i="15"/>
  <c r="CG20" i="15"/>
  <c r="CD20" i="15"/>
  <c r="CA20" i="15"/>
  <c r="BX20" i="15"/>
  <c r="BU20" i="15"/>
  <c r="BR20" i="15"/>
  <c r="BO20" i="15"/>
  <c r="BL20" i="15"/>
  <c r="BI20" i="15"/>
  <c r="BF20" i="15"/>
  <c r="BC20" i="15"/>
  <c r="AZ20" i="15"/>
  <c r="AU20" i="15"/>
  <c r="AW20" i="15" s="1"/>
  <c r="AR20" i="15"/>
  <c r="AT20" i="15" s="1"/>
  <c r="AO20" i="15"/>
  <c r="AQ20" i="15" s="1"/>
  <c r="AL20" i="15"/>
  <c r="AI20" i="15"/>
  <c r="AK20" i="15" s="1"/>
  <c r="AB20" i="15"/>
  <c r="Y20" i="15"/>
  <c r="V20" i="15"/>
  <c r="S20" i="15"/>
  <c r="P20" i="15"/>
  <c r="M20" i="15"/>
  <c r="J20" i="15"/>
  <c r="G20" i="15"/>
  <c r="D20" i="15"/>
  <c r="EL19" i="15"/>
  <c r="EG19" i="15"/>
  <c r="EI19" i="15" s="1"/>
  <c r="DW19" i="15"/>
  <c r="DT19" i="15"/>
  <c r="DQ19" i="15"/>
  <c r="DN19" i="15"/>
  <c r="DK19" i="15"/>
  <c r="DH19" i="15"/>
  <c r="DE19" i="15"/>
  <c r="DB19" i="15"/>
  <c r="CY19" i="15"/>
  <c r="CV19" i="15"/>
  <c r="CS19" i="15"/>
  <c r="CP19" i="15"/>
  <c r="CM19" i="15"/>
  <c r="CJ19" i="15"/>
  <c r="CG19" i="15"/>
  <c r="CD19" i="15"/>
  <c r="CA19" i="15"/>
  <c r="BX19" i="15"/>
  <c r="BU19" i="15"/>
  <c r="BR19" i="15"/>
  <c r="BO19" i="15"/>
  <c r="BL19" i="15"/>
  <c r="BI19" i="15"/>
  <c r="BF19" i="15"/>
  <c r="BC19" i="15"/>
  <c r="AZ19" i="15"/>
  <c r="AU19" i="15"/>
  <c r="EK19" i="15" s="1"/>
  <c r="AR19" i="15"/>
  <c r="AT19" i="15" s="1"/>
  <c r="AQ19" i="15"/>
  <c r="AO19" i="15"/>
  <c r="AL19" i="15"/>
  <c r="EB19" i="15" s="1"/>
  <c r="AI19" i="15"/>
  <c r="AK19" i="15" s="1"/>
  <c r="AB19" i="15"/>
  <c r="Y19" i="15"/>
  <c r="V19" i="15"/>
  <c r="S19" i="15"/>
  <c r="P19" i="15"/>
  <c r="M19" i="15"/>
  <c r="J19" i="15"/>
  <c r="G19" i="15"/>
  <c r="D19" i="15"/>
  <c r="EL18" i="15"/>
  <c r="EG18" i="15"/>
  <c r="EI18" i="15" s="1"/>
  <c r="DW18" i="15"/>
  <c r="DT18" i="15"/>
  <c r="DQ18" i="15"/>
  <c r="DN18" i="15"/>
  <c r="DK18" i="15"/>
  <c r="DH18" i="15"/>
  <c r="DE18" i="15"/>
  <c r="DB18" i="15"/>
  <c r="CY18" i="15"/>
  <c r="CV18" i="15"/>
  <c r="CS18" i="15"/>
  <c r="CP18" i="15"/>
  <c r="CM18" i="15"/>
  <c r="CJ18" i="15"/>
  <c r="CG18" i="15"/>
  <c r="CD18" i="15"/>
  <c r="CA18" i="15"/>
  <c r="BX18" i="15"/>
  <c r="BU18" i="15"/>
  <c r="BR18" i="15"/>
  <c r="BO18" i="15"/>
  <c r="BL18" i="15"/>
  <c r="BI18" i="15"/>
  <c r="BF18" i="15"/>
  <c r="BC18" i="15"/>
  <c r="AZ18" i="15"/>
  <c r="AU18" i="15"/>
  <c r="EK18" i="15" s="1"/>
  <c r="AR18" i="15"/>
  <c r="AT18" i="15" s="1"/>
  <c r="AO18" i="15"/>
  <c r="AL18" i="15"/>
  <c r="AN18" i="15" s="1"/>
  <c r="AI18" i="15"/>
  <c r="AK18" i="15" s="1"/>
  <c r="AB18" i="15"/>
  <c r="Y18" i="15"/>
  <c r="V18" i="15"/>
  <c r="S18" i="15"/>
  <c r="EH18" i="15" s="1"/>
  <c r="P18" i="15"/>
  <c r="M18" i="15"/>
  <c r="J18" i="15"/>
  <c r="G18" i="15"/>
  <c r="D18" i="15"/>
  <c r="EL17" i="15"/>
  <c r="EI17" i="15"/>
  <c r="EG17" i="15"/>
  <c r="DW17" i="15"/>
  <c r="DT17" i="15"/>
  <c r="DQ17" i="15"/>
  <c r="DN17" i="15"/>
  <c r="DK17" i="15"/>
  <c r="DH17" i="15"/>
  <c r="DE17" i="15"/>
  <c r="DB17" i="15"/>
  <c r="CY17" i="15"/>
  <c r="CV17" i="15"/>
  <c r="CS17" i="15"/>
  <c r="CP17" i="15"/>
  <c r="CM17" i="15"/>
  <c r="CJ17" i="15"/>
  <c r="CG17" i="15"/>
  <c r="CD17" i="15"/>
  <c r="CA17" i="15"/>
  <c r="BX17" i="15"/>
  <c r="BU17" i="15"/>
  <c r="BR17" i="15"/>
  <c r="BO17" i="15"/>
  <c r="BL17" i="15"/>
  <c r="BI17" i="15"/>
  <c r="BF17" i="15"/>
  <c r="BC17" i="15"/>
  <c r="AZ17" i="15"/>
  <c r="AW17" i="15"/>
  <c r="AU17" i="15"/>
  <c r="AR17" i="15"/>
  <c r="AT17" i="15" s="1"/>
  <c r="AQ17" i="15"/>
  <c r="AO17" i="15"/>
  <c r="AN17" i="15"/>
  <c r="AL17" i="15"/>
  <c r="AK17" i="15"/>
  <c r="AB17" i="15"/>
  <c r="Y17" i="15"/>
  <c r="V17" i="15"/>
  <c r="S17" i="15"/>
  <c r="EH17" i="15" s="1"/>
  <c r="P17" i="15"/>
  <c r="M17" i="15"/>
  <c r="J17" i="15"/>
  <c r="G17" i="15"/>
  <c r="D17" i="15"/>
  <c r="EL16" i="15"/>
  <c r="EG16" i="15"/>
  <c r="EI16" i="15" s="1"/>
  <c r="DW16" i="15"/>
  <c r="DT16" i="15"/>
  <c r="DQ16" i="15"/>
  <c r="DN16" i="15"/>
  <c r="DK16" i="15"/>
  <c r="DH16" i="15"/>
  <c r="DE16" i="15"/>
  <c r="DB16" i="15"/>
  <c r="CY16" i="15"/>
  <c r="CV16" i="15"/>
  <c r="CS16" i="15"/>
  <c r="CP16" i="15"/>
  <c r="CM16" i="15"/>
  <c r="CJ16" i="15"/>
  <c r="CG16" i="15"/>
  <c r="CD16" i="15"/>
  <c r="CA16" i="15"/>
  <c r="BX16" i="15"/>
  <c r="BU16" i="15"/>
  <c r="BR16" i="15"/>
  <c r="BO16" i="15"/>
  <c r="BL16" i="15"/>
  <c r="BI16" i="15"/>
  <c r="BF16" i="15"/>
  <c r="BC16" i="15"/>
  <c r="AZ16" i="15"/>
  <c r="AU16" i="15"/>
  <c r="EK16" i="15" s="1"/>
  <c r="AT16" i="15"/>
  <c r="AR16" i="15"/>
  <c r="AO16" i="15"/>
  <c r="AQ16" i="15" s="1"/>
  <c r="AL16" i="15"/>
  <c r="AI16" i="15"/>
  <c r="AK16" i="15" s="1"/>
  <c r="AB16" i="15"/>
  <c r="Y16" i="15"/>
  <c r="V16" i="15"/>
  <c r="S16" i="15"/>
  <c r="P16" i="15"/>
  <c r="M16" i="15"/>
  <c r="J16" i="15"/>
  <c r="G16" i="15"/>
  <c r="D16" i="15"/>
  <c r="EL15" i="15"/>
  <c r="EG15" i="15"/>
  <c r="EI15" i="15" s="1"/>
  <c r="DW15" i="15"/>
  <c r="DT15" i="15"/>
  <c r="DQ15" i="15"/>
  <c r="DN15" i="15"/>
  <c r="DK15" i="15"/>
  <c r="DH15" i="15"/>
  <c r="DE15" i="15"/>
  <c r="DB15" i="15"/>
  <c r="CY15" i="15"/>
  <c r="CV15" i="15"/>
  <c r="CS15" i="15"/>
  <c r="CP15" i="15"/>
  <c r="CM15" i="15"/>
  <c r="CJ15" i="15"/>
  <c r="CG15" i="15"/>
  <c r="CD15" i="15"/>
  <c r="CA15" i="15"/>
  <c r="BX15" i="15"/>
  <c r="BU15" i="15"/>
  <c r="BR15" i="15"/>
  <c r="BO15" i="15"/>
  <c r="BL15" i="15"/>
  <c r="BI15" i="15"/>
  <c r="BF15" i="15"/>
  <c r="BC15" i="15"/>
  <c r="AZ15" i="15"/>
  <c r="AU15" i="15"/>
  <c r="AR15" i="15"/>
  <c r="AT15" i="15" s="1"/>
  <c r="AO15" i="15"/>
  <c r="EB15" i="15" s="1"/>
  <c r="AL15" i="15"/>
  <c r="AN15" i="15" s="1"/>
  <c r="AI15" i="15"/>
  <c r="AK15" i="15" s="1"/>
  <c r="AB15" i="15"/>
  <c r="Y15" i="15"/>
  <c r="V15" i="15"/>
  <c r="S15" i="15"/>
  <c r="P15" i="15"/>
  <c r="M15" i="15"/>
  <c r="J15" i="15"/>
  <c r="G15" i="15"/>
  <c r="D15" i="15"/>
  <c r="EL14" i="15"/>
  <c r="EG14" i="15"/>
  <c r="EI14" i="15" s="1"/>
  <c r="DW14" i="15"/>
  <c r="DT14" i="15"/>
  <c r="DQ14" i="15"/>
  <c r="DN14" i="15"/>
  <c r="DK14" i="15"/>
  <c r="DH14" i="15"/>
  <c r="DE14" i="15"/>
  <c r="DB14" i="15"/>
  <c r="CY14" i="15"/>
  <c r="CV14" i="15"/>
  <c r="CS14" i="15"/>
  <c r="CP14" i="15"/>
  <c r="CM14" i="15"/>
  <c r="CJ14" i="15"/>
  <c r="CG14" i="15"/>
  <c r="CD14" i="15"/>
  <c r="CA14" i="15"/>
  <c r="BX14" i="15"/>
  <c r="BU14" i="15"/>
  <c r="BR14" i="15"/>
  <c r="BO14" i="15"/>
  <c r="BL14" i="15"/>
  <c r="BI14" i="15"/>
  <c r="BF14" i="15"/>
  <c r="BC14" i="15"/>
  <c r="AZ14" i="15"/>
  <c r="AW14" i="15"/>
  <c r="AU14" i="15"/>
  <c r="AT14" i="15"/>
  <c r="AO14" i="15"/>
  <c r="AQ14" i="15" s="1"/>
  <c r="AL14" i="15"/>
  <c r="AI14" i="15"/>
  <c r="AK14" i="15" s="1"/>
  <c r="AB14" i="15"/>
  <c r="Y14" i="15"/>
  <c r="V14" i="15"/>
  <c r="S14" i="15"/>
  <c r="P14" i="15"/>
  <c r="M14" i="15"/>
  <c r="J14" i="15"/>
  <c r="G14" i="15"/>
  <c r="D14" i="15"/>
  <c r="EL13" i="15"/>
  <c r="EG13" i="15"/>
  <c r="EI13" i="15" s="1"/>
  <c r="DW13" i="15"/>
  <c r="DT13" i="15"/>
  <c r="DQ13" i="15"/>
  <c r="DN13" i="15"/>
  <c r="DK13" i="15"/>
  <c r="DH13" i="15"/>
  <c r="DE13" i="15"/>
  <c r="DB13" i="15"/>
  <c r="CY13" i="15"/>
  <c r="CV13" i="15"/>
  <c r="CS13" i="15"/>
  <c r="CP13" i="15"/>
  <c r="CM13" i="15"/>
  <c r="CJ13" i="15"/>
  <c r="CG13" i="15"/>
  <c r="CD13" i="15"/>
  <c r="CA13" i="15"/>
  <c r="BX13" i="15"/>
  <c r="BU13" i="15"/>
  <c r="BR13" i="15"/>
  <c r="BO13" i="15"/>
  <c r="BL13" i="15"/>
  <c r="BI13" i="15"/>
  <c r="BF13" i="15"/>
  <c r="BC13" i="15"/>
  <c r="AZ13" i="15"/>
  <c r="AU13" i="15"/>
  <c r="EK13" i="15" s="1"/>
  <c r="AR13" i="15"/>
  <c r="AT13" i="15" s="1"/>
  <c r="AQ13" i="15"/>
  <c r="AO13" i="15"/>
  <c r="AL13" i="15"/>
  <c r="AN13" i="15" s="1"/>
  <c r="AI13" i="15"/>
  <c r="AK13" i="15" s="1"/>
  <c r="AB13" i="15"/>
  <c r="Y13" i="15"/>
  <c r="V13" i="15"/>
  <c r="S13" i="15"/>
  <c r="P13" i="15"/>
  <c r="M13" i="15"/>
  <c r="J13" i="15"/>
  <c r="G13" i="15"/>
  <c r="D13" i="15"/>
  <c r="EL12" i="15"/>
  <c r="EG12" i="15"/>
  <c r="EI12" i="15" s="1"/>
  <c r="DW12" i="15"/>
  <c r="DT12" i="15"/>
  <c r="DQ12" i="15"/>
  <c r="DN12" i="15"/>
  <c r="DK12" i="15"/>
  <c r="DH12" i="15"/>
  <c r="DE12" i="15"/>
  <c r="DB12" i="15"/>
  <c r="CY12" i="15"/>
  <c r="CV12" i="15"/>
  <c r="CS12" i="15"/>
  <c r="CP12" i="15"/>
  <c r="CM12" i="15"/>
  <c r="CJ12" i="15"/>
  <c r="CG12" i="15"/>
  <c r="CD12" i="15"/>
  <c r="CA12" i="15"/>
  <c r="BX12" i="15"/>
  <c r="BU12" i="15"/>
  <c r="BR12" i="15"/>
  <c r="BO12" i="15"/>
  <c r="BL12" i="15"/>
  <c r="BI12" i="15"/>
  <c r="BF12" i="15"/>
  <c r="BC12" i="15"/>
  <c r="AZ12" i="15"/>
  <c r="AU12" i="15"/>
  <c r="EK12" i="15" s="1"/>
  <c r="AR12" i="15"/>
  <c r="AT12" i="15" s="1"/>
  <c r="AO12" i="15"/>
  <c r="AL12" i="15"/>
  <c r="AN12" i="15" s="1"/>
  <c r="AI12" i="15"/>
  <c r="AK12" i="15" s="1"/>
  <c r="AB12" i="15"/>
  <c r="Y12" i="15"/>
  <c r="V12" i="15"/>
  <c r="S12" i="15"/>
  <c r="EH12" i="15" s="1"/>
  <c r="P12" i="15"/>
  <c r="M12" i="15"/>
  <c r="J12" i="15"/>
  <c r="G12" i="15"/>
  <c r="D12" i="15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L11" i="15"/>
  <c r="EG11" i="15"/>
  <c r="EI11" i="15" s="1"/>
  <c r="DW11" i="15"/>
  <c r="DT11" i="15"/>
  <c r="DQ11" i="15"/>
  <c r="DN11" i="15"/>
  <c r="DK11" i="15"/>
  <c r="DH11" i="15"/>
  <c r="DE11" i="15"/>
  <c r="DB11" i="15"/>
  <c r="CY11" i="15"/>
  <c r="CV11" i="15"/>
  <c r="CS11" i="15"/>
  <c r="CP11" i="15"/>
  <c r="CM11" i="15"/>
  <c r="CJ11" i="15"/>
  <c r="CG11" i="15"/>
  <c r="CD11" i="15"/>
  <c r="CA11" i="15"/>
  <c r="BX11" i="15"/>
  <c r="BU11" i="15"/>
  <c r="BR11" i="15"/>
  <c r="BO11" i="15"/>
  <c r="BL11" i="15"/>
  <c r="BI11" i="15"/>
  <c r="BF11" i="15"/>
  <c r="BC11" i="15"/>
  <c r="AZ11" i="15"/>
  <c r="AW11" i="15"/>
  <c r="AU11" i="15"/>
  <c r="AR11" i="15"/>
  <c r="AT11" i="15" s="1"/>
  <c r="AO11" i="15"/>
  <c r="AQ11" i="15" s="1"/>
  <c r="AL11" i="15"/>
  <c r="AK11" i="15"/>
  <c r="AI11" i="15"/>
  <c r="AH39" i="15"/>
  <c r="AE39" i="15"/>
  <c r="AB11" i="15"/>
  <c r="Y11" i="15"/>
  <c r="V11" i="15"/>
  <c r="S11" i="15"/>
  <c r="P11" i="15"/>
  <c r="M11" i="15"/>
  <c r="J11" i="15"/>
  <c r="G11" i="15"/>
  <c r="G39" i="15" s="1"/>
  <c r="D11" i="15"/>
  <c r="EI2" i="15"/>
  <c r="EL40" i="14"/>
  <c r="EG40" i="14"/>
  <c r="EI40" i="14" s="1"/>
  <c r="EB40" i="14"/>
  <c r="DW40" i="14"/>
  <c r="DT40" i="14"/>
  <c r="DQ40" i="14"/>
  <c r="DN40" i="14"/>
  <c r="DK40" i="14"/>
  <c r="DH40" i="14"/>
  <c r="DE40" i="14"/>
  <c r="DB40" i="14"/>
  <c r="CY40" i="14"/>
  <c r="CV40" i="14"/>
  <c r="CS40" i="14"/>
  <c r="CP40" i="14"/>
  <c r="CM40" i="14"/>
  <c r="CJ40" i="14"/>
  <c r="CG40" i="14"/>
  <c r="CD40" i="14"/>
  <c r="CA40" i="14"/>
  <c r="BX40" i="14"/>
  <c r="BU40" i="14"/>
  <c r="BR40" i="14"/>
  <c r="BO40" i="14"/>
  <c r="BL40" i="14"/>
  <c r="BI40" i="14"/>
  <c r="BF40" i="14"/>
  <c r="BC40" i="14"/>
  <c r="AZ40" i="14"/>
  <c r="AW40" i="14"/>
  <c r="AT40" i="14"/>
  <c r="AQ40" i="14"/>
  <c r="AN40" i="14"/>
  <c r="AI40" i="14"/>
  <c r="AB40" i="14"/>
  <c r="Y40" i="14"/>
  <c r="EH40" i="14" s="1"/>
  <c r="V40" i="14"/>
  <c r="S40" i="14"/>
  <c r="P40" i="14"/>
  <c r="M40" i="14"/>
  <c r="J40" i="14"/>
  <c r="G40" i="14"/>
  <c r="D40" i="14"/>
  <c r="EL39" i="14"/>
  <c r="EG39" i="14"/>
  <c r="EI39" i="14" s="1"/>
  <c r="DW39" i="14"/>
  <c r="DT39" i="14"/>
  <c r="DQ39" i="14"/>
  <c r="DN39" i="14"/>
  <c r="DK39" i="14"/>
  <c r="DH39" i="14"/>
  <c r="DE39" i="14"/>
  <c r="DB39" i="14"/>
  <c r="CY39" i="14"/>
  <c r="CV39" i="14"/>
  <c r="CS39" i="14"/>
  <c r="CP39" i="14"/>
  <c r="CM39" i="14"/>
  <c r="CJ39" i="14"/>
  <c r="CG39" i="14"/>
  <c r="CD39" i="14"/>
  <c r="CA39" i="14"/>
  <c r="BX39" i="14"/>
  <c r="BU39" i="14"/>
  <c r="BR39" i="14"/>
  <c r="BO39" i="14"/>
  <c r="BL39" i="14"/>
  <c r="BI39" i="14"/>
  <c r="BF39" i="14"/>
  <c r="BC39" i="14"/>
  <c r="AZ39" i="14"/>
  <c r="AW39" i="14"/>
  <c r="AT39" i="14"/>
  <c r="AQ39" i="14"/>
  <c r="AN39" i="14"/>
  <c r="AI39" i="14"/>
  <c r="AK39" i="14" s="1"/>
  <c r="AB39" i="14"/>
  <c r="Y39" i="14"/>
  <c r="V39" i="14"/>
  <c r="EH39" i="14" s="1"/>
  <c r="S39" i="14"/>
  <c r="P39" i="14"/>
  <c r="M39" i="14"/>
  <c r="J39" i="14"/>
  <c r="G39" i="14"/>
  <c r="D39" i="14"/>
  <c r="EL38" i="14"/>
  <c r="EK38" i="14"/>
  <c r="EI38" i="14"/>
  <c r="EG38" i="14"/>
  <c r="DW38" i="14"/>
  <c r="DT38" i="14"/>
  <c r="DQ38" i="14"/>
  <c r="DN38" i="14"/>
  <c r="DK38" i="14"/>
  <c r="DH38" i="14"/>
  <c r="DE38" i="14"/>
  <c r="DB38" i="14"/>
  <c r="CY38" i="14"/>
  <c r="CV38" i="14"/>
  <c r="CS38" i="14"/>
  <c r="CP38" i="14"/>
  <c r="CM38" i="14"/>
  <c r="CJ38" i="14"/>
  <c r="CG38" i="14"/>
  <c r="CD38" i="14"/>
  <c r="CA38" i="14"/>
  <c r="BX38" i="14"/>
  <c r="BU38" i="14"/>
  <c r="BR38" i="14"/>
  <c r="BO38" i="14"/>
  <c r="BL38" i="14"/>
  <c r="BI38" i="14"/>
  <c r="BF38" i="14"/>
  <c r="BC38" i="14"/>
  <c r="AZ38" i="14"/>
  <c r="AW38" i="14"/>
  <c r="AT38" i="14"/>
  <c r="AQ38" i="14"/>
  <c r="AN38" i="14"/>
  <c r="AI38" i="14"/>
  <c r="AK38" i="14" s="1"/>
  <c r="AB38" i="14"/>
  <c r="Y38" i="14"/>
  <c r="V38" i="14"/>
  <c r="S38" i="14"/>
  <c r="P38" i="14"/>
  <c r="M38" i="14"/>
  <c r="J38" i="14"/>
  <c r="G38" i="14"/>
  <c r="D38" i="14"/>
  <c r="EL37" i="14"/>
  <c r="EI37" i="14"/>
  <c r="EG37" i="14"/>
  <c r="DW37" i="14"/>
  <c r="DT37" i="14"/>
  <c r="DQ37" i="14"/>
  <c r="DN37" i="14"/>
  <c r="DK37" i="14"/>
  <c r="DH37" i="14"/>
  <c r="DE37" i="14"/>
  <c r="DB37" i="14"/>
  <c r="CY37" i="14"/>
  <c r="CV37" i="14"/>
  <c r="CS37" i="14"/>
  <c r="CP37" i="14"/>
  <c r="CM37" i="14"/>
  <c r="CJ37" i="14"/>
  <c r="CG37" i="14"/>
  <c r="CD37" i="14"/>
  <c r="CA37" i="14"/>
  <c r="BX37" i="14"/>
  <c r="BU37" i="14"/>
  <c r="BR37" i="14"/>
  <c r="BO37" i="14"/>
  <c r="BL37" i="14"/>
  <c r="BI37" i="14"/>
  <c r="BF37" i="14"/>
  <c r="BC37" i="14"/>
  <c r="AZ37" i="14"/>
  <c r="AW37" i="14"/>
  <c r="AT37" i="14"/>
  <c r="AQ37" i="14"/>
  <c r="AN37" i="14"/>
  <c r="AK37" i="14"/>
  <c r="AI37" i="14"/>
  <c r="EB37" i="14" s="1"/>
  <c r="AB37" i="14"/>
  <c r="Y37" i="14"/>
  <c r="V37" i="14"/>
  <c r="S37" i="14"/>
  <c r="P37" i="14"/>
  <c r="M37" i="14"/>
  <c r="J37" i="14"/>
  <c r="G37" i="14"/>
  <c r="D37" i="14"/>
  <c r="EL36" i="14"/>
  <c r="EG36" i="14"/>
  <c r="EI36" i="14" s="1"/>
  <c r="DW36" i="14"/>
  <c r="DT36" i="14"/>
  <c r="DQ36" i="14"/>
  <c r="DN36" i="14"/>
  <c r="DK36" i="14"/>
  <c r="DH36" i="14"/>
  <c r="DE36" i="14"/>
  <c r="DB36" i="14"/>
  <c r="CY36" i="14"/>
  <c r="CV36" i="14"/>
  <c r="CS36" i="14"/>
  <c r="CP36" i="14"/>
  <c r="CM36" i="14"/>
  <c r="CJ36" i="14"/>
  <c r="CG36" i="14"/>
  <c r="CD36" i="14"/>
  <c r="CA36" i="14"/>
  <c r="BX36" i="14"/>
  <c r="BU36" i="14"/>
  <c r="BR36" i="14"/>
  <c r="BO36" i="14"/>
  <c r="BL36" i="14"/>
  <c r="BI36" i="14"/>
  <c r="BF36" i="14"/>
  <c r="BC36" i="14"/>
  <c r="AZ36" i="14"/>
  <c r="AW36" i="14"/>
  <c r="AT36" i="14"/>
  <c r="AQ36" i="14"/>
  <c r="AN36" i="14"/>
  <c r="AI36" i="14"/>
  <c r="EB36" i="14" s="1"/>
  <c r="AB36" i="14"/>
  <c r="Y36" i="14"/>
  <c r="V36" i="14"/>
  <c r="S36" i="14"/>
  <c r="P36" i="14"/>
  <c r="M36" i="14"/>
  <c r="J36" i="14"/>
  <c r="G36" i="14"/>
  <c r="D36" i="14"/>
  <c r="EL35" i="14"/>
  <c r="EG35" i="14"/>
  <c r="EI35" i="14" s="1"/>
  <c r="DW35" i="14"/>
  <c r="DT35" i="14"/>
  <c r="DQ35" i="14"/>
  <c r="DN35" i="14"/>
  <c r="DK35" i="14"/>
  <c r="DH35" i="14"/>
  <c r="DE35" i="14"/>
  <c r="DB35" i="14"/>
  <c r="CY35" i="14"/>
  <c r="CV35" i="14"/>
  <c r="CS35" i="14"/>
  <c r="CP35" i="14"/>
  <c r="CM35" i="14"/>
  <c r="CJ35" i="14"/>
  <c r="CG35" i="14"/>
  <c r="CD35" i="14"/>
  <c r="CA35" i="14"/>
  <c r="BX35" i="14"/>
  <c r="BU35" i="14"/>
  <c r="BR35" i="14"/>
  <c r="BO35" i="14"/>
  <c r="BL35" i="14"/>
  <c r="BI35" i="14"/>
  <c r="BF35" i="14"/>
  <c r="BC35" i="14"/>
  <c r="AZ35" i="14"/>
  <c r="AW35" i="14"/>
  <c r="AT35" i="14"/>
  <c r="AQ35" i="14"/>
  <c r="AN35" i="14"/>
  <c r="AI35" i="14"/>
  <c r="AK35" i="14" s="1"/>
  <c r="AB35" i="14"/>
  <c r="Y35" i="14"/>
  <c r="V35" i="14"/>
  <c r="S35" i="14"/>
  <c r="P35" i="14"/>
  <c r="M35" i="14"/>
  <c r="J35" i="14"/>
  <c r="G35" i="14"/>
  <c r="D35" i="14"/>
  <c r="ED35" i="14" s="1"/>
  <c r="EL34" i="14"/>
  <c r="EK34" i="14"/>
  <c r="EG34" i="14"/>
  <c r="EI34" i="14" s="1"/>
  <c r="DW34" i="14"/>
  <c r="DT34" i="14"/>
  <c r="DQ34" i="14"/>
  <c r="DN34" i="14"/>
  <c r="DK34" i="14"/>
  <c r="DH34" i="14"/>
  <c r="DE34" i="14"/>
  <c r="DB34" i="14"/>
  <c r="CY34" i="14"/>
  <c r="CV34" i="14"/>
  <c r="CS34" i="14"/>
  <c r="CP34" i="14"/>
  <c r="CM34" i="14"/>
  <c r="CJ34" i="14"/>
  <c r="CG34" i="14"/>
  <c r="CD34" i="14"/>
  <c r="CA34" i="14"/>
  <c r="BX34" i="14"/>
  <c r="BU34" i="14"/>
  <c r="BR34" i="14"/>
  <c r="BO34" i="14"/>
  <c r="BL34" i="14"/>
  <c r="BI34" i="14"/>
  <c r="BF34" i="14"/>
  <c r="BC34" i="14"/>
  <c r="AZ34" i="14"/>
  <c r="AW34" i="14"/>
  <c r="AT34" i="14"/>
  <c r="AQ34" i="14"/>
  <c r="AN34" i="14"/>
  <c r="AI34" i="14"/>
  <c r="AK34" i="14" s="1"/>
  <c r="AB34" i="14"/>
  <c r="Y34" i="14"/>
  <c r="V34" i="14"/>
  <c r="S34" i="14"/>
  <c r="P34" i="14"/>
  <c r="M34" i="14"/>
  <c r="J34" i="14"/>
  <c r="G34" i="14"/>
  <c r="D34" i="14"/>
  <c r="EL33" i="14"/>
  <c r="EG33" i="14"/>
  <c r="EI33" i="14" s="1"/>
  <c r="DW33" i="14"/>
  <c r="DT33" i="14"/>
  <c r="DQ33" i="14"/>
  <c r="DN33" i="14"/>
  <c r="DK33" i="14"/>
  <c r="DH33" i="14"/>
  <c r="DE33" i="14"/>
  <c r="DB33" i="14"/>
  <c r="CY33" i="14"/>
  <c r="CV33" i="14"/>
  <c r="CS33" i="14"/>
  <c r="CP33" i="14"/>
  <c r="CM33" i="14"/>
  <c r="CJ33" i="14"/>
  <c r="CG33" i="14"/>
  <c r="CD33" i="14"/>
  <c r="CA33" i="14"/>
  <c r="BX33" i="14"/>
  <c r="BU33" i="14"/>
  <c r="BR33" i="14"/>
  <c r="BO33" i="14"/>
  <c r="BL33" i="14"/>
  <c r="BI33" i="14"/>
  <c r="BF33" i="14"/>
  <c r="BC33" i="14"/>
  <c r="AZ33" i="14"/>
  <c r="AW33" i="14"/>
  <c r="AT33" i="14"/>
  <c r="AQ33" i="14"/>
  <c r="AN33" i="14"/>
  <c r="AI33" i="14"/>
  <c r="EB33" i="14" s="1"/>
  <c r="AB33" i="14"/>
  <c r="Y33" i="14"/>
  <c r="V33" i="14"/>
  <c r="S33" i="14"/>
  <c r="P33" i="14"/>
  <c r="M33" i="14"/>
  <c r="J33" i="14"/>
  <c r="G33" i="14"/>
  <c r="D33" i="14"/>
  <c r="EL32" i="14"/>
  <c r="EG32" i="14"/>
  <c r="EI32" i="14" s="1"/>
  <c r="DW32" i="14"/>
  <c r="DT32" i="14"/>
  <c r="DQ32" i="14"/>
  <c r="DN32" i="14"/>
  <c r="DK32" i="14"/>
  <c r="DH32" i="14"/>
  <c r="DE32" i="14"/>
  <c r="DB32" i="14"/>
  <c r="CY32" i="14"/>
  <c r="CV32" i="14"/>
  <c r="CS32" i="14"/>
  <c r="CP32" i="14"/>
  <c r="CM32" i="14"/>
  <c r="CJ32" i="14"/>
  <c r="CG32" i="14"/>
  <c r="CD32" i="14"/>
  <c r="CA32" i="14"/>
  <c r="BX32" i="14"/>
  <c r="BU32" i="14"/>
  <c r="BR32" i="14"/>
  <c r="BO32" i="14"/>
  <c r="BL32" i="14"/>
  <c r="BI32" i="14"/>
  <c r="BF32" i="14"/>
  <c r="BC32" i="14"/>
  <c r="AZ32" i="14"/>
  <c r="AW32" i="14"/>
  <c r="AT32" i="14"/>
  <c r="AQ32" i="14"/>
  <c r="AN32" i="14"/>
  <c r="AI32" i="14"/>
  <c r="AB32" i="14"/>
  <c r="Y32" i="14"/>
  <c r="EH32" i="14" s="1"/>
  <c r="V32" i="14"/>
  <c r="S32" i="14"/>
  <c r="P32" i="14"/>
  <c r="M32" i="14"/>
  <c r="J32" i="14"/>
  <c r="G32" i="14"/>
  <c r="D32" i="14"/>
  <c r="EL31" i="14"/>
  <c r="EG31" i="14"/>
  <c r="EI31" i="14" s="1"/>
  <c r="DW31" i="14"/>
  <c r="DT31" i="14"/>
  <c r="DQ31" i="14"/>
  <c r="DN31" i="14"/>
  <c r="DK31" i="14"/>
  <c r="DH31" i="14"/>
  <c r="DE31" i="14"/>
  <c r="DB31" i="14"/>
  <c r="CY31" i="14"/>
  <c r="CV31" i="14"/>
  <c r="CS31" i="14"/>
  <c r="CP31" i="14"/>
  <c r="CM31" i="14"/>
  <c r="CJ31" i="14"/>
  <c r="CG31" i="14"/>
  <c r="CD31" i="14"/>
  <c r="CA31" i="14"/>
  <c r="BX31" i="14"/>
  <c r="BU31" i="14"/>
  <c r="BR31" i="14"/>
  <c r="BO31" i="14"/>
  <c r="BL31" i="14"/>
  <c r="BI31" i="14"/>
  <c r="BF31" i="14"/>
  <c r="BC31" i="14"/>
  <c r="AZ31" i="14"/>
  <c r="AW31" i="14"/>
  <c r="AT31" i="14"/>
  <c r="AQ31" i="14"/>
  <c r="AN31" i="14"/>
  <c r="AI31" i="14"/>
  <c r="AK31" i="14" s="1"/>
  <c r="AB31" i="14"/>
  <c r="Y31" i="14"/>
  <c r="V31" i="14"/>
  <c r="EH31" i="14" s="1"/>
  <c r="S31" i="14"/>
  <c r="P31" i="14"/>
  <c r="M31" i="14"/>
  <c r="J31" i="14"/>
  <c r="G31" i="14"/>
  <c r="D31" i="14"/>
  <c r="EL30" i="14"/>
  <c r="EK30" i="14"/>
  <c r="EG30" i="14"/>
  <c r="EI30" i="14" s="1"/>
  <c r="DW30" i="14"/>
  <c r="DT30" i="14"/>
  <c r="DQ30" i="14"/>
  <c r="DN30" i="14"/>
  <c r="DK30" i="14"/>
  <c r="DH30" i="14"/>
  <c r="DE30" i="14"/>
  <c r="DB30" i="14"/>
  <c r="CY30" i="14"/>
  <c r="CV30" i="14"/>
  <c r="CS30" i="14"/>
  <c r="CP30" i="14"/>
  <c r="CM30" i="14"/>
  <c r="CJ30" i="14"/>
  <c r="CG30" i="14"/>
  <c r="CD30" i="14"/>
  <c r="CA30" i="14"/>
  <c r="BX30" i="14"/>
  <c r="BU30" i="14"/>
  <c r="BR30" i="14"/>
  <c r="BO30" i="14"/>
  <c r="BL30" i="14"/>
  <c r="BI30" i="14"/>
  <c r="BF30" i="14"/>
  <c r="BC30" i="14"/>
  <c r="AZ30" i="14"/>
  <c r="AW30" i="14"/>
  <c r="AT30" i="14"/>
  <c r="AQ30" i="14"/>
  <c r="AN30" i="14"/>
  <c r="AI30" i="14"/>
  <c r="AK30" i="14" s="1"/>
  <c r="AB30" i="14"/>
  <c r="Y30" i="14"/>
  <c r="V30" i="14"/>
  <c r="S30" i="14"/>
  <c r="P30" i="14"/>
  <c r="M30" i="14"/>
  <c r="J30" i="14"/>
  <c r="G30" i="14"/>
  <c r="D30" i="14"/>
  <c r="ED30" i="14" s="1"/>
  <c r="EL29" i="14"/>
  <c r="EG29" i="14"/>
  <c r="EI29" i="14" s="1"/>
  <c r="DW29" i="14"/>
  <c r="DT29" i="14"/>
  <c r="DQ29" i="14"/>
  <c r="DN29" i="14"/>
  <c r="DK29" i="14"/>
  <c r="DH29" i="14"/>
  <c r="DE29" i="14"/>
  <c r="DB29" i="14"/>
  <c r="CY29" i="14"/>
  <c r="CV29" i="14"/>
  <c r="CS29" i="14"/>
  <c r="CP29" i="14"/>
  <c r="CM29" i="14"/>
  <c r="CJ29" i="14"/>
  <c r="CG29" i="14"/>
  <c r="CD29" i="14"/>
  <c r="CA29" i="14"/>
  <c r="BX29" i="14"/>
  <c r="BU29" i="14"/>
  <c r="BR29" i="14"/>
  <c r="BO29" i="14"/>
  <c r="BL29" i="14"/>
  <c r="BI29" i="14"/>
  <c r="BF29" i="14"/>
  <c r="BC29" i="14"/>
  <c r="AZ29" i="14"/>
  <c r="AW29" i="14"/>
  <c r="AT29" i="14"/>
  <c r="AQ29" i="14"/>
  <c r="AN29" i="14"/>
  <c r="AI29" i="14"/>
  <c r="EB29" i="14" s="1"/>
  <c r="AB29" i="14"/>
  <c r="EH29" i="14" s="1"/>
  <c r="Y29" i="14"/>
  <c r="V29" i="14"/>
  <c r="S29" i="14"/>
  <c r="P29" i="14"/>
  <c r="M29" i="14"/>
  <c r="J29" i="14"/>
  <c r="G29" i="14"/>
  <c r="D29" i="14"/>
  <c r="EL28" i="14"/>
  <c r="EG28" i="14"/>
  <c r="EI28" i="14" s="1"/>
  <c r="DW28" i="14"/>
  <c r="DT28" i="14"/>
  <c r="DQ28" i="14"/>
  <c r="DN28" i="14"/>
  <c r="DK28" i="14"/>
  <c r="DH28" i="14"/>
  <c r="DE28" i="14"/>
  <c r="DB28" i="14"/>
  <c r="CY28" i="14"/>
  <c r="CV28" i="14"/>
  <c r="CS28" i="14"/>
  <c r="CP28" i="14"/>
  <c r="CM28" i="14"/>
  <c r="CJ28" i="14"/>
  <c r="CG28" i="14"/>
  <c r="CD28" i="14"/>
  <c r="CA28" i="14"/>
  <c r="BX28" i="14"/>
  <c r="BU28" i="14"/>
  <c r="BR28" i="14"/>
  <c r="BO28" i="14"/>
  <c r="BL28" i="14"/>
  <c r="BI28" i="14"/>
  <c r="BF28" i="14"/>
  <c r="BC28" i="14"/>
  <c r="AZ28" i="14"/>
  <c r="AW28" i="14"/>
  <c r="AT28" i="14"/>
  <c r="AQ28" i="14"/>
  <c r="AN28" i="14"/>
  <c r="AI28" i="14"/>
  <c r="EB28" i="14" s="1"/>
  <c r="AB28" i="14"/>
  <c r="Y28" i="14"/>
  <c r="EH28" i="14" s="1"/>
  <c r="V28" i="14"/>
  <c r="S28" i="14"/>
  <c r="P28" i="14"/>
  <c r="M28" i="14"/>
  <c r="J28" i="14"/>
  <c r="G28" i="14"/>
  <c r="D28" i="14"/>
  <c r="EL27" i="14"/>
  <c r="EG27" i="14"/>
  <c r="EI27" i="14" s="1"/>
  <c r="DW27" i="14"/>
  <c r="DT27" i="14"/>
  <c r="DQ27" i="14"/>
  <c r="DN27" i="14"/>
  <c r="DK27" i="14"/>
  <c r="DH27" i="14"/>
  <c r="DE27" i="14"/>
  <c r="DB27" i="14"/>
  <c r="CY27" i="14"/>
  <c r="CV27" i="14"/>
  <c r="CS27" i="14"/>
  <c r="CP27" i="14"/>
  <c r="CM27" i="14"/>
  <c r="CJ27" i="14"/>
  <c r="CG27" i="14"/>
  <c r="CD27" i="14"/>
  <c r="CA27" i="14"/>
  <c r="BX27" i="14"/>
  <c r="BU27" i="14"/>
  <c r="BR27" i="14"/>
  <c r="BO27" i="14"/>
  <c r="BL27" i="14"/>
  <c r="BI27" i="14"/>
  <c r="BF27" i="14"/>
  <c r="BC27" i="14"/>
  <c r="AZ27" i="14"/>
  <c r="AW27" i="14"/>
  <c r="AT27" i="14"/>
  <c r="AQ27" i="14"/>
  <c r="AN27" i="14"/>
  <c r="AI27" i="14"/>
  <c r="AK27" i="14" s="1"/>
  <c r="AB27" i="14"/>
  <c r="Y27" i="14"/>
  <c r="V27" i="14"/>
  <c r="EH27" i="14" s="1"/>
  <c r="S27" i="14"/>
  <c r="P27" i="14"/>
  <c r="M27" i="14"/>
  <c r="J27" i="14"/>
  <c r="G27" i="14"/>
  <c r="D27" i="14"/>
  <c r="EL26" i="14"/>
  <c r="EK26" i="14"/>
  <c r="EG26" i="14"/>
  <c r="EI26" i="14" s="1"/>
  <c r="DW26" i="14"/>
  <c r="DT26" i="14"/>
  <c r="DQ26" i="14"/>
  <c r="DN26" i="14"/>
  <c r="DK26" i="14"/>
  <c r="DH26" i="14"/>
  <c r="DE26" i="14"/>
  <c r="DB26" i="14"/>
  <c r="CY26" i="14"/>
  <c r="CV26" i="14"/>
  <c r="CS26" i="14"/>
  <c r="CP26" i="14"/>
  <c r="CM26" i="14"/>
  <c r="CJ26" i="14"/>
  <c r="CG26" i="14"/>
  <c r="CD26" i="14"/>
  <c r="CA26" i="14"/>
  <c r="BX26" i="14"/>
  <c r="BU26" i="14"/>
  <c r="BR26" i="14"/>
  <c r="BO26" i="14"/>
  <c r="BL26" i="14"/>
  <c r="BI26" i="14"/>
  <c r="BF26" i="14"/>
  <c r="BC26" i="14"/>
  <c r="AZ26" i="14"/>
  <c r="AW26" i="14"/>
  <c r="AT26" i="14"/>
  <c r="AQ26" i="14"/>
  <c r="AN26" i="14"/>
  <c r="AI26" i="14"/>
  <c r="AK26" i="14" s="1"/>
  <c r="AB26" i="14"/>
  <c r="Y26" i="14"/>
  <c r="V26" i="14"/>
  <c r="S26" i="14"/>
  <c r="P26" i="14"/>
  <c r="M26" i="14"/>
  <c r="J26" i="14"/>
  <c r="G26" i="14"/>
  <c r="D26" i="14"/>
  <c r="EL25" i="14"/>
  <c r="EK25" i="14"/>
  <c r="EI25" i="14"/>
  <c r="EG25" i="14"/>
  <c r="DW25" i="14"/>
  <c r="DT25" i="14"/>
  <c r="DQ25" i="14"/>
  <c r="DN25" i="14"/>
  <c r="DK25" i="14"/>
  <c r="DH25" i="14"/>
  <c r="DE25" i="14"/>
  <c r="DB25" i="14"/>
  <c r="CY25" i="14"/>
  <c r="CV25" i="14"/>
  <c r="CS25" i="14"/>
  <c r="CP25" i="14"/>
  <c r="CM25" i="14"/>
  <c r="CJ25" i="14"/>
  <c r="CG25" i="14"/>
  <c r="CD25" i="14"/>
  <c r="CA25" i="14"/>
  <c r="BX25" i="14"/>
  <c r="BU25" i="14"/>
  <c r="BR25" i="14"/>
  <c r="BO25" i="14"/>
  <c r="BL25" i="14"/>
  <c r="BI25" i="14"/>
  <c r="BF25" i="14"/>
  <c r="BC25" i="14"/>
  <c r="AZ25" i="14"/>
  <c r="AW25" i="14"/>
  <c r="AT25" i="14"/>
  <c r="AQ25" i="14"/>
  <c r="AN25" i="14"/>
  <c r="AK25" i="14"/>
  <c r="AI25" i="14"/>
  <c r="EB25" i="14" s="1"/>
  <c r="AB25" i="14"/>
  <c r="Y25" i="14"/>
  <c r="V25" i="14"/>
  <c r="S25" i="14"/>
  <c r="P25" i="14"/>
  <c r="M25" i="14"/>
  <c r="J25" i="14"/>
  <c r="G25" i="14"/>
  <c r="D25" i="14"/>
  <c r="EL24" i="14"/>
  <c r="EG24" i="14"/>
  <c r="EI24" i="14" s="1"/>
  <c r="DW24" i="14"/>
  <c r="DT24" i="14"/>
  <c r="DQ24" i="14"/>
  <c r="DN24" i="14"/>
  <c r="DK24" i="14"/>
  <c r="DH24" i="14"/>
  <c r="DE24" i="14"/>
  <c r="DB24" i="14"/>
  <c r="CY24" i="14"/>
  <c r="CV24" i="14"/>
  <c r="CS24" i="14"/>
  <c r="CP24" i="14"/>
  <c r="CM24" i="14"/>
  <c r="CJ24" i="14"/>
  <c r="CG24" i="14"/>
  <c r="CD24" i="14"/>
  <c r="CA24" i="14"/>
  <c r="BX24" i="14"/>
  <c r="BU24" i="14"/>
  <c r="BR24" i="14"/>
  <c r="BO24" i="14"/>
  <c r="BL24" i="14"/>
  <c r="BI24" i="14"/>
  <c r="BF24" i="14"/>
  <c r="BC24" i="14"/>
  <c r="AZ24" i="14"/>
  <c r="AW24" i="14"/>
  <c r="AT24" i="14"/>
  <c r="AQ24" i="14"/>
  <c r="AN24" i="14"/>
  <c r="AI24" i="14"/>
  <c r="EK24" i="14" s="1"/>
  <c r="AB24" i="14"/>
  <c r="Y24" i="14"/>
  <c r="V24" i="14"/>
  <c r="S24" i="14"/>
  <c r="EH24" i="14" s="1"/>
  <c r="P24" i="14"/>
  <c r="M24" i="14"/>
  <c r="J24" i="14"/>
  <c r="G24" i="14"/>
  <c r="D24" i="14"/>
  <c r="EL23" i="14"/>
  <c r="EG23" i="14"/>
  <c r="EI23" i="14" s="1"/>
  <c r="DW23" i="14"/>
  <c r="DT23" i="14"/>
  <c r="DQ23" i="14"/>
  <c r="DN23" i="14"/>
  <c r="DK23" i="14"/>
  <c r="DH23" i="14"/>
  <c r="DE23" i="14"/>
  <c r="DB23" i="14"/>
  <c r="CY23" i="14"/>
  <c r="CV23" i="14"/>
  <c r="CS23" i="14"/>
  <c r="CP23" i="14"/>
  <c r="CM23" i="14"/>
  <c r="CJ23" i="14"/>
  <c r="CG23" i="14"/>
  <c r="CD23" i="14"/>
  <c r="CA23" i="14"/>
  <c r="BX23" i="14"/>
  <c r="BU23" i="14"/>
  <c r="BR23" i="14"/>
  <c r="BO23" i="14"/>
  <c r="BL23" i="14"/>
  <c r="BI23" i="14"/>
  <c r="BF23" i="14"/>
  <c r="BC23" i="14"/>
  <c r="AZ23" i="14"/>
  <c r="AW23" i="14"/>
  <c r="AT23" i="14"/>
  <c r="AQ23" i="14"/>
  <c r="AN23" i="14"/>
  <c r="AI23" i="14"/>
  <c r="AK23" i="14" s="1"/>
  <c r="AB23" i="14"/>
  <c r="Y23" i="14"/>
  <c r="V23" i="14"/>
  <c r="S23" i="14"/>
  <c r="P23" i="14"/>
  <c r="M23" i="14"/>
  <c r="J23" i="14"/>
  <c r="G23" i="14"/>
  <c r="D23" i="14"/>
  <c r="EL22" i="14"/>
  <c r="EI22" i="14"/>
  <c r="EG22" i="14"/>
  <c r="DW22" i="14"/>
  <c r="DT22" i="14"/>
  <c r="DQ22" i="14"/>
  <c r="DN22" i="14"/>
  <c r="DK22" i="14"/>
  <c r="DH22" i="14"/>
  <c r="DE22" i="14"/>
  <c r="DB22" i="14"/>
  <c r="CY22" i="14"/>
  <c r="CV22" i="14"/>
  <c r="CS22" i="14"/>
  <c r="CP22" i="14"/>
  <c r="CM22" i="14"/>
  <c r="CJ22" i="14"/>
  <c r="CG22" i="14"/>
  <c r="CD22" i="14"/>
  <c r="CA22" i="14"/>
  <c r="BX22" i="14"/>
  <c r="BU22" i="14"/>
  <c r="BR22" i="14"/>
  <c r="BO22" i="14"/>
  <c r="BL22" i="14"/>
  <c r="BI22" i="14"/>
  <c r="BF22" i="14"/>
  <c r="BC22" i="14"/>
  <c r="AZ22" i="14"/>
  <c r="AW22" i="14"/>
  <c r="AT22" i="14"/>
  <c r="AQ22" i="14"/>
  <c r="AN22" i="14"/>
  <c r="AI22" i="14"/>
  <c r="AK22" i="14" s="1"/>
  <c r="AB22" i="14"/>
  <c r="Y22" i="14"/>
  <c r="V22" i="14"/>
  <c r="S22" i="14"/>
  <c r="EH22" i="14" s="1"/>
  <c r="P22" i="14"/>
  <c r="M22" i="14"/>
  <c r="J22" i="14"/>
  <c r="G22" i="14"/>
  <c r="ED22" i="14" s="1"/>
  <c r="D22" i="14"/>
  <c r="EL21" i="14"/>
  <c r="EI21" i="14"/>
  <c r="EG21" i="14"/>
  <c r="DW21" i="14"/>
  <c r="DT21" i="14"/>
  <c r="DQ21" i="14"/>
  <c r="DN21" i="14"/>
  <c r="DK21" i="14"/>
  <c r="DH21" i="14"/>
  <c r="DE21" i="14"/>
  <c r="DB21" i="14"/>
  <c r="CY21" i="14"/>
  <c r="CV21" i="14"/>
  <c r="CS21" i="14"/>
  <c r="CP21" i="14"/>
  <c r="CM21" i="14"/>
  <c r="CJ21" i="14"/>
  <c r="CG21" i="14"/>
  <c r="CD21" i="14"/>
  <c r="CA21" i="14"/>
  <c r="BX21" i="14"/>
  <c r="BU21" i="14"/>
  <c r="BR21" i="14"/>
  <c r="BO21" i="14"/>
  <c r="BL21" i="14"/>
  <c r="BI21" i="14"/>
  <c r="BF21" i="14"/>
  <c r="BC21" i="14"/>
  <c r="AZ21" i="14"/>
  <c r="AW21" i="14"/>
  <c r="AT21" i="14"/>
  <c r="AQ21" i="14"/>
  <c r="AN21" i="14"/>
  <c r="AK21" i="14"/>
  <c r="AI21" i="14"/>
  <c r="EB21" i="14" s="1"/>
  <c r="AB21" i="14"/>
  <c r="Y21" i="14"/>
  <c r="V21" i="14"/>
  <c r="S21" i="14"/>
  <c r="P21" i="14"/>
  <c r="M21" i="14"/>
  <c r="J21" i="14"/>
  <c r="G21" i="14"/>
  <c r="D21" i="14"/>
  <c r="EL20" i="14"/>
  <c r="EH20" i="14"/>
  <c r="EG20" i="14"/>
  <c r="EI20" i="14" s="1"/>
  <c r="DW20" i="14"/>
  <c r="DT20" i="14"/>
  <c r="DQ20" i="14"/>
  <c r="DN20" i="14"/>
  <c r="DK20" i="14"/>
  <c r="DH20" i="14"/>
  <c r="DE20" i="14"/>
  <c r="DB20" i="14"/>
  <c r="CY20" i="14"/>
  <c r="CV20" i="14"/>
  <c r="CS20" i="14"/>
  <c r="CP20" i="14"/>
  <c r="CM20" i="14"/>
  <c r="CJ20" i="14"/>
  <c r="CG20" i="14"/>
  <c r="CD20" i="14"/>
  <c r="CA20" i="14"/>
  <c r="BX20" i="14"/>
  <c r="BU20" i="14"/>
  <c r="BR20" i="14"/>
  <c r="BO20" i="14"/>
  <c r="BL20" i="14"/>
  <c r="BI20" i="14"/>
  <c r="BF20" i="14"/>
  <c r="BC20" i="14"/>
  <c r="AZ20" i="14"/>
  <c r="AW20" i="14"/>
  <c r="AT20" i="14"/>
  <c r="AQ20" i="14"/>
  <c r="AN20" i="14"/>
  <c r="AI20" i="14"/>
  <c r="EK20" i="14" s="1"/>
  <c r="AB20" i="14"/>
  <c r="Y20" i="14"/>
  <c r="V20" i="14"/>
  <c r="S20" i="14"/>
  <c r="P20" i="14"/>
  <c r="M20" i="14"/>
  <c r="J20" i="14"/>
  <c r="G20" i="14"/>
  <c r="D20" i="14"/>
  <c r="EL19" i="14"/>
  <c r="EG19" i="14"/>
  <c r="EI19" i="14" s="1"/>
  <c r="DW19" i="14"/>
  <c r="DT19" i="14"/>
  <c r="DQ19" i="14"/>
  <c r="DN19" i="14"/>
  <c r="DK19" i="14"/>
  <c r="DH19" i="14"/>
  <c r="DE19" i="14"/>
  <c r="DB19" i="14"/>
  <c r="CY19" i="14"/>
  <c r="CV19" i="14"/>
  <c r="CS19" i="14"/>
  <c r="CP19" i="14"/>
  <c r="CM19" i="14"/>
  <c r="CJ19" i="14"/>
  <c r="CG19" i="14"/>
  <c r="CD19" i="14"/>
  <c r="CA19" i="14"/>
  <c r="BX19" i="14"/>
  <c r="BU19" i="14"/>
  <c r="BR19" i="14"/>
  <c r="BO19" i="14"/>
  <c r="BL19" i="14"/>
  <c r="BI19" i="14"/>
  <c r="BF19" i="14"/>
  <c r="BC19" i="14"/>
  <c r="AZ19" i="14"/>
  <c r="AW19" i="14"/>
  <c r="AT19" i="14"/>
  <c r="AQ19" i="14"/>
  <c r="AN19" i="14"/>
  <c r="AI19" i="14"/>
  <c r="AK19" i="14" s="1"/>
  <c r="AB19" i="14"/>
  <c r="Y19" i="14"/>
  <c r="V19" i="14"/>
  <c r="S19" i="14"/>
  <c r="P19" i="14"/>
  <c r="M19" i="14"/>
  <c r="J19" i="14"/>
  <c r="G19" i="14"/>
  <c r="D19" i="14"/>
  <c r="EL18" i="14"/>
  <c r="EI18" i="14"/>
  <c r="EG18" i="14"/>
  <c r="DW18" i="14"/>
  <c r="DT18" i="14"/>
  <c r="DQ18" i="14"/>
  <c r="DN18" i="14"/>
  <c r="DK18" i="14"/>
  <c r="DH18" i="14"/>
  <c r="DE18" i="14"/>
  <c r="DB18" i="14"/>
  <c r="CY18" i="14"/>
  <c r="CV18" i="14"/>
  <c r="CS18" i="14"/>
  <c r="CP18" i="14"/>
  <c r="CM18" i="14"/>
  <c r="CJ18" i="14"/>
  <c r="CG18" i="14"/>
  <c r="CD18" i="14"/>
  <c r="CA18" i="14"/>
  <c r="BX18" i="14"/>
  <c r="BU18" i="14"/>
  <c r="BR18" i="14"/>
  <c r="BO18" i="14"/>
  <c r="BL18" i="14"/>
  <c r="BI18" i="14"/>
  <c r="BF18" i="14"/>
  <c r="BC18" i="14"/>
  <c r="AZ18" i="14"/>
  <c r="AW18" i="14"/>
  <c r="AT18" i="14"/>
  <c r="AQ18" i="14"/>
  <c r="AN18" i="14"/>
  <c r="AI18" i="14"/>
  <c r="AK18" i="14" s="1"/>
  <c r="AB18" i="14"/>
  <c r="Y18" i="14"/>
  <c r="V18" i="14"/>
  <c r="S18" i="14"/>
  <c r="EH18" i="14" s="1"/>
  <c r="P18" i="14"/>
  <c r="M18" i="14"/>
  <c r="J18" i="14"/>
  <c r="G18" i="14"/>
  <c r="ED18" i="14" s="1"/>
  <c r="D18" i="14"/>
  <c r="EL17" i="14"/>
  <c r="EI17" i="14"/>
  <c r="EG17" i="14"/>
  <c r="DW17" i="14"/>
  <c r="DT17" i="14"/>
  <c r="DQ17" i="14"/>
  <c r="DN17" i="14"/>
  <c r="DK17" i="14"/>
  <c r="DH17" i="14"/>
  <c r="DE17" i="14"/>
  <c r="DB17" i="14"/>
  <c r="CY17" i="14"/>
  <c r="CV17" i="14"/>
  <c r="CS17" i="14"/>
  <c r="CP17" i="14"/>
  <c r="CM17" i="14"/>
  <c r="CJ17" i="14"/>
  <c r="CG17" i="14"/>
  <c r="CD17" i="14"/>
  <c r="CA17" i="14"/>
  <c r="BX17" i="14"/>
  <c r="BU17" i="14"/>
  <c r="BR17" i="14"/>
  <c r="BO17" i="14"/>
  <c r="BL17" i="14"/>
  <c r="BI17" i="14"/>
  <c r="BF17" i="14"/>
  <c r="BC17" i="14"/>
  <c r="AZ17" i="14"/>
  <c r="AW17" i="14"/>
  <c r="AT17" i="14"/>
  <c r="AQ17" i="14"/>
  <c r="AN17" i="14"/>
  <c r="AK17" i="14"/>
  <c r="AI17" i="14"/>
  <c r="EB17" i="14" s="1"/>
  <c r="AB17" i="14"/>
  <c r="Y17" i="14"/>
  <c r="V17" i="14"/>
  <c r="S17" i="14"/>
  <c r="P17" i="14"/>
  <c r="M17" i="14"/>
  <c r="J17" i="14"/>
  <c r="G17" i="14"/>
  <c r="D17" i="14"/>
  <c r="EL16" i="14"/>
  <c r="EG16" i="14"/>
  <c r="EI16" i="14" s="1"/>
  <c r="DW16" i="14"/>
  <c r="DT16" i="14"/>
  <c r="DQ16" i="14"/>
  <c r="DN16" i="14"/>
  <c r="DK16" i="14"/>
  <c r="DH16" i="14"/>
  <c r="DE16" i="14"/>
  <c r="DB16" i="14"/>
  <c r="CY16" i="14"/>
  <c r="CV16" i="14"/>
  <c r="CS16" i="14"/>
  <c r="CP16" i="14"/>
  <c r="CM16" i="14"/>
  <c r="CJ16" i="14"/>
  <c r="CG16" i="14"/>
  <c r="CD16" i="14"/>
  <c r="CA16" i="14"/>
  <c r="BX16" i="14"/>
  <c r="BU16" i="14"/>
  <c r="BR16" i="14"/>
  <c r="BO16" i="14"/>
  <c r="BL16" i="14"/>
  <c r="BI16" i="14"/>
  <c r="BF16" i="14"/>
  <c r="BC16" i="14"/>
  <c r="AZ16" i="14"/>
  <c r="AW16" i="14"/>
  <c r="AT16" i="14"/>
  <c r="AQ16" i="14"/>
  <c r="AN16" i="14"/>
  <c r="AI16" i="14"/>
  <c r="EK16" i="14" s="1"/>
  <c r="AB16" i="14"/>
  <c r="Y16" i="14"/>
  <c r="V16" i="14"/>
  <c r="S16" i="14"/>
  <c r="P16" i="14"/>
  <c r="M16" i="14"/>
  <c r="J16" i="14"/>
  <c r="G16" i="14"/>
  <c r="D16" i="14"/>
  <c r="EL15" i="14"/>
  <c r="EG15" i="14"/>
  <c r="EI15" i="14" s="1"/>
  <c r="DW15" i="14"/>
  <c r="DT15" i="14"/>
  <c r="DQ15" i="14"/>
  <c r="DN15" i="14"/>
  <c r="DK15" i="14"/>
  <c r="DH15" i="14"/>
  <c r="DE15" i="14"/>
  <c r="DB15" i="14"/>
  <c r="CY15" i="14"/>
  <c r="CV15" i="14"/>
  <c r="CS15" i="14"/>
  <c r="CP15" i="14"/>
  <c r="CM15" i="14"/>
  <c r="CJ15" i="14"/>
  <c r="CG15" i="14"/>
  <c r="CD15" i="14"/>
  <c r="CA15" i="14"/>
  <c r="BX15" i="14"/>
  <c r="BU15" i="14"/>
  <c r="BR15" i="14"/>
  <c r="BO15" i="14"/>
  <c r="BL15" i="14"/>
  <c r="BI15" i="14"/>
  <c r="BF15" i="14"/>
  <c r="BC15" i="14"/>
  <c r="AZ15" i="14"/>
  <c r="AW15" i="14"/>
  <c r="AT15" i="14"/>
  <c r="AQ15" i="14"/>
  <c r="AN15" i="14"/>
  <c r="AI15" i="14"/>
  <c r="AK15" i="14" s="1"/>
  <c r="AB15" i="14"/>
  <c r="Y15" i="14"/>
  <c r="V15" i="14"/>
  <c r="S15" i="14"/>
  <c r="EH15" i="14" s="1"/>
  <c r="P15" i="14"/>
  <c r="M15" i="14"/>
  <c r="J15" i="14"/>
  <c r="G15" i="14"/>
  <c r="D15" i="14"/>
  <c r="EL14" i="14"/>
  <c r="EK14" i="14"/>
  <c r="EI14" i="14"/>
  <c r="EG14" i="14"/>
  <c r="DW14" i="14"/>
  <c r="DT14" i="14"/>
  <c r="DQ14" i="14"/>
  <c r="DN14" i="14"/>
  <c r="DK14" i="14"/>
  <c r="DH14" i="14"/>
  <c r="DE14" i="14"/>
  <c r="DB14" i="14"/>
  <c r="CY14" i="14"/>
  <c r="CV14" i="14"/>
  <c r="CS14" i="14"/>
  <c r="CP14" i="14"/>
  <c r="CM14" i="14"/>
  <c r="CJ14" i="14"/>
  <c r="CG14" i="14"/>
  <c r="CD14" i="14"/>
  <c r="CA14" i="14"/>
  <c r="BX14" i="14"/>
  <c r="BU14" i="14"/>
  <c r="BR14" i="14"/>
  <c r="BO14" i="14"/>
  <c r="BL14" i="14"/>
  <c r="BI14" i="14"/>
  <c r="BF14" i="14"/>
  <c r="BC14" i="14"/>
  <c r="AZ14" i="14"/>
  <c r="AW14" i="14"/>
  <c r="AT14" i="14"/>
  <c r="AQ14" i="14"/>
  <c r="AN14" i="14"/>
  <c r="AK14" i="14"/>
  <c r="AI14" i="14"/>
  <c r="EB14" i="14" s="1"/>
  <c r="AB14" i="14"/>
  <c r="Y14" i="14"/>
  <c r="V14" i="14"/>
  <c r="S14" i="14"/>
  <c r="P14" i="14"/>
  <c r="M14" i="14"/>
  <c r="J14" i="14"/>
  <c r="G14" i="14"/>
  <c r="D14" i="14"/>
  <c r="EL13" i="14"/>
  <c r="EG13" i="14"/>
  <c r="EI13" i="14" s="1"/>
  <c r="DW13" i="14"/>
  <c r="DT13" i="14"/>
  <c r="DQ13" i="14"/>
  <c r="DN13" i="14"/>
  <c r="DK13" i="14"/>
  <c r="DH13" i="14"/>
  <c r="DE13" i="14"/>
  <c r="DB13" i="14"/>
  <c r="CY13" i="14"/>
  <c r="CV13" i="14"/>
  <c r="CS13" i="14"/>
  <c r="CP13" i="14"/>
  <c r="CM13" i="14"/>
  <c r="CJ13" i="14"/>
  <c r="CG13" i="14"/>
  <c r="CD13" i="14"/>
  <c r="CA13" i="14"/>
  <c r="BX13" i="14"/>
  <c r="BU13" i="14"/>
  <c r="BR13" i="14"/>
  <c r="BO13" i="14"/>
  <c r="BL13" i="14"/>
  <c r="BI13" i="14"/>
  <c r="BF13" i="14"/>
  <c r="BC13" i="14"/>
  <c r="AZ13" i="14"/>
  <c r="AW13" i="14"/>
  <c r="AT13" i="14"/>
  <c r="AQ13" i="14"/>
  <c r="AN13" i="14"/>
  <c r="AI13" i="14"/>
  <c r="EK13" i="14" s="1"/>
  <c r="AB13" i="14"/>
  <c r="Y13" i="14"/>
  <c r="V13" i="14"/>
  <c r="S13" i="14"/>
  <c r="P13" i="14"/>
  <c r="M13" i="14"/>
  <c r="J13" i="14"/>
  <c r="G13" i="14"/>
  <c r="D13" i="14"/>
  <c r="EL12" i="14"/>
  <c r="EG12" i="14"/>
  <c r="EI12" i="14" s="1"/>
  <c r="DW12" i="14"/>
  <c r="DT12" i="14"/>
  <c r="DQ12" i="14"/>
  <c r="DN12" i="14"/>
  <c r="DK12" i="14"/>
  <c r="DH12" i="14"/>
  <c r="DE12" i="14"/>
  <c r="DB12" i="14"/>
  <c r="CY12" i="14"/>
  <c r="CV12" i="14"/>
  <c r="CS12" i="14"/>
  <c r="CP12" i="14"/>
  <c r="CM12" i="14"/>
  <c r="CJ12" i="14"/>
  <c r="CG12" i="14"/>
  <c r="CD12" i="14"/>
  <c r="CA12" i="14"/>
  <c r="BX12" i="14"/>
  <c r="BU12" i="14"/>
  <c r="BR12" i="14"/>
  <c r="BO12" i="14"/>
  <c r="BL12" i="14"/>
  <c r="BI12" i="14"/>
  <c r="BF12" i="14"/>
  <c r="BC12" i="14"/>
  <c r="AZ12" i="14"/>
  <c r="AW12" i="14"/>
  <c r="AT12" i="14"/>
  <c r="AQ12" i="14"/>
  <c r="AN12" i="14"/>
  <c r="AI12" i="14"/>
  <c r="AK12" i="14" s="1"/>
  <c r="AB12" i="14"/>
  <c r="Y12" i="14"/>
  <c r="V12" i="14"/>
  <c r="S12" i="14"/>
  <c r="P12" i="14"/>
  <c r="M12" i="14"/>
  <c r="J12" i="14"/>
  <c r="G12" i="14"/>
  <c r="D12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EL11" i="14"/>
  <c r="EI11" i="14"/>
  <c r="EG11" i="14"/>
  <c r="DW11" i="14"/>
  <c r="DT11" i="14"/>
  <c r="DQ11" i="14"/>
  <c r="DN11" i="14"/>
  <c r="DK11" i="14"/>
  <c r="DH11" i="14"/>
  <c r="DE11" i="14"/>
  <c r="DB11" i="14"/>
  <c r="CY11" i="14"/>
  <c r="CV11" i="14"/>
  <c r="CS11" i="14"/>
  <c r="CP11" i="14"/>
  <c r="CM11" i="14"/>
  <c r="CJ11" i="14"/>
  <c r="CG11" i="14"/>
  <c r="CD11" i="14"/>
  <c r="CA11" i="14"/>
  <c r="BX11" i="14"/>
  <c r="BU11" i="14"/>
  <c r="BR11" i="14"/>
  <c r="BO11" i="14"/>
  <c r="BL11" i="14"/>
  <c r="BI11" i="14"/>
  <c r="BF11" i="14"/>
  <c r="BC11" i="14"/>
  <c r="AZ11" i="14"/>
  <c r="AW11" i="14"/>
  <c r="AT11" i="14"/>
  <c r="AQ11" i="14"/>
  <c r="AN11" i="14"/>
  <c r="AI11" i="14"/>
  <c r="AK11" i="14" s="1"/>
  <c r="AE41" i="14"/>
  <c r="AB11" i="14"/>
  <c r="Y11" i="14"/>
  <c r="V11" i="14"/>
  <c r="S11" i="14"/>
  <c r="P11" i="14"/>
  <c r="M11" i="14"/>
  <c r="J11" i="14"/>
  <c r="G11" i="14"/>
  <c r="D11" i="14"/>
  <c r="EI2" i="14"/>
  <c r="EE2" i="14"/>
  <c r="EQ2" i="14" s="1"/>
  <c r="G4" i="14" s="1"/>
  <c r="EL41" i="13"/>
  <c r="EG41" i="13"/>
  <c r="EI41" i="13" s="1"/>
  <c r="DW41" i="13"/>
  <c r="DT41" i="13"/>
  <c r="DQ41" i="13"/>
  <c r="DN41" i="13"/>
  <c r="DK41" i="13"/>
  <c r="DH41" i="13"/>
  <c r="DE41" i="13"/>
  <c r="DB41" i="13"/>
  <c r="CY41" i="13"/>
  <c r="CV41" i="13"/>
  <c r="CS41" i="13"/>
  <c r="CP41" i="13"/>
  <c r="CM41" i="13"/>
  <c r="CJ41" i="13"/>
  <c r="CG41" i="13"/>
  <c r="CD41" i="13"/>
  <c r="CA41" i="13"/>
  <c r="BX41" i="13"/>
  <c r="BU41" i="13"/>
  <c r="BR41" i="13"/>
  <c r="BO41" i="13"/>
  <c r="BL41" i="13"/>
  <c r="BI41" i="13"/>
  <c r="BF41" i="13"/>
  <c r="BC41" i="13"/>
  <c r="AZ41" i="13"/>
  <c r="AW41" i="13"/>
  <c r="AT41" i="13"/>
  <c r="AO41" i="13"/>
  <c r="AL41" i="13"/>
  <c r="AN41" i="13" s="1"/>
  <c r="AI41" i="13"/>
  <c r="AK41" i="13" s="1"/>
  <c r="AB41" i="13"/>
  <c r="Y41" i="13"/>
  <c r="V41" i="13"/>
  <c r="S41" i="13"/>
  <c r="P41" i="13"/>
  <c r="M41" i="13"/>
  <c r="J41" i="13"/>
  <c r="G41" i="13"/>
  <c r="D41" i="13"/>
  <c r="EL40" i="13"/>
  <c r="EI40" i="13"/>
  <c r="EG40" i="13"/>
  <c r="DW40" i="13"/>
  <c r="DT40" i="13"/>
  <c r="DQ40" i="13"/>
  <c r="DN40" i="13"/>
  <c r="DK40" i="13"/>
  <c r="DH40" i="13"/>
  <c r="DE40" i="13"/>
  <c r="DB40" i="13"/>
  <c r="CY40" i="13"/>
  <c r="CV40" i="13"/>
  <c r="CS40" i="13"/>
  <c r="CP40" i="13"/>
  <c r="CM40" i="13"/>
  <c r="CJ40" i="13"/>
  <c r="CG40" i="13"/>
  <c r="CD40" i="13"/>
  <c r="CA40" i="13"/>
  <c r="BX40" i="13"/>
  <c r="BU40" i="13"/>
  <c r="BR40" i="13"/>
  <c r="BO40" i="13"/>
  <c r="BL40" i="13"/>
  <c r="BI40" i="13"/>
  <c r="BF40" i="13"/>
  <c r="BC40" i="13"/>
  <c r="AZ40" i="13"/>
  <c r="AW40" i="13"/>
  <c r="AT40" i="13"/>
  <c r="AO40" i="13"/>
  <c r="AN40" i="13"/>
  <c r="AL40" i="13"/>
  <c r="AK40" i="13"/>
  <c r="AB40" i="13"/>
  <c r="Y40" i="13"/>
  <c r="V40" i="13"/>
  <c r="S40" i="13"/>
  <c r="P40" i="13"/>
  <c r="M40" i="13"/>
  <c r="J40" i="13"/>
  <c r="G40" i="13"/>
  <c r="D40" i="13"/>
  <c r="EL39" i="13"/>
  <c r="EI39" i="13"/>
  <c r="EG39" i="13"/>
  <c r="DW39" i="13"/>
  <c r="DT39" i="13"/>
  <c r="DQ39" i="13"/>
  <c r="DN39" i="13"/>
  <c r="DK39" i="13"/>
  <c r="DH39" i="13"/>
  <c r="DE39" i="13"/>
  <c r="DB39" i="13"/>
  <c r="CY39" i="13"/>
  <c r="CV39" i="13"/>
  <c r="CS39" i="13"/>
  <c r="CP39" i="13"/>
  <c r="CM39" i="13"/>
  <c r="CJ39" i="13"/>
  <c r="CG39" i="13"/>
  <c r="CD39" i="13"/>
  <c r="CA39" i="13"/>
  <c r="BX39" i="13"/>
  <c r="BU39" i="13"/>
  <c r="BR39" i="13"/>
  <c r="BO39" i="13"/>
  <c r="BL39" i="13"/>
  <c r="BI39" i="13"/>
  <c r="BF39" i="13"/>
  <c r="BC39" i="13"/>
  <c r="AZ39" i="13"/>
  <c r="AW39" i="13"/>
  <c r="AT39" i="13"/>
  <c r="AO39" i="13"/>
  <c r="AL39" i="13"/>
  <c r="AN39" i="13" s="1"/>
  <c r="AI39" i="13"/>
  <c r="AK39" i="13" s="1"/>
  <c r="AB39" i="13"/>
  <c r="EH39" i="13" s="1"/>
  <c r="Y39" i="13"/>
  <c r="V39" i="13"/>
  <c r="S39" i="13"/>
  <c r="P39" i="13"/>
  <c r="M39" i="13"/>
  <c r="J39" i="13"/>
  <c r="G39" i="13"/>
  <c r="D39" i="13"/>
  <c r="EL38" i="13"/>
  <c r="EG38" i="13"/>
  <c r="EI38" i="13" s="1"/>
  <c r="DW38" i="13"/>
  <c r="DT38" i="13"/>
  <c r="DQ38" i="13"/>
  <c r="DN38" i="13"/>
  <c r="DK38" i="13"/>
  <c r="DH38" i="13"/>
  <c r="DE38" i="13"/>
  <c r="DB38" i="13"/>
  <c r="CY38" i="13"/>
  <c r="CV38" i="13"/>
  <c r="CS38" i="13"/>
  <c r="CP38" i="13"/>
  <c r="CM38" i="13"/>
  <c r="CJ38" i="13"/>
  <c r="CG38" i="13"/>
  <c r="CD38" i="13"/>
  <c r="CA38" i="13"/>
  <c r="BX38" i="13"/>
  <c r="BU38" i="13"/>
  <c r="BR38" i="13"/>
  <c r="BO38" i="13"/>
  <c r="BL38" i="13"/>
  <c r="BI38" i="13"/>
  <c r="BF38" i="13"/>
  <c r="BC38" i="13"/>
  <c r="AZ38" i="13"/>
  <c r="AW38" i="13"/>
  <c r="AT38" i="13"/>
  <c r="AO38" i="13"/>
  <c r="AN38" i="13"/>
  <c r="AL38" i="13"/>
  <c r="AI38" i="13"/>
  <c r="AK38" i="13" s="1"/>
  <c r="AB38" i="13"/>
  <c r="Y38" i="13"/>
  <c r="V38" i="13"/>
  <c r="S38" i="13"/>
  <c r="P38" i="13"/>
  <c r="M38" i="13"/>
  <c r="J38" i="13"/>
  <c r="G38" i="13"/>
  <c r="D38" i="13"/>
  <c r="EL37" i="13"/>
  <c r="EG37" i="13"/>
  <c r="EI37" i="13" s="1"/>
  <c r="DW37" i="13"/>
  <c r="DT37" i="13"/>
  <c r="DQ37" i="13"/>
  <c r="DN37" i="13"/>
  <c r="DK37" i="13"/>
  <c r="DH37" i="13"/>
  <c r="DE37" i="13"/>
  <c r="DB37" i="13"/>
  <c r="CY37" i="13"/>
  <c r="CV37" i="13"/>
  <c r="CS37" i="13"/>
  <c r="CP37" i="13"/>
  <c r="CM37" i="13"/>
  <c r="CJ37" i="13"/>
  <c r="CG37" i="13"/>
  <c r="CD37" i="13"/>
  <c r="CA37" i="13"/>
  <c r="BX37" i="13"/>
  <c r="BU37" i="13"/>
  <c r="BR37" i="13"/>
  <c r="BO37" i="13"/>
  <c r="BL37" i="13"/>
  <c r="BI37" i="13"/>
  <c r="BF37" i="13"/>
  <c r="BC37" i="13"/>
  <c r="AZ37" i="13"/>
  <c r="AW37" i="13"/>
  <c r="AT37" i="13"/>
  <c r="AQ37" i="13"/>
  <c r="AO37" i="13"/>
  <c r="AL37" i="13"/>
  <c r="EB37" i="13" s="1"/>
  <c r="AI37" i="13"/>
  <c r="AK37" i="13" s="1"/>
  <c r="AB37" i="13"/>
  <c r="Y37" i="13"/>
  <c r="V37" i="13"/>
  <c r="S37" i="13"/>
  <c r="P37" i="13"/>
  <c r="M37" i="13"/>
  <c r="J37" i="13"/>
  <c r="G37" i="13"/>
  <c r="D37" i="13"/>
  <c r="EL36" i="13"/>
  <c r="EG36" i="13"/>
  <c r="EI36" i="13" s="1"/>
  <c r="DW36" i="13"/>
  <c r="DT36" i="13"/>
  <c r="DQ36" i="13"/>
  <c r="DN36" i="13"/>
  <c r="DK36" i="13"/>
  <c r="DH36" i="13"/>
  <c r="DE36" i="13"/>
  <c r="DB36" i="13"/>
  <c r="CY36" i="13"/>
  <c r="CV36" i="13"/>
  <c r="CS36" i="13"/>
  <c r="CP36" i="13"/>
  <c r="CM36" i="13"/>
  <c r="CJ36" i="13"/>
  <c r="CG36" i="13"/>
  <c r="CD36" i="13"/>
  <c r="CA36" i="13"/>
  <c r="BX36" i="13"/>
  <c r="BU36" i="13"/>
  <c r="BR36" i="13"/>
  <c r="BO36" i="13"/>
  <c r="BL36" i="13"/>
  <c r="BI36" i="13"/>
  <c r="BF36" i="13"/>
  <c r="BC36" i="13"/>
  <c r="AZ36" i="13"/>
  <c r="AW36" i="13"/>
  <c r="AT36" i="13"/>
  <c r="AQ36" i="13"/>
  <c r="AO36" i="13"/>
  <c r="AL36" i="13"/>
  <c r="AN36" i="13" s="1"/>
  <c r="AK36" i="13"/>
  <c r="AI36" i="13"/>
  <c r="AB36" i="13"/>
  <c r="Y36" i="13"/>
  <c r="V36" i="13"/>
  <c r="EH36" i="13" s="1"/>
  <c r="S36" i="13"/>
  <c r="P36" i="13"/>
  <c r="M36" i="13"/>
  <c r="J36" i="13"/>
  <c r="G36" i="13"/>
  <c r="D36" i="13"/>
  <c r="EL35" i="13"/>
  <c r="EI35" i="13"/>
  <c r="EG35" i="13"/>
  <c r="DW35" i="13"/>
  <c r="DT35" i="13"/>
  <c r="DQ35" i="13"/>
  <c r="DN35" i="13"/>
  <c r="DK35" i="13"/>
  <c r="DH35" i="13"/>
  <c r="DE35" i="13"/>
  <c r="DB35" i="13"/>
  <c r="CY35" i="13"/>
  <c r="CV35" i="13"/>
  <c r="CS35" i="13"/>
  <c r="CP35" i="13"/>
  <c r="CM35" i="13"/>
  <c r="CJ35" i="13"/>
  <c r="CG35" i="13"/>
  <c r="CD35" i="13"/>
  <c r="CA35" i="13"/>
  <c r="BX35" i="13"/>
  <c r="BU35" i="13"/>
  <c r="BR35" i="13"/>
  <c r="BO35" i="13"/>
  <c r="BL35" i="13"/>
  <c r="BI35" i="13"/>
  <c r="BF35" i="13"/>
  <c r="BC35" i="13"/>
  <c r="AZ35" i="13"/>
  <c r="AW35" i="13"/>
  <c r="AT35" i="13"/>
  <c r="AO35" i="13"/>
  <c r="AN35" i="13"/>
  <c r="AL35" i="13"/>
  <c r="AI35" i="13"/>
  <c r="AK35" i="13" s="1"/>
  <c r="AB35" i="13"/>
  <c r="Y35" i="13"/>
  <c r="V35" i="13"/>
  <c r="S35" i="13"/>
  <c r="EH35" i="13" s="1"/>
  <c r="P35" i="13"/>
  <c r="M35" i="13"/>
  <c r="J35" i="13"/>
  <c r="G35" i="13"/>
  <c r="D35" i="13"/>
  <c r="EL34" i="13"/>
  <c r="EG34" i="13"/>
  <c r="EI34" i="13" s="1"/>
  <c r="DW34" i="13"/>
  <c r="DT34" i="13"/>
  <c r="DQ34" i="13"/>
  <c r="DN34" i="13"/>
  <c r="DK34" i="13"/>
  <c r="DH34" i="13"/>
  <c r="DE34" i="13"/>
  <c r="DB34" i="13"/>
  <c r="CY34" i="13"/>
  <c r="CV34" i="13"/>
  <c r="CS34" i="13"/>
  <c r="CP34" i="13"/>
  <c r="CM34" i="13"/>
  <c r="CJ34" i="13"/>
  <c r="CG34" i="13"/>
  <c r="CD34" i="13"/>
  <c r="CA34" i="13"/>
  <c r="BX34" i="13"/>
  <c r="BU34" i="13"/>
  <c r="BR34" i="13"/>
  <c r="BO34" i="13"/>
  <c r="BL34" i="13"/>
  <c r="BI34" i="13"/>
  <c r="BF34" i="13"/>
  <c r="BC34" i="13"/>
  <c r="AZ34" i="13"/>
  <c r="AW34" i="13"/>
  <c r="AT34" i="13"/>
  <c r="AO34" i="13"/>
  <c r="AN34" i="13"/>
  <c r="AL34" i="13"/>
  <c r="AI34" i="13"/>
  <c r="AK34" i="13" s="1"/>
  <c r="AB34" i="13"/>
  <c r="Y34" i="13"/>
  <c r="V34" i="13"/>
  <c r="S34" i="13"/>
  <c r="P34" i="13"/>
  <c r="M34" i="13"/>
  <c r="J34" i="13"/>
  <c r="G34" i="13"/>
  <c r="D34" i="13"/>
  <c r="EL33" i="13"/>
  <c r="EG33" i="13"/>
  <c r="EI33" i="13" s="1"/>
  <c r="DW33" i="13"/>
  <c r="DT33" i="13"/>
  <c r="DQ33" i="13"/>
  <c r="DN33" i="13"/>
  <c r="DK33" i="13"/>
  <c r="DH33" i="13"/>
  <c r="DE33" i="13"/>
  <c r="DB33" i="13"/>
  <c r="CY33" i="13"/>
  <c r="CV33" i="13"/>
  <c r="CS33" i="13"/>
  <c r="CP33" i="13"/>
  <c r="CM33" i="13"/>
  <c r="CJ33" i="13"/>
  <c r="CG33" i="13"/>
  <c r="CD33" i="13"/>
  <c r="CA33" i="13"/>
  <c r="BX33" i="13"/>
  <c r="BU33" i="13"/>
  <c r="BR33" i="13"/>
  <c r="BO33" i="13"/>
  <c r="BL33" i="13"/>
  <c r="BI33" i="13"/>
  <c r="BF33" i="13"/>
  <c r="BC33" i="13"/>
  <c r="AZ33" i="13"/>
  <c r="AW33" i="13"/>
  <c r="AT33" i="13"/>
  <c r="AQ33" i="13"/>
  <c r="AO33" i="13"/>
  <c r="AL33" i="13"/>
  <c r="AK33" i="13"/>
  <c r="AI33" i="13"/>
  <c r="AB33" i="13"/>
  <c r="Y33" i="13"/>
  <c r="V33" i="13"/>
  <c r="S33" i="13"/>
  <c r="P33" i="13"/>
  <c r="M33" i="13"/>
  <c r="J33" i="13"/>
  <c r="G33" i="13"/>
  <c r="D33" i="13"/>
  <c r="EL32" i="13"/>
  <c r="EG32" i="13"/>
  <c r="EI32" i="13" s="1"/>
  <c r="DW32" i="13"/>
  <c r="DT32" i="13"/>
  <c r="DQ32" i="13"/>
  <c r="DN32" i="13"/>
  <c r="DK32" i="13"/>
  <c r="DH32" i="13"/>
  <c r="DE32" i="13"/>
  <c r="DB32" i="13"/>
  <c r="CY32" i="13"/>
  <c r="CV32" i="13"/>
  <c r="CS32" i="13"/>
  <c r="CP32" i="13"/>
  <c r="CM32" i="13"/>
  <c r="CJ32" i="13"/>
  <c r="CG32" i="13"/>
  <c r="CD32" i="13"/>
  <c r="CA32" i="13"/>
  <c r="BX32" i="13"/>
  <c r="BU32" i="13"/>
  <c r="BR32" i="13"/>
  <c r="BO32" i="13"/>
  <c r="BL32" i="13"/>
  <c r="BI32" i="13"/>
  <c r="BF32" i="13"/>
  <c r="BC32" i="13"/>
  <c r="AZ32" i="13"/>
  <c r="AW32" i="13"/>
  <c r="AT32" i="13"/>
  <c r="AQ32" i="13"/>
  <c r="AO32" i="13"/>
  <c r="AL32" i="13"/>
  <c r="AN32" i="13" s="1"/>
  <c r="AI32" i="13"/>
  <c r="AK32" i="13" s="1"/>
  <c r="AB32" i="13"/>
  <c r="Y32" i="13"/>
  <c r="V32" i="13"/>
  <c r="S32" i="13"/>
  <c r="EH32" i="13" s="1"/>
  <c r="P32" i="13"/>
  <c r="M32" i="13"/>
  <c r="J32" i="13"/>
  <c r="G32" i="13"/>
  <c r="D32" i="13"/>
  <c r="EL31" i="13"/>
  <c r="EG31" i="13"/>
  <c r="EI31" i="13" s="1"/>
  <c r="DW31" i="13"/>
  <c r="DT31" i="13"/>
  <c r="DQ31" i="13"/>
  <c r="DN31" i="13"/>
  <c r="DK31" i="13"/>
  <c r="DH31" i="13"/>
  <c r="DE31" i="13"/>
  <c r="DB31" i="13"/>
  <c r="CY31" i="13"/>
  <c r="CV31" i="13"/>
  <c r="CS31" i="13"/>
  <c r="CP31" i="13"/>
  <c r="CM31" i="13"/>
  <c r="CJ31" i="13"/>
  <c r="CG31" i="13"/>
  <c r="CD31" i="13"/>
  <c r="CA31" i="13"/>
  <c r="BX31" i="13"/>
  <c r="BU31" i="13"/>
  <c r="BR31" i="13"/>
  <c r="BO31" i="13"/>
  <c r="BL31" i="13"/>
  <c r="BI31" i="13"/>
  <c r="BF31" i="13"/>
  <c r="BC31" i="13"/>
  <c r="AZ31" i="13"/>
  <c r="AW31" i="13"/>
  <c r="AT31" i="13"/>
  <c r="AO31" i="13"/>
  <c r="AL31" i="13"/>
  <c r="AN31" i="13" s="1"/>
  <c r="AI31" i="13"/>
  <c r="AK31" i="13" s="1"/>
  <c r="AB31" i="13"/>
  <c r="Y31" i="13"/>
  <c r="V31" i="13"/>
  <c r="S31" i="13"/>
  <c r="P31" i="13"/>
  <c r="M31" i="13"/>
  <c r="J31" i="13"/>
  <c r="G31" i="13"/>
  <c r="D31" i="13"/>
  <c r="EL30" i="13"/>
  <c r="EG30" i="13"/>
  <c r="EI30" i="13" s="1"/>
  <c r="DW30" i="13"/>
  <c r="DT30" i="13"/>
  <c r="DQ30" i="13"/>
  <c r="DN30" i="13"/>
  <c r="DK30" i="13"/>
  <c r="DH30" i="13"/>
  <c r="DE30" i="13"/>
  <c r="DB30" i="13"/>
  <c r="CY30" i="13"/>
  <c r="CV30" i="13"/>
  <c r="CS30" i="13"/>
  <c r="CP30" i="13"/>
  <c r="CM30" i="13"/>
  <c r="CJ30" i="13"/>
  <c r="CG30" i="13"/>
  <c r="CD30" i="13"/>
  <c r="CA30" i="13"/>
  <c r="BX30" i="13"/>
  <c r="BU30" i="13"/>
  <c r="BR30" i="13"/>
  <c r="BO30" i="13"/>
  <c r="BL30" i="13"/>
  <c r="BI30" i="13"/>
  <c r="BF30" i="13"/>
  <c r="BC30" i="13"/>
  <c r="AZ30" i="13"/>
  <c r="AW30" i="13"/>
  <c r="AT30" i="13"/>
  <c r="AO30" i="13"/>
  <c r="AQ30" i="13" s="1"/>
  <c r="AL30" i="13"/>
  <c r="AN30" i="13" s="1"/>
  <c r="AK30" i="13"/>
  <c r="AI30" i="13"/>
  <c r="AB30" i="13"/>
  <c r="Y30" i="13"/>
  <c r="V30" i="13"/>
  <c r="S30" i="13"/>
  <c r="P30" i="13"/>
  <c r="M30" i="13"/>
  <c r="J30" i="13"/>
  <c r="G30" i="13"/>
  <c r="D30" i="13"/>
  <c r="EL29" i="13"/>
  <c r="EG29" i="13"/>
  <c r="EI29" i="13" s="1"/>
  <c r="DW29" i="13"/>
  <c r="DT29" i="13"/>
  <c r="DQ29" i="13"/>
  <c r="DN29" i="13"/>
  <c r="DK29" i="13"/>
  <c r="DH29" i="13"/>
  <c r="DE29" i="13"/>
  <c r="DB29" i="13"/>
  <c r="CY29" i="13"/>
  <c r="CV29" i="13"/>
  <c r="CS29" i="13"/>
  <c r="CP29" i="13"/>
  <c r="CM29" i="13"/>
  <c r="CJ29" i="13"/>
  <c r="CG29" i="13"/>
  <c r="CD29" i="13"/>
  <c r="CA29" i="13"/>
  <c r="BX29" i="13"/>
  <c r="BU29" i="13"/>
  <c r="BR29" i="13"/>
  <c r="BO29" i="13"/>
  <c r="BL29" i="13"/>
  <c r="BI29" i="13"/>
  <c r="BF29" i="13"/>
  <c r="BC29" i="13"/>
  <c r="AZ29" i="13"/>
  <c r="AW29" i="13"/>
  <c r="AT29" i="13"/>
  <c r="AQ29" i="13"/>
  <c r="AO29" i="13"/>
  <c r="AL29" i="13"/>
  <c r="AK29" i="13"/>
  <c r="AI29" i="13"/>
  <c r="AB29" i="13"/>
  <c r="Y29" i="13"/>
  <c r="V29" i="13"/>
  <c r="S29" i="13"/>
  <c r="P29" i="13"/>
  <c r="M29" i="13"/>
  <c r="J29" i="13"/>
  <c r="G29" i="13"/>
  <c r="D29" i="13"/>
  <c r="EL28" i="13"/>
  <c r="EG28" i="13"/>
  <c r="EI28" i="13" s="1"/>
  <c r="DW28" i="13"/>
  <c r="DT28" i="13"/>
  <c r="DQ28" i="13"/>
  <c r="DN28" i="13"/>
  <c r="DK28" i="13"/>
  <c r="DH28" i="13"/>
  <c r="DE28" i="13"/>
  <c r="DB28" i="13"/>
  <c r="CY28" i="13"/>
  <c r="CV28" i="13"/>
  <c r="CS28" i="13"/>
  <c r="CP28" i="13"/>
  <c r="CM28" i="13"/>
  <c r="CJ28" i="13"/>
  <c r="CG28" i="13"/>
  <c r="CD28" i="13"/>
  <c r="CA28" i="13"/>
  <c r="BX28" i="13"/>
  <c r="BU28" i="13"/>
  <c r="BR28" i="13"/>
  <c r="BO28" i="13"/>
  <c r="BL28" i="13"/>
  <c r="BI28" i="13"/>
  <c r="BF28" i="13"/>
  <c r="BC28" i="13"/>
  <c r="AZ28" i="13"/>
  <c r="AW28" i="13"/>
  <c r="AT28" i="13"/>
  <c r="AQ28" i="13"/>
  <c r="AO28" i="13"/>
  <c r="AL28" i="13"/>
  <c r="AN28" i="13" s="1"/>
  <c r="AK28" i="13"/>
  <c r="AI28" i="13"/>
  <c r="AB28" i="13"/>
  <c r="Y28" i="13"/>
  <c r="V28" i="13"/>
  <c r="S28" i="13"/>
  <c r="P28" i="13"/>
  <c r="M28" i="13"/>
  <c r="J28" i="13"/>
  <c r="G28" i="13"/>
  <c r="D28" i="13"/>
  <c r="EL27" i="13"/>
  <c r="EG27" i="13"/>
  <c r="EI27" i="13" s="1"/>
  <c r="DW27" i="13"/>
  <c r="DT27" i="13"/>
  <c r="DQ27" i="13"/>
  <c r="DN27" i="13"/>
  <c r="DK27" i="13"/>
  <c r="DH27" i="13"/>
  <c r="DE27" i="13"/>
  <c r="DB27" i="13"/>
  <c r="CY27" i="13"/>
  <c r="CV27" i="13"/>
  <c r="CS27" i="13"/>
  <c r="CP27" i="13"/>
  <c r="CM27" i="13"/>
  <c r="CJ27" i="13"/>
  <c r="CG27" i="13"/>
  <c r="CD27" i="13"/>
  <c r="CA27" i="13"/>
  <c r="BX27" i="13"/>
  <c r="BU27" i="13"/>
  <c r="BR27" i="13"/>
  <c r="BO27" i="13"/>
  <c r="BL27" i="13"/>
  <c r="BI27" i="13"/>
  <c r="BF27" i="13"/>
  <c r="BC27" i="13"/>
  <c r="AZ27" i="13"/>
  <c r="AW27" i="13"/>
  <c r="AT27" i="13"/>
  <c r="AO27" i="13"/>
  <c r="AN27" i="13"/>
  <c r="AL27" i="13"/>
  <c r="AI27" i="13"/>
  <c r="AK27" i="13" s="1"/>
  <c r="AB27" i="13"/>
  <c r="Y27" i="13"/>
  <c r="V27" i="13"/>
  <c r="S27" i="13"/>
  <c r="P27" i="13"/>
  <c r="M27" i="13"/>
  <c r="J27" i="13"/>
  <c r="G27" i="13"/>
  <c r="D27" i="13"/>
  <c r="EL26" i="13"/>
  <c r="EG26" i="13"/>
  <c r="EI26" i="13" s="1"/>
  <c r="DW26" i="13"/>
  <c r="DT26" i="13"/>
  <c r="DQ26" i="13"/>
  <c r="DN26" i="13"/>
  <c r="DK26" i="13"/>
  <c r="DH26" i="13"/>
  <c r="DE26" i="13"/>
  <c r="DB26" i="13"/>
  <c r="CY26" i="13"/>
  <c r="CV26" i="13"/>
  <c r="CS26" i="13"/>
  <c r="CP26" i="13"/>
  <c r="CM26" i="13"/>
  <c r="CJ26" i="13"/>
  <c r="CG26" i="13"/>
  <c r="CD26" i="13"/>
  <c r="CA26" i="13"/>
  <c r="BX26" i="13"/>
  <c r="BU26" i="13"/>
  <c r="BR26" i="13"/>
  <c r="BO26" i="13"/>
  <c r="BL26" i="13"/>
  <c r="BI26" i="13"/>
  <c r="BF26" i="13"/>
  <c r="BC26" i="13"/>
  <c r="AZ26" i="13"/>
  <c r="AW26" i="13"/>
  <c r="AT26" i="13"/>
  <c r="AQ26" i="13"/>
  <c r="AO26" i="13"/>
  <c r="EK26" i="13" s="1"/>
  <c r="AL26" i="13"/>
  <c r="EB26" i="13" s="1"/>
  <c r="AK26" i="13"/>
  <c r="AI26" i="13"/>
  <c r="AB26" i="13"/>
  <c r="Y26" i="13"/>
  <c r="V26" i="13"/>
  <c r="S26" i="13"/>
  <c r="P26" i="13"/>
  <c r="M26" i="13"/>
  <c r="J26" i="13"/>
  <c r="G26" i="13"/>
  <c r="D26" i="13"/>
  <c r="EL25" i="13"/>
  <c r="EG25" i="13"/>
  <c r="EI25" i="13" s="1"/>
  <c r="DW25" i="13"/>
  <c r="DT25" i="13"/>
  <c r="DQ25" i="13"/>
  <c r="DN25" i="13"/>
  <c r="DK25" i="13"/>
  <c r="DH25" i="13"/>
  <c r="DE25" i="13"/>
  <c r="DB25" i="13"/>
  <c r="CY25" i="13"/>
  <c r="CV25" i="13"/>
  <c r="CS25" i="13"/>
  <c r="CP25" i="13"/>
  <c r="CM25" i="13"/>
  <c r="CJ25" i="13"/>
  <c r="CG25" i="13"/>
  <c r="CD25" i="13"/>
  <c r="CA25" i="13"/>
  <c r="BX25" i="13"/>
  <c r="BU25" i="13"/>
  <c r="BR25" i="13"/>
  <c r="BO25" i="13"/>
  <c r="BL25" i="13"/>
  <c r="BI25" i="13"/>
  <c r="BF25" i="13"/>
  <c r="BC25" i="13"/>
  <c r="AZ25" i="13"/>
  <c r="AW25" i="13"/>
  <c r="AT25" i="13"/>
  <c r="AO25" i="13"/>
  <c r="AQ25" i="13" s="1"/>
  <c r="AL25" i="13"/>
  <c r="AN25" i="13" s="1"/>
  <c r="AI25" i="13"/>
  <c r="AK25" i="13" s="1"/>
  <c r="AB25" i="13"/>
  <c r="Y25" i="13"/>
  <c r="V25" i="13"/>
  <c r="S25" i="13"/>
  <c r="P25" i="13"/>
  <c r="M25" i="13"/>
  <c r="J25" i="13"/>
  <c r="G25" i="13"/>
  <c r="D25" i="13"/>
  <c r="EL24" i="13"/>
  <c r="EG24" i="13"/>
  <c r="EI24" i="13" s="1"/>
  <c r="DW24" i="13"/>
  <c r="DT24" i="13"/>
  <c r="DQ24" i="13"/>
  <c r="DN24" i="13"/>
  <c r="DK24" i="13"/>
  <c r="DH24" i="13"/>
  <c r="DE24" i="13"/>
  <c r="DB24" i="13"/>
  <c r="CY24" i="13"/>
  <c r="CV24" i="13"/>
  <c r="CS24" i="13"/>
  <c r="CP24" i="13"/>
  <c r="CM24" i="13"/>
  <c r="CJ24" i="13"/>
  <c r="CG24" i="13"/>
  <c r="CD24" i="13"/>
  <c r="CA24" i="13"/>
  <c r="BX24" i="13"/>
  <c r="BU24" i="13"/>
  <c r="BR24" i="13"/>
  <c r="BO24" i="13"/>
  <c r="BL24" i="13"/>
  <c r="BI24" i="13"/>
  <c r="BF24" i="13"/>
  <c r="BC24" i="13"/>
  <c r="AZ24" i="13"/>
  <c r="AW24" i="13"/>
  <c r="AT24" i="13"/>
  <c r="AQ24" i="13"/>
  <c r="AL24" i="13"/>
  <c r="AK24" i="13"/>
  <c r="AI24" i="13"/>
  <c r="EB24" i="13" s="1"/>
  <c r="AB24" i="13"/>
  <c r="Y24" i="13"/>
  <c r="V24" i="13"/>
  <c r="S24" i="13"/>
  <c r="P24" i="13"/>
  <c r="M24" i="13"/>
  <c r="J24" i="13"/>
  <c r="G24" i="13"/>
  <c r="D24" i="13"/>
  <c r="EL23" i="13"/>
  <c r="EG23" i="13"/>
  <c r="EI23" i="13" s="1"/>
  <c r="DW23" i="13"/>
  <c r="DT23" i="13"/>
  <c r="DQ23" i="13"/>
  <c r="DN23" i="13"/>
  <c r="DK23" i="13"/>
  <c r="DH23" i="13"/>
  <c r="DE23" i="13"/>
  <c r="DB23" i="13"/>
  <c r="CY23" i="13"/>
  <c r="CV23" i="13"/>
  <c r="CS23" i="13"/>
  <c r="CP23" i="13"/>
  <c r="CM23" i="13"/>
  <c r="CJ23" i="13"/>
  <c r="CG23" i="13"/>
  <c r="CD23" i="13"/>
  <c r="CA23" i="13"/>
  <c r="BX23" i="13"/>
  <c r="BU23" i="13"/>
  <c r="BR23" i="13"/>
  <c r="BO23" i="13"/>
  <c r="BL23" i="13"/>
  <c r="BI23" i="13"/>
  <c r="BF23" i="13"/>
  <c r="BC23" i="13"/>
  <c r="AZ23" i="13"/>
  <c r="AW23" i="13"/>
  <c r="AT23" i="13"/>
  <c r="AQ23" i="13"/>
  <c r="AL23" i="13"/>
  <c r="AK23" i="13"/>
  <c r="AI23" i="13"/>
  <c r="AB23" i="13"/>
  <c r="Y23" i="13"/>
  <c r="V23" i="13"/>
  <c r="S23" i="13"/>
  <c r="P23" i="13"/>
  <c r="M23" i="13"/>
  <c r="J23" i="13"/>
  <c r="G23" i="13"/>
  <c r="D23" i="13"/>
  <c r="EL22" i="13"/>
  <c r="EG22" i="13"/>
  <c r="EI22" i="13" s="1"/>
  <c r="DW22" i="13"/>
  <c r="DT22" i="13"/>
  <c r="DQ22" i="13"/>
  <c r="DN22" i="13"/>
  <c r="DK22" i="13"/>
  <c r="DH22" i="13"/>
  <c r="DE22" i="13"/>
  <c r="DB22" i="13"/>
  <c r="CY22" i="13"/>
  <c r="CV22" i="13"/>
  <c r="CS22" i="13"/>
  <c r="CP22" i="13"/>
  <c r="CM22" i="13"/>
  <c r="CJ22" i="13"/>
  <c r="CG22" i="13"/>
  <c r="CD22" i="13"/>
  <c r="CA22" i="13"/>
  <c r="BX22" i="13"/>
  <c r="BU22" i="13"/>
  <c r="BR22" i="13"/>
  <c r="BO22" i="13"/>
  <c r="BL22" i="13"/>
  <c r="BI22" i="13"/>
  <c r="BF22" i="13"/>
  <c r="BC22" i="13"/>
  <c r="AZ22" i="13"/>
  <c r="AW22" i="13"/>
  <c r="AT22" i="13"/>
  <c r="AQ22" i="13"/>
  <c r="AL22" i="13"/>
  <c r="AI22" i="13"/>
  <c r="AK22" i="13" s="1"/>
  <c r="AB22" i="13"/>
  <c r="Y22" i="13"/>
  <c r="V22" i="13"/>
  <c r="S22" i="13"/>
  <c r="EH22" i="13" s="1"/>
  <c r="P22" i="13"/>
  <c r="M22" i="13"/>
  <c r="J22" i="13"/>
  <c r="G22" i="13"/>
  <c r="D22" i="13"/>
  <c r="EL21" i="13"/>
  <c r="EG21" i="13"/>
  <c r="EI21" i="13" s="1"/>
  <c r="DW21" i="13"/>
  <c r="DT21" i="13"/>
  <c r="DQ21" i="13"/>
  <c r="DN21" i="13"/>
  <c r="DK21" i="13"/>
  <c r="DH21" i="13"/>
  <c r="DE21" i="13"/>
  <c r="DB21" i="13"/>
  <c r="CY21" i="13"/>
  <c r="CV21" i="13"/>
  <c r="CS21" i="13"/>
  <c r="CP21" i="13"/>
  <c r="CM21" i="13"/>
  <c r="CJ21" i="13"/>
  <c r="CG21" i="13"/>
  <c r="CD21" i="13"/>
  <c r="CA21" i="13"/>
  <c r="BX21" i="13"/>
  <c r="BU21" i="13"/>
  <c r="BR21" i="13"/>
  <c r="BO21" i="13"/>
  <c r="BL21" i="13"/>
  <c r="BI21" i="13"/>
  <c r="BF21" i="13"/>
  <c r="BC21" i="13"/>
  <c r="AZ21" i="13"/>
  <c r="AW21" i="13"/>
  <c r="AT21" i="13"/>
  <c r="AQ21" i="13"/>
  <c r="AL21" i="13"/>
  <c r="EB21" i="13" s="1"/>
  <c r="AI21" i="13"/>
  <c r="AK21" i="13" s="1"/>
  <c r="AB21" i="13"/>
  <c r="Y21" i="13"/>
  <c r="V21" i="13"/>
  <c r="S21" i="13"/>
  <c r="P21" i="13"/>
  <c r="M21" i="13"/>
  <c r="J21" i="13"/>
  <c r="G21" i="13"/>
  <c r="D21" i="13"/>
  <c r="EL20" i="13"/>
  <c r="EG20" i="13"/>
  <c r="EI20" i="13" s="1"/>
  <c r="DW20" i="13"/>
  <c r="DT20" i="13"/>
  <c r="DQ20" i="13"/>
  <c r="DN20" i="13"/>
  <c r="DK20" i="13"/>
  <c r="DH20" i="13"/>
  <c r="DE20" i="13"/>
  <c r="DB20" i="13"/>
  <c r="CY20" i="13"/>
  <c r="CV20" i="13"/>
  <c r="CS20" i="13"/>
  <c r="CP20" i="13"/>
  <c r="CM20" i="13"/>
  <c r="CJ20" i="13"/>
  <c r="CG20" i="13"/>
  <c r="CD20" i="13"/>
  <c r="CA20" i="13"/>
  <c r="BX20" i="13"/>
  <c r="BU20" i="13"/>
  <c r="BR20" i="13"/>
  <c r="BO20" i="13"/>
  <c r="BL20" i="13"/>
  <c r="BI20" i="13"/>
  <c r="BF20" i="13"/>
  <c r="BC20" i="13"/>
  <c r="AZ20" i="13"/>
  <c r="AW20" i="13"/>
  <c r="AT20" i="13"/>
  <c r="AQ20" i="13"/>
  <c r="AL20" i="13"/>
  <c r="AI20" i="13"/>
  <c r="AK20" i="13" s="1"/>
  <c r="AB20" i="13"/>
  <c r="Y20" i="13"/>
  <c r="V20" i="13"/>
  <c r="S20" i="13"/>
  <c r="EH20" i="13" s="1"/>
  <c r="P20" i="13"/>
  <c r="M20" i="13"/>
  <c r="J20" i="13"/>
  <c r="G20" i="13"/>
  <c r="D20" i="13"/>
  <c r="EL19" i="13"/>
  <c r="EG19" i="13"/>
  <c r="EI19" i="13" s="1"/>
  <c r="EB19" i="13"/>
  <c r="DW19" i="13"/>
  <c r="DT19" i="13"/>
  <c r="DQ19" i="13"/>
  <c r="DN19" i="13"/>
  <c r="DK19" i="13"/>
  <c r="DH19" i="13"/>
  <c r="DE19" i="13"/>
  <c r="DB19" i="13"/>
  <c r="CY19" i="13"/>
  <c r="CV19" i="13"/>
  <c r="CS19" i="13"/>
  <c r="CP19" i="13"/>
  <c r="CM19" i="13"/>
  <c r="CJ19" i="13"/>
  <c r="CG19" i="13"/>
  <c r="CD19" i="13"/>
  <c r="CA19" i="13"/>
  <c r="BX19" i="13"/>
  <c r="BU19" i="13"/>
  <c r="BR19" i="13"/>
  <c r="BO19" i="13"/>
  <c r="BL19" i="13"/>
  <c r="BI19" i="13"/>
  <c r="BF19" i="13"/>
  <c r="BC19" i="13"/>
  <c r="AZ19" i="13"/>
  <c r="AW19" i="13"/>
  <c r="AT19" i="13"/>
  <c r="AQ19" i="13"/>
  <c r="AN19" i="13"/>
  <c r="AL19" i="13"/>
  <c r="EK19" i="13" s="1"/>
  <c r="AK19" i="13"/>
  <c r="AI19" i="13"/>
  <c r="AB19" i="13"/>
  <c r="Y19" i="13"/>
  <c r="V19" i="13"/>
  <c r="EH19" i="13" s="1"/>
  <c r="S19" i="13"/>
  <c r="P19" i="13"/>
  <c r="M19" i="13"/>
  <c r="J19" i="13"/>
  <c r="G19" i="13"/>
  <c r="D19" i="13"/>
  <c r="EL18" i="13"/>
  <c r="EG18" i="13"/>
  <c r="EI18" i="13" s="1"/>
  <c r="DW18" i="13"/>
  <c r="DT18" i="13"/>
  <c r="DQ18" i="13"/>
  <c r="DN18" i="13"/>
  <c r="DK18" i="13"/>
  <c r="DH18" i="13"/>
  <c r="DE18" i="13"/>
  <c r="DB18" i="13"/>
  <c r="CY18" i="13"/>
  <c r="CV18" i="13"/>
  <c r="CS18" i="13"/>
  <c r="CP18" i="13"/>
  <c r="CM18" i="13"/>
  <c r="CJ18" i="13"/>
  <c r="CG18" i="13"/>
  <c r="CD18" i="13"/>
  <c r="CA18" i="13"/>
  <c r="BX18" i="13"/>
  <c r="BU18" i="13"/>
  <c r="BR18" i="13"/>
  <c r="BO18" i="13"/>
  <c r="BL18" i="13"/>
  <c r="BI18" i="13"/>
  <c r="BF18" i="13"/>
  <c r="BC18" i="13"/>
  <c r="AZ18" i="13"/>
  <c r="AW18" i="13"/>
  <c r="AT18" i="13"/>
  <c r="AQ18" i="13"/>
  <c r="AL18" i="13"/>
  <c r="EK18" i="13" s="1"/>
  <c r="AK18" i="13"/>
  <c r="AI18" i="13"/>
  <c r="AB18" i="13"/>
  <c r="Y18" i="13"/>
  <c r="V18" i="13"/>
  <c r="S18" i="13"/>
  <c r="P18" i="13"/>
  <c r="M18" i="13"/>
  <c r="J18" i="13"/>
  <c r="G18" i="13"/>
  <c r="D18" i="13"/>
  <c r="EL17" i="13"/>
  <c r="EI17" i="13"/>
  <c r="EG17" i="13"/>
  <c r="DW17" i="13"/>
  <c r="DT17" i="13"/>
  <c r="DQ17" i="13"/>
  <c r="DN17" i="13"/>
  <c r="DK17" i="13"/>
  <c r="DH17" i="13"/>
  <c r="DE17" i="13"/>
  <c r="DB17" i="13"/>
  <c r="CY17" i="13"/>
  <c r="CV17" i="13"/>
  <c r="CS17" i="13"/>
  <c r="CP17" i="13"/>
  <c r="CM17" i="13"/>
  <c r="CJ17" i="13"/>
  <c r="CG17" i="13"/>
  <c r="CD17" i="13"/>
  <c r="CA17" i="13"/>
  <c r="BX17" i="13"/>
  <c r="BU17" i="13"/>
  <c r="BR17" i="13"/>
  <c r="BO17" i="13"/>
  <c r="BL17" i="13"/>
  <c r="BI17" i="13"/>
  <c r="BF17" i="13"/>
  <c r="BC17" i="13"/>
  <c r="AZ17" i="13"/>
  <c r="AW17" i="13"/>
  <c r="AT17" i="13"/>
  <c r="AQ17" i="13"/>
  <c r="AL17" i="13"/>
  <c r="EK17" i="13" s="1"/>
  <c r="AK17" i="13"/>
  <c r="AI17" i="13"/>
  <c r="AB17" i="13"/>
  <c r="Y17" i="13"/>
  <c r="V17" i="13"/>
  <c r="S17" i="13"/>
  <c r="P17" i="13"/>
  <c r="M17" i="13"/>
  <c r="J17" i="13"/>
  <c r="G17" i="13"/>
  <c r="D17" i="13"/>
  <c r="EL16" i="13"/>
  <c r="EG16" i="13"/>
  <c r="EI16" i="13" s="1"/>
  <c r="DW16" i="13"/>
  <c r="DT16" i="13"/>
  <c r="DQ16" i="13"/>
  <c r="DN16" i="13"/>
  <c r="DK16" i="13"/>
  <c r="DH16" i="13"/>
  <c r="DE16" i="13"/>
  <c r="DB16" i="13"/>
  <c r="CY16" i="13"/>
  <c r="CV16" i="13"/>
  <c r="CS16" i="13"/>
  <c r="CP16" i="13"/>
  <c r="CM16" i="13"/>
  <c r="CJ16" i="13"/>
  <c r="CG16" i="13"/>
  <c r="CD16" i="13"/>
  <c r="CA16" i="13"/>
  <c r="BX16" i="13"/>
  <c r="BU16" i="13"/>
  <c r="BR16" i="13"/>
  <c r="BO16" i="13"/>
  <c r="BL16" i="13"/>
  <c r="BI16" i="13"/>
  <c r="BF16" i="13"/>
  <c r="BC16" i="13"/>
  <c r="AZ16" i="13"/>
  <c r="AW16" i="13"/>
  <c r="AT16" i="13"/>
  <c r="AQ16" i="13"/>
  <c r="AN16" i="13"/>
  <c r="AI16" i="13"/>
  <c r="EK16" i="13" s="1"/>
  <c r="AB16" i="13"/>
  <c r="Y16" i="13"/>
  <c r="V16" i="13"/>
  <c r="S16" i="13"/>
  <c r="P16" i="13"/>
  <c r="M16" i="13"/>
  <c r="J16" i="13"/>
  <c r="G16" i="13"/>
  <c r="D16" i="13"/>
  <c r="EL15" i="13"/>
  <c r="EG15" i="13"/>
  <c r="EI15" i="13" s="1"/>
  <c r="DW15" i="13"/>
  <c r="DT15" i="13"/>
  <c r="DQ15" i="13"/>
  <c r="DN15" i="13"/>
  <c r="DK15" i="13"/>
  <c r="DH15" i="13"/>
  <c r="DE15" i="13"/>
  <c r="DB15" i="13"/>
  <c r="CY15" i="13"/>
  <c r="CV15" i="13"/>
  <c r="CS15" i="13"/>
  <c r="CP15" i="13"/>
  <c r="CM15" i="13"/>
  <c r="CJ15" i="13"/>
  <c r="CG15" i="13"/>
  <c r="CD15" i="13"/>
  <c r="CA15" i="13"/>
  <c r="BX15" i="13"/>
  <c r="BU15" i="13"/>
  <c r="BR15" i="13"/>
  <c r="BO15" i="13"/>
  <c r="BL15" i="13"/>
  <c r="BI15" i="13"/>
  <c r="BF15" i="13"/>
  <c r="BC15" i="13"/>
  <c r="AZ15" i="13"/>
  <c r="AW15" i="13"/>
  <c r="AT15" i="13"/>
  <c r="AQ15" i="13"/>
  <c r="AN15" i="13"/>
  <c r="AK15" i="13"/>
  <c r="AI15" i="13"/>
  <c r="EB15" i="13" s="1"/>
  <c r="AB15" i="13"/>
  <c r="Y15" i="13"/>
  <c r="V15" i="13"/>
  <c r="S15" i="13"/>
  <c r="P15" i="13"/>
  <c r="M15" i="13"/>
  <c r="J15" i="13"/>
  <c r="G15" i="13"/>
  <c r="D15" i="13"/>
  <c r="EL14" i="13"/>
  <c r="EG14" i="13"/>
  <c r="EI14" i="13" s="1"/>
  <c r="DW14" i="13"/>
  <c r="DT14" i="13"/>
  <c r="DQ14" i="13"/>
  <c r="DN14" i="13"/>
  <c r="DK14" i="13"/>
  <c r="DH14" i="13"/>
  <c r="DE14" i="13"/>
  <c r="DB14" i="13"/>
  <c r="CY14" i="13"/>
  <c r="CV14" i="13"/>
  <c r="CS14" i="13"/>
  <c r="CP14" i="13"/>
  <c r="CM14" i="13"/>
  <c r="CJ14" i="13"/>
  <c r="CG14" i="13"/>
  <c r="CD14" i="13"/>
  <c r="CA14" i="13"/>
  <c r="BX14" i="13"/>
  <c r="BU14" i="13"/>
  <c r="BR14" i="13"/>
  <c r="BO14" i="13"/>
  <c r="BL14" i="13"/>
  <c r="BI14" i="13"/>
  <c r="BF14" i="13"/>
  <c r="BC14" i="13"/>
  <c r="AZ14" i="13"/>
  <c r="AW14" i="13"/>
  <c r="AT14" i="13"/>
  <c r="AQ14" i="13"/>
  <c r="AN14" i="13"/>
  <c r="AI14" i="13"/>
  <c r="AK14" i="13" s="1"/>
  <c r="AB14" i="13"/>
  <c r="Y14" i="13"/>
  <c r="V14" i="13"/>
  <c r="S14" i="13"/>
  <c r="P14" i="13"/>
  <c r="M14" i="13"/>
  <c r="J14" i="13"/>
  <c r="G14" i="13"/>
  <c r="D14" i="13"/>
  <c r="EL13" i="13"/>
  <c r="EK13" i="13"/>
  <c r="EG13" i="13"/>
  <c r="EI13" i="13" s="1"/>
  <c r="DW13" i="13"/>
  <c r="DT13" i="13"/>
  <c r="DQ13" i="13"/>
  <c r="DN13" i="13"/>
  <c r="DK13" i="13"/>
  <c r="DH13" i="13"/>
  <c r="DE13" i="13"/>
  <c r="DB13" i="13"/>
  <c r="CY13" i="13"/>
  <c r="CV13" i="13"/>
  <c r="CS13" i="13"/>
  <c r="CP13" i="13"/>
  <c r="CM13" i="13"/>
  <c r="CJ13" i="13"/>
  <c r="CG13" i="13"/>
  <c r="CD13" i="13"/>
  <c r="CA13" i="13"/>
  <c r="BX13" i="13"/>
  <c r="BU13" i="13"/>
  <c r="BR13" i="13"/>
  <c r="BO13" i="13"/>
  <c r="BL13" i="13"/>
  <c r="BI13" i="13"/>
  <c r="BF13" i="13"/>
  <c r="BC13" i="13"/>
  <c r="AZ13" i="13"/>
  <c r="AW13" i="13"/>
  <c r="AT13" i="13"/>
  <c r="AQ13" i="13"/>
  <c r="AN13" i="13"/>
  <c r="AI13" i="13"/>
  <c r="EB13" i="13" s="1"/>
  <c r="AB13" i="13"/>
  <c r="Y13" i="13"/>
  <c r="V13" i="13"/>
  <c r="S13" i="13"/>
  <c r="P13" i="13"/>
  <c r="M13" i="13"/>
  <c r="J13" i="13"/>
  <c r="G13" i="13"/>
  <c r="D13" i="13"/>
  <c r="EL12" i="13"/>
  <c r="EG12" i="13"/>
  <c r="EI12" i="13" s="1"/>
  <c r="DW12" i="13"/>
  <c r="DT12" i="13"/>
  <c r="DQ12" i="13"/>
  <c r="DN12" i="13"/>
  <c r="DK12" i="13"/>
  <c r="DH12" i="13"/>
  <c r="DE12" i="13"/>
  <c r="DB12" i="13"/>
  <c r="CY12" i="13"/>
  <c r="CV12" i="13"/>
  <c r="CS12" i="13"/>
  <c r="CP12" i="13"/>
  <c r="CM12" i="13"/>
  <c r="CJ12" i="13"/>
  <c r="CG12" i="13"/>
  <c r="CD12" i="13"/>
  <c r="CA12" i="13"/>
  <c r="BX12" i="13"/>
  <c r="BU12" i="13"/>
  <c r="BR12" i="13"/>
  <c r="BO12" i="13"/>
  <c r="BL12" i="13"/>
  <c r="BI12" i="13"/>
  <c r="BF12" i="13"/>
  <c r="BC12" i="13"/>
  <c r="AZ12" i="13"/>
  <c r="AW12" i="13"/>
  <c r="AT12" i="13"/>
  <c r="AQ12" i="13"/>
  <c r="AN12" i="13"/>
  <c r="AI12" i="13"/>
  <c r="EK12" i="13" s="1"/>
  <c r="AB12" i="13"/>
  <c r="Y12" i="13"/>
  <c r="V12" i="13"/>
  <c r="S12" i="13"/>
  <c r="P12" i="13"/>
  <c r="M12" i="13"/>
  <c r="J12" i="13"/>
  <c r="G12" i="13"/>
  <c r="D12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EL11" i="13"/>
  <c r="EG11" i="13"/>
  <c r="EI11" i="13" s="1"/>
  <c r="DW11" i="13"/>
  <c r="DT11" i="13"/>
  <c r="DQ11" i="13"/>
  <c r="DN11" i="13"/>
  <c r="DN42" i="13" s="1"/>
  <c r="DK11" i="13"/>
  <c r="DH11" i="13"/>
  <c r="DE11" i="13"/>
  <c r="DB11" i="13"/>
  <c r="CY11" i="13"/>
  <c r="CV11" i="13"/>
  <c r="CS11" i="13"/>
  <c r="CP11" i="13"/>
  <c r="CM11" i="13"/>
  <c r="CJ11" i="13"/>
  <c r="CG11" i="13"/>
  <c r="CD11" i="13"/>
  <c r="CA11" i="13"/>
  <c r="BX11" i="13"/>
  <c r="BU11" i="13"/>
  <c r="BR11" i="13"/>
  <c r="BR42" i="13" s="1"/>
  <c r="BO11" i="13"/>
  <c r="BL11" i="13"/>
  <c r="BI11" i="13"/>
  <c r="BF11" i="13"/>
  <c r="BC11" i="13"/>
  <c r="AZ11" i="13"/>
  <c r="AW11" i="13"/>
  <c r="AT11" i="13"/>
  <c r="AQ11" i="13"/>
  <c r="AN11" i="13"/>
  <c r="AI11" i="13"/>
  <c r="EK11" i="13" s="1"/>
  <c r="AE42" i="13"/>
  <c r="AB11" i="13"/>
  <c r="Y11" i="13"/>
  <c r="V11" i="13"/>
  <c r="S11" i="13"/>
  <c r="P11" i="13"/>
  <c r="M11" i="13"/>
  <c r="J11" i="13"/>
  <c r="G11" i="13"/>
  <c r="D11" i="13"/>
  <c r="EI2" i="13"/>
  <c r="ED19" i="13" l="1"/>
  <c r="EM37" i="14"/>
  <c r="S39" i="15"/>
  <c r="EB11" i="15"/>
  <c r="EC11" i="15" s="1"/>
  <c r="EM17" i="15"/>
  <c r="EN17" i="15" s="1"/>
  <c r="EC16" i="16"/>
  <c r="EK20" i="16"/>
  <c r="EM26" i="16"/>
  <c r="EH28" i="16"/>
  <c r="ED35" i="16"/>
  <c r="EE35" i="16" s="1"/>
  <c r="EH36" i="16"/>
  <c r="S42" i="13"/>
  <c r="EK25" i="13"/>
  <c r="CM42" i="13"/>
  <c r="EH31" i="13"/>
  <c r="EB32" i="13"/>
  <c r="EE32" i="13" s="1"/>
  <c r="EB41" i="13"/>
  <c r="EE2" i="13" s="1"/>
  <c r="EQ2" i="13" s="1"/>
  <c r="G4" i="13" s="1"/>
  <c r="AN41" i="14"/>
  <c r="BL41" i="14"/>
  <c r="CJ41" i="14"/>
  <c r="DH41" i="14"/>
  <c r="EK11" i="14"/>
  <c r="EM12" i="14"/>
  <c r="EN12" i="14" s="1"/>
  <c r="EK15" i="14"/>
  <c r="EC15" i="14" s="1"/>
  <c r="EK17" i="14"/>
  <c r="EK19" i="14"/>
  <c r="EK21" i="14"/>
  <c r="ED34" i="14"/>
  <c r="EH35" i="14"/>
  <c r="V39" i="15"/>
  <c r="AN11" i="15"/>
  <c r="BC39" i="15"/>
  <c r="CA39" i="15"/>
  <c r="CY39" i="15"/>
  <c r="DW39" i="15"/>
  <c r="EH13" i="15"/>
  <c r="AW16" i="15"/>
  <c r="EM16" i="15" s="1"/>
  <c r="EN16" i="15" s="1"/>
  <c r="EB17" i="15"/>
  <c r="EH19" i="15"/>
  <c r="EH21" i="15"/>
  <c r="AN23" i="15"/>
  <c r="EK23" i="15"/>
  <c r="EC23" i="15" s="1"/>
  <c r="EH24" i="15"/>
  <c r="AZ25" i="15"/>
  <c r="EB28" i="15"/>
  <c r="EH29" i="15"/>
  <c r="EB29" i="15"/>
  <c r="EK30" i="15"/>
  <c r="EH32" i="15"/>
  <c r="AZ33" i="15"/>
  <c r="EM33" i="15" s="1"/>
  <c r="EN33" i="15" s="1"/>
  <c r="EB36" i="15"/>
  <c r="EB37" i="15"/>
  <c r="EK38" i="15"/>
  <c r="AQ11" i="16"/>
  <c r="AQ12" i="16"/>
  <c r="AQ14" i="16"/>
  <c r="AK16" i="16"/>
  <c r="EM16" i="16" s="1"/>
  <c r="EN16" i="16" s="1"/>
  <c r="EH17" i="16"/>
  <c r="AK18" i="16"/>
  <c r="EM18" i="16" s="1"/>
  <c r="EH19" i="16"/>
  <c r="ED23" i="16"/>
  <c r="ED31" i="16"/>
  <c r="EH32" i="16"/>
  <c r="EH18" i="13"/>
  <c r="EH28" i="13"/>
  <c r="EH33" i="13"/>
  <c r="ED36" i="13"/>
  <c r="BO41" i="14"/>
  <c r="DK41" i="14"/>
  <c r="EH12" i="14"/>
  <c r="ED14" i="14"/>
  <c r="EE14" i="14" s="1"/>
  <c r="EH25" i="14"/>
  <c r="ED37" i="14"/>
  <c r="EH37" i="14"/>
  <c r="EB12" i="15"/>
  <c r="EH15" i="15"/>
  <c r="EK15" i="15"/>
  <c r="EC15" i="15" s="1"/>
  <c r="EB16" i="15"/>
  <c r="EC16" i="15" s="1"/>
  <c r="EB18" i="15"/>
  <c r="G42" i="16"/>
  <c r="EK11" i="16"/>
  <c r="EK12" i="16"/>
  <c r="EH13" i="16"/>
  <c r="EM22" i="16"/>
  <c r="ED26" i="16"/>
  <c r="EE26" i="16" s="1"/>
  <c r="G42" i="13"/>
  <c r="EH13" i="13"/>
  <c r="AT42" i="13"/>
  <c r="CP42" i="13"/>
  <c r="BO42" i="13"/>
  <c r="DK42" i="13"/>
  <c r="EH15" i="13"/>
  <c r="EM15" i="13"/>
  <c r="AK16" i="13"/>
  <c r="ED16" i="13" s="1"/>
  <c r="EB18" i="13"/>
  <c r="EC18" i="13" s="1"/>
  <c r="EB27" i="13"/>
  <c r="EH40" i="13"/>
  <c r="EH11" i="14"/>
  <c r="EC14" i="14"/>
  <c r="EH16" i="14"/>
  <c r="EH17" i="14"/>
  <c r="EH21" i="14"/>
  <c r="ED26" i="14"/>
  <c r="ED33" i="14"/>
  <c r="EE33" i="14" s="1"/>
  <c r="EH33" i="14"/>
  <c r="EH38" i="14"/>
  <c r="EK39" i="14"/>
  <c r="AW13" i="15"/>
  <c r="EM13" i="15" s="1"/>
  <c r="EN13" i="15" s="1"/>
  <c r="EB14" i="15"/>
  <c r="AN16" i="15"/>
  <c r="ED16" i="15" s="1"/>
  <c r="AW19" i="15"/>
  <c r="EM19" i="15" s="1"/>
  <c r="EN19" i="15" s="1"/>
  <c r="EB20" i="15"/>
  <c r="EH23" i="15"/>
  <c r="EK24" i="15"/>
  <c r="EH26" i="15"/>
  <c r="AZ27" i="15"/>
  <c r="ED27" i="15" s="1"/>
  <c r="EB30" i="15"/>
  <c r="EC30" i="15" s="1"/>
  <c r="EH31" i="15"/>
  <c r="EB31" i="15"/>
  <c r="EK32" i="15"/>
  <c r="EH34" i="15"/>
  <c r="AZ35" i="15"/>
  <c r="ED35" i="15" s="1"/>
  <c r="EE35" i="15" s="1"/>
  <c r="EB38" i="15"/>
  <c r="EE2" i="15" s="1"/>
  <c r="EQ2" i="15" s="1"/>
  <c r="G4" i="15" s="1"/>
  <c r="J42" i="16"/>
  <c r="AT11" i="16"/>
  <c r="AT42" i="16" s="1"/>
  <c r="BR42" i="16"/>
  <c r="CP42" i="16"/>
  <c r="DN42" i="16"/>
  <c r="ED12" i="16"/>
  <c r="AT12" i="16"/>
  <c r="ED14" i="16"/>
  <c r="EE14" i="16" s="1"/>
  <c r="ED24" i="16"/>
  <c r="EE24" i="16" s="1"/>
  <c r="EK40" i="16"/>
  <c r="EM25" i="14"/>
  <c r="EN25" i="14" s="1"/>
  <c r="EK11" i="15"/>
  <c r="ED13" i="16"/>
  <c r="EE13" i="16" s="1"/>
  <c r="AK34" i="16"/>
  <c r="EM34" i="16" s="1"/>
  <c r="EH37" i="16"/>
  <c r="AK38" i="16"/>
  <c r="EM38" i="16" s="1"/>
  <c r="ED15" i="13"/>
  <c r="EH17" i="13"/>
  <c r="EH21" i="13"/>
  <c r="ED28" i="13"/>
  <c r="EK34" i="13"/>
  <c r="AZ41" i="14"/>
  <c r="BX41" i="14"/>
  <c r="CV41" i="14"/>
  <c r="DT41" i="14"/>
  <c r="EK12" i="14"/>
  <c r="AK16" i="14"/>
  <c r="EM16" i="14" s="1"/>
  <c r="EN16" i="14" s="1"/>
  <c r="EM17" i="14"/>
  <c r="EN17" i="14" s="1"/>
  <c r="EK18" i="14"/>
  <c r="EH19" i="14"/>
  <c r="EM21" i="14"/>
  <c r="EN21" i="14" s="1"/>
  <c r="EK22" i="14"/>
  <c r="ED25" i="14"/>
  <c r="AK33" i="14"/>
  <c r="EM33" i="14" s="1"/>
  <c r="EN33" i="14" s="1"/>
  <c r="EH34" i="14"/>
  <c r="EK35" i="14"/>
  <c r="J39" i="15"/>
  <c r="BO39" i="15"/>
  <c r="CM39" i="15"/>
  <c r="DK39" i="15"/>
  <c r="EK17" i="15"/>
  <c r="AN19" i="15"/>
  <c r="ED19" i="15" s="1"/>
  <c r="EE19" i="15" s="1"/>
  <c r="EB24" i="15"/>
  <c r="EH25" i="15"/>
  <c r="EB25" i="15"/>
  <c r="EK26" i="15"/>
  <c r="EH28" i="15"/>
  <c r="AZ29" i="15"/>
  <c r="EM29" i="15" s="1"/>
  <c r="EN29" i="15" s="1"/>
  <c r="ED31" i="15"/>
  <c r="EB32" i="15"/>
  <c r="EH33" i="15"/>
  <c r="EB33" i="15"/>
  <c r="EK34" i="15"/>
  <c r="EH36" i="15"/>
  <c r="AZ37" i="15"/>
  <c r="ED37" i="15" s="1"/>
  <c r="EE37" i="15" s="1"/>
  <c r="EM11" i="16"/>
  <c r="EN11" i="16" s="1"/>
  <c r="EM12" i="16"/>
  <c r="EM14" i="16"/>
  <c r="EB15" i="16"/>
  <c r="ED19" i="16"/>
  <c r="EM20" i="16"/>
  <c r="EH23" i="16"/>
  <c r="AK24" i="16"/>
  <c r="EM24" i="16" s="1"/>
  <c r="EK24" i="16"/>
  <c r="EC24" i="16" s="1"/>
  <c r="AK28" i="16"/>
  <c r="EM28" i="16" s="1"/>
  <c r="AK30" i="16"/>
  <c r="ED30" i="16" s="1"/>
  <c r="EE30" i="16" s="1"/>
  <c r="EK32" i="16"/>
  <c r="EK36" i="16"/>
  <c r="EH40" i="16"/>
  <c r="V42" i="13"/>
  <c r="EI5" i="13"/>
  <c r="EC13" i="13"/>
  <c r="ED14" i="13"/>
  <c r="EH16" i="13"/>
  <c r="EB17" i="13"/>
  <c r="EM19" i="13"/>
  <c r="EN19" i="13" s="1"/>
  <c r="EK20" i="13"/>
  <c r="EB25" i="13"/>
  <c r="AN26" i="13"/>
  <c r="ED26" i="13" s="1"/>
  <c r="EE26" i="13" s="1"/>
  <c r="ED30" i="13"/>
  <c r="EK36" i="13"/>
  <c r="EH41" i="13"/>
  <c r="BC41" i="14"/>
  <c r="CA41" i="14"/>
  <c r="CY41" i="14"/>
  <c r="DW41" i="14"/>
  <c r="ED17" i="14"/>
  <c r="EE17" i="14" s="1"/>
  <c r="ED21" i="14"/>
  <c r="EE21" i="14" s="1"/>
  <c r="ED27" i="14"/>
  <c r="AK29" i="14"/>
  <c r="EM29" i="14" s="1"/>
  <c r="EN29" i="14" s="1"/>
  <c r="EH30" i="14"/>
  <c r="EK33" i="14"/>
  <c r="EH36" i="14"/>
  <c r="EB13" i="15"/>
  <c r="EH14" i="15"/>
  <c r="EH20" i="15"/>
  <c r="AT25" i="15"/>
  <c r="EK31" i="15"/>
  <c r="AT33" i="15"/>
  <c r="S42" i="16"/>
  <c r="BC42" i="16"/>
  <c r="CA42" i="16"/>
  <c r="CY42" i="16"/>
  <c r="DW42" i="16"/>
  <c r="EM13" i="16"/>
  <c r="EN13" i="16" s="1"/>
  <c r="AK22" i="16"/>
  <c r="ED22" i="16" s="1"/>
  <c r="EE22" i="16" s="1"/>
  <c r="EK28" i="16"/>
  <c r="EC28" i="16" s="1"/>
  <c r="ED39" i="16"/>
  <c r="AK13" i="13"/>
  <c r="EM13" i="13" s="1"/>
  <c r="EN13" i="13" s="1"/>
  <c r="EK15" i="13"/>
  <c r="EH27" i="13"/>
  <c r="EB28" i="13"/>
  <c r="EH29" i="13"/>
  <c r="EK30" i="13"/>
  <c r="ED32" i="13"/>
  <c r="G41" i="14"/>
  <c r="EI5" i="14"/>
  <c r="AQ41" i="14"/>
  <c r="CM41" i="14"/>
  <c r="EH13" i="14"/>
  <c r="ED15" i="14"/>
  <c r="EB15" i="14"/>
  <c r="EB19" i="14"/>
  <c r="EB23" i="14"/>
  <c r="EE23" i="14" s="1"/>
  <c r="EH26" i="14"/>
  <c r="EK27" i="14"/>
  <c r="EK29" i="14"/>
  <c r="EK31" i="14"/>
  <c r="ED38" i="14"/>
  <c r="EM39" i="14"/>
  <c r="EH16" i="15"/>
  <c r="ED17" i="15"/>
  <c r="ED25" i="15"/>
  <c r="EB26" i="15"/>
  <c r="EH27" i="15"/>
  <c r="EB27" i="15"/>
  <c r="EE27" i="15" s="1"/>
  <c r="EK28" i="15"/>
  <c r="EH30" i="15"/>
  <c r="EB34" i="15"/>
  <c r="EC34" i="15" s="1"/>
  <c r="EB35" i="15"/>
  <c r="EK36" i="15"/>
  <c r="EH38" i="15"/>
  <c r="V42" i="16"/>
  <c r="BF42" i="16"/>
  <c r="CD42" i="16"/>
  <c r="DB42" i="16"/>
  <c r="ED18" i="16"/>
  <c r="EE18" i="16" s="1"/>
  <c r="ED20" i="16"/>
  <c r="EH21" i="16"/>
  <c r="CM42" i="16"/>
  <c r="EM40" i="16"/>
  <c r="EN40" i="16" s="1"/>
  <c r="EC12" i="16"/>
  <c r="EH35" i="16"/>
  <c r="EM35" i="16"/>
  <c r="AW42" i="16"/>
  <c r="BI42" i="16"/>
  <c r="BU42" i="16"/>
  <c r="CG42" i="16"/>
  <c r="CS42" i="16"/>
  <c r="DE42" i="16"/>
  <c r="DQ42" i="16"/>
  <c r="EC11" i="16"/>
  <c r="EH11" i="16"/>
  <c r="EE12" i="16"/>
  <c r="EC13" i="16"/>
  <c r="EK14" i="16"/>
  <c r="EN14" i="16" s="1"/>
  <c r="EM19" i="16"/>
  <c r="EH20" i="16"/>
  <c r="EM23" i="16"/>
  <c r="EH24" i="16"/>
  <c r="ED28" i="16"/>
  <c r="EE28" i="16" s="1"/>
  <c r="EK29" i="16"/>
  <c r="AK29" i="16"/>
  <c r="ED29" i="16" s="1"/>
  <c r="EE29" i="16" s="1"/>
  <c r="EK33" i="16"/>
  <c r="EC33" i="16" s="1"/>
  <c r="AK33" i="16"/>
  <c r="ED33" i="16" s="1"/>
  <c r="EE33" i="16" s="1"/>
  <c r="EN20" i="16"/>
  <c r="EC29" i="16"/>
  <c r="EM31" i="16"/>
  <c r="EM39" i="16"/>
  <c r="EI3" i="16"/>
  <c r="EI4" i="16" s="1"/>
  <c r="EI5" i="16"/>
  <c r="D42" i="16"/>
  <c r="P42" i="16"/>
  <c r="AB42" i="16"/>
  <c r="AZ42" i="16"/>
  <c r="BL42" i="16"/>
  <c r="BX42" i="16"/>
  <c r="CJ42" i="16"/>
  <c r="CV42" i="16"/>
  <c r="DH42" i="16"/>
  <c r="DT42" i="16"/>
  <c r="EK21" i="16"/>
  <c r="AK21" i="16"/>
  <c r="EM27" i="16"/>
  <c r="EC31" i="16"/>
  <c r="EE31" i="16"/>
  <c r="EK37" i="16"/>
  <c r="EC37" i="16" s="1"/>
  <c r="AK37" i="16"/>
  <c r="ED37" i="16" s="1"/>
  <c r="EE37" i="16" s="1"/>
  <c r="EC40" i="16"/>
  <c r="EC41" i="16"/>
  <c r="EH31" i="16"/>
  <c r="EH15" i="16"/>
  <c r="EK17" i="16"/>
  <c r="AK17" i="16"/>
  <c r="EM17" i="16" s="1"/>
  <c r="ED21" i="16"/>
  <c r="EE21" i="16" s="1"/>
  <c r="EM21" i="16"/>
  <c r="EK25" i="16"/>
  <c r="AK25" i="16"/>
  <c r="ED25" i="16" s="1"/>
  <c r="EE25" i="16" s="1"/>
  <c r="EH29" i="16"/>
  <c r="ED32" i="16"/>
  <c r="EM32" i="16"/>
  <c r="EN32" i="16" s="1"/>
  <c r="EH33" i="16"/>
  <c r="ED36" i="16"/>
  <c r="EM36" i="16"/>
  <c r="EN36" i="16" s="1"/>
  <c r="ED40" i="16"/>
  <c r="EE40" i="16" s="1"/>
  <c r="EK41" i="16"/>
  <c r="AK41" i="16"/>
  <c r="EM41" i="16" s="1"/>
  <c r="EK15" i="16"/>
  <c r="EK19" i="16"/>
  <c r="EB20" i="16"/>
  <c r="EK23" i="16"/>
  <c r="EN23" i="16" s="1"/>
  <c r="EK27" i="16"/>
  <c r="EN27" i="16" s="1"/>
  <c r="EK31" i="16"/>
  <c r="EB32" i="16"/>
  <c r="EK35" i="16"/>
  <c r="EB36" i="16"/>
  <c r="EK39" i="16"/>
  <c r="EN39" i="16" s="1"/>
  <c r="AN15" i="16"/>
  <c r="EM15" i="16" s="1"/>
  <c r="EK18" i="16"/>
  <c r="EB19" i="16"/>
  <c r="EK22" i="16"/>
  <c r="EB23" i="16"/>
  <c r="EK26" i="16"/>
  <c r="EN26" i="16" s="1"/>
  <c r="EB27" i="16"/>
  <c r="EK30" i="16"/>
  <c r="EK34" i="16"/>
  <c r="EK38" i="16"/>
  <c r="EC38" i="16" s="1"/>
  <c r="EB39" i="16"/>
  <c r="EC12" i="15"/>
  <c r="EM14" i="15"/>
  <c r="EE17" i="15"/>
  <c r="EC17" i="15"/>
  <c r="EC19" i="15"/>
  <c r="EC13" i="15"/>
  <c r="EC18" i="15"/>
  <c r="EK14" i="15"/>
  <c r="EN14" i="15" s="1"/>
  <c r="EH22" i="15"/>
  <c r="EM25" i="15"/>
  <c r="EN25" i="15" s="1"/>
  <c r="EC31" i="15"/>
  <c r="EE31" i="15"/>
  <c r="EM31" i="15"/>
  <c r="EN31" i="15" s="1"/>
  <c r="EM35" i="15"/>
  <c r="EN35" i="15" s="1"/>
  <c r="EM37" i="15"/>
  <c r="EN37" i="15" s="1"/>
  <c r="M39" i="15"/>
  <c r="Y39" i="15"/>
  <c r="BF39" i="15"/>
  <c r="BR39" i="15"/>
  <c r="CD39" i="15"/>
  <c r="CP39" i="15"/>
  <c r="DB39" i="15"/>
  <c r="DN39" i="15"/>
  <c r="AQ12" i="15"/>
  <c r="AW12" i="15"/>
  <c r="AN14" i="15"/>
  <c r="ED14" i="15" s="1"/>
  <c r="EE14" i="15" s="1"/>
  <c r="AQ15" i="15"/>
  <c r="AW15" i="15"/>
  <c r="EM15" i="15" s="1"/>
  <c r="AQ18" i="15"/>
  <c r="AW18" i="15"/>
  <c r="EM18" i="15" s="1"/>
  <c r="EN18" i="15" s="1"/>
  <c r="AN20" i="15"/>
  <c r="EM20" i="15" s="1"/>
  <c r="EK20" i="15"/>
  <c r="EC20" i="15" s="1"/>
  <c r="EC25" i="15"/>
  <c r="EE25" i="15"/>
  <c r="EC27" i="15"/>
  <c r="EM27" i="15"/>
  <c r="EN27" i="15" s="1"/>
  <c r="EC35" i="15"/>
  <c r="EI3" i="15"/>
  <c r="EI4" i="15" s="1"/>
  <c r="EI5" i="15"/>
  <c r="D39" i="15"/>
  <c r="P39" i="15"/>
  <c r="AB39" i="15"/>
  <c r="AK39" i="15"/>
  <c r="BI39" i="15"/>
  <c r="BU39" i="15"/>
  <c r="CG39" i="15"/>
  <c r="CS39" i="15"/>
  <c r="DE39" i="15"/>
  <c r="DQ39" i="15"/>
  <c r="EH11" i="15"/>
  <c r="EM11" i="15"/>
  <c r="EK21" i="15"/>
  <c r="EB21" i="15"/>
  <c r="ED23" i="15"/>
  <c r="EE23" i="15" s="1"/>
  <c r="EC24" i="15"/>
  <c r="EC26" i="15"/>
  <c r="EC28" i="15"/>
  <c r="EC32" i="15"/>
  <c r="EH35" i="15"/>
  <c r="EC36" i="15"/>
  <c r="EH37" i="15"/>
  <c r="EC38" i="15"/>
  <c r="EB22" i="15"/>
  <c r="AN22" i="15"/>
  <c r="EC29" i="15"/>
  <c r="EC33" i="15"/>
  <c r="EC37" i="15"/>
  <c r="EN2" i="15"/>
  <c r="BL39" i="15"/>
  <c r="BX39" i="15"/>
  <c r="CJ39" i="15"/>
  <c r="CV39" i="15"/>
  <c r="DH39" i="15"/>
  <c r="DT39" i="15"/>
  <c r="ED11" i="15"/>
  <c r="AW21" i="15"/>
  <c r="ED21" i="15" s="1"/>
  <c r="EK22" i="15"/>
  <c r="AT22" i="15"/>
  <c r="AT39" i="15" s="1"/>
  <c r="EM23" i="15"/>
  <c r="ED26" i="15"/>
  <c r="EE26" i="15" s="1"/>
  <c r="ED30" i="15"/>
  <c r="EE30" i="15" s="1"/>
  <c r="AZ24" i="15"/>
  <c r="EM24" i="15" s="1"/>
  <c r="EN24" i="15" s="1"/>
  <c r="AZ26" i="15"/>
  <c r="EM26" i="15" s="1"/>
  <c r="EN26" i="15" s="1"/>
  <c r="AZ28" i="15"/>
  <c r="ED28" i="15" s="1"/>
  <c r="EE28" i="15" s="1"/>
  <c r="AZ30" i="15"/>
  <c r="EM30" i="15" s="1"/>
  <c r="EN30" i="15" s="1"/>
  <c r="AZ32" i="15"/>
  <c r="ED32" i="15" s="1"/>
  <c r="EE32" i="15" s="1"/>
  <c r="AZ34" i="15"/>
  <c r="EM34" i="15" s="1"/>
  <c r="EN34" i="15" s="1"/>
  <c r="AZ36" i="15"/>
  <c r="ED36" i="15" s="1"/>
  <c r="EE36" i="15" s="1"/>
  <c r="AZ38" i="15"/>
  <c r="EM38" i="15" s="1"/>
  <c r="EN38" i="15" s="1"/>
  <c r="ED12" i="14"/>
  <c r="ED11" i="14"/>
  <c r="EC17" i="14"/>
  <c r="ED29" i="14"/>
  <c r="J41" i="14"/>
  <c r="V41" i="14"/>
  <c r="AH41" i="14"/>
  <c r="EB12" i="14"/>
  <c r="AK13" i="14"/>
  <c r="ED13" i="14" s="1"/>
  <c r="EH14" i="14"/>
  <c r="EM14" i="14"/>
  <c r="EN14" i="14" s="1"/>
  <c r="EM18" i="14"/>
  <c r="EN18" i="14" s="1"/>
  <c r="EC19" i="14"/>
  <c r="EM23" i="14"/>
  <c r="EB24" i="14"/>
  <c r="EC28" i="14"/>
  <c r="EM31" i="14"/>
  <c r="EN31" i="14" s="1"/>
  <c r="EC33" i="14"/>
  <c r="EM38" i="14"/>
  <c r="EN38" i="14" s="1"/>
  <c r="ED39" i="14"/>
  <c r="EN39" i="14"/>
  <c r="EB13" i="14"/>
  <c r="EH23" i="14"/>
  <c r="EK32" i="14"/>
  <c r="AK32" i="14"/>
  <c r="ED32" i="14" s="1"/>
  <c r="EM34" i="14"/>
  <c r="EN34" i="14" s="1"/>
  <c r="M41" i="14"/>
  <c r="Y41" i="14"/>
  <c r="AT41" i="14"/>
  <c r="BF41" i="14"/>
  <c r="BR41" i="14"/>
  <c r="CD41" i="14"/>
  <c r="CP41" i="14"/>
  <c r="DB41" i="14"/>
  <c r="DN41" i="14"/>
  <c r="EB11" i="14"/>
  <c r="EM19" i="14"/>
  <c r="EN19" i="14" s="1"/>
  <c r="EB20" i="14"/>
  <c r="ED23" i="14"/>
  <c r="AK24" i="14"/>
  <c r="ED24" i="14" s="1"/>
  <c r="EE25" i="14"/>
  <c r="EC25" i="14"/>
  <c r="EK28" i="14"/>
  <c r="AK28" i="14"/>
  <c r="ED28" i="14" s="1"/>
  <c r="EE28" i="14" s="1"/>
  <c r="EM30" i="14"/>
  <c r="EN30" i="14" s="1"/>
  <c r="ED31" i="14"/>
  <c r="EK36" i="14"/>
  <c r="AK36" i="14"/>
  <c r="EM36" i="14" s="1"/>
  <c r="EC40" i="14"/>
  <c r="S41" i="14"/>
  <c r="EM22" i="14"/>
  <c r="EM32" i="14"/>
  <c r="EI3" i="14"/>
  <c r="EI4" i="14" s="1"/>
  <c r="D41" i="14"/>
  <c r="P41" i="14"/>
  <c r="AB41" i="14"/>
  <c r="AW41" i="14"/>
  <c r="BI41" i="14"/>
  <c r="BU41" i="14"/>
  <c r="CG41" i="14"/>
  <c r="CS41" i="14"/>
  <c r="DE41" i="14"/>
  <c r="DQ41" i="14"/>
  <c r="EM11" i="14"/>
  <c r="EM15" i="14"/>
  <c r="EE15" i="14"/>
  <c r="EB16" i="14"/>
  <c r="ED19" i="14"/>
  <c r="EE19" i="14" s="1"/>
  <c r="AK20" i="14"/>
  <c r="ED20" i="14" s="1"/>
  <c r="EC21" i="14"/>
  <c r="EK23" i="14"/>
  <c r="EM26" i="14"/>
  <c r="EN26" i="14" s="1"/>
  <c r="EM27" i="14"/>
  <c r="EN27" i="14" s="1"/>
  <c r="EE29" i="14"/>
  <c r="EC29" i="14"/>
  <c r="EB32" i="14"/>
  <c r="EM35" i="14"/>
  <c r="EN35" i="14" s="1"/>
  <c r="EE37" i="14"/>
  <c r="EK40" i="14"/>
  <c r="AK40" i="14"/>
  <c r="ED40" i="14" s="1"/>
  <c r="EE40" i="14" s="1"/>
  <c r="EM40" i="14"/>
  <c r="EB27" i="14"/>
  <c r="EB31" i="14"/>
  <c r="EB35" i="14"/>
  <c r="EB39" i="14"/>
  <c r="EB18" i="14"/>
  <c r="EB22" i="14"/>
  <c r="EB26" i="14"/>
  <c r="EB30" i="14"/>
  <c r="EB34" i="14"/>
  <c r="EK37" i="14"/>
  <c r="EN37" i="14" s="1"/>
  <c r="EB38" i="14"/>
  <c r="EC15" i="13"/>
  <c r="EE15" i="13"/>
  <c r="EM12" i="13"/>
  <c r="EN12" i="13" s="1"/>
  <c r="EK14" i="13"/>
  <c r="EN15" i="13"/>
  <c r="J42" i="13"/>
  <c r="BC42" i="13"/>
  <c r="CY42" i="13"/>
  <c r="DW42" i="13"/>
  <c r="EM14" i="13"/>
  <c r="AN20" i="13"/>
  <c r="EM20" i="13" s="1"/>
  <c r="EN20" i="13" s="1"/>
  <c r="EH37" i="13"/>
  <c r="AN37" i="13"/>
  <c r="ED37" i="13" s="1"/>
  <c r="EE37" i="13" s="1"/>
  <c r="EK37" i="13"/>
  <c r="EC37" i="13" s="1"/>
  <c r="M42" i="13"/>
  <c r="CD42" i="13"/>
  <c r="EB11" i="13"/>
  <c r="EH11" i="13"/>
  <c r="EH12" i="13"/>
  <c r="EH14" i="13"/>
  <c r="AN17" i="13"/>
  <c r="ED17" i="13" s="1"/>
  <c r="EE17" i="13" s="1"/>
  <c r="EE19" i="13"/>
  <c r="EH24" i="13"/>
  <c r="EH26" i="13"/>
  <c r="EC26" i="13"/>
  <c r="EB31" i="13"/>
  <c r="EC32" i="13"/>
  <c r="AQ34" i="13"/>
  <c r="ED34" i="13" s="1"/>
  <c r="EK35" i="13"/>
  <c r="AQ35" i="13"/>
  <c r="ED35" i="13" s="1"/>
  <c r="EM36" i="13"/>
  <c r="EE28" i="13"/>
  <c r="EC28" i="13"/>
  <c r="EK40" i="13"/>
  <c r="AQ40" i="13"/>
  <c r="ED40" i="13" s="1"/>
  <c r="AH42" i="13"/>
  <c r="CA42" i="13"/>
  <c r="EC17" i="13"/>
  <c r="EK22" i="13"/>
  <c r="AN22" i="13"/>
  <c r="EM22" i="13" s="1"/>
  <c r="EB22" i="13"/>
  <c r="EM28" i="13"/>
  <c r="AN29" i="13"/>
  <c r="EM29" i="13" s="1"/>
  <c r="EB29" i="13"/>
  <c r="EK29" i="13"/>
  <c r="EM34" i="13"/>
  <c r="EN34" i="13" s="1"/>
  <c r="EM35" i="13"/>
  <c r="ED38" i="13"/>
  <c r="EI3" i="13"/>
  <c r="EI4" i="13" s="1"/>
  <c r="Y42" i="13"/>
  <c r="BF42" i="13"/>
  <c r="DB42" i="13"/>
  <c r="EB12" i="13"/>
  <c r="D42" i="13"/>
  <c r="ED11" i="13"/>
  <c r="P42" i="13"/>
  <c r="AB42" i="13"/>
  <c r="AK11" i="13"/>
  <c r="AW42" i="13"/>
  <c r="BI42" i="13"/>
  <c r="BU42" i="13"/>
  <c r="CG42" i="13"/>
  <c r="CS42" i="13"/>
  <c r="DE42" i="13"/>
  <c r="DQ42" i="13"/>
  <c r="AK12" i="13"/>
  <c r="ED12" i="13" s="1"/>
  <c r="EB14" i="13"/>
  <c r="EB16" i="13"/>
  <c r="AN18" i="13"/>
  <c r="EM18" i="13" s="1"/>
  <c r="EN18" i="13" s="1"/>
  <c r="EC19" i="13"/>
  <c r="ED20" i="13"/>
  <c r="EB20" i="13"/>
  <c r="EH23" i="13"/>
  <c r="EK23" i="13"/>
  <c r="AN23" i="13"/>
  <c r="EM23" i="13" s="1"/>
  <c r="EB23" i="13"/>
  <c r="EM25" i="13"/>
  <c r="EN25" i="13" s="1"/>
  <c r="EM31" i="13"/>
  <c r="EM32" i="13"/>
  <c r="AN33" i="13"/>
  <c r="EM33" i="13" s="1"/>
  <c r="EB33" i="13"/>
  <c r="EK33" i="13"/>
  <c r="EN36" i="13"/>
  <c r="EK38" i="13"/>
  <c r="AQ38" i="13"/>
  <c r="EM38" i="13" s="1"/>
  <c r="EK39" i="13"/>
  <c r="AQ39" i="13"/>
  <c r="EM39" i="13" s="1"/>
  <c r="EK24" i="13"/>
  <c r="AN24" i="13"/>
  <c r="ED24" i="13" s="1"/>
  <c r="EE24" i="13" s="1"/>
  <c r="ED25" i="13"/>
  <c r="EE25" i="13" s="1"/>
  <c r="EC25" i="13"/>
  <c r="EH30" i="13"/>
  <c r="EH34" i="13"/>
  <c r="EB34" i="13"/>
  <c r="EB35" i="13"/>
  <c r="EB36" i="13"/>
  <c r="EB40" i="13"/>
  <c r="AZ42" i="13"/>
  <c r="BL42" i="13"/>
  <c r="BX42" i="13"/>
  <c r="CJ42" i="13"/>
  <c r="CV42" i="13"/>
  <c r="DH42" i="13"/>
  <c r="DT42" i="13"/>
  <c r="EK21" i="13"/>
  <c r="AN21" i="13"/>
  <c r="ED21" i="13" s="1"/>
  <c r="EE21" i="13" s="1"/>
  <c r="EH25" i="13"/>
  <c r="EM26" i="13"/>
  <c r="EN26" i="13" s="1"/>
  <c r="EK27" i="13"/>
  <c r="AQ27" i="13"/>
  <c r="ED27" i="13" s="1"/>
  <c r="EK28" i="13"/>
  <c r="EN28" i="13" s="1"/>
  <c r="EM30" i="13"/>
  <c r="EN30" i="13" s="1"/>
  <c r="EK31" i="13"/>
  <c r="EN31" i="13" s="1"/>
  <c r="AQ31" i="13"/>
  <c r="ED31" i="13" s="1"/>
  <c r="EK32" i="13"/>
  <c r="EH38" i="13"/>
  <c r="EB38" i="13"/>
  <c r="EB39" i="13"/>
  <c r="EK41" i="13"/>
  <c r="EC41" i="13" s="1"/>
  <c r="EB30" i="13"/>
  <c r="AQ41" i="13"/>
  <c r="EM41" i="13" s="1"/>
  <c r="EN36" i="14" l="1"/>
  <c r="ED33" i="15"/>
  <c r="EE33" i="15" s="1"/>
  <c r="EN22" i="14"/>
  <c r="AN39" i="15"/>
  <c r="EE16" i="15"/>
  <c r="EN22" i="16"/>
  <c r="ED13" i="15"/>
  <c r="EE13" i="15" s="1"/>
  <c r="ED33" i="13"/>
  <c r="EM24" i="14"/>
  <c r="EN24" i="14" s="1"/>
  <c r="ED13" i="13"/>
  <c r="EE13" i="13" s="1"/>
  <c r="ED29" i="15"/>
  <c r="EE29" i="15" s="1"/>
  <c r="EN32" i="13"/>
  <c r="ED39" i="13"/>
  <c r="ED22" i="13"/>
  <c r="EM21" i="13"/>
  <c r="EC37" i="14"/>
  <c r="EN15" i="14"/>
  <c r="EN23" i="15"/>
  <c r="ED18" i="15"/>
  <c r="EE18" i="15" s="1"/>
  <c r="EE5" i="16"/>
  <c r="G7" i="16" s="1"/>
  <c r="EN28" i="16"/>
  <c r="EM16" i="13"/>
  <c r="EN16" i="13" s="1"/>
  <c r="EN12" i="16"/>
  <c r="AQ42" i="16"/>
  <c r="EE3" i="15"/>
  <c r="EN23" i="14"/>
  <c r="EM28" i="14"/>
  <c r="AZ39" i="15"/>
  <c r="EN15" i="15"/>
  <c r="EN38" i="16"/>
  <c r="EN18" i="16"/>
  <c r="ED16" i="16"/>
  <c r="EE16" i="16" s="1"/>
  <c r="EN21" i="16"/>
  <c r="EH41" i="14"/>
  <c r="EC23" i="14"/>
  <c r="ED38" i="15"/>
  <c r="EE38" i="15" s="1"/>
  <c r="ED24" i="15"/>
  <c r="EE24" i="15" s="1"/>
  <c r="ED15" i="15"/>
  <c r="EE15" i="15" s="1"/>
  <c r="EN34" i="16"/>
  <c r="EC34" i="16"/>
  <c r="ED11" i="16"/>
  <c r="EN24" i="16"/>
  <c r="ED16" i="14"/>
  <c r="ED38" i="16"/>
  <c r="EE38" i="16" s="1"/>
  <c r="EM30" i="16"/>
  <c r="EN35" i="13"/>
  <c r="EN14" i="13"/>
  <c r="ED36" i="14"/>
  <c r="EE36" i="14" s="1"/>
  <c r="EN33" i="13"/>
  <c r="ED34" i="15"/>
  <c r="EE34" i="15" s="1"/>
  <c r="EN3" i="15"/>
  <c r="EN30" i="16"/>
  <c r="EN19" i="16"/>
  <c r="EM33" i="16"/>
  <c r="EN33" i="16" s="1"/>
  <c r="ED34" i="16"/>
  <c r="EE34" i="16" s="1"/>
  <c r="EM17" i="13"/>
  <c r="EN17" i="13" s="1"/>
  <c r="EE27" i="13"/>
  <c r="ED41" i="13"/>
  <c r="EE41" i="13" s="1"/>
  <c r="ED23" i="13"/>
  <c r="EM32" i="15"/>
  <c r="EN32" i="15" s="1"/>
  <c r="EE5" i="15"/>
  <c r="G7" i="15" s="1"/>
  <c r="EM12" i="15"/>
  <c r="EN12" i="15" s="1"/>
  <c r="EN5" i="16"/>
  <c r="EC39" i="16"/>
  <c r="EE39" i="16"/>
  <c r="EC36" i="16"/>
  <c r="EE36" i="16"/>
  <c r="EN17" i="16"/>
  <c r="AK42" i="16"/>
  <c r="EN35" i="16"/>
  <c r="ED41" i="16"/>
  <c r="EE41" i="16" s="1"/>
  <c r="EM25" i="16"/>
  <c r="EM42" i="16" s="1"/>
  <c r="EC30" i="16"/>
  <c r="EC25" i="16"/>
  <c r="EC17" i="16"/>
  <c r="ED17" i="16"/>
  <c r="EE17" i="16" s="1"/>
  <c r="EH42" i="16"/>
  <c r="ED15" i="16"/>
  <c r="EE15" i="16" s="1"/>
  <c r="EC14" i="16"/>
  <c r="EC27" i="16"/>
  <c r="EE27" i="16"/>
  <c r="EE11" i="16"/>
  <c r="EC23" i="16"/>
  <c r="EE23" i="16"/>
  <c r="EC32" i="16"/>
  <c r="EE32" i="16"/>
  <c r="EC20" i="16"/>
  <c r="EE20" i="16"/>
  <c r="EN41" i="16"/>
  <c r="EN2" i="16"/>
  <c r="EM37" i="16"/>
  <c r="EN37" i="16" s="1"/>
  <c r="EC18" i="16"/>
  <c r="EM29" i="16"/>
  <c r="EN29" i="16" s="1"/>
  <c r="AN42" i="16"/>
  <c r="EC21" i="16"/>
  <c r="EC19" i="16"/>
  <c r="EE19" i="16"/>
  <c r="EN15" i="16"/>
  <c r="EN31" i="16"/>
  <c r="EC22" i="16"/>
  <c r="EC15" i="16"/>
  <c r="EC35" i="16"/>
  <c r="EC26" i="16"/>
  <c r="EE3" i="16"/>
  <c r="EN3" i="16"/>
  <c r="EN4" i="16" s="1"/>
  <c r="G5" i="15"/>
  <c r="EM36" i="15"/>
  <c r="EN36" i="15" s="1"/>
  <c r="EM28" i="15"/>
  <c r="EN28" i="15" s="1"/>
  <c r="AW39" i="15"/>
  <c r="EN20" i="15"/>
  <c r="AQ39" i="15"/>
  <c r="EM21" i="15"/>
  <c r="EM39" i="15" s="1"/>
  <c r="ED20" i="15"/>
  <c r="EE20" i="15" s="1"/>
  <c r="EM22" i="15"/>
  <c r="EN22" i="15" s="1"/>
  <c r="EH39" i="15"/>
  <c r="EC14" i="15"/>
  <c r="EC22" i="15"/>
  <c r="ED12" i="15"/>
  <c r="EE12" i="15" s="1"/>
  <c r="ED22" i="15"/>
  <c r="EE22" i="15" s="1"/>
  <c r="EN5" i="15"/>
  <c r="EE21" i="15"/>
  <c r="EC21" i="15"/>
  <c r="EN11" i="15"/>
  <c r="EE11" i="15"/>
  <c r="EC27" i="14"/>
  <c r="EE27" i="14"/>
  <c r="EE13" i="14"/>
  <c r="EC13" i="14"/>
  <c r="EC36" i="14"/>
  <c r="EC39" i="14"/>
  <c r="EE39" i="14"/>
  <c r="EC11" i="14"/>
  <c r="EE5" i="14"/>
  <c r="G7" i="14" s="1"/>
  <c r="EE3" i="14"/>
  <c r="EE11" i="14"/>
  <c r="EC12" i="14"/>
  <c r="EE12" i="14"/>
  <c r="EM13" i="14"/>
  <c r="EN13" i="14" s="1"/>
  <c r="EM20" i="14"/>
  <c r="EN20" i="14" s="1"/>
  <c r="EC34" i="14"/>
  <c r="EE34" i="14"/>
  <c r="EE32" i="14"/>
  <c r="EC32" i="14"/>
  <c r="EM41" i="14"/>
  <c r="EN11" i="14"/>
  <c r="EE20" i="14"/>
  <c r="EC20" i="14"/>
  <c r="AK41" i="14"/>
  <c r="EC30" i="14"/>
  <c r="EE30" i="14"/>
  <c r="EC38" i="14"/>
  <c r="EE38" i="14"/>
  <c r="EC26" i="14"/>
  <c r="EE26" i="14"/>
  <c r="EC35" i="14"/>
  <c r="EE35" i="14"/>
  <c r="EN28" i="14"/>
  <c r="EN32" i="14"/>
  <c r="EN5" i="14"/>
  <c r="EC18" i="14"/>
  <c r="EE18" i="14"/>
  <c r="EE16" i="14"/>
  <c r="EC16" i="14"/>
  <c r="EN3" i="14"/>
  <c r="EN4" i="14" s="1"/>
  <c r="EC22" i="14"/>
  <c r="EE22" i="14"/>
  <c r="EC31" i="14"/>
  <c r="EE31" i="14"/>
  <c r="EN40" i="14"/>
  <c r="EN2" i="14"/>
  <c r="EP2" i="14" s="1"/>
  <c r="EE24" i="14"/>
  <c r="EC24" i="14"/>
  <c r="ED41" i="14"/>
  <c r="EC30" i="13"/>
  <c r="EE30" i="13"/>
  <c r="EC34" i="13"/>
  <c r="EE34" i="13"/>
  <c r="EE20" i="13"/>
  <c r="EC20" i="13"/>
  <c r="EC29" i="13"/>
  <c r="EN3" i="13"/>
  <c r="EM37" i="13"/>
  <c r="EN37" i="13" s="1"/>
  <c r="EM40" i="13"/>
  <c r="EC14" i="13"/>
  <c r="EE14" i="13"/>
  <c r="EE22" i="13"/>
  <c r="EC22" i="13"/>
  <c r="EH42" i="13"/>
  <c r="EE39" i="13"/>
  <c r="EC39" i="13"/>
  <c r="ED29" i="13"/>
  <c r="EE29" i="13" s="1"/>
  <c r="EE36" i="13"/>
  <c r="EC36" i="13"/>
  <c r="EN38" i="13"/>
  <c r="EN23" i="13"/>
  <c r="AK42" i="13"/>
  <c r="EE31" i="13"/>
  <c r="EC31" i="13"/>
  <c r="EC11" i="13"/>
  <c r="EE5" i="13"/>
  <c r="G7" i="13" s="1"/>
  <c r="EE3" i="13"/>
  <c r="EE11" i="13"/>
  <c r="EC24" i="13"/>
  <c r="EM24" i="13"/>
  <c r="EN24" i="13" s="1"/>
  <c r="ED18" i="13"/>
  <c r="EE18" i="13" s="1"/>
  <c r="EE40" i="13"/>
  <c r="EC40" i="13"/>
  <c r="EE23" i="13"/>
  <c r="EC23" i="13"/>
  <c r="EE16" i="13"/>
  <c r="EC16" i="13"/>
  <c r="EN41" i="13"/>
  <c r="EN2" i="13"/>
  <c r="EP2" i="13" s="1"/>
  <c r="EC33" i="13"/>
  <c r="EE33" i="13"/>
  <c r="EC27" i="13"/>
  <c r="EN40" i="13"/>
  <c r="EN5" i="13"/>
  <c r="EC38" i="13"/>
  <c r="EE38" i="13"/>
  <c r="EN21" i="13"/>
  <c r="AN42" i="13"/>
  <c r="EE35" i="13"/>
  <c r="EC35" i="13"/>
  <c r="EN39" i="13"/>
  <c r="EE12" i="13"/>
  <c r="EC12" i="13"/>
  <c r="EN29" i="13"/>
  <c r="EM27" i="13"/>
  <c r="EN27" i="13" s="1"/>
  <c r="EN22" i="13"/>
  <c r="EM11" i="13"/>
  <c r="EC21" i="13"/>
  <c r="AQ42" i="13"/>
  <c r="G5" i="16" l="1"/>
  <c r="EE4" i="16"/>
  <c r="G6" i="16" s="1"/>
  <c r="ED42" i="16"/>
  <c r="EN25" i="16"/>
  <c r="EN4" i="15"/>
  <c r="EN21" i="15"/>
  <c r="EE4" i="15"/>
  <c r="G6" i="15" s="1"/>
  <c r="ED39" i="15"/>
  <c r="EE4" i="14"/>
  <c r="G6" i="14" s="1"/>
  <c r="G5" i="14"/>
  <c r="EM42" i="13"/>
  <c r="EN11" i="13"/>
  <c r="ED42" i="13"/>
  <c r="EE4" i="13"/>
  <c r="G6" i="13" s="1"/>
  <c r="G5" i="13"/>
  <c r="EN4" i="13"/>
  <c r="EL42" i="12" l="1"/>
  <c r="EG42" i="12"/>
  <c r="EI42" i="12" s="1"/>
  <c r="DW42" i="12"/>
  <c r="DT42" i="12"/>
  <c r="DQ42" i="12"/>
  <c r="DN42" i="12"/>
  <c r="DK42" i="12"/>
  <c r="DH42" i="12"/>
  <c r="DE42" i="12"/>
  <c r="DB42" i="12"/>
  <c r="CY42" i="12"/>
  <c r="CV42" i="12"/>
  <c r="CS42" i="12"/>
  <c r="CP42" i="12"/>
  <c r="CM42" i="12"/>
  <c r="CJ42" i="12"/>
  <c r="CG42" i="12"/>
  <c r="CD42" i="12"/>
  <c r="CA42" i="12"/>
  <c r="BX42" i="12"/>
  <c r="BU42" i="12"/>
  <c r="BR42" i="12"/>
  <c r="BO42" i="12"/>
  <c r="BL42" i="12"/>
  <c r="BI42" i="12"/>
  <c r="BF42" i="12"/>
  <c r="BC42" i="12"/>
  <c r="AZ42" i="12"/>
  <c r="AW42" i="12"/>
  <c r="AR42" i="12"/>
  <c r="EK42" i="12" s="1"/>
  <c r="AO42" i="12"/>
  <c r="AQ42" i="12" s="1"/>
  <c r="AL42" i="12"/>
  <c r="AN42" i="12" s="1"/>
  <c r="AI42" i="12"/>
  <c r="AK42" i="12" s="1"/>
  <c r="AB42" i="12"/>
  <c r="Y42" i="12"/>
  <c r="V42" i="12"/>
  <c r="S42" i="12"/>
  <c r="P42" i="12"/>
  <c r="M42" i="12"/>
  <c r="J42" i="12"/>
  <c r="G42" i="12"/>
  <c r="D42" i="12"/>
  <c r="EL41" i="12"/>
  <c r="EG41" i="12"/>
  <c r="EI2" i="12" s="1"/>
  <c r="DW41" i="12"/>
  <c r="DT41" i="12"/>
  <c r="DQ41" i="12"/>
  <c r="DN41" i="12"/>
  <c r="DK41" i="12"/>
  <c r="DH41" i="12"/>
  <c r="DE41" i="12"/>
  <c r="DB41" i="12"/>
  <c r="CY41" i="12"/>
  <c r="CV41" i="12"/>
  <c r="CS41" i="12"/>
  <c r="CP41" i="12"/>
  <c r="CM41" i="12"/>
  <c r="CJ41" i="12"/>
  <c r="CG41" i="12"/>
  <c r="CD41" i="12"/>
  <c r="CA41" i="12"/>
  <c r="BX41" i="12"/>
  <c r="BU41" i="12"/>
  <c r="BR41" i="12"/>
  <c r="BO41" i="12"/>
  <c r="BL41" i="12"/>
  <c r="BI41" i="12"/>
  <c r="BF41" i="12"/>
  <c r="BC41" i="12"/>
  <c r="AZ41" i="12"/>
  <c r="AW41" i="12"/>
  <c r="AR41" i="12"/>
  <c r="AT41" i="12" s="1"/>
  <c r="AQ41" i="12"/>
  <c r="AO41" i="12"/>
  <c r="AL41" i="12"/>
  <c r="EB41" i="12" s="1"/>
  <c r="AK41" i="12"/>
  <c r="AI41" i="12"/>
  <c r="AB41" i="12"/>
  <c r="Y41" i="12"/>
  <c r="V41" i="12"/>
  <c r="S41" i="12"/>
  <c r="P41" i="12"/>
  <c r="M41" i="12"/>
  <c r="J41" i="12"/>
  <c r="G41" i="12"/>
  <c r="D41" i="12"/>
  <c r="EL40" i="12"/>
  <c r="EG40" i="12"/>
  <c r="EI40" i="12" s="1"/>
  <c r="DW40" i="12"/>
  <c r="DT40" i="12"/>
  <c r="DQ40" i="12"/>
  <c r="DN40" i="12"/>
  <c r="DK40" i="12"/>
  <c r="DH40" i="12"/>
  <c r="DE40" i="12"/>
  <c r="DB40" i="12"/>
  <c r="CY40" i="12"/>
  <c r="CV40" i="12"/>
  <c r="CS40" i="12"/>
  <c r="CP40" i="12"/>
  <c r="CM40" i="12"/>
  <c r="CJ40" i="12"/>
  <c r="CG40" i="12"/>
  <c r="CD40" i="12"/>
  <c r="CA40" i="12"/>
  <c r="BX40" i="12"/>
  <c r="BU40" i="12"/>
  <c r="BR40" i="12"/>
  <c r="BO40" i="12"/>
  <c r="BL40" i="12"/>
  <c r="BI40" i="12"/>
  <c r="BF40" i="12"/>
  <c r="BC40" i="12"/>
  <c r="AZ40" i="12"/>
  <c r="AW40" i="12"/>
  <c r="AR40" i="12"/>
  <c r="AO40" i="12"/>
  <c r="AQ40" i="12" s="1"/>
  <c r="AN40" i="12"/>
  <c r="AL40" i="12"/>
  <c r="EB40" i="12" s="1"/>
  <c r="AI40" i="12"/>
  <c r="AK40" i="12" s="1"/>
  <c r="AB40" i="12"/>
  <c r="Y40" i="12"/>
  <c r="V40" i="12"/>
  <c r="S40" i="12"/>
  <c r="P40" i="12"/>
  <c r="M40" i="12"/>
  <c r="J40" i="12"/>
  <c r="G40" i="12"/>
  <c r="D40" i="12"/>
  <c r="EL39" i="12"/>
  <c r="EG39" i="12"/>
  <c r="EI39" i="12" s="1"/>
  <c r="DW39" i="12"/>
  <c r="DT39" i="12"/>
  <c r="DQ39" i="12"/>
  <c r="DN39" i="12"/>
  <c r="DK39" i="12"/>
  <c r="DH39" i="12"/>
  <c r="DE39" i="12"/>
  <c r="DB39" i="12"/>
  <c r="CY39" i="12"/>
  <c r="CV39" i="12"/>
  <c r="CS39" i="12"/>
  <c r="CP39" i="12"/>
  <c r="CM39" i="12"/>
  <c r="CJ39" i="12"/>
  <c r="CG39" i="12"/>
  <c r="CD39" i="12"/>
  <c r="CA39" i="12"/>
  <c r="BX39" i="12"/>
  <c r="BU39" i="12"/>
  <c r="BR39" i="12"/>
  <c r="BO39" i="12"/>
  <c r="BL39" i="12"/>
  <c r="BI39" i="12"/>
  <c r="BF39" i="12"/>
  <c r="BC39" i="12"/>
  <c r="AZ39" i="12"/>
  <c r="AW39" i="12"/>
  <c r="AR39" i="12"/>
  <c r="AT39" i="12" s="1"/>
  <c r="AO39" i="12"/>
  <c r="AQ39" i="12" s="1"/>
  <c r="AL39" i="12"/>
  <c r="AI39" i="12"/>
  <c r="AK39" i="12" s="1"/>
  <c r="AB39" i="12"/>
  <c r="Y39" i="12"/>
  <c r="V39" i="12"/>
  <c r="S39" i="12"/>
  <c r="EH39" i="12" s="1"/>
  <c r="P39" i="12"/>
  <c r="M39" i="12"/>
  <c r="J39" i="12"/>
  <c r="G39" i="12"/>
  <c r="D39" i="12"/>
  <c r="EL38" i="12"/>
  <c r="EG38" i="12"/>
  <c r="EI38" i="12" s="1"/>
  <c r="DW38" i="12"/>
  <c r="DT38" i="12"/>
  <c r="DQ38" i="12"/>
  <c r="DN38" i="12"/>
  <c r="DK38" i="12"/>
  <c r="DH38" i="12"/>
  <c r="DE38" i="12"/>
  <c r="DB38" i="12"/>
  <c r="CY38" i="12"/>
  <c r="CV38" i="12"/>
  <c r="CS38" i="12"/>
  <c r="CP38" i="12"/>
  <c r="CM38" i="12"/>
  <c r="CJ38" i="12"/>
  <c r="CG38" i="12"/>
  <c r="CD38" i="12"/>
  <c r="CA38" i="12"/>
  <c r="BX38" i="12"/>
  <c r="BU38" i="12"/>
  <c r="BR38" i="12"/>
  <c r="BO38" i="12"/>
  <c r="BL38" i="12"/>
  <c r="BI38" i="12"/>
  <c r="BF38" i="12"/>
  <c r="BC38" i="12"/>
  <c r="AZ38" i="12"/>
  <c r="AW38" i="12"/>
  <c r="AT38" i="12"/>
  <c r="AR38" i="12"/>
  <c r="AO38" i="12"/>
  <c r="AQ38" i="12" s="1"/>
  <c r="AL38" i="12"/>
  <c r="AN38" i="12" s="1"/>
  <c r="AI38" i="12"/>
  <c r="AK38" i="12" s="1"/>
  <c r="AB38" i="12"/>
  <c r="Y38" i="12"/>
  <c r="V38" i="12"/>
  <c r="S38" i="12"/>
  <c r="P38" i="12"/>
  <c r="M38" i="12"/>
  <c r="J38" i="12"/>
  <c r="G38" i="12"/>
  <c r="D38" i="12"/>
  <c r="EL37" i="12"/>
  <c r="EI37" i="12"/>
  <c r="EG37" i="12"/>
  <c r="DW37" i="12"/>
  <c r="DT37" i="12"/>
  <c r="DQ37" i="12"/>
  <c r="DN37" i="12"/>
  <c r="DK37" i="12"/>
  <c r="DH37" i="12"/>
  <c r="DE37" i="12"/>
  <c r="DB37" i="12"/>
  <c r="CY37" i="12"/>
  <c r="CV37" i="12"/>
  <c r="CS37" i="12"/>
  <c r="CP37" i="12"/>
  <c r="CM37" i="12"/>
  <c r="CJ37" i="12"/>
  <c r="CG37" i="12"/>
  <c r="CD37" i="12"/>
  <c r="CA37" i="12"/>
  <c r="BX37" i="12"/>
  <c r="BU37" i="12"/>
  <c r="BR37" i="12"/>
  <c r="BO37" i="12"/>
  <c r="BL37" i="12"/>
  <c r="BI37" i="12"/>
  <c r="BF37" i="12"/>
  <c r="BC37" i="12"/>
  <c r="AZ37" i="12"/>
  <c r="AW37" i="12"/>
  <c r="AR37" i="12"/>
  <c r="AT37" i="12" s="1"/>
  <c r="AO37" i="12"/>
  <c r="AQ37" i="12" s="1"/>
  <c r="AL37" i="12"/>
  <c r="AK37" i="12"/>
  <c r="AI37" i="12"/>
  <c r="AB37" i="12"/>
  <c r="Y37" i="12"/>
  <c r="V37" i="12"/>
  <c r="S37" i="12"/>
  <c r="P37" i="12"/>
  <c r="M37" i="12"/>
  <c r="J37" i="12"/>
  <c r="G37" i="12"/>
  <c r="D37" i="12"/>
  <c r="EL36" i="12"/>
  <c r="EG36" i="12"/>
  <c r="EI36" i="12" s="1"/>
  <c r="DW36" i="12"/>
  <c r="DT36" i="12"/>
  <c r="DQ36" i="12"/>
  <c r="DN36" i="12"/>
  <c r="DK36" i="12"/>
  <c r="DH36" i="12"/>
  <c r="DE36" i="12"/>
  <c r="DB36" i="12"/>
  <c r="CY36" i="12"/>
  <c r="CV36" i="12"/>
  <c r="CS36" i="12"/>
  <c r="CP36" i="12"/>
  <c r="CM36" i="12"/>
  <c r="CJ36" i="12"/>
  <c r="CG36" i="12"/>
  <c r="CD36" i="12"/>
  <c r="CA36" i="12"/>
  <c r="BX36" i="12"/>
  <c r="BU36" i="12"/>
  <c r="BR36" i="12"/>
  <c r="BO36" i="12"/>
  <c r="BL36" i="12"/>
  <c r="BI36" i="12"/>
  <c r="BF36" i="12"/>
  <c r="BC36" i="12"/>
  <c r="AZ36" i="12"/>
  <c r="AW36" i="12"/>
  <c r="AT36" i="12"/>
  <c r="AR36" i="12"/>
  <c r="AO36" i="12"/>
  <c r="AQ36" i="12" s="1"/>
  <c r="AN36" i="12"/>
  <c r="AL36" i="12"/>
  <c r="EB36" i="12" s="1"/>
  <c r="AI36" i="12"/>
  <c r="AK36" i="12" s="1"/>
  <c r="AB36" i="12"/>
  <c r="Y36" i="12"/>
  <c r="V36" i="12"/>
  <c r="S36" i="12"/>
  <c r="P36" i="12"/>
  <c r="M36" i="12"/>
  <c r="J36" i="12"/>
  <c r="G36" i="12"/>
  <c r="D36" i="12"/>
  <c r="EL35" i="12"/>
  <c r="EI35" i="12"/>
  <c r="EG35" i="12"/>
  <c r="DW35" i="12"/>
  <c r="DT35" i="12"/>
  <c r="DQ35" i="12"/>
  <c r="DN35" i="12"/>
  <c r="DK35" i="12"/>
  <c r="DH35" i="12"/>
  <c r="DE35" i="12"/>
  <c r="DB35" i="12"/>
  <c r="CY35" i="12"/>
  <c r="CV35" i="12"/>
  <c r="CS35" i="12"/>
  <c r="CP35" i="12"/>
  <c r="CM35" i="12"/>
  <c r="CJ35" i="12"/>
  <c r="CG35" i="12"/>
  <c r="CD35" i="12"/>
  <c r="CA35" i="12"/>
  <c r="BX35" i="12"/>
  <c r="BU35" i="12"/>
  <c r="BR35" i="12"/>
  <c r="BO35" i="12"/>
  <c r="BL35" i="12"/>
  <c r="BI35" i="12"/>
  <c r="BF35" i="12"/>
  <c r="BC35" i="12"/>
  <c r="AZ35" i="12"/>
  <c r="AW35" i="12"/>
  <c r="AR35" i="12"/>
  <c r="AT35" i="12" s="1"/>
  <c r="AQ35" i="12"/>
  <c r="AO35" i="12"/>
  <c r="AL35" i="12"/>
  <c r="AI35" i="12"/>
  <c r="AK35" i="12" s="1"/>
  <c r="AB35" i="12"/>
  <c r="Y35" i="12"/>
  <c r="V35" i="12"/>
  <c r="S35" i="12"/>
  <c r="P35" i="12"/>
  <c r="M35" i="12"/>
  <c r="J35" i="12"/>
  <c r="G35" i="12"/>
  <c r="D35" i="12"/>
  <c r="EL34" i="12"/>
  <c r="EG34" i="12"/>
  <c r="EI34" i="12" s="1"/>
  <c r="DW34" i="12"/>
  <c r="DT34" i="12"/>
  <c r="DQ34" i="12"/>
  <c r="DN34" i="12"/>
  <c r="DK34" i="12"/>
  <c r="DH34" i="12"/>
  <c r="DE34" i="12"/>
  <c r="DB34" i="12"/>
  <c r="CY34" i="12"/>
  <c r="CV34" i="12"/>
  <c r="CS34" i="12"/>
  <c r="CP34" i="12"/>
  <c r="CM34" i="12"/>
  <c r="CJ34" i="12"/>
  <c r="CG34" i="12"/>
  <c r="CD34" i="12"/>
  <c r="CA34" i="12"/>
  <c r="BX34" i="12"/>
  <c r="BU34" i="12"/>
  <c r="BR34" i="12"/>
  <c r="BO34" i="12"/>
  <c r="BL34" i="12"/>
  <c r="BI34" i="12"/>
  <c r="BF34" i="12"/>
  <c r="BC34" i="12"/>
  <c r="AZ34" i="12"/>
  <c r="AW34" i="12"/>
  <c r="AR34" i="12"/>
  <c r="EK34" i="12" s="1"/>
  <c r="AO34" i="12"/>
  <c r="AQ34" i="12" s="1"/>
  <c r="AL34" i="12"/>
  <c r="AN34" i="12" s="1"/>
  <c r="AI34" i="12"/>
  <c r="AK34" i="12" s="1"/>
  <c r="AB34" i="12"/>
  <c r="Y34" i="12"/>
  <c r="V34" i="12"/>
  <c r="S34" i="12"/>
  <c r="P34" i="12"/>
  <c r="M34" i="12"/>
  <c r="J34" i="12"/>
  <c r="G34" i="12"/>
  <c r="D34" i="12"/>
  <c r="EL33" i="12"/>
  <c r="EG33" i="12"/>
  <c r="EI33" i="12" s="1"/>
  <c r="DW33" i="12"/>
  <c r="DT33" i="12"/>
  <c r="DQ33" i="12"/>
  <c r="DN33" i="12"/>
  <c r="DK33" i="12"/>
  <c r="DH33" i="12"/>
  <c r="DE33" i="12"/>
  <c r="DB33" i="12"/>
  <c r="CY33" i="12"/>
  <c r="CV33" i="12"/>
  <c r="CS33" i="12"/>
  <c r="CP33" i="12"/>
  <c r="CM33" i="12"/>
  <c r="CJ33" i="12"/>
  <c r="CG33" i="12"/>
  <c r="CD33" i="12"/>
  <c r="CA33" i="12"/>
  <c r="BX33" i="12"/>
  <c r="BU33" i="12"/>
  <c r="BR33" i="12"/>
  <c r="BO33" i="12"/>
  <c r="BL33" i="12"/>
  <c r="BI33" i="12"/>
  <c r="BF33" i="12"/>
  <c r="BC33" i="12"/>
  <c r="AZ33" i="12"/>
  <c r="AW33" i="12"/>
  <c r="AR33" i="12"/>
  <c r="AT33" i="12" s="1"/>
  <c r="AQ33" i="12"/>
  <c r="AO33" i="12"/>
  <c r="AL33" i="12"/>
  <c r="EB33" i="12" s="1"/>
  <c r="AK33" i="12"/>
  <c r="AI33" i="12"/>
  <c r="AB33" i="12"/>
  <c r="Y33" i="12"/>
  <c r="V33" i="12"/>
  <c r="S33" i="12"/>
  <c r="P33" i="12"/>
  <c r="M33" i="12"/>
  <c r="J33" i="12"/>
  <c r="G33" i="12"/>
  <c r="D33" i="12"/>
  <c r="EL32" i="12"/>
  <c r="EG32" i="12"/>
  <c r="EI32" i="12" s="1"/>
  <c r="DW32" i="12"/>
  <c r="DT32" i="12"/>
  <c r="DQ32" i="12"/>
  <c r="DN32" i="12"/>
  <c r="DK32" i="12"/>
  <c r="DH32" i="12"/>
  <c r="DE32" i="12"/>
  <c r="DB32" i="12"/>
  <c r="CY32" i="12"/>
  <c r="CV32" i="12"/>
  <c r="CS32" i="12"/>
  <c r="CP32" i="12"/>
  <c r="CM32" i="12"/>
  <c r="CJ32" i="12"/>
  <c r="CG32" i="12"/>
  <c r="CD32" i="12"/>
  <c r="CA32" i="12"/>
  <c r="BX32" i="12"/>
  <c r="BU32" i="12"/>
  <c r="BR32" i="12"/>
  <c r="BO32" i="12"/>
  <c r="BL32" i="12"/>
  <c r="BI32" i="12"/>
  <c r="BF32" i="12"/>
  <c r="BC32" i="12"/>
  <c r="AZ32" i="12"/>
  <c r="AW32" i="12"/>
  <c r="AR32" i="12"/>
  <c r="EK32" i="12" s="1"/>
  <c r="AO32" i="12"/>
  <c r="AQ32" i="12" s="1"/>
  <c r="AL32" i="12"/>
  <c r="AN32" i="12" s="1"/>
  <c r="AI32" i="12"/>
  <c r="AK32" i="12" s="1"/>
  <c r="AB32" i="12"/>
  <c r="Y32" i="12"/>
  <c r="V32" i="12"/>
  <c r="S32" i="12"/>
  <c r="P32" i="12"/>
  <c r="M32" i="12"/>
  <c r="J32" i="12"/>
  <c r="G32" i="12"/>
  <c r="D32" i="12"/>
  <c r="EL31" i="12"/>
  <c r="EG31" i="12"/>
  <c r="EI31" i="12" s="1"/>
  <c r="DW31" i="12"/>
  <c r="DT31" i="12"/>
  <c r="DQ31" i="12"/>
  <c r="DN31" i="12"/>
  <c r="DK31" i="12"/>
  <c r="DH31" i="12"/>
  <c r="DE31" i="12"/>
  <c r="DB31" i="12"/>
  <c r="CY31" i="12"/>
  <c r="CV31" i="12"/>
  <c r="CS31" i="12"/>
  <c r="CP31" i="12"/>
  <c r="CM31" i="12"/>
  <c r="CJ31" i="12"/>
  <c r="CG31" i="12"/>
  <c r="CD31" i="12"/>
  <c r="CA31" i="12"/>
  <c r="BX31" i="12"/>
  <c r="BU31" i="12"/>
  <c r="BR31" i="12"/>
  <c r="BO31" i="12"/>
  <c r="BL31" i="12"/>
  <c r="BI31" i="12"/>
  <c r="BF31" i="12"/>
  <c r="BC31" i="12"/>
  <c r="AZ31" i="12"/>
  <c r="AW31" i="12"/>
  <c r="AR31" i="12"/>
  <c r="AT31" i="12" s="1"/>
  <c r="AO31" i="12"/>
  <c r="AQ31" i="12" s="1"/>
  <c r="AL31" i="12"/>
  <c r="AK31" i="12"/>
  <c r="AI31" i="12"/>
  <c r="AB31" i="12"/>
  <c r="Y31" i="12"/>
  <c r="V31" i="12"/>
  <c r="S31" i="12"/>
  <c r="EH31" i="12" s="1"/>
  <c r="P31" i="12"/>
  <c r="M31" i="12"/>
  <c r="J31" i="12"/>
  <c r="G31" i="12"/>
  <c r="D31" i="12"/>
  <c r="EL30" i="12"/>
  <c r="EG30" i="12"/>
  <c r="EI30" i="12" s="1"/>
  <c r="DW30" i="12"/>
  <c r="DT30" i="12"/>
  <c r="DQ30" i="12"/>
  <c r="DN30" i="12"/>
  <c r="DK30" i="12"/>
  <c r="DH30" i="12"/>
  <c r="DE30" i="12"/>
  <c r="DB30" i="12"/>
  <c r="CY30" i="12"/>
  <c r="CV30" i="12"/>
  <c r="CS30" i="12"/>
  <c r="CP30" i="12"/>
  <c r="CM30" i="12"/>
  <c r="CJ30" i="12"/>
  <c r="CG30" i="12"/>
  <c r="CD30" i="12"/>
  <c r="CA30" i="12"/>
  <c r="BX30" i="12"/>
  <c r="BU30" i="12"/>
  <c r="BR30" i="12"/>
  <c r="BO30" i="12"/>
  <c r="BL30" i="12"/>
  <c r="BI30" i="12"/>
  <c r="BF30" i="12"/>
  <c r="BC30" i="12"/>
  <c r="AZ30" i="12"/>
  <c r="AW30" i="12"/>
  <c r="AT30" i="12"/>
  <c r="AR30" i="12"/>
  <c r="AO30" i="12"/>
  <c r="AQ30" i="12" s="1"/>
  <c r="AL30" i="12"/>
  <c r="EB30" i="12" s="1"/>
  <c r="AI30" i="12"/>
  <c r="AK30" i="12" s="1"/>
  <c r="AB30" i="12"/>
  <c r="Y30" i="12"/>
  <c r="V30" i="12"/>
  <c r="S30" i="12"/>
  <c r="P30" i="12"/>
  <c r="M30" i="12"/>
  <c r="J30" i="12"/>
  <c r="G30" i="12"/>
  <c r="D30" i="12"/>
  <c r="EL29" i="12"/>
  <c r="EI29" i="12"/>
  <c r="EG29" i="12"/>
  <c r="DW29" i="12"/>
  <c r="DT29" i="12"/>
  <c r="DQ29" i="12"/>
  <c r="DN29" i="12"/>
  <c r="DK29" i="12"/>
  <c r="DH29" i="12"/>
  <c r="DE29" i="12"/>
  <c r="DB29" i="12"/>
  <c r="CY29" i="12"/>
  <c r="CV29" i="12"/>
  <c r="CS29" i="12"/>
  <c r="CP29" i="12"/>
  <c r="CM29" i="12"/>
  <c r="CJ29" i="12"/>
  <c r="CG29" i="12"/>
  <c r="CD29" i="12"/>
  <c r="CA29" i="12"/>
  <c r="BX29" i="12"/>
  <c r="BU29" i="12"/>
  <c r="BR29" i="12"/>
  <c r="BO29" i="12"/>
  <c r="BL29" i="12"/>
  <c r="BI29" i="12"/>
  <c r="BF29" i="12"/>
  <c r="BC29" i="12"/>
  <c r="AZ29" i="12"/>
  <c r="AW29" i="12"/>
  <c r="AR29" i="12"/>
  <c r="AT29" i="12" s="1"/>
  <c r="AO29" i="12"/>
  <c r="AQ29" i="12" s="1"/>
  <c r="AL29" i="12"/>
  <c r="AK29" i="12"/>
  <c r="AI29" i="12"/>
  <c r="AB29" i="12"/>
  <c r="Y29" i="12"/>
  <c r="V29" i="12"/>
  <c r="S29" i="12"/>
  <c r="P29" i="12"/>
  <c r="M29" i="12"/>
  <c r="J29" i="12"/>
  <c r="G29" i="12"/>
  <c r="D29" i="12"/>
  <c r="EL28" i="12"/>
  <c r="EG28" i="12"/>
  <c r="EI28" i="12" s="1"/>
  <c r="DW28" i="12"/>
  <c r="DT28" i="12"/>
  <c r="DQ28" i="12"/>
  <c r="DN28" i="12"/>
  <c r="DK28" i="12"/>
  <c r="DH28" i="12"/>
  <c r="DE28" i="12"/>
  <c r="DB28" i="12"/>
  <c r="CY28" i="12"/>
  <c r="CV28" i="12"/>
  <c r="CS28" i="12"/>
  <c r="CP28" i="12"/>
  <c r="CM28" i="12"/>
  <c r="CJ28" i="12"/>
  <c r="CG28" i="12"/>
  <c r="CD28" i="12"/>
  <c r="CA28" i="12"/>
  <c r="BX28" i="12"/>
  <c r="BU28" i="12"/>
  <c r="BR28" i="12"/>
  <c r="BO28" i="12"/>
  <c r="BL28" i="12"/>
  <c r="BI28" i="12"/>
  <c r="BF28" i="12"/>
  <c r="BC28" i="12"/>
  <c r="AZ28" i="12"/>
  <c r="AW28" i="12"/>
  <c r="AT28" i="12"/>
  <c r="AR28" i="12"/>
  <c r="AO28" i="12"/>
  <c r="AQ28" i="12" s="1"/>
  <c r="AN28" i="12"/>
  <c r="AI28" i="12"/>
  <c r="AK28" i="12" s="1"/>
  <c r="AB28" i="12"/>
  <c r="Y28" i="12"/>
  <c r="V28" i="12"/>
  <c r="S28" i="12"/>
  <c r="P28" i="12"/>
  <c r="M28" i="12"/>
  <c r="J28" i="12"/>
  <c r="G28" i="12"/>
  <c r="D28" i="12"/>
  <c r="EL27" i="12"/>
  <c r="EG27" i="12"/>
  <c r="EI27" i="12" s="1"/>
  <c r="DW27" i="12"/>
  <c r="DT27" i="12"/>
  <c r="DQ27" i="12"/>
  <c r="DN27" i="12"/>
  <c r="DK27" i="12"/>
  <c r="DH27" i="12"/>
  <c r="DE27" i="12"/>
  <c r="DB27" i="12"/>
  <c r="CY27" i="12"/>
  <c r="CV27" i="12"/>
  <c r="CS27" i="12"/>
  <c r="CP27" i="12"/>
  <c r="CM27" i="12"/>
  <c r="CJ27" i="12"/>
  <c r="CG27" i="12"/>
  <c r="CD27" i="12"/>
  <c r="CA27" i="12"/>
  <c r="BX27" i="12"/>
  <c r="BU27" i="12"/>
  <c r="BR27" i="12"/>
  <c r="BO27" i="12"/>
  <c r="BL27" i="12"/>
  <c r="BI27" i="12"/>
  <c r="BF27" i="12"/>
  <c r="BC27" i="12"/>
  <c r="AZ27" i="12"/>
  <c r="AW27" i="12"/>
  <c r="AR27" i="12"/>
  <c r="EK27" i="12" s="1"/>
  <c r="AO27" i="12"/>
  <c r="AN27" i="12"/>
  <c r="AI27" i="12"/>
  <c r="AK27" i="12" s="1"/>
  <c r="AB27" i="12"/>
  <c r="Y27" i="12"/>
  <c r="V27" i="12"/>
  <c r="EH27" i="12" s="1"/>
  <c r="S27" i="12"/>
  <c r="P27" i="12"/>
  <c r="M27" i="12"/>
  <c r="J27" i="12"/>
  <c r="G27" i="12"/>
  <c r="D27" i="12"/>
  <c r="EL26" i="12"/>
  <c r="EI26" i="12"/>
  <c r="EG26" i="12"/>
  <c r="DW26" i="12"/>
  <c r="DT26" i="12"/>
  <c r="DQ26" i="12"/>
  <c r="DN26" i="12"/>
  <c r="DK26" i="12"/>
  <c r="DH26" i="12"/>
  <c r="DE26" i="12"/>
  <c r="DB26" i="12"/>
  <c r="CY26" i="12"/>
  <c r="CV26" i="12"/>
  <c r="CS26" i="12"/>
  <c r="CP26" i="12"/>
  <c r="CM26" i="12"/>
  <c r="CJ26" i="12"/>
  <c r="CG26" i="12"/>
  <c r="CD26" i="12"/>
  <c r="CA26" i="12"/>
  <c r="BX26" i="12"/>
  <c r="BU26" i="12"/>
  <c r="BR26" i="12"/>
  <c r="BO26" i="12"/>
  <c r="BL26" i="12"/>
  <c r="BI26" i="12"/>
  <c r="BF26" i="12"/>
  <c r="BC26" i="12"/>
  <c r="AZ26" i="12"/>
  <c r="AW26" i="12"/>
  <c r="AR26" i="12"/>
  <c r="AT26" i="12" s="1"/>
  <c r="AO26" i="12"/>
  <c r="AQ26" i="12" s="1"/>
  <c r="AN26" i="12"/>
  <c r="AI26" i="12"/>
  <c r="AK26" i="12" s="1"/>
  <c r="AB26" i="12"/>
  <c r="Y26" i="12"/>
  <c r="V26" i="12"/>
  <c r="S26" i="12"/>
  <c r="P26" i="12"/>
  <c r="M26" i="12"/>
  <c r="J26" i="12"/>
  <c r="G26" i="12"/>
  <c r="D26" i="12"/>
  <c r="EL25" i="12"/>
  <c r="EG25" i="12"/>
  <c r="EI25" i="12" s="1"/>
  <c r="DW25" i="12"/>
  <c r="DT25" i="12"/>
  <c r="DQ25" i="12"/>
  <c r="DN25" i="12"/>
  <c r="DK25" i="12"/>
  <c r="DH25" i="12"/>
  <c r="DE25" i="12"/>
  <c r="DB25" i="12"/>
  <c r="CY25" i="12"/>
  <c r="CV25" i="12"/>
  <c r="CS25" i="12"/>
  <c r="CP25" i="12"/>
  <c r="CM25" i="12"/>
  <c r="CJ25" i="12"/>
  <c r="CG25" i="12"/>
  <c r="CD25" i="12"/>
  <c r="CA25" i="12"/>
  <c r="BX25" i="12"/>
  <c r="BU25" i="12"/>
  <c r="BR25" i="12"/>
  <c r="BO25" i="12"/>
  <c r="BL25" i="12"/>
  <c r="BI25" i="12"/>
  <c r="BF25" i="12"/>
  <c r="BC25" i="12"/>
  <c r="AZ25" i="12"/>
  <c r="AW25" i="12"/>
  <c r="AR25" i="12"/>
  <c r="AO25" i="12"/>
  <c r="AQ25" i="12" s="1"/>
  <c r="AL25" i="12"/>
  <c r="AK25" i="12"/>
  <c r="AI25" i="12"/>
  <c r="AB25" i="12"/>
  <c r="Y25" i="12"/>
  <c r="V25" i="12"/>
  <c r="S25" i="12"/>
  <c r="P25" i="12"/>
  <c r="M25" i="12"/>
  <c r="J25" i="12"/>
  <c r="G25" i="12"/>
  <c r="D25" i="12"/>
  <c r="EL24" i="12"/>
  <c r="EG24" i="12"/>
  <c r="EI24" i="12" s="1"/>
  <c r="DW24" i="12"/>
  <c r="DT24" i="12"/>
  <c r="DQ24" i="12"/>
  <c r="DN24" i="12"/>
  <c r="DK24" i="12"/>
  <c r="DH24" i="12"/>
  <c r="DE24" i="12"/>
  <c r="DB24" i="12"/>
  <c r="CY24" i="12"/>
  <c r="CV24" i="12"/>
  <c r="CS24" i="12"/>
  <c r="CP24" i="12"/>
  <c r="CM24" i="12"/>
  <c r="CJ24" i="12"/>
  <c r="CG24" i="12"/>
  <c r="CD24" i="12"/>
  <c r="CA24" i="12"/>
  <c r="BX24" i="12"/>
  <c r="BU24" i="12"/>
  <c r="BR24" i="12"/>
  <c r="BO24" i="12"/>
  <c r="BL24" i="12"/>
  <c r="BI24" i="12"/>
  <c r="BF24" i="12"/>
  <c r="BC24" i="12"/>
  <c r="AZ24" i="12"/>
  <c r="AW24" i="12"/>
  <c r="AT24" i="12"/>
  <c r="AO24" i="12"/>
  <c r="AL24" i="12"/>
  <c r="AN24" i="12" s="1"/>
  <c r="AI24" i="12"/>
  <c r="AK24" i="12" s="1"/>
  <c r="AB24" i="12"/>
  <c r="Y24" i="12"/>
  <c r="V24" i="12"/>
  <c r="S24" i="12"/>
  <c r="P24" i="12"/>
  <c r="M24" i="12"/>
  <c r="J24" i="12"/>
  <c r="G24" i="12"/>
  <c r="D24" i="12"/>
  <c r="EL23" i="12"/>
  <c r="EG23" i="12"/>
  <c r="EI23" i="12" s="1"/>
  <c r="DW23" i="12"/>
  <c r="DT23" i="12"/>
  <c r="DQ23" i="12"/>
  <c r="DN23" i="12"/>
  <c r="DK23" i="12"/>
  <c r="DH23" i="12"/>
  <c r="DE23" i="12"/>
  <c r="DB23" i="12"/>
  <c r="CY23" i="12"/>
  <c r="CV23" i="12"/>
  <c r="CS23" i="12"/>
  <c r="CP23" i="12"/>
  <c r="CM23" i="12"/>
  <c r="CJ23" i="12"/>
  <c r="CG23" i="12"/>
  <c r="CD23" i="12"/>
  <c r="CA23" i="12"/>
  <c r="BX23" i="12"/>
  <c r="BU23" i="12"/>
  <c r="BR23" i="12"/>
  <c r="BO23" i="12"/>
  <c r="BL23" i="12"/>
  <c r="BI23" i="12"/>
  <c r="BF23" i="12"/>
  <c r="BC23" i="12"/>
  <c r="AZ23" i="12"/>
  <c r="AW23" i="12"/>
  <c r="AT23" i="12"/>
  <c r="AQ23" i="12"/>
  <c r="AO23" i="12"/>
  <c r="AL23" i="12"/>
  <c r="EB23" i="12" s="1"/>
  <c r="AK23" i="12"/>
  <c r="AI23" i="12"/>
  <c r="AB23" i="12"/>
  <c r="Y23" i="12"/>
  <c r="V23" i="12"/>
  <c r="S23" i="12"/>
  <c r="EH23" i="12" s="1"/>
  <c r="P23" i="12"/>
  <c r="M23" i="12"/>
  <c r="J23" i="12"/>
  <c r="G23" i="12"/>
  <c r="D23" i="12"/>
  <c r="EL22" i="12"/>
  <c r="EI22" i="12"/>
  <c r="EG22" i="12"/>
  <c r="DW22" i="12"/>
  <c r="DT22" i="12"/>
  <c r="DQ22" i="12"/>
  <c r="DN22" i="12"/>
  <c r="DK22" i="12"/>
  <c r="DH22" i="12"/>
  <c r="DE22" i="12"/>
  <c r="DB22" i="12"/>
  <c r="CY22" i="12"/>
  <c r="CV22" i="12"/>
  <c r="CS22" i="12"/>
  <c r="CP22" i="12"/>
  <c r="CM22" i="12"/>
  <c r="CJ22" i="12"/>
  <c r="CG22" i="12"/>
  <c r="CD22" i="12"/>
  <c r="CA22" i="12"/>
  <c r="BX22" i="12"/>
  <c r="BU22" i="12"/>
  <c r="BR22" i="12"/>
  <c r="BO22" i="12"/>
  <c r="BL22" i="12"/>
  <c r="BI22" i="12"/>
  <c r="BF22" i="12"/>
  <c r="BC22" i="12"/>
  <c r="AZ22" i="12"/>
  <c r="AW22" i="12"/>
  <c r="AT22" i="12"/>
  <c r="AO22" i="12"/>
  <c r="AL22" i="12"/>
  <c r="AN22" i="12" s="1"/>
  <c r="AI22" i="12"/>
  <c r="AK22" i="12" s="1"/>
  <c r="AB22" i="12"/>
  <c r="Y22" i="12"/>
  <c r="V22" i="12"/>
  <c r="S22" i="12"/>
  <c r="P22" i="12"/>
  <c r="M22" i="12"/>
  <c r="J22" i="12"/>
  <c r="G22" i="12"/>
  <c r="D22" i="12"/>
  <c r="EL21" i="12"/>
  <c r="EG21" i="12"/>
  <c r="EI21" i="12" s="1"/>
  <c r="DW21" i="12"/>
  <c r="DT21" i="12"/>
  <c r="DQ21" i="12"/>
  <c r="DN21" i="12"/>
  <c r="DK21" i="12"/>
  <c r="DH21" i="12"/>
  <c r="DE21" i="12"/>
  <c r="DB21" i="12"/>
  <c r="CY21" i="12"/>
  <c r="CV21" i="12"/>
  <c r="CS21" i="12"/>
  <c r="CP21" i="12"/>
  <c r="CM21" i="12"/>
  <c r="CJ21" i="12"/>
  <c r="CG21" i="12"/>
  <c r="CD21" i="12"/>
  <c r="CA21" i="12"/>
  <c r="BX21" i="12"/>
  <c r="BU21" i="12"/>
  <c r="BR21" i="12"/>
  <c r="BO21" i="12"/>
  <c r="BL21" i="12"/>
  <c r="BI21" i="12"/>
  <c r="BF21" i="12"/>
  <c r="BC21" i="12"/>
  <c r="AZ21" i="12"/>
  <c r="AW21" i="12"/>
  <c r="AT21" i="12"/>
  <c r="AQ21" i="12"/>
  <c r="AO21" i="12"/>
  <c r="AL21" i="12"/>
  <c r="EB21" i="12" s="1"/>
  <c r="AI21" i="12"/>
  <c r="AK21" i="12" s="1"/>
  <c r="AB21" i="12"/>
  <c r="Y21" i="12"/>
  <c r="V21" i="12"/>
  <c r="S21" i="12"/>
  <c r="P21" i="12"/>
  <c r="M21" i="12"/>
  <c r="J21" i="12"/>
  <c r="G21" i="12"/>
  <c r="D21" i="12"/>
  <c r="EL20" i="12"/>
  <c r="EG20" i="12"/>
  <c r="EI20" i="12" s="1"/>
  <c r="DW20" i="12"/>
  <c r="DT20" i="12"/>
  <c r="DQ20" i="12"/>
  <c r="DN20" i="12"/>
  <c r="DK20" i="12"/>
  <c r="DH20" i="12"/>
  <c r="DE20" i="12"/>
  <c r="DB20" i="12"/>
  <c r="CY20" i="12"/>
  <c r="CV20" i="12"/>
  <c r="CS20" i="12"/>
  <c r="CP20" i="12"/>
  <c r="CM20" i="12"/>
  <c r="CJ20" i="12"/>
  <c r="CG20" i="12"/>
  <c r="CD20" i="12"/>
  <c r="CA20" i="12"/>
  <c r="BX20" i="12"/>
  <c r="BU20" i="12"/>
  <c r="BR20" i="12"/>
  <c r="BO20" i="12"/>
  <c r="BL20" i="12"/>
  <c r="BI20" i="12"/>
  <c r="BF20" i="12"/>
  <c r="BC20" i="12"/>
  <c r="AZ20" i="12"/>
  <c r="AW20" i="12"/>
  <c r="AT20" i="12"/>
  <c r="AO20" i="12"/>
  <c r="EK20" i="12" s="1"/>
  <c r="AL20" i="12"/>
  <c r="AN20" i="12" s="1"/>
  <c r="AI20" i="12"/>
  <c r="AK20" i="12" s="1"/>
  <c r="AB20" i="12"/>
  <c r="Y20" i="12"/>
  <c r="V20" i="12"/>
  <c r="S20" i="12"/>
  <c r="P20" i="12"/>
  <c r="M20" i="12"/>
  <c r="J20" i="12"/>
  <c r="G20" i="12"/>
  <c r="D20" i="12"/>
  <c r="EL19" i="12"/>
  <c r="EG19" i="12"/>
  <c r="EI19" i="12" s="1"/>
  <c r="DW19" i="12"/>
  <c r="DT19" i="12"/>
  <c r="DQ19" i="12"/>
  <c r="DN19" i="12"/>
  <c r="DK19" i="12"/>
  <c r="DH19" i="12"/>
  <c r="DE19" i="12"/>
  <c r="DB19" i="12"/>
  <c r="CY19" i="12"/>
  <c r="CV19" i="12"/>
  <c r="CS19" i="12"/>
  <c r="CP19" i="12"/>
  <c r="CM19" i="12"/>
  <c r="CJ19" i="12"/>
  <c r="CG19" i="12"/>
  <c r="CD19" i="12"/>
  <c r="CA19" i="12"/>
  <c r="BX19" i="12"/>
  <c r="BU19" i="12"/>
  <c r="BR19" i="12"/>
  <c r="BO19" i="12"/>
  <c r="BL19" i="12"/>
  <c r="BI19" i="12"/>
  <c r="BF19" i="12"/>
  <c r="BC19" i="12"/>
  <c r="AZ19" i="12"/>
  <c r="AW19" i="12"/>
  <c r="AT19" i="12"/>
  <c r="AO19" i="12"/>
  <c r="EK19" i="12" s="1"/>
  <c r="AL19" i="12"/>
  <c r="AK19" i="12"/>
  <c r="AI19" i="12"/>
  <c r="AB19" i="12"/>
  <c r="Y19" i="12"/>
  <c r="V19" i="12"/>
  <c r="S19" i="12"/>
  <c r="P19" i="12"/>
  <c r="M19" i="12"/>
  <c r="J19" i="12"/>
  <c r="G19" i="12"/>
  <c r="D19" i="12"/>
  <c r="EL18" i="12"/>
  <c r="EG18" i="12"/>
  <c r="EI18" i="12" s="1"/>
  <c r="DW18" i="12"/>
  <c r="DT18" i="12"/>
  <c r="DQ18" i="12"/>
  <c r="DN18" i="12"/>
  <c r="DK18" i="12"/>
  <c r="DH18" i="12"/>
  <c r="DE18" i="12"/>
  <c r="DB18" i="12"/>
  <c r="CY18" i="12"/>
  <c r="CV18" i="12"/>
  <c r="CS18" i="12"/>
  <c r="CP18" i="12"/>
  <c r="CM18" i="12"/>
  <c r="CJ18" i="12"/>
  <c r="CG18" i="12"/>
  <c r="CD18" i="12"/>
  <c r="CA18" i="12"/>
  <c r="BX18" i="12"/>
  <c r="BU18" i="12"/>
  <c r="BR18" i="12"/>
  <c r="BO18" i="12"/>
  <c r="BL18" i="12"/>
  <c r="BI18" i="12"/>
  <c r="BF18" i="12"/>
  <c r="BC18" i="12"/>
  <c r="AZ18" i="12"/>
  <c r="AW18" i="12"/>
  <c r="AT18" i="12"/>
  <c r="AO18" i="12"/>
  <c r="AL18" i="12"/>
  <c r="AN18" i="12" s="1"/>
  <c r="AI18" i="12"/>
  <c r="AK18" i="12" s="1"/>
  <c r="AB18" i="12"/>
  <c r="Y18" i="12"/>
  <c r="V18" i="12"/>
  <c r="S18" i="12"/>
  <c r="P18" i="12"/>
  <c r="M18" i="12"/>
  <c r="J18" i="12"/>
  <c r="G18" i="12"/>
  <c r="D18" i="12"/>
  <c r="EL17" i="12"/>
  <c r="EG17" i="12"/>
  <c r="EI17" i="12" s="1"/>
  <c r="DW17" i="12"/>
  <c r="DT17" i="12"/>
  <c r="DQ17" i="12"/>
  <c r="DN17" i="12"/>
  <c r="DK17" i="12"/>
  <c r="DH17" i="12"/>
  <c r="DE17" i="12"/>
  <c r="DB17" i="12"/>
  <c r="CY17" i="12"/>
  <c r="CV17" i="12"/>
  <c r="CS17" i="12"/>
  <c r="CP17" i="12"/>
  <c r="CM17" i="12"/>
  <c r="CJ17" i="12"/>
  <c r="CG17" i="12"/>
  <c r="CD17" i="12"/>
  <c r="CA17" i="12"/>
  <c r="BX17" i="12"/>
  <c r="BU17" i="12"/>
  <c r="BR17" i="12"/>
  <c r="BO17" i="12"/>
  <c r="BL17" i="12"/>
  <c r="BI17" i="12"/>
  <c r="BF17" i="12"/>
  <c r="BC17" i="12"/>
  <c r="AZ17" i="12"/>
  <c r="AW17" i="12"/>
  <c r="AT17" i="12"/>
  <c r="AQ17" i="12"/>
  <c r="AO17" i="12"/>
  <c r="AL17" i="12"/>
  <c r="EB17" i="12" s="1"/>
  <c r="AK17" i="12"/>
  <c r="AI17" i="12"/>
  <c r="AB17" i="12"/>
  <c r="Y17" i="12"/>
  <c r="V17" i="12"/>
  <c r="S17" i="12"/>
  <c r="P17" i="12"/>
  <c r="M17" i="12"/>
  <c r="J17" i="12"/>
  <c r="G17" i="12"/>
  <c r="D17" i="12"/>
  <c r="EL16" i="12"/>
  <c r="EG16" i="12"/>
  <c r="EI16" i="12" s="1"/>
  <c r="DW16" i="12"/>
  <c r="DT16" i="12"/>
  <c r="DQ16" i="12"/>
  <c r="DN16" i="12"/>
  <c r="DK16" i="12"/>
  <c r="DH16" i="12"/>
  <c r="DE16" i="12"/>
  <c r="DB16" i="12"/>
  <c r="CY16" i="12"/>
  <c r="CV16" i="12"/>
  <c r="CS16" i="12"/>
  <c r="CP16" i="12"/>
  <c r="CM16" i="12"/>
  <c r="CJ16" i="12"/>
  <c r="CG16" i="12"/>
  <c r="CD16" i="12"/>
  <c r="CA16" i="12"/>
  <c r="BX16" i="12"/>
  <c r="BU16" i="12"/>
  <c r="BR16" i="12"/>
  <c r="BO16" i="12"/>
  <c r="BL16" i="12"/>
  <c r="BI16" i="12"/>
  <c r="BF16" i="12"/>
  <c r="BC16" i="12"/>
  <c r="AZ16" i="12"/>
  <c r="AW16" i="12"/>
  <c r="AT16" i="12"/>
  <c r="AO16" i="12"/>
  <c r="AL16" i="12"/>
  <c r="AN16" i="12" s="1"/>
  <c r="AI16" i="12"/>
  <c r="AK16" i="12" s="1"/>
  <c r="AB16" i="12"/>
  <c r="Y16" i="12"/>
  <c r="V16" i="12"/>
  <c r="S16" i="12"/>
  <c r="P16" i="12"/>
  <c r="M16" i="12"/>
  <c r="J16" i="12"/>
  <c r="G16" i="12"/>
  <c r="D16" i="12"/>
  <c r="EL15" i="12"/>
  <c r="EI15" i="12"/>
  <c r="EG15" i="12"/>
  <c r="DW15" i="12"/>
  <c r="DT15" i="12"/>
  <c r="DQ15" i="12"/>
  <c r="DN15" i="12"/>
  <c r="DK15" i="12"/>
  <c r="DH15" i="12"/>
  <c r="DE15" i="12"/>
  <c r="DB15" i="12"/>
  <c r="CY15" i="12"/>
  <c r="CV15" i="12"/>
  <c r="CS15" i="12"/>
  <c r="CP15" i="12"/>
  <c r="CM15" i="12"/>
  <c r="CJ15" i="12"/>
  <c r="CG15" i="12"/>
  <c r="CD15" i="12"/>
  <c r="CA15" i="12"/>
  <c r="BX15" i="12"/>
  <c r="BU15" i="12"/>
  <c r="BR15" i="12"/>
  <c r="BO15" i="12"/>
  <c r="BL15" i="12"/>
  <c r="BI15" i="12"/>
  <c r="BF15" i="12"/>
  <c r="BC15" i="12"/>
  <c r="AZ15" i="12"/>
  <c r="AW15" i="12"/>
  <c r="AT15" i="12"/>
  <c r="AQ15" i="12"/>
  <c r="AO15" i="12"/>
  <c r="AN15" i="12"/>
  <c r="AL15" i="12"/>
  <c r="AI15" i="12"/>
  <c r="EK15" i="12" s="1"/>
  <c r="AB15" i="12"/>
  <c r="Y15" i="12"/>
  <c r="V15" i="12"/>
  <c r="S15" i="12"/>
  <c r="EH15" i="12" s="1"/>
  <c r="P15" i="12"/>
  <c r="M15" i="12"/>
  <c r="J15" i="12"/>
  <c r="G15" i="12"/>
  <c r="D15" i="12"/>
  <c r="EL14" i="12"/>
  <c r="EI14" i="12"/>
  <c r="EG14" i="12"/>
  <c r="DW14" i="12"/>
  <c r="DT14" i="12"/>
  <c r="DQ14" i="12"/>
  <c r="DN14" i="12"/>
  <c r="DK14" i="12"/>
  <c r="DH14" i="12"/>
  <c r="DE14" i="12"/>
  <c r="DB14" i="12"/>
  <c r="CY14" i="12"/>
  <c r="CV14" i="12"/>
  <c r="CS14" i="12"/>
  <c r="CP14" i="12"/>
  <c r="CM14" i="12"/>
  <c r="CJ14" i="12"/>
  <c r="CG14" i="12"/>
  <c r="CD14" i="12"/>
  <c r="CA14" i="12"/>
  <c r="BX14" i="12"/>
  <c r="BU14" i="12"/>
  <c r="BR14" i="12"/>
  <c r="BO14" i="12"/>
  <c r="BL14" i="12"/>
  <c r="BI14" i="12"/>
  <c r="BF14" i="12"/>
  <c r="BC14" i="12"/>
  <c r="AZ14" i="12"/>
  <c r="AW14" i="12"/>
  <c r="AT14" i="12"/>
  <c r="AQ14" i="12"/>
  <c r="AN14" i="12"/>
  <c r="AL14" i="12"/>
  <c r="EB14" i="12" s="1"/>
  <c r="AK14" i="12"/>
  <c r="AI14" i="12"/>
  <c r="AB14" i="12"/>
  <c r="Y14" i="12"/>
  <c r="V14" i="12"/>
  <c r="S14" i="12"/>
  <c r="P14" i="12"/>
  <c r="M14" i="12"/>
  <c r="J14" i="12"/>
  <c r="G14" i="12"/>
  <c r="D14" i="12"/>
  <c r="EL13" i="12"/>
  <c r="EG13" i="12"/>
  <c r="EI13" i="12" s="1"/>
  <c r="DW13" i="12"/>
  <c r="DT13" i="12"/>
  <c r="DQ13" i="12"/>
  <c r="DN13" i="12"/>
  <c r="DK13" i="12"/>
  <c r="DH13" i="12"/>
  <c r="DE13" i="12"/>
  <c r="DB13" i="12"/>
  <c r="CY13" i="12"/>
  <c r="CV13" i="12"/>
  <c r="CS13" i="12"/>
  <c r="CP13" i="12"/>
  <c r="CM13" i="12"/>
  <c r="CJ13" i="12"/>
  <c r="CG13" i="12"/>
  <c r="CD13" i="12"/>
  <c r="CA13" i="12"/>
  <c r="BX13" i="12"/>
  <c r="BU13" i="12"/>
  <c r="BR13" i="12"/>
  <c r="BO13" i="12"/>
  <c r="BL13" i="12"/>
  <c r="BI13" i="12"/>
  <c r="BF13" i="12"/>
  <c r="BC13" i="12"/>
  <c r="AZ13" i="12"/>
  <c r="AW13" i="12"/>
  <c r="AT13" i="12"/>
  <c r="AQ13" i="12"/>
  <c r="AL13" i="12"/>
  <c r="AN13" i="12" s="1"/>
  <c r="AI13" i="12"/>
  <c r="AB13" i="12"/>
  <c r="Y13" i="12"/>
  <c r="V13" i="12"/>
  <c r="S13" i="12"/>
  <c r="P13" i="12"/>
  <c r="M13" i="12"/>
  <c r="J13" i="12"/>
  <c r="G13" i="12"/>
  <c r="D13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EL12" i="12"/>
  <c r="EG12" i="12"/>
  <c r="EI12" i="12" s="1"/>
  <c r="EB12" i="12"/>
  <c r="DW12" i="12"/>
  <c r="DT12" i="12"/>
  <c r="DQ12" i="12"/>
  <c r="DN12" i="12"/>
  <c r="DK12" i="12"/>
  <c r="DK43" i="12" s="1"/>
  <c r="DH12" i="12"/>
  <c r="DE12" i="12"/>
  <c r="DB12" i="12"/>
  <c r="CY12" i="12"/>
  <c r="CV12" i="12"/>
  <c r="CS12" i="12"/>
  <c r="CP12" i="12"/>
  <c r="CM12" i="12"/>
  <c r="CJ12" i="12"/>
  <c r="CG12" i="12"/>
  <c r="CD12" i="12"/>
  <c r="CA12" i="12"/>
  <c r="BX12" i="12"/>
  <c r="BU12" i="12"/>
  <c r="BR12" i="12"/>
  <c r="BO12" i="12"/>
  <c r="BO43" i="12" s="1"/>
  <c r="BL12" i="12"/>
  <c r="BI12" i="12"/>
  <c r="BF12" i="12"/>
  <c r="BC12" i="12"/>
  <c r="AZ12" i="12"/>
  <c r="AW12" i="12"/>
  <c r="AT12" i="12"/>
  <c r="AQ12" i="12"/>
  <c r="AL12" i="12"/>
  <c r="AN12" i="12" s="1"/>
  <c r="AK12" i="12"/>
  <c r="AI12" i="12"/>
  <c r="AB12" i="12"/>
  <c r="Y12" i="12"/>
  <c r="V12" i="12"/>
  <c r="S12" i="12"/>
  <c r="P12" i="12"/>
  <c r="M12" i="12"/>
  <c r="J12" i="12"/>
  <c r="G12" i="12"/>
  <c r="D12" i="12"/>
  <c r="EN2" i="12"/>
  <c r="EP2" i="12" s="1"/>
  <c r="CM43" i="12" l="1"/>
  <c r="AQ19" i="12"/>
  <c r="EM19" i="12" s="1"/>
  <c r="EN19" i="12" s="1"/>
  <c r="EB38" i="12"/>
  <c r="EE38" i="12" s="1"/>
  <c r="EI41" i="12"/>
  <c r="AT42" i="12"/>
  <c r="EI6" i="12"/>
  <c r="EK14" i="12"/>
  <c r="EB15" i="12"/>
  <c r="EC15" i="12" s="1"/>
  <c r="EB20" i="12"/>
  <c r="AN23" i="12"/>
  <c r="EM23" i="12" s="1"/>
  <c r="EH28" i="12"/>
  <c r="EK28" i="12"/>
  <c r="AN30" i="12"/>
  <c r="EK36" i="12"/>
  <c r="ED26" i="12"/>
  <c r="D43" i="12"/>
  <c r="EK13" i="12"/>
  <c r="ED14" i="12"/>
  <c r="EE14" i="12" s="1"/>
  <c r="EH21" i="12"/>
  <c r="EB32" i="12"/>
  <c r="EH33" i="12"/>
  <c r="EB35" i="12"/>
  <c r="EI3" i="12"/>
  <c r="EI5" i="12" s="1"/>
  <c r="AK15" i="12"/>
  <c r="ED15" i="12" s="1"/>
  <c r="EE15" i="12" s="1"/>
  <c r="EK21" i="12"/>
  <c r="EC21" i="12" s="1"/>
  <c r="AT34" i="12"/>
  <c r="EK12" i="12"/>
  <c r="BC43" i="12"/>
  <c r="CA43" i="12"/>
  <c r="CY43" i="12"/>
  <c r="DW43" i="12"/>
  <c r="AK13" i="12"/>
  <c r="AK43" i="12" s="1"/>
  <c r="EB13" i="12"/>
  <c r="EC13" i="12" s="1"/>
  <c r="EK23" i="12"/>
  <c r="EH24" i="12"/>
  <c r="EK30" i="12"/>
  <c r="EK38" i="12"/>
  <c r="AN21" i="12"/>
  <c r="EM21" i="12" s="1"/>
  <c r="EH16" i="12"/>
  <c r="EH18" i="12"/>
  <c r="ED21" i="12"/>
  <c r="EE21" i="12" s="1"/>
  <c r="EB29" i="12"/>
  <c r="EB34" i="12"/>
  <c r="EH35" i="12"/>
  <c r="EB37" i="12"/>
  <c r="EH41" i="12"/>
  <c r="EB42" i="12"/>
  <c r="EE2" i="12" s="1"/>
  <c r="EQ2" i="12" s="1"/>
  <c r="G5" i="12" s="1"/>
  <c r="EH19" i="12"/>
  <c r="EK40" i="12"/>
  <c r="EM14" i="12"/>
  <c r="AN17" i="12"/>
  <c r="ED17" i="12" s="1"/>
  <c r="EE17" i="12" s="1"/>
  <c r="EK17" i="12"/>
  <c r="EB19" i="12"/>
  <c r="EC19" i="12" s="1"/>
  <c r="P43" i="12"/>
  <c r="EH13" i="12"/>
  <c r="AN19" i="12"/>
  <c r="ED19" i="12" s="1"/>
  <c r="EE19" i="12" s="1"/>
  <c r="EH20" i="12"/>
  <c r="EH25" i="12"/>
  <c r="AT27" i="12"/>
  <c r="EB28" i="12"/>
  <c r="EE28" i="12" s="1"/>
  <c r="EH29" i="12"/>
  <c r="EB31" i="12"/>
  <c r="AT32" i="12"/>
  <c r="EH37" i="12"/>
  <c r="EB39" i="12"/>
  <c r="AT40" i="12"/>
  <c r="EK18" i="12"/>
  <c r="AQ18" i="12"/>
  <c r="ED18" i="12" s="1"/>
  <c r="EC20" i="12"/>
  <c r="EC23" i="12"/>
  <c r="EM24" i="12"/>
  <c r="EM32" i="12"/>
  <c r="EN32" i="12" s="1"/>
  <c r="ED35" i="12"/>
  <c r="EE35" i="12" s="1"/>
  <c r="EC12" i="12"/>
  <c r="EK16" i="12"/>
  <c r="G43" i="12"/>
  <c r="EH12" i="12"/>
  <c r="AE43" i="12"/>
  <c r="ED12" i="12"/>
  <c r="EM13" i="12"/>
  <c r="EN13" i="12" s="1"/>
  <c r="EC14" i="12"/>
  <c r="EB16" i="12"/>
  <c r="EC17" i="12"/>
  <c r="EH22" i="12"/>
  <c r="EK22" i="12"/>
  <c r="AQ22" i="12"/>
  <c r="EM22" i="12" s="1"/>
  <c r="EK25" i="12"/>
  <c r="AT25" i="12"/>
  <c r="J43" i="12"/>
  <c r="V43" i="12"/>
  <c r="AH43" i="12"/>
  <c r="AZ43" i="12"/>
  <c r="BL43" i="12"/>
  <c r="BX43" i="12"/>
  <c r="CJ43" i="12"/>
  <c r="CV43" i="12"/>
  <c r="DH43" i="12"/>
  <c r="DT43" i="12"/>
  <c r="EM12" i="12"/>
  <c r="EH14" i="12"/>
  <c r="EH17" i="12"/>
  <c r="EM17" i="12"/>
  <c r="EN17" i="12" s="1"/>
  <c r="ED20" i="12"/>
  <c r="EE20" i="12" s="1"/>
  <c r="EB25" i="12"/>
  <c r="AN25" i="12"/>
  <c r="EM40" i="12"/>
  <c r="EN40" i="12" s="1"/>
  <c r="EM42" i="12"/>
  <c r="EN42" i="12" s="1"/>
  <c r="M43" i="12"/>
  <c r="Y43" i="12"/>
  <c r="EK24" i="12"/>
  <c r="AQ24" i="12"/>
  <c r="ED24" i="12" s="1"/>
  <c r="AB43" i="12"/>
  <c r="AT43" i="12"/>
  <c r="BR43" i="12"/>
  <c r="CD43" i="12"/>
  <c r="CP43" i="12"/>
  <c r="DB43" i="12"/>
  <c r="DN43" i="12"/>
  <c r="EB22" i="12"/>
  <c r="EB24" i="12"/>
  <c r="ED27" i="12"/>
  <c r="ED28" i="12"/>
  <c r="EC28" i="12"/>
  <c r="ED30" i="12"/>
  <c r="EE30" i="12"/>
  <c r="EC30" i="12"/>
  <c r="ED32" i="12"/>
  <c r="EE32" i="12"/>
  <c r="EC32" i="12"/>
  <c r="ED34" i="12"/>
  <c r="EE34" i="12" s="1"/>
  <c r="EC34" i="12"/>
  <c r="ED36" i="12"/>
  <c r="EE36" i="12"/>
  <c r="EC36" i="12"/>
  <c r="ED38" i="12"/>
  <c r="ED40" i="12"/>
  <c r="EE40" i="12"/>
  <c r="EC40" i="12"/>
  <c r="ED42" i="12"/>
  <c r="EE42" i="12" s="1"/>
  <c r="EC42" i="12"/>
  <c r="S43" i="12"/>
  <c r="BF43" i="12"/>
  <c r="EB18" i="12"/>
  <c r="AW43" i="12"/>
  <c r="BI43" i="12"/>
  <c r="BU43" i="12"/>
  <c r="CG43" i="12"/>
  <c r="CS43" i="12"/>
  <c r="DE43" i="12"/>
  <c r="DQ43" i="12"/>
  <c r="AQ16" i="12"/>
  <c r="ED16" i="12" s="1"/>
  <c r="AQ20" i="12"/>
  <c r="EM20" i="12" s="1"/>
  <c r="EN20" i="12" s="1"/>
  <c r="ED25" i="12"/>
  <c r="EM25" i="12"/>
  <c r="EH26" i="12"/>
  <c r="EB26" i="12"/>
  <c r="EM26" i="12"/>
  <c r="EB27" i="12"/>
  <c r="AQ27" i="12"/>
  <c r="EM27" i="12" s="1"/>
  <c r="EN27" i="12" s="1"/>
  <c r="EM28" i="12"/>
  <c r="EN28" i="12" s="1"/>
  <c r="EM29" i="12"/>
  <c r="EH30" i="12"/>
  <c r="EM30" i="12"/>
  <c r="EN30" i="12" s="1"/>
  <c r="EH32" i="12"/>
  <c r="EH34" i="12"/>
  <c r="EM34" i="12"/>
  <c r="EN34" i="12" s="1"/>
  <c r="EH36" i="12"/>
  <c r="EM36" i="12"/>
  <c r="EN36" i="12" s="1"/>
  <c r="EH38" i="12"/>
  <c r="EM38" i="12"/>
  <c r="EN38" i="12" s="1"/>
  <c r="EH40" i="12"/>
  <c r="EH42" i="12"/>
  <c r="EK26" i="12"/>
  <c r="EK29" i="12"/>
  <c r="EC29" i="12" s="1"/>
  <c r="EK31" i="12"/>
  <c r="EK33" i="12"/>
  <c r="EC33" i="12" s="1"/>
  <c r="EK35" i="12"/>
  <c r="EC35" i="12" s="1"/>
  <c r="EK37" i="12"/>
  <c r="EC37" i="12" s="1"/>
  <c r="EK39" i="12"/>
  <c r="EK41" i="12"/>
  <c r="EC41" i="12" s="1"/>
  <c r="AN29" i="12"/>
  <c r="ED29" i="12" s="1"/>
  <c r="EE29" i="12" s="1"/>
  <c r="AN31" i="12"/>
  <c r="ED31" i="12" s="1"/>
  <c r="AN33" i="12"/>
  <c r="ED33" i="12" s="1"/>
  <c r="EE33" i="12" s="1"/>
  <c r="AN35" i="12"/>
  <c r="EM35" i="12" s="1"/>
  <c r="AN37" i="12"/>
  <c r="ED37" i="12" s="1"/>
  <c r="EE37" i="12" s="1"/>
  <c r="AN39" i="12"/>
  <c r="EM39" i="12" s="1"/>
  <c r="AN41" i="12"/>
  <c r="EM41" i="12" s="1"/>
  <c r="EM16" i="12" l="1"/>
  <c r="EN21" i="12"/>
  <c r="EE31" i="12"/>
  <c r="EM18" i="12"/>
  <c r="EN18" i="12" s="1"/>
  <c r="ED13" i="12"/>
  <c r="EE13" i="12" s="1"/>
  <c r="EC38" i="12"/>
  <c r="EN14" i="12"/>
  <c r="ED39" i="12"/>
  <c r="EE39" i="12" s="1"/>
  <c r="EM15" i="12"/>
  <c r="EN15" i="12" s="1"/>
  <c r="ED23" i="12"/>
  <c r="EE23" i="12" s="1"/>
  <c r="EN23" i="12"/>
  <c r="AN43" i="12"/>
  <c r="EE16" i="12"/>
  <c r="EC16" i="12"/>
  <c r="EN16" i="12"/>
  <c r="EN29" i="12"/>
  <c r="EM37" i="12"/>
  <c r="EN37" i="12" s="1"/>
  <c r="EM31" i="12"/>
  <c r="EN31" i="12" s="1"/>
  <c r="EC26" i="12"/>
  <c r="EE26" i="12"/>
  <c r="EE24" i="12"/>
  <c r="EC24" i="12"/>
  <c r="EE6" i="12"/>
  <c r="G8" i="12" s="1"/>
  <c r="ED41" i="12"/>
  <c r="EE41" i="12" s="1"/>
  <c r="EN22" i="12"/>
  <c r="ED22" i="12"/>
  <c r="ED43" i="12" s="1"/>
  <c r="EN39" i="12"/>
  <c r="EN6" i="12"/>
  <c r="EN35" i="12"/>
  <c r="EN26" i="12"/>
  <c r="AQ43" i="12"/>
  <c r="EC18" i="12"/>
  <c r="EE18" i="12"/>
  <c r="EC22" i="12"/>
  <c r="EE12" i="12"/>
  <c r="EE3" i="12"/>
  <c r="EC25" i="12"/>
  <c r="EE25" i="12"/>
  <c r="EH43" i="12"/>
  <c r="EN41" i="12"/>
  <c r="EM33" i="12"/>
  <c r="EN33" i="12" s="1"/>
  <c r="EE27" i="12"/>
  <c r="EC27" i="12"/>
  <c r="EC39" i="12"/>
  <c r="EC31" i="12"/>
  <c r="EN24" i="12"/>
  <c r="EN25" i="12"/>
  <c r="EN12" i="12"/>
  <c r="EN3" i="12"/>
  <c r="EE22" i="12" l="1"/>
  <c r="EE5" i="12"/>
  <c r="G7" i="12" s="1"/>
  <c r="G6" i="12"/>
  <c r="EM43" i="12"/>
  <c r="EN5" i="12"/>
  <c r="N20" i="4" l="1"/>
  <c r="N26" i="4" s="1"/>
  <c r="M20" i="4"/>
  <c r="M26" i="4" s="1"/>
  <c r="L20" i="4"/>
  <c r="L26" i="4" s="1"/>
  <c r="K20" i="4"/>
  <c r="K26" i="4" s="1"/>
  <c r="J20" i="4"/>
  <c r="J26" i="4" s="1"/>
  <c r="I20" i="4" l="1"/>
  <c r="I26" i="4" s="1"/>
  <c r="H20" i="4"/>
  <c r="H26" i="4" s="1"/>
  <c r="G20" i="4"/>
  <c r="G26" i="4" s="1"/>
  <c r="F20" i="4"/>
  <c r="F26" i="4" s="1"/>
  <c r="E20" i="4"/>
  <c r="E26" i="4" s="1"/>
  <c r="D20" i="4"/>
  <c r="D26" i="4" s="1"/>
  <c r="C20" i="4"/>
  <c r="C26" i="4" s="1"/>
  <c r="C29" i="4" l="1"/>
  <c r="C33" i="4" l="1"/>
  <c r="D29" i="4"/>
  <c r="D33" i="4" l="1"/>
  <c r="E29" i="4" l="1"/>
  <c r="E33" i="4" l="1"/>
  <c r="F29" i="4" s="1"/>
  <c r="F33" i="4" s="1"/>
  <c r="G29" i="4" l="1"/>
  <c r="G33" i="4" l="1"/>
  <c r="H29" i="4" s="1"/>
  <c r="H33" i="4" l="1"/>
  <c r="I29" i="4" s="1"/>
  <c r="I33" i="4" l="1"/>
  <c r="J29" i="4" s="1"/>
  <c r="J33" i="4" s="1"/>
  <c r="K29" i="4" s="1"/>
  <c r="K33" i="4" s="1"/>
  <c r="L29" i="4" s="1"/>
  <c r="L33" i="4" s="1"/>
  <c r="M29" i="4" s="1"/>
  <c r="M33" i="4" s="1"/>
  <c r="N29" i="4" s="1"/>
  <c r="C12" i="2" s="1"/>
  <c r="C11" i="2" s="1"/>
  <c r="C17" i="2" s="1"/>
  <c r="N33" i="4" l="1"/>
  <c r="C25" i="2" l="1"/>
  <c r="C19" i="2" s="1"/>
  <c r="C20" i="2" s="1"/>
  <c r="C22" i="2" s="1"/>
</calcChain>
</file>

<file path=xl/sharedStrings.xml><?xml version="1.0" encoding="utf-8"?>
<sst xmlns="http://schemas.openxmlformats.org/spreadsheetml/2006/main" count="5217" uniqueCount="316">
  <si>
    <t>Ameren Missouri</t>
  </si>
  <si>
    <t>RESRAM Monthly Accounting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</si>
  <si>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</si>
  <si>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</si>
  <si>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</si>
  <si>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</si>
  <si>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</si>
  <si>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</si>
  <si>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</si>
  <si>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</si>
  <si>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</si>
  <si>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</si>
  <si>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</si>
  <si>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</si>
  <si>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</si>
  <si>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Rider RESRAM</t>
  </si>
  <si>
    <t>Actual RES Costs Incurred in Accumulation Period (Actual RES Costs)</t>
  </si>
  <si>
    <t>RES Expenses Recovered in Accumulation Period (RES Costs Recovered)</t>
  </si>
  <si>
    <t>RES Over/Under Recovery</t>
  </si>
  <si>
    <t>Interest</t>
  </si>
  <si>
    <t>(Over)/Under Recovered Costs</t>
  </si>
  <si>
    <t>RES Revenue Requirement</t>
  </si>
  <si>
    <t>True-Up</t>
  </si>
  <si>
    <t>Ordered Adjustment</t>
  </si>
  <si>
    <t>Required Offset Amount</t>
  </si>
  <si>
    <t>RESRAM Rate</t>
  </si>
  <si>
    <t>Final RESRAM Rate</t>
  </si>
  <si>
    <t>Actual RES Costs (ARC)</t>
  </si>
  <si>
    <t>RESRAM Base Amount (RBA)</t>
  </si>
  <si>
    <t>Monthly Base Amount (MBA)</t>
  </si>
  <si>
    <t>RCR (RES Costs Recovered)</t>
  </si>
  <si>
    <t>REC Costs</t>
  </si>
  <si>
    <t>Solar Rebates</t>
  </si>
  <si>
    <t>Row_ID</t>
  </si>
  <si>
    <t>Dt</t>
  </si>
  <si>
    <t>Year</t>
  </si>
  <si>
    <t>Month</t>
  </si>
  <si>
    <t>RES</t>
  </si>
  <si>
    <t>COMSGS</t>
  </si>
  <si>
    <t>COMLGS</t>
  </si>
  <si>
    <t>COMSPS</t>
  </si>
  <si>
    <t>COMLPS</t>
  </si>
  <si>
    <t>INDSGS</t>
  </si>
  <si>
    <t>INDLGS</t>
  </si>
  <si>
    <t>INDSPS</t>
  </si>
  <si>
    <t>INDLPS</t>
  </si>
  <si>
    <t>LIGHTING</t>
  </si>
  <si>
    <t>TOTAL Retail</t>
  </si>
  <si>
    <t>Baseline Calculation (DOES NOT CHANGE)</t>
  </si>
  <si>
    <t>Current Average Rate vs. Average Base Rate and Rider Adjustment Cap Calculations</t>
  </si>
  <si>
    <t xml:space="preserve">Smart Energy Plan Baseline </t>
  </si>
  <si>
    <t>Average Overall Rate</t>
  </si>
  <si>
    <t>Effective Date</t>
  </si>
  <si>
    <t>Average Base Rate</t>
  </si>
  <si>
    <t>Average Rider Rate</t>
  </si>
  <si>
    <t>ER-2016-0179</t>
  </si>
  <si>
    <t>Avg Overall Rate % Change vs. Baseline</t>
  </si>
  <si>
    <t>Target Revenue</t>
  </si>
  <si>
    <t>Class kWh</t>
  </si>
  <si>
    <t>FAC Revenue</t>
  </si>
  <si>
    <t>Total Revenues w/FAC</t>
  </si>
  <si>
    <t>Residential</t>
  </si>
  <si>
    <t>Small General Service</t>
  </si>
  <si>
    <t>2.85% target cap for Average Overall Rate</t>
  </si>
  <si>
    <t>Large General Service</t>
  </si>
  <si>
    <t>Current Base Rate Delta from Baseline</t>
  </si>
  <si>
    <t>Small Primary Service</t>
  </si>
  <si>
    <t>Average Overall Rate Increase Cap</t>
  </si>
  <si>
    <t>Large Primary Service*</t>
  </si>
  <si>
    <t>Current FAC</t>
  </si>
  <si>
    <t>Lighting Company Owned</t>
  </si>
  <si>
    <t>Current RESRAM</t>
  </si>
  <si>
    <t>Lighting Customer Owned</t>
  </si>
  <si>
    <t>MSD</t>
  </si>
  <si>
    <t>Average Rider Rate Caps</t>
  </si>
  <si>
    <t>Total</t>
  </si>
  <si>
    <t>RESRAM Cap</t>
  </si>
  <si>
    <t>FAC Cap</t>
  </si>
  <si>
    <t>Tax-Reform Docket (ER-2018-0362)</t>
  </si>
  <si>
    <t>Revenue Reduction</t>
  </si>
  <si>
    <t>Current FAC Rate</t>
  </si>
  <si>
    <t>FAC Revenues</t>
  </si>
  <si>
    <t>RESRAM Revenues</t>
  </si>
  <si>
    <t>Total Revenues</t>
  </si>
  <si>
    <t>Rate per kWh</t>
  </si>
  <si>
    <t>Rate Adjustment Cap (RAC)</t>
  </si>
  <si>
    <t>Total RESRAM Recoveries (TRR)</t>
  </si>
  <si>
    <r>
      <t xml:space="preserve">TRR Rate </t>
    </r>
    <r>
      <rPr>
        <sz val="11"/>
        <color rgb="FFFF0000"/>
        <rFont val="Calibri"/>
        <family val="2"/>
        <scheme val="minor"/>
      </rPr>
      <t>*</t>
    </r>
  </si>
  <si>
    <t>*</t>
  </si>
  <si>
    <r>
      <t>Estimated Recovery Period Sales (kWh) (S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>)</t>
    </r>
  </si>
  <si>
    <r>
      <t>TRR Rate = Minimum of TRR divided by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>, and RAC</t>
    </r>
  </si>
  <si>
    <t>Total (PAR CP)</t>
  </si>
  <si>
    <t>Revolver</t>
  </si>
  <si>
    <t>PAR CP</t>
  </si>
  <si>
    <t>ACCRUED AFTER REPORT PERIOD</t>
  </si>
  <si>
    <t>CP BALANCE</t>
  </si>
  <si>
    <t>TOTAL ST BALANCE</t>
  </si>
  <si>
    <t>MONTHLY SHORT-TERM BORROWING ANALYSIS</t>
  </si>
  <si>
    <t>Amount Outstanding</t>
  </si>
  <si>
    <t>JANUARY 2019</t>
  </si>
  <si>
    <t>TOTAL FOR MONTH</t>
  </si>
  <si>
    <t>Avg Daily Borrowing</t>
  </si>
  <si>
    <t>ST Balance on GL</t>
  </si>
  <si>
    <t>Weighted Average Rate</t>
  </si>
  <si>
    <t>From BNP Paribas Monthly Accrued Interest Report</t>
  </si>
  <si>
    <t>Peak Borrowing</t>
  </si>
  <si>
    <t>Total Borrowings</t>
  </si>
  <si>
    <t>Total Revolver Borrowings</t>
  </si>
  <si>
    <t>Total Commercial Paper Borrowings</t>
  </si>
  <si>
    <t>PAR AMT USED FOR RATE CALC ONLY</t>
  </si>
  <si>
    <t>Weighted</t>
  </si>
  <si>
    <t>PAR</t>
  </si>
  <si>
    <t>NET</t>
  </si>
  <si>
    <t>CP</t>
  </si>
  <si>
    <t>Regulated Money Pool</t>
  </si>
  <si>
    <t>Non-Regulated Money Pool</t>
  </si>
  <si>
    <t>AMC Direct Loan</t>
  </si>
  <si>
    <t>AMC Subordinated Loan</t>
  </si>
  <si>
    <t>AMC Direct Loan (Notes Backed)</t>
  </si>
  <si>
    <t>Revolver Loan 1</t>
  </si>
  <si>
    <t>Revolver Loan 2</t>
  </si>
  <si>
    <t>Revolver Loan 3</t>
  </si>
  <si>
    <t>Revolver Loan 4</t>
  </si>
  <si>
    <t>Revolver Loan 5 (ABR 365)</t>
  </si>
  <si>
    <t>Revolver Loan 6 (ABR 365)</t>
  </si>
  <si>
    <t>Commercial Paper 1</t>
  </si>
  <si>
    <t>Commercial Paper 2</t>
  </si>
  <si>
    <t>Commercial Paper 3</t>
  </si>
  <si>
    <t>Commercial Paper 4</t>
  </si>
  <si>
    <t>Commercial Paper 5</t>
  </si>
  <si>
    <t>Commercial Paper 6</t>
  </si>
  <si>
    <t>Commercial Paper 7</t>
  </si>
  <si>
    <t>Commercial Paper 8</t>
  </si>
  <si>
    <t>Commercial Paper 9</t>
  </si>
  <si>
    <t>Commercial Paper 10</t>
  </si>
  <si>
    <t>Commercial Paper 11</t>
  </si>
  <si>
    <t>Commercial Paper 12</t>
  </si>
  <si>
    <t>Commercial Paper 13</t>
  </si>
  <si>
    <t>Commercial Paper 14</t>
  </si>
  <si>
    <t>Commercial Paper 15</t>
  </si>
  <si>
    <t>Commercial Paper 16</t>
  </si>
  <si>
    <t>Commercial Paper 17</t>
  </si>
  <si>
    <t>Commercial Paper 18</t>
  </si>
  <si>
    <t>Commercial Paper 19</t>
  </si>
  <si>
    <t>Commercial Paper 20</t>
  </si>
  <si>
    <t>Commercial Paper 21</t>
  </si>
  <si>
    <t>Commercial Paper 22</t>
  </si>
  <si>
    <t>Commercial Paper 23</t>
  </si>
  <si>
    <t>Commercial Paper 24</t>
  </si>
  <si>
    <t>Commercial Paper 25</t>
  </si>
  <si>
    <t>Commercial Paper 26</t>
  </si>
  <si>
    <t>Commercial Paper 27</t>
  </si>
  <si>
    <t>Commercial Paper 28</t>
  </si>
  <si>
    <t>Commercial Paper 29</t>
  </si>
  <si>
    <t>Commercial Paper 30</t>
  </si>
  <si>
    <t>Future Use 1 - Term Loan</t>
  </si>
  <si>
    <t>TOTAL NET CP PROCEEDS</t>
  </si>
  <si>
    <t>(PAR CP)</t>
  </si>
  <si>
    <t>(NET CP)</t>
  </si>
  <si>
    <t>Daily</t>
  </si>
  <si>
    <t>Average</t>
  </si>
  <si>
    <t>Revolvers</t>
  </si>
  <si>
    <t>Date</t>
  </si>
  <si>
    <t>Amount</t>
  </si>
  <si>
    <t>Rate</t>
  </si>
  <si>
    <t>Outstanding</t>
  </si>
  <si>
    <t>MAY 2019</t>
  </si>
  <si>
    <t>APRIL 2019</t>
  </si>
  <si>
    <t>FEBRUARY 2019</t>
  </si>
  <si>
    <t>MARCH 2019</t>
  </si>
  <si>
    <t>JULY 2019</t>
  </si>
  <si>
    <t>JUNE 2019</t>
  </si>
  <si>
    <t>Accumulation Period 2</t>
  </si>
  <si>
    <t>Projected RESRAM Billed kWh</t>
  </si>
  <si>
    <t>Calculated Projected RESRAM Revenues</t>
  </si>
  <si>
    <t>Revenue Authorized for Collection</t>
  </si>
  <si>
    <t>True-Up Calculation</t>
  </si>
  <si>
    <t>557/509BLH - Wind REC Costs</t>
  </si>
  <si>
    <t>557/509CSR - Solar REC Costs</t>
  </si>
  <si>
    <t>557/5090BM - Biomass REC Costs</t>
  </si>
  <si>
    <t>557/509H20 - Hydro REC Costs</t>
  </si>
  <si>
    <t>557/509PSR - Non Customer Solar REC Costs</t>
  </si>
  <si>
    <t>(Over)/Under Difference between Billed/Authorized and Projected</t>
  </si>
  <si>
    <t>Ameren Corporation</t>
  </si>
  <si>
    <t>ROUR+True-Up Amortization</t>
  </si>
  <si>
    <t>Interconnection Expenses</t>
  </si>
  <si>
    <t>Billed RESRAM ROUR &amp; True-Up Revenues</t>
  </si>
  <si>
    <t>Final ROUR &amp; True-Up RESRAM Rate</t>
  </si>
  <si>
    <t>PLANT IN-SERVICE ACCOUNTING</t>
  </si>
  <si>
    <t>Electric plant placed in-service</t>
  </si>
  <si>
    <t>Less: New Business</t>
  </si>
  <si>
    <t>Total qualifying electric plant</t>
  </si>
  <si>
    <t>Less: Assets depreciated to clearing accounts</t>
  </si>
  <si>
    <t>Less:  Retirements of plant related to in-service additions</t>
  </si>
  <si>
    <t>Total Plant for Deferred Depreciation</t>
  </si>
  <si>
    <t>Incremental rate base</t>
  </si>
  <si>
    <t>Total qualifying electric plant (from above)</t>
  </si>
  <si>
    <t>Less: Change in accumulated depreciation</t>
  </si>
  <si>
    <t>Less: Marginal increase in ADIT</t>
  </si>
  <si>
    <t>Qualifying electric plant rate base for cost of capital return</t>
  </si>
  <si>
    <t xml:space="preserve">            1 - Tax Rate</t>
  </si>
  <si>
    <t>(1) Tax Rate</t>
  </si>
  <si>
    <t>Weighted average cost of capital, plus applicable federal, state, and local income or excise taxes</t>
  </si>
  <si>
    <t>Weighted Cost of Debt</t>
  </si>
  <si>
    <t>Tax weighted Cost of Equity (Including Preferred Stock)</t>
  </si>
  <si>
    <t>Weighted Cost of Equity and Preferred Stock</t>
  </si>
  <si>
    <t>Tax Multiplier (1/1-tax rate) (1)</t>
  </si>
  <si>
    <t>Tax Weighted Rate of Return</t>
  </si>
  <si>
    <t>TOTAL</t>
  </si>
  <si>
    <t>Common Equity</t>
  </si>
  <si>
    <t>Preferred Stock</t>
  </si>
  <si>
    <t>Short Term Debt</t>
  </si>
  <si>
    <t>Long Term Debt</t>
  </si>
  <si>
    <t>Cost</t>
  </si>
  <si>
    <t>Each Type</t>
  </si>
  <si>
    <t>of Total</t>
  </si>
  <si>
    <t>Type of Capital</t>
  </si>
  <si>
    <t xml:space="preserve">Cost of </t>
  </si>
  <si>
    <t>Proportion</t>
  </si>
  <si>
    <t>Pro Forma</t>
  </si>
  <si>
    <t>input 08/02/05</t>
  </si>
  <si>
    <t>CONFIDENTIAL</t>
  </si>
  <si>
    <t>PRO FORMA</t>
  </si>
  <si>
    <t>COST OF CAPITAL SUMMARY</t>
  </si>
  <si>
    <t>AMEREN MISSOURI</t>
  </si>
  <si>
    <t>RESRAM-eligible capital investments</t>
  </si>
  <si>
    <t>Qualifying electric plant</t>
  </si>
  <si>
    <t>Cumulative Depreciation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</si>
  <si>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This rate is calculated by taking Factors ROUR and T divided by Factor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from the AP 2 filing </t>
    </r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</si>
  <si>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</si>
  <si>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</si>
  <si>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</si>
  <si>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</si>
  <si>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</si>
  <si>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</si>
  <si>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</si>
  <si>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</si>
  <si>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</si>
  <si>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</si>
  <si>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</si>
  <si>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</si>
  <si>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Accumulation Period 4</t>
  </si>
  <si>
    <t>Reclass AP2 to AP3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</si>
  <si>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This rate is calculated by taking Factors ROUR and T divided by Factor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from the AP 3 filing </t>
    </r>
  </si>
  <si>
    <t>August 2021 - July 2022</t>
  </si>
  <si>
    <t>RESRAM Revenue Requirement (RRR) for Recovery Period 4</t>
  </si>
  <si>
    <t>RRR for RP 4</t>
  </si>
  <si>
    <t>Rate Calcuation for Recovery Period 4</t>
  </si>
  <si>
    <t>RESRAM ADJUSTMENTS</t>
  </si>
  <si>
    <t>ELECTRIC</t>
  </si>
  <si>
    <t xml:space="preserve">REMOVING RESRAM AMORTIZTION AND REVENUES AMOUNTS IN TEST YEAR: </t>
  </si>
  <si>
    <t xml:space="preserve">REEA Revenues </t>
  </si>
  <si>
    <t>MAJ 44%, REEA</t>
  </si>
  <si>
    <t>RESRAM Regulatory Credit</t>
  </si>
  <si>
    <t>4074RR</t>
  </si>
  <si>
    <t>RESRAM Margin Debits</t>
  </si>
  <si>
    <t>4073RM, 4074RM</t>
  </si>
  <si>
    <t>Regulatory Debit - RESRAM</t>
  </si>
  <si>
    <t>4073RR, 4073RV</t>
  </si>
  <si>
    <t>ADJ to Amort Analysis Tab to Remove Test Year Amounts</t>
  </si>
  <si>
    <t>Rebates</t>
  </si>
  <si>
    <t>908SR2</t>
  </si>
  <si>
    <t>ADJ to O&amp;M Adjustments tab to remove Test Year Amounts</t>
  </si>
  <si>
    <t>NO CHANGE IN TY ELIMS FROM ORIGINAL FILING</t>
  </si>
  <si>
    <t xml:space="preserve">ADJUSTING RESRAM P&amp;L TO NORMALIZED LEVELS: </t>
  </si>
  <si>
    <t xml:space="preserve">509BLH, 557BLH, 509CSR, 557CSR, 5090BM,5570BM, </t>
  </si>
  <si>
    <t xml:space="preserve">Solar Rebates </t>
  </si>
  <si>
    <t xml:space="preserve">Non Labor O&amp;M - 549 </t>
  </si>
  <si>
    <t>549 - Environmental Monitoring Agreements</t>
  </si>
  <si>
    <t>Non Labor O&amp;M - 550</t>
  </si>
  <si>
    <t>550 - Land Owner Lease Payments</t>
  </si>
  <si>
    <t>Non-Labor O&amp;M - 553</t>
  </si>
  <si>
    <t>553 - Service &amp; Maintenance Agreements</t>
  </si>
  <si>
    <t>Interconnection Costs - Annual FSA Payments</t>
  </si>
  <si>
    <t xml:space="preserve">565 - FSA agreements </t>
  </si>
  <si>
    <t>ADJ to set RESRAM Base Expense on O&amp;M Adjustments tab</t>
  </si>
  <si>
    <t xml:space="preserve">CALCULATING TOTAL RESRAM REBASE: </t>
  </si>
  <si>
    <t>Production Tax Credits</t>
  </si>
  <si>
    <t>409-411</t>
  </si>
  <si>
    <t>Return on Plant</t>
  </si>
  <si>
    <t>From Ferguson Work paper</t>
  </si>
  <si>
    <t>Off-system Sales Revenues</t>
  </si>
  <si>
    <t>Capacity Revenues</t>
  </si>
  <si>
    <t>Ancillary Revenues</t>
  </si>
  <si>
    <t>Ancillary Expenses</t>
  </si>
  <si>
    <t>MISO and SPP Day 2 Expenses</t>
  </si>
  <si>
    <t>source: depreciation rate adjustment tab, RR</t>
  </si>
  <si>
    <t>Insurance</t>
  </si>
  <si>
    <t>Source: ADJ35 Insurance Workpaper</t>
  </si>
  <si>
    <t>Other Expenses (above)</t>
  </si>
  <si>
    <t>500-900</t>
  </si>
  <si>
    <t xml:space="preserve">Total Base Amount </t>
  </si>
  <si>
    <t>Proposed Billing Units (File No. ER-2021-0240)</t>
  </si>
  <si>
    <t>Proposed Base Rev. Req. (ER-2021-0240)</t>
  </si>
  <si>
    <t>Total Current Income Tax</t>
  </si>
  <si>
    <t>Divide by Net Taxable Income</t>
  </si>
  <si>
    <t xml:space="preserve">           Tax Rate</t>
  </si>
  <si>
    <t>Weighter Cost of Equity and Preferred Stock</t>
  </si>
  <si>
    <t xml:space="preserve">        Total Current Income Tax</t>
  </si>
  <si>
    <t xml:space="preserve">        Divide by Net Taxable Income</t>
  </si>
  <si>
    <t>÷</t>
  </si>
  <si>
    <t xml:space="preserve">            Tax Rate</t>
  </si>
  <si>
    <t>* Note: This WACC was in effect from Aug 2021-Feb 27, 2022</t>
  </si>
  <si>
    <t>* Note: This WACC was in effect from Feb 28, 2022-July 31, 2022</t>
  </si>
  <si>
    <t>Calculated RRR</t>
  </si>
  <si>
    <r>
      <t>RESRAM Base Amount</t>
    </r>
    <r>
      <rPr>
        <vertAlign val="superscript"/>
        <sz val="11"/>
        <rFont val="Calibri"/>
        <family val="2"/>
        <scheme val="minor"/>
      </rPr>
      <t>2</t>
    </r>
  </si>
  <si>
    <r>
      <t>March - July 2022</t>
    </r>
    <r>
      <rPr>
        <b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</si>
  <si>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Taken from the "ER-2021-0240" tab detailing the RESRAM Base Amount/MBA.</t>
    </r>
  </si>
  <si>
    <t>RES Capital Assets</t>
  </si>
  <si>
    <t>ARC from AP 4</t>
  </si>
  <si>
    <t>Annual Expense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</si>
  <si>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As a RESRAM Base Amount was included in general electric base rates beginning Feb 28, 2022, the plant asset totals were annualized seperately as the ARC from AP 4 is not representative of the expected ARC during Recovery Period 4 due to the amount of off-system sales, depreciation, and return on plant assets included in the RESRAM.</t>
    </r>
  </si>
  <si>
    <t xml:space="preserve">SB564 - Rate Adjustment Cap - All Service Classifications </t>
  </si>
  <si>
    <t>Years since baseline rate set*</t>
  </si>
  <si>
    <t>Proposed Rates and Revenues (ER-2021-0240) with Currently Effective FAC and RESRAM</t>
  </si>
  <si>
    <r>
      <rPr>
        <b/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Per Staff/Ameren/KCPL discussions in March 2019, aligning with methodology approved in KCPL FAC filing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</si>
</sst>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[$-409]mmm\-yy;@"/>
    <numFmt numFmtId="166" formatCode="0.0000%"/>
    <numFmt numFmtId="167" formatCode="_(* #,##0_);_(* \(#,##0\);_(* &quot;-&quot;??_);_(@_)"/>
    <numFmt numFmtId="168" formatCode="#,##0;\-#,##0"/>
    <numFmt numFmtId="169" formatCode="_(* #,##0.00000_);_(* \(#,##0.00000\);_(* &quot;-&quot;??_);_(@_)"/>
    <numFmt numFmtId="170" formatCode="&quot;$&quot;#,##0.0000"/>
    <numFmt numFmtId="171" formatCode="&quot;$&quot;#,##0.00000"/>
    <numFmt numFmtId="172" formatCode="0.0%"/>
    <numFmt numFmtId="173" formatCode="&quot;$&quot;#,##0"/>
    <numFmt numFmtId="174" formatCode="_(&quot;$&quot;* #,##0.0000_);_(&quot;$&quot;* \(#,##0.0000\);_(&quot;$&quot;* &quot;-&quot;??_);_(@_)"/>
    <numFmt numFmtId="175" formatCode="0.000000%"/>
    <numFmt numFmtId="176" formatCode="[$-409]mmmm\ yyyy;@"/>
    <numFmt numFmtId="177" formatCode="_(&quot;$&quot;* #,##0_);_(&quot;$&quot;* \(#,##0\);_(&quot;$&quot;* &quot;-&quot;??_);_(@_)"/>
    <numFmt numFmtId="178" formatCode="_(&quot;$&quot;* #,##0.00000_);_(&quot;$&quot;* \(#,##0.00000\);_(&quot;$&quot;* &quot;-&quot;??_);_(@_)"/>
    <numFmt numFmtId="179" formatCode="0.000%"/>
    <numFmt numFmtId="180" formatCode="0.0000000%"/>
    <numFmt numFmtId="181" formatCode="mm/dd/yy"/>
    <numFmt numFmtId="182" formatCode="0.0000000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i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0"/>
      <name val="Arial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0" fontId="2" fillId="0" borderId="0"/>
    <xf numFmtId="0" fontId="21" fillId="0" borderId="0"/>
    <xf numFmtId="0" fontId="3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/>
    <xf numFmtId="0" fontId="1" fillId="0" borderId="0"/>
    <xf numFmtId="0" fontId="1" fillId="0" borderId="0"/>
  </cellStyleXfs>
  <cellXfs count="338">
    <xf numFmtId="0" fontId="0" fillId="0" borderId="0" xfId="0"/>
    <xf numFmtId="0" fontId="3" fillId="0" borderId="0" xfId="4" applyFont="1" applyAlignment="1">
      <alignment horizontal="center" wrapText="1"/>
    </xf>
    <xf numFmtId="0" fontId="3" fillId="0" borderId="0" xfId="4" applyFont="1" applyAlignment="1">
      <alignment wrapText="1"/>
    </xf>
    <xf numFmtId="0" fontId="0" fillId="0" borderId="0" xfId="0" applyAlignment="1">
      <alignment horizontal="left" indent="2"/>
    </xf>
    <xf numFmtId="43" fontId="0" fillId="0" borderId="0" xfId="0" applyNumberFormat="1"/>
    <xf numFmtId="0" fontId="0" fillId="0" borderId="0" xfId="0" applyFill="1" applyAlignment="1">
      <alignment horizontal="left" indent="2"/>
    </xf>
    <xf numFmtId="0" fontId="3" fillId="2" borderId="1" xfId="4" applyFont="1" applyFill="1" applyBorder="1" applyAlignment="1">
      <alignment wrapText="1"/>
    </xf>
    <xf numFmtId="166" fontId="0" fillId="0" borderId="3" xfId="3" applyNumberFormat="1" applyFont="1" applyFill="1" applyBorder="1"/>
    <xf numFmtId="0" fontId="3" fillId="0" borderId="0" xfId="4" applyFont="1" applyAlignment="1">
      <alignment horizontal="left" wrapText="1" indent="2"/>
    </xf>
    <xf numFmtId="0" fontId="0" fillId="0" borderId="0" xfId="0" applyAlignment="1">
      <alignment horizontal="left" indent="3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/>
    <xf numFmtId="44" fontId="0" fillId="0" borderId="0" xfId="0" applyNumberFormat="1"/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right"/>
    </xf>
    <xf numFmtId="164" fontId="3" fillId="0" borderId="9" xfId="4" applyNumberFormat="1" applyFont="1" applyBorder="1" applyAlignment="1">
      <alignment horizontal="center"/>
    </xf>
    <xf numFmtId="165" fontId="3" fillId="0" borderId="0" xfId="4" quotePrefix="1" applyNumberFormat="1" applyFont="1" applyBorder="1" applyAlignment="1">
      <alignment horizontal="center"/>
    </xf>
    <xf numFmtId="0" fontId="4" fillId="0" borderId="9" xfId="4" applyFont="1" applyBorder="1"/>
    <xf numFmtId="43" fontId="1" fillId="0" borderId="0" xfId="5" applyFont="1" applyBorder="1"/>
    <xf numFmtId="43" fontId="0" fillId="0" borderId="9" xfId="0" applyNumberFormat="1" applyBorder="1"/>
    <xf numFmtId="43" fontId="0" fillId="0" borderId="0" xfId="0" applyNumberFormat="1" applyBorder="1"/>
    <xf numFmtId="43" fontId="4" fillId="0" borderId="9" xfId="1" applyFont="1" applyBorder="1"/>
    <xf numFmtId="166" fontId="0" fillId="0" borderId="12" xfId="3" applyNumberFormat="1" applyFont="1" applyFill="1" applyBorder="1"/>
    <xf numFmtId="0" fontId="0" fillId="0" borderId="0" xfId="0" applyBorder="1"/>
    <xf numFmtId="14" fontId="0" fillId="0" borderId="0" xfId="0" applyNumberFormat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8" fillId="0" borderId="0" xfId="0" applyFont="1" applyAlignment="1">
      <alignment horizontal="right"/>
    </xf>
    <xf numFmtId="0" fontId="12" fillId="0" borderId="0" xfId="0" applyFont="1"/>
    <xf numFmtId="8" fontId="13" fillId="0" borderId="0" xfId="0" applyNumberFormat="1" applyFont="1"/>
    <xf numFmtId="175" fontId="13" fillId="0" borderId="0" xfId="0" applyNumberFormat="1" applyFont="1"/>
    <xf numFmtId="0" fontId="13" fillId="0" borderId="0" xfId="0" applyFont="1"/>
    <xf numFmtId="8" fontId="14" fillId="0" borderId="0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8" fontId="12" fillId="0" borderId="0" xfId="0" applyNumberFormat="1" applyFont="1"/>
    <xf numFmtId="8" fontId="0" fillId="0" borderId="0" xfId="0" applyNumberFormat="1" applyBorder="1"/>
    <xf numFmtId="17" fontId="12" fillId="0" borderId="0" xfId="0" applyNumberFormat="1" applyFont="1"/>
    <xf numFmtId="8" fontId="0" fillId="0" borderId="0" xfId="0" applyNumberFormat="1"/>
    <xf numFmtId="175" fontId="0" fillId="0" borderId="0" xfId="0" applyNumberFormat="1"/>
    <xf numFmtId="8" fontId="14" fillId="0" borderId="30" xfId="0" applyNumberFormat="1" applyFont="1" applyBorder="1"/>
    <xf numFmtId="175" fontId="0" fillId="0" borderId="31" xfId="0" applyNumberFormat="1" applyBorder="1"/>
    <xf numFmtId="0" fontId="0" fillId="0" borderId="32" xfId="0" applyBorder="1"/>
    <xf numFmtId="8" fontId="14" fillId="0" borderId="33" xfId="0" applyNumberFormat="1" applyFont="1" applyBorder="1"/>
    <xf numFmtId="175" fontId="0" fillId="0" borderId="0" xfId="0" applyNumberFormat="1" applyBorder="1"/>
    <xf numFmtId="0" fontId="0" fillId="0" borderId="34" xfId="0" applyBorder="1"/>
    <xf numFmtId="0" fontId="0" fillId="0" borderId="33" xfId="0" applyBorder="1"/>
    <xf numFmtId="8" fontId="0" fillId="0" borderId="34" xfId="0" applyNumberFormat="1" applyBorder="1"/>
    <xf numFmtId="0" fontId="14" fillId="0" borderId="0" xfId="0" applyFont="1"/>
    <xf numFmtId="0" fontId="2" fillId="0" borderId="0" xfId="0" applyFont="1"/>
    <xf numFmtId="0" fontId="14" fillId="0" borderId="0" xfId="0" applyFont="1" applyAlignment="1">
      <alignment horizontal="center"/>
    </xf>
    <xf numFmtId="8" fontId="12" fillId="0" borderId="0" xfId="0" applyNumberFormat="1" applyFont="1" applyAlignment="1">
      <alignment horizontal="center"/>
    </xf>
    <xf numFmtId="0" fontId="0" fillId="0" borderId="0" xfId="0" applyFill="1" applyBorder="1"/>
    <xf numFmtId="175" fontId="0" fillId="0" borderId="34" xfId="0" applyNumberFormat="1" applyBorder="1"/>
    <xf numFmtId="0" fontId="0" fillId="0" borderId="35" xfId="0" applyFill="1" applyBorder="1"/>
    <xf numFmtId="8" fontId="0" fillId="0" borderId="36" xfId="0" applyNumberFormat="1" applyBorder="1"/>
    <xf numFmtId="8" fontId="0" fillId="0" borderId="37" xfId="0" applyNumberFormat="1" applyBorder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8" fontId="14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8" fontId="0" fillId="0" borderId="2" xfId="0" applyNumberFormat="1" applyBorder="1" applyAlignment="1">
      <alignment horizontal="centerContinuous"/>
    </xf>
    <xf numFmtId="175" fontId="0" fillId="0" borderId="2" xfId="0" applyNumberFormat="1" applyBorder="1" applyAlignment="1">
      <alignment horizontal="centerContinuous"/>
    </xf>
    <xf numFmtId="8" fontId="2" fillId="0" borderId="2" xfId="0" applyNumberFormat="1" applyFont="1" applyBorder="1" applyAlignment="1">
      <alignment horizontal="centerContinuous"/>
    </xf>
    <xf numFmtId="8" fontId="14" fillId="0" borderId="2" xfId="0" applyNumberFormat="1" applyFont="1" applyBorder="1" applyAlignment="1">
      <alignment horizontal="centerContinuous"/>
    </xf>
    <xf numFmtId="8" fontId="15" fillId="0" borderId="0" xfId="0" applyNumberFormat="1" applyFont="1" applyAlignment="1">
      <alignment horizontal="center"/>
    </xf>
    <xf numFmtId="17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173" fontId="0" fillId="0" borderId="0" xfId="0" applyNumberFormat="1" applyFill="1" applyBorder="1" applyProtection="1">
      <protection locked="0"/>
    </xf>
    <xf numFmtId="175" fontId="0" fillId="0" borderId="0" xfId="0" applyNumberFormat="1" applyFill="1" applyBorder="1" applyProtection="1">
      <protection locked="0"/>
    </xf>
    <xf numFmtId="8" fontId="2" fillId="0" borderId="0" xfId="0" applyNumberFormat="1" applyFont="1"/>
    <xf numFmtId="0" fontId="14" fillId="0" borderId="0" xfId="0" applyFont="1" applyAlignment="1">
      <alignment horizontal="right"/>
    </xf>
    <xf numFmtId="8" fontId="0" fillId="0" borderId="4" xfId="0" applyNumberFormat="1" applyBorder="1"/>
    <xf numFmtId="4" fontId="0" fillId="0" borderId="0" xfId="0" applyNumberFormat="1"/>
    <xf numFmtId="166" fontId="0" fillId="0" borderId="0" xfId="0" applyNumberFormat="1"/>
    <xf numFmtId="43" fontId="0" fillId="0" borderId="0" xfId="1" applyFont="1"/>
    <xf numFmtId="176" fontId="14" fillId="0" borderId="0" xfId="0" quotePrefix="1" applyNumberFormat="1" applyFont="1" applyFill="1" applyAlignment="1">
      <alignment horizontal="left"/>
    </xf>
    <xf numFmtId="0" fontId="17" fillId="8" borderId="38" xfId="7" applyFont="1" applyFill="1" applyBorder="1" applyAlignment="1">
      <alignment horizontal="center" wrapText="1"/>
    </xf>
    <xf numFmtId="177" fontId="18" fillId="0" borderId="0" xfId="2" applyNumberFormat="1" applyFont="1" applyFill="1" applyBorder="1" applyAlignment="1"/>
    <xf numFmtId="167" fontId="18" fillId="0" borderId="0" xfId="1" applyNumberFormat="1" applyFont="1" applyFill="1" applyBorder="1" applyAlignment="1"/>
    <xf numFmtId="177" fontId="0" fillId="0" borderId="0" xfId="2" applyNumberFormat="1" applyFont="1" applyFill="1"/>
    <xf numFmtId="0" fontId="17" fillId="0" borderId="5" xfId="0" applyFont="1" applyFill="1" applyBorder="1"/>
    <xf numFmtId="177" fontId="18" fillId="0" borderId="5" xfId="2" applyNumberFormat="1" applyFont="1" applyFill="1" applyBorder="1" applyAlignment="1"/>
    <xf numFmtId="167" fontId="18" fillId="0" borderId="5" xfId="1" applyNumberFormat="1" applyFont="1" applyFill="1" applyBorder="1" applyAlignment="1"/>
    <xf numFmtId="42" fontId="18" fillId="0" borderId="5" xfId="0" applyNumberFormat="1" applyFont="1" applyFill="1" applyBorder="1" applyAlignment="1"/>
    <xf numFmtId="42" fontId="0" fillId="0" borderId="0" xfId="0" applyNumberFormat="1"/>
    <xf numFmtId="164" fontId="18" fillId="0" borderId="0" xfId="0" applyNumberFormat="1" applyFont="1" applyFill="1" applyBorder="1" applyAlignment="1">
      <alignment horizontal="left"/>
    </xf>
    <xf numFmtId="165" fontId="3" fillId="0" borderId="40" xfId="4" quotePrefix="1" applyNumberFormat="1" applyFont="1" applyBorder="1" applyAlignment="1">
      <alignment horizontal="center"/>
    </xf>
    <xf numFmtId="43" fontId="1" fillId="0" borderId="41" xfId="5" applyFont="1" applyBorder="1"/>
    <xf numFmtId="43" fontId="0" fillId="0" borderId="41" xfId="0" applyNumberFormat="1" applyBorder="1"/>
    <xf numFmtId="166" fontId="0" fillId="0" borderId="42" xfId="3" applyNumberFormat="1" applyFont="1" applyFill="1" applyBorder="1"/>
    <xf numFmtId="177" fontId="1" fillId="0" borderId="0" xfId="2" quotePrefix="1" applyNumberFormat="1" applyFont="1" applyFill="1" applyBorder="1"/>
    <xf numFmtId="177" fontId="0" fillId="0" borderId="0" xfId="2" applyNumberFormat="1" applyFont="1" applyBorder="1"/>
    <xf numFmtId="177" fontId="1" fillId="2" borderId="1" xfId="2" applyNumberFormat="1" applyFont="1" applyFill="1" applyBorder="1"/>
    <xf numFmtId="177" fontId="1" fillId="2" borderId="21" xfId="2" applyNumberFormat="1" applyFont="1" applyFill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0" fillId="0" borderId="41" xfId="1" applyNumberFormat="1" applyFont="1" applyBorder="1"/>
    <xf numFmtId="167" fontId="0" fillId="0" borderId="0" xfId="0" applyNumberFormat="1" applyBorder="1"/>
    <xf numFmtId="167" fontId="0" fillId="0" borderId="9" xfId="0" applyNumberFormat="1" applyBorder="1"/>
    <xf numFmtId="167" fontId="0" fillId="0" borderId="41" xfId="0" applyNumberFormat="1" applyBorder="1"/>
    <xf numFmtId="177" fontId="0" fillId="0" borderId="9" xfId="2" applyNumberFormat="1" applyFont="1" applyBorder="1"/>
    <xf numFmtId="177" fontId="0" fillId="0" borderId="0" xfId="2" applyNumberFormat="1" applyFont="1" applyFill="1" applyBorder="1"/>
    <xf numFmtId="177" fontId="0" fillId="0" borderId="41" xfId="2" applyNumberFormat="1" applyFont="1" applyFill="1" applyBorder="1"/>
    <xf numFmtId="177" fontId="1" fillId="0" borderId="11" xfId="2" applyNumberFormat="1" applyBorder="1"/>
    <xf numFmtId="177" fontId="1" fillId="0" borderId="1" xfId="2" applyNumberFormat="1" applyBorder="1"/>
    <xf numFmtId="177" fontId="1" fillId="0" borderId="21" xfId="2" applyNumberFormat="1" applyBorder="1"/>
    <xf numFmtId="177" fontId="4" fillId="0" borderId="9" xfId="4" applyNumberFormat="1" applyFont="1" applyBorder="1"/>
    <xf numFmtId="177" fontId="1" fillId="0" borderId="0" xfId="5" quotePrefix="1" applyNumberFormat="1" applyFont="1" applyBorder="1"/>
    <xf numFmtId="177" fontId="1" fillId="0" borderId="41" xfId="5" quotePrefix="1" applyNumberFormat="1" applyFont="1" applyBorder="1"/>
    <xf numFmtId="177" fontId="1" fillId="0" borderId="9" xfId="2" quotePrefix="1" applyNumberFormat="1" applyFont="1" applyBorder="1"/>
    <xf numFmtId="177" fontId="1" fillId="0" borderId="41" xfId="2" quotePrefix="1" applyNumberFormat="1" applyFont="1" applyFill="1" applyBorder="1"/>
    <xf numFmtId="177" fontId="0" fillId="0" borderId="43" xfId="2" applyNumberFormat="1" applyFont="1" applyBorder="1"/>
    <xf numFmtId="177" fontId="1" fillId="2" borderId="11" xfId="2" applyNumberFormat="1" applyFont="1" applyFill="1" applyBorder="1"/>
    <xf numFmtId="177" fontId="0" fillId="0" borderId="0" xfId="2" applyNumberFormat="1" applyFont="1"/>
    <xf numFmtId="177" fontId="0" fillId="0" borderId="0" xfId="0" applyNumberFormat="1"/>
    <xf numFmtId="177" fontId="0" fillId="0" borderId="4" xfId="0" applyNumberFormat="1" applyBorder="1"/>
    <xf numFmtId="0" fontId="19" fillId="0" borderId="0" xfId="0" applyFont="1"/>
    <xf numFmtId="177" fontId="0" fillId="0" borderId="0" xfId="0" applyNumberFormat="1" applyFill="1"/>
    <xf numFmtId="0" fontId="0" fillId="0" borderId="0" xfId="0" applyFill="1"/>
    <xf numFmtId="42" fontId="18" fillId="0" borderId="0" xfId="2" applyNumberFormat="1" applyFont="1" applyFill="1" applyBorder="1" applyAlignment="1"/>
    <xf numFmtId="169" fontId="0" fillId="0" borderId="0" xfId="1" applyNumberFormat="1" applyFont="1"/>
    <xf numFmtId="0" fontId="0" fillId="0" borderId="44" xfId="0" applyBorder="1"/>
    <xf numFmtId="178" fontId="18" fillId="0" borderId="0" xfId="2" applyNumberFormat="1" applyFont="1" applyFill="1" applyBorder="1" applyAlignment="1"/>
    <xf numFmtId="0" fontId="22" fillId="0" borderId="0" xfId="0" applyFont="1"/>
    <xf numFmtId="3" fontId="22" fillId="0" borderId="0" xfId="0" applyNumberFormat="1" applyFont="1"/>
    <xf numFmtId="0" fontId="22" fillId="0" borderId="0" xfId="0" applyFont="1" applyFill="1"/>
    <xf numFmtId="165" fontId="0" fillId="0" borderId="0" xfId="0" applyNumberFormat="1" applyFill="1"/>
    <xf numFmtId="0" fontId="3" fillId="0" borderId="2" xfId="4" applyFont="1" applyFill="1" applyBorder="1" applyAlignment="1">
      <alignment horizontal="left" wrapText="1" indent="2"/>
    </xf>
    <xf numFmtId="167" fontId="0" fillId="0" borderId="0" xfId="1" applyNumberFormat="1" applyFont="1" applyFill="1"/>
    <xf numFmtId="0" fontId="0" fillId="0" borderId="0" xfId="0" applyFill="1" applyAlignment="1">
      <alignment horizontal="left" indent="1"/>
    </xf>
    <xf numFmtId="9" fontId="0" fillId="0" borderId="0" xfId="3" applyFont="1" applyFill="1" applyBorder="1"/>
    <xf numFmtId="167" fontId="0" fillId="0" borderId="0" xfId="0" applyNumberFormat="1" applyFill="1"/>
    <xf numFmtId="0" fontId="0" fillId="0" borderId="0" xfId="0" applyFill="1" applyAlignment="1">
      <alignment horizontal="left"/>
    </xf>
    <xf numFmtId="179" fontId="0" fillId="0" borderId="0" xfId="0" applyNumberFormat="1"/>
    <xf numFmtId="179" fontId="0" fillId="0" borderId="0" xfId="0" applyNumberFormat="1" applyFill="1"/>
    <xf numFmtId="180" fontId="0" fillId="0" borderId="0" xfId="3" applyNumberFormat="1" applyFont="1" applyFill="1"/>
    <xf numFmtId="179" fontId="0" fillId="0" borderId="2" xfId="0" applyNumberFormat="1" applyFill="1" applyBorder="1"/>
    <xf numFmtId="169" fontId="2" fillId="0" borderId="0" xfId="1" applyNumberFormat="1" applyFont="1" applyFill="1"/>
    <xf numFmtId="0" fontId="25" fillId="0" borderId="0" xfId="0" applyFont="1"/>
    <xf numFmtId="177" fontId="2" fillId="0" borderId="0" xfId="0" applyNumberFormat="1" applyFont="1" applyBorder="1"/>
    <xf numFmtId="179" fontId="2" fillId="0" borderId="45" xfId="0" applyNumberFormat="1" applyFont="1" applyBorder="1"/>
    <xf numFmtId="177" fontId="2" fillId="0" borderId="45" xfId="0" applyNumberFormat="1" applyFont="1" applyBorder="1"/>
    <xf numFmtId="179" fontId="26" fillId="0" borderId="0" xfId="0" applyNumberFormat="1" applyFont="1" applyFill="1"/>
    <xf numFmtId="179" fontId="2" fillId="0" borderId="2" xfId="0" applyNumberFormat="1" applyFont="1" applyFill="1" applyBorder="1"/>
    <xf numFmtId="167" fontId="26" fillId="0" borderId="2" xfId="0" applyNumberFormat="1" applyFont="1" applyFill="1" applyBorder="1"/>
    <xf numFmtId="179" fontId="2" fillId="0" borderId="0" xfId="0" applyNumberFormat="1" applyFont="1" applyFill="1"/>
    <xf numFmtId="167" fontId="26" fillId="0" borderId="0" xfId="0" applyNumberFormat="1" applyFont="1" applyFill="1"/>
    <xf numFmtId="177" fontId="26" fillId="0" borderId="0" xfId="0" applyNumberFormat="1" applyFont="1" applyFill="1"/>
    <xf numFmtId="177" fontId="26" fillId="0" borderId="0" xfId="2" applyNumberFormat="1" applyFont="1" applyFill="1"/>
    <xf numFmtId="0" fontId="25" fillId="0" borderId="0" xfId="0" applyFont="1" applyAlignment="1">
      <alignment horizontal="center"/>
    </xf>
    <xf numFmtId="0" fontId="27" fillId="0" borderId="0" xfId="0" applyFont="1"/>
    <xf numFmtId="0" fontId="0" fillId="0" borderId="0" xfId="0" applyAlignment="1">
      <alignment horizontal="centerContinuous"/>
    </xf>
    <xf numFmtId="181" fontId="14" fillId="0" borderId="0" xfId="0" applyNumberFormat="1" applyFont="1" applyAlignment="1" applyProtection="1">
      <alignment horizontal="centerContinuous"/>
      <protection locked="0"/>
    </xf>
    <xf numFmtId="181" fontId="28" fillId="0" borderId="0" xfId="0" applyNumberFormat="1" applyFont="1" applyAlignment="1" applyProtection="1">
      <alignment horizontal="centerContinuous"/>
      <protection locked="0"/>
    </xf>
    <xf numFmtId="14" fontId="14" fillId="0" borderId="0" xfId="0" applyNumberFormat="1" applyFont="1" applyAlignment="1" applyProtection="1">
      <alignment horizontal="centerContinuous"/>
      <protection locked="0"/>
    </xf>
    <xf numFmtId="0" fontId="14" fillId="0" borderId="0" xfId="0" applyFont="1" applyAlignment="1">
      <alignment horizontal="centerContinuous"/>
    </xf>
    <xf numFmtId="179" fontId="0" fillId="0" borderId="0" xfId="3" applyNumberFormat="1" applyFont="1" applyFill="1"/>
    <xf numFmtId="179" fontId="0" fillId="0" borderId="5" xfId="0" applyNumberFormat="1" applyFill="1" applyBorder="1"/>
    <xf numFmtId="0" fontId="10" fillId="0" borderId="0" xfId="0" applyFont="1" applyFill="1"/>
    <xf numFmtId="0" fontId="6" fillId="0" borderId="0" xfId="0" applyFont="1" applyFill="1"/>
    <xf numFmtId="17" fontId="6" fillId="0" borderId="0" xfId="0" applyNumberFormat="1" applyFont="1" applyFill="1" applyBorder="1" applyAlignment="1">
      <alignment horizontal="center"/>
    </xf>
    <xf numFmtId="0" fontId="23" fillId="0" borderId="0" xfId="0" applyFont="1" applyFill="1" applyAlignment="1"/>
    <xf numFmtId="17" fontId="24" fillId="0" borderId="0" xfId="0" applyNumberFormat="1" applyFont="1" applyFill="1" applyAlignment="1">
      <alignment horizontal="right" indent="1"/>
    </xf>
    <xf numFmtId="167" fontId="0" fillId="0" borderId="2" xfId="1" applyNumberFormat="1" applyFont="1" applyFill="1" applyBorder="1"/>
    <xf numFmtId="0" fontId="29" fillId="0" borderId="0" xfId="2" applyNumberFormat="1" applyFont="1" applyFill="1" applyBorder="1" applyAlignment="1">
      <alignment horizontal="left" vertical="top"/>
    </xf>
    <xf numFmtId="0" fontId="0" fillId="0" borderId="35" xfId="0" applyBorder="1"/>
    <xf numFmtId="173" fontId="0" fillId="0" borderId="0" xfId="0" applyNumberFormat="1" applyProtection="1">
      <protection locked="0"/>
    </xf>
    <xf numFmtId="175" fontId="0" fillId="0" borderId="0" xfId="0" applyNumberFormat="1" applyProtection="1">
      <protection locked="0"/>
    </xf>
    <xf numFmtId="0" fontId="12" fillId="0" borderId="0" xfId="9" applyFont="1"/>
    <xf numFmtId="8" fontId="13" fillId="0" borderId="0" xfId="9" applyNumberFormat="1" applyFont="1"/>
    <xf numFmtId="175" fontId="13" fillId="0" borderId="0" xfId="9" applyNumberFormat="1" applyFont="1"/>
    <xf numFmtId="0" fontId="13" fillId="0" borderId="0" xfId="9" applyFont="1"/>
    <xf numFmtId="8" fontId="14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 applyAlignment="1">
      <alignment horizontal="left"/>
    </xf>
    <xf numFmtId="8" fontId="12" fillId="0" borderId="0" xfId="9" applyNumberFormat="1" applyFont="1"/>
    <xf numFmtId="0" fontId="30" fillId="0" borderId="0" xfId="9"/>
    <xf numFmtId="8" fontId="30" fillId="0" borderId="0" xfId="9" applyNumberFormat="1"/>
    <xf numFmtId="17" fontId="12" fillId="0" borderId="0" xfId="9" applyNumberFormat="1" applyFont="1"/>
    <xf numFmtId="175" fontId="30" fillId="0" borderId="0" xfId="9" applyNumberFormat="1"/>
    <xf numFmtId="8" fontId="14" fillId="0" borderId="30" xfId="9" applyNumberFormat="1" applyFont="1" applyBorder="1"/>
    <xf numFmtId="175" fontId="30" fillId="0" borderId="31" xfId="9" applyNumberFormat="1" applyBorder="1"/>
    <xf numFmtId="0" fontId="30" fillId="0" borderId="32" xfId="9" applyBorder="1"/>
    <xf numFmtId="0" fontId="30" fillId="0" borderId="33" xfId="9" applyBorder="1"/>
    <xf numFmtId="8" fontId="30" fillId="0" borderId="34" xfId="9" applyNumberFormat="1" applyBorder="1"/>
    <xf numFmtId="0" fontId="14" fillId="0" borderId="0" xfId="9" applyFont="1"/>
    <xf numFmtId="0" fontId="2" fillId="0" borderId="0" xfId="9" applyFont="1"/>
    <xf numFmtId="0" fontId="14" fillId="0" borderId="0" xfId="9" applyFont="1" applyAlignment="1">
      <alignment horizontal="center"/>
    </xf>
    <xf numFmtId="8" fontId="12" fillId="0" borderId="0" xfId="9" applyNumberFormat="1" applyFont="1" applyAlignment="1">
      <alignment horizontal="center"/>
    </xf>
    <xf numFmtId="175" fontId="30" fillId="0" borderId="34" xfId="9" applyNumberFormat="1" applyBorder="1"/>
    <xf numFmtId="0" fontId="30" fillId="0" borderId="35" xfId="9" applyBorder="1"/>
    <xf numFmtId="8" fontId="30" fillId="0" borderId="36" xfId="9" applyNumberFormat="1" applyBorder="1"/>
    <xf numFmtId="8" fontId="30" fillId="0" borderId="37" xfId="9" applyNumberFormat="1" applyBorder="1"/>
    <xf numFmtId="0" fontId="2" fillId="0" borderId="2" xfId="9" applyFont="1" applyBorder="1" applyAlignment="1">
      <alignment horizontal="centerContinuous"/>
    </xf>
    <xf numFmtId="0" fontId="30" fillId="0" borderId="2" xfId="9" applyBorder="1" applyAlignment="1">
      <alignment horizontal="centerContinuous"/>
    </xf>
    <xf numFmtId="0" fontId="30" fillId="0" borderId="0" xfId="9" applyAlignment="1">
      <alignment horizontal="centerContinuous"/>
    </xf>
    <xf numFmtId="0" fontId="30" fillId="0" borderId="0" xfId="9" applyAlignment="1">
      <alignment horizontal="center"/>
    </xf>
    <xf numFmtId="0" fontId="2" fillId="0" borderId="0" xfId="9" applyFont="1" applyAlignment="1">
      <alignment horizontal="center"/>
    </xf>
    <xf numFmtId="8" fontId="30" fillId="0" borderId="2" xfId="9" applyNumberFormat="1" applyBorder="1" applyAlignment="1">
      <alignment horizontal="centerContinuous"/>
    </xf>
    <xf numFmtId="175" fontId="30" fillId="0" borderId="2" xfId="9" applyNumberFormat="1" applyBorder="1" applyAlignment="1">
      <alignment horizontal="centerContinuous"/>
    </xf>
    <xf numFmtId="8" fontId="2" fillId="0" borderId="2" xfId="9" applyNumberFormat="1" applyFont="1" applyBorder="1" applyAlignment="1">
      <alignment horizontal="centerContinuous"/>
    </xf>
    <xf numFmtId="8" fontId="14" fillId="0" borderId="2" xfId="9" applyNumberFormat="1" applyFont="1" applyBorder="1" applyAlignment="1">
      <alignment horizontal="centerContinuous"/>
    </xf>
    <xf numFmtId="8" fontId="15" fillId="0" borderId="0" xfId="9" applyNumberFormat="1" applyFont="1" applyAlignment="1">
      <alignment horizontal="center"/>
    </xf>
    <xf numFmtId="175" fontId="15" fillId="0" borderId="0" xfId="9" applyNumberFormat="1" applyFont="1" applyAlignment="1">
      <alignment horizontal="center"/>
    </xf>
    <xf numFmtId="0" fontId="15" fillId="0" borderId="0" xfId="9" applyFont="1" applyAlignment="1">
      <alignment horizontal="center"/>
    </xf>
    <xf numFmtId="14" fontId="30" fillId="0" borderId="0" xfId="9" applyNumberFormat="1"/>
    <xf numFmtId="173" fontId="30" fillId="0" borderId="0" xfId="9" applyNumberFormat="1" applyProtection="1">
      <protection locked="0"/>
    </xf>
    <xf numFmtId="175" fontId="30" fillId="0" borderId="0" xfId="9" applyNumberFormat="1" applyProtection="1">
      <protection locked="0"/>
    </xf>
    <xf numFmtId="8" fontId="2" fillId="0" borderId="0" xfId="9" applyNumberFormat="1" applyFont="1"/>
    <xf numFmtId="0" fontId="14" fillId="0" borderId="0" xfId="9" applyFont="1" applyAlignment="1">
      <alignment horizontal="right"/>
    </xf>
    <xf numFmtId="8" fontId="30" fillId="0" borderId="4" xfId="9" applyNumberFormat="1" applyBorder="1"/>
    <xf numFmtId="4" fontId="30" fillId="0" borderId="0" xfId="9" applyNumberFormat="1"/>
    <xf numFmtId="175" fontId="2" fillId="0" borderId="0" xfId="0" applyNumberFormat="1" applyFont="1"/>
    <xf numFmtId="0" fontId="6" fillId="0" borderId="0" xfId="0" applyFont="1"/>
    <xf numFmtId="0" fontId="0" fillId="0" borderId="0" xfId="0" applyAlignment="1">
      <alignment horizontal="right"/>
    </xf>
    <xf numFmtId="0" fontId="3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6" fillId="0" borderId="5" xfId="0" applyFont="1" applyBorder="1" applyAlignment="1">
      <alignment horizontal="right"/>
    </xf>
    <xf numFmtId="167" fontId="0" fillId="0" borderId="5" xfId="1" applyNumberFormat="1" applyFont="1" applyFill="1" applyBorder="1" applyAlignment="1">
      <alignment horizontal="right"/>
    </xf>
    <xf numFmtId="0" fontId="31" fillId="0" borderId="0" xfId="0" applyFont="1" applyFill="1" applyAlignment="1">
      <alignment horizontal="left"/>
    </xf>
    <xf numFmtId="0" fontId="0" fillId="0" borderId="0" xfId="0" applyFill="1" applyBorder="1" applyAlignment="1">
      <alignment horizontal="right"/>
    </xf>
    <xf numFmtId="38" fontId="0" fillId="0" borderId="0" xfId="0" applyNumberFormat="1" applyFill="1" applyBorder="1" applyAlignment="1">
      <alignment horizontal="right"/>
    </xf>
    <xf numFmtId="38" fontId="0" fillId="0" borderId="0" xfId="0" applyNumberFormat="1" applyFill="1"/>
    <xf numFmtId="38" fontId="0" fillId="0" borderId="5" xfId="0" applyNumberFormat="1" applyFill="1" applyBorder="1"/>
    <xf numFmtId="38" fontId="0" fillId="0" borderId="5" xfId="0" applyNumberFormat="1" applyFill="1" applyBorder="1" applyAlignment="1">
      <alignment horizontal="right"/>
    </xf>
    <xf numFmtId="0" fontId="32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177" fontId="0" fillId="0" borderId="0" xfId="0" applyNumberFormat="1" applyFill="1" applyAlignment="1">
      <alignment horizontal="right"/>
    </xf>
    <xf numFmtId="167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7" fontId="0" fillId="0" borderId="0" xfId="1" applyNumberFormat="1" applyFont="1" applyFill="1" applyAlignment="1">
      <alignment horizontal="right"/>
    </xf>
    <xf numFmtId="177" fontId="0" fillId="0" borderId="0" xfId="2" applyNumberFormat="1" applyFont="1" applyFill="1" applyAlignment="1">
      <alignment horizontal="right"/>
    </xf>
    <xf numFmtId="177" fontId="0" fillId="0" borderId="5" xfId="0" applyNumberFormat="1" applyFill="1" applyBorder="1" applyAlignment="1">
      <alignment horizontal="right"/>
    </xf>
    <xf numFmtId="44" fontId="31" fillId="0" borderId="0" xfId="0" applyNumberFormat="1" applyFont="1" applyAlignment="1">
      <alignment horizontal="left"/>
    </xf>
    <xf numFmtId="41" fontId="0" fillId="0" borderId="0" xfId="0" applyNumberFormat="1" applyFill="1" applyAlignment="1">
      <alignment horizontal="right"/>
    </xf>
    <xf numFmtId="41" fontId="0" fillId="0" borderId="5" xfId="0" applyNumberFormat="1" applyBorder="1" applyAlignment="1">
      <alignment horizontal="right"/>
    </xf>
    <xf numFmtId="41" fontId="0" fillId="0" borderId="0" xfId="0" applyNumberFormat="1" applyAlignment="1">
      <alignment horizontal="left"/>
    </xf>
    <xf numFmtId="41" fontId="8" fillId="0" borderId="0" xfId="0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2" fillId="0" borderId="0" xfId="10"/>
    <xf numFmtId="0" fontId="2" fillId="0" borderId="0" xfId="10" applyFill="1"/>
    <xf numFmtId="0" fontId="2" fillId="0" borderId="0" xfId="0" applyFont="1" applyFill="1"/>
    <xf numFmtId="179" fontId="2" fillId="0" borderId="45" xfId="0" applyNumberFormat="1" applyFont="1" applyFill="1" applyBorder="1"/>
    <xf numFmtId="177" fontId="0" fillId="0" borderId="0" xfId="1" applyNumberFormat="1" applyFont="1" applyFill="1"/>
    <xf numFmtId="167" fontId="0" fillId="0" borderId="0" xfId="1" applyNumberFormat="1" applyFont="1" applyFill="1" applyBorder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177" fontId="0" fillId="0" borderId="5" xfId="2" applyNumberFormat="1" applyFont="1" applyBorder="1"/>
    <xf numFmtId="0" fontId="14" fillId="0" borderId="0" xfId="13" applyFont="1"/>
    <xf numFmtId="0" fontId="36" fillId="0" borderId="0" xfId="14" applyFont="1"/>
    <xf numFmtId="0" fontId="36" fillId="0" borderId="0" xfId="15" applyFont="1"/>
    <xf numFmtId="0" fontId="36" fillId="0" borderId="0" xfId="15" applyFont="1" applyFill="1"/>
    <xf numFmtId="0" fontId="35" fillId="0" borderId="0" xfId="13"/>
    <xf numFmtId="0" fontId="35" fillId="0" borderId="9" xfId="13" applyBorder="1"/>
    <xf numFmtId="0" fontId="35" fillId="0" borderId="0" xfId="13" applyBorder="1"/>
    <xf numFmtId="170" fontId="6" fillId="5" borderId="18" xfId="13" applyNumberFormat="1" applyFont="1" applyFill="1" applyBorder="1"/>
    <xf numFmtId="0" fontId="35" fillId="0" borderId="19" xfId="13" applyBorder="1"/>
    <xf numFmtId="171" fontId="35" fillId="0" borderId="20" xfId="13" applyNumberFormat="1" applyBorder="1"/>
    <xf numFmtId="0" fontId="35" fillId="0" borderId="10" xfId="13" applyBorder="1"/>
    <xf numFmtId="14" fontId="35" fillId="0" borderId="22" xfId="13" applyNumberFormat="1" applyBorder="1"/>
    <xf numFmtId="0" fontId="35" fillId="0" borderId="16" xfId="13" applyBorder="1"/>
    <xf numFmtId="171" fontId="35" fillId="0" borderId="18" xfId="13" applyNumberFormat="1" applyBorder="1"/>
    <xf numFmtId="0" fontId="35" fillId="0" borderId="16" xfId="13" applyFill="1" applyBorder="1"/>
    <xf numFmtId="172" fontId="0" fillId="0" borderId="18" xfId="12" applyNumberFormat="1" applyFont="1" applyBorder="1"/>
    <xf numFmtId="0" fontId="35" fillId="0" borderId="17" xfId="13" applyBorder="1"/>
    <xf numFmtId="0" fontId="35" fillId="0" borderId="18" xfId="13" applyBorder="1"/>
    <xf numFmtId="14" fontId="35" fillId="6" borderId="18" xfId="13" applyNumberFormat="1" applyFill="1" applyBorder="1"/>
    <xf numFmtId="182" fontId="35" fillId="0" borderId="0" xfId="13" applyNumberFormat="1" applyBorder="1"/>
    <xf numFmtId="173" fontId="35" fillId="0" borderId="17" xfId="13" applyNumberFormat="1" applyBorder="1"/>
    <xf numFmtId="3" fontId="35" fillId="0" borderId="17" xfId="13" applyNumberFormat="1" applyBorder="1"/>
    <xf numFmtId="44" fontId="0" fillId="0" borderId="17" xfId="11" applyFont="1" applyBorder="1"/>
    <xf numFmtId="44" fontId="0" fillId="0" borderId="18" xfId="11" applyFont="1" applyBorder="1"/>
    <xf numFmtId="2" fontId="35" fillId="0" borderId="18" xfId="13" applyNumberFormat="1" applyFill="1" applyBorder="1"/>
    <xf numFmtId="10" fontId="0" fillId="0" borderId="0" xfId="12" applyNumberFormat="1" applyFont="1" applyBorder="1"/>
    <xf numFmtId="172" fontId="0" fillId="0" borderId="0" xfId="12" applyNumberFormat="1" applyFont="1" applyBorder="1"/>
    <xf numFmtId="0" fontId="35" fillId="0" borderId="23" xfId="13" applyBorder="1"/>
    <xf numFmtId="171" fontId="35" fillId="0" borderId="22" xfId="13" applyNumberFormat="1" applyBorder="1"/>
    <xf numFmtId="170" fontId="6" fillId="7" borderId="18" xfId="13" applyNumberFormat="1" applyFont="1" applyFill="1" applyBorder="1"/>
    <xf numFmtId="0" fontId="35" fillId="0" borderId="26" xfId="13" applyBorder="1"/>
    <xf numFmtId="0" fontId="35" fillId="0" borderId="27" xfId="13" applyBorder="1"/>
    <xf numFmtId="170" fontId="35" fillId="0" borderId="27" xfId="13" applyNumberFormat="1" applyBorder="1"/>
    <xf numFmtId="170" fontId="6" fillId="0" borderId="27" xfId="13" applyNumberFormat="1" applyFont="1" applyBorder="1"/>
    <xf numFmtId="174" fontId="6" fillId="5" borderId="22" xfId="13" applyNumberFormat="1" applyFont="1" applyFill="1" applyBorder="1"/>
    <xf numFmtId="170" fontId="6" fillId="7" borderId="22" xfId="13" applyNumberFormat="1" applyFont="1" applyFill="1" applyBorder="1"/>
    <xf numFmtId="0" fontId="31" fillId="0" borderId="16" xfId="13" applyFont="1" applyBorder="1" applyAlignment="1">
      <alignment horizontal="right" wrapText="1"/>
    </xf>
    <xf numFmtId="0" fontId="31" fillId="0" borderId="17" xfId="13" applyFont="1" applyBorder="1" applyAlignment="1">
      <alignment horizontal="right" wrapText="1"/>
    </xf>
    <xf numFmtId="0" fontId="31" fillId="0" borderId="18" xfId="13" applyFont="1" applyBorder="1" applyAlignment="1">
      <alignment horizontal="right" wrapText="1"/>
    </xf>
    <xf numFmtId="173" fontId="35" fillId="0" borderId="18" xfId="13" applyNumberFormat="1" applyBorder="1"/>
    <xf numFmtId="3" fontId="31" fillId="6" borderId="16" xfId="13" applyNumberFormat="1" applyFont="1" applyFill="1" applyBorder="1"/>
    <xf numFmtId="173" fontId="31" fillId="6" borderId="17" xfId="13" applyNumberFormat="1" applyFont="1" applyFill="1" applyBorder="1"/>
    <xf numFmtId="171" fontId="31" fillId="6" borderId="17" xfId="13" applyNumberFormat="1" applyFont="1" applyFill="1" applyBorder="1"/>
    <xf numFmtId="173" fontId="31" fillId="0" borderId="17" xfId="13" applyNumberFormat="1" applyFont="1" applyBorder="1"/>
    <xf numFmtId="173" fontId="31" fillId="0" borderId="18" xfId="13" applyNumberFormat="1" applyFont="1" applyBorder="1"/>
    <xf numFmtId="3" fontId="31" fillId="0" borderId="16" xfId="13" applyNumberFormat="1" applyFont="1" applyBorder="1"/>
    <xf numFmtId="3" fontId="31" fillId="0" borderId="17" xfId="13" applyNumberFormat="1" applyFont="1" applyBorder="1"/>
    <xf numFmtId="0" fontId="31" fillId="0" borderId="17" xfId="13" applyFont="1" applyBorder="1"/>
    <xf numFmtId="170" fontId="6" fillId="5" borderId="22" xfId="13" applyNumberFormat="1" applyFont="1" applyFill="1" applyBorder="1"/>
    <xf numFmtId="0" fontId="31" fillId="0" borderId="23" xfId="13" applyFont="1" applyBorder="1" applyAlignment="1">
      <alignment horizontal="right"/>
    </xf>
    <xf numFmtId="170" fontId="31" fillId="0" borderId="27" xfId="13" applyNumberFormat="1" applyFont="1" applyBorder="1"/>
    <xf numFmtId="0" fontId="31" fillId="0" borderId="29" xfId="13" applyFont="1" applyBorder="1"/>
    <xf numFmtId="0" fontId="31" fillId="0" borderId="27" xfId="13" applyFont="1" applyBorder="1" applyAlignment="1">
      <alignment horizontal="right"/>
    </xf>
    <xf numFmtId="171" fontId="31" fillId="0" borderId="27" xfId="13" applyNumberFormat="1" applyFont="1" applyBorder="1"/>
    <xf numFmtId="170" fontId="31" fillId="0" borderId="22" xfId="13" applyNumberFormat="1" applyFont="1" applyBorder="1"/>
    <xf numFmtId="0" fontId="36" fillId="0" borderId="0" xfId="14" applyFont="1" applyFill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0" fillId="3" borderId="13" xfId="13" applyFont="1" applyFill="1" applyBorder="1" applyAlignment="1">
      <alignment horizontal="center"/>
    </xf>
    <xf numFmtId="0" fontId="10" fillId="3" borderId="14" xfId="13" applyFont="1" applyFill="1" applyBorder="1" applyAlignment="1">
      <alignment horizontal="center"/>
    </xf>
    <xf numFmtId="0" fontId="10" fillId="3" borderId="15" xfId="13" applyFont="1" applyFill="1" applyBorder="1" applyAlignment="1">
      <alignment horizontal="center"/>
    </xf>
    <xf numFmtId="0" fontId="32" fillId="3" borderId="19" xfId="13" applyFont="1" applyFill="1" applyBorder="1" applyAlignment="1">
      <alignment horizontal="center"/>
    </xf>
    <xf numFmtId="0" fontId="32" fillId="3" borderId="28" xfId="13" applyFont="1" applyFill="1" applyBorder="1" applyAlignment="1">
      <alignment horizontal="center"/>
    </xf>
    <xf numFmtId="0" fontId="32" fillId="3" borderId="20" xfId="13" applyFont="1" applyFill="1" applyBorder="1" applyAlignment="1">
      <alignment horizontal="center"/>
    </xf>
    <xf numFmtId="0" fontId="9" fillId="4" borderId="13" xfId="13" applyFont="1" applyFill="1" applyBorder="1" applyAlignment="1">
      <alignment horizontal="center"/>
    </xf>
    <xf numFmtId="0" fontId="9" fillId="4" borderId="14" xfId="13" applyFont="1" applyFill="1" applyBorder="1" applyAlignment="1">
      <alignment horizontal="center"/>
    </xf>
    <xf numFmtId="0" fontId="9" fillId="4" borderId="7" xfId="13" applyFont="1" applyFill="1" applyBorder="1" applyAlignment="1">
      <alignment horizontal="center"/>
    </xf>
    <xf numFmtId="0" fontId="9" fillId="4" borderId="8" xfId="13" applyFont="1" applyFill="1" applyBorder="1" applyAlignment="1">
      <alignment horizontal="center"/>
    </xf>
    <xf numFmtId="0" fontId="9" fillId="4" borderId="15" xfId="13" applyFont="1" applyFill="1" applyBorder="1" applyAlignment="1">
      <alignment horizontal="center"/>
    </xf>
    <xf numFmtId="0" fontId="35" fillId="0" borderId="16" xfId="13" applyBorder="1" applyAlignment="1">
      <alignment horizontal="left"/>
    </xf>
    <xf numFmtId="0" fontId="35" fillId="0" borderId="17" xfId="13" applyBorder="1" applyAlignment="1">
      <alignment horizontal="left"/>
    </xf>
    <xf numFmtId="0" fontId="35" fillId="0" borderId="11" xfId="13" applyBorder="1" applyAlignment="1">
      <alignment horizontal="left"/>
    </xf>
    <xf numFmtId="0" fontId="35" fillId="0" borderId="21" xfId="13" applyBorder="1" applyAlignment="1">
      <alignment horizontal="left"/>
    </xf>
    <xf numFmtId="0" fontId="6" fillId="0" borderId="24" xfId="13" applyFont="1" applyBorder="1" applyAlignment="1">
      <alignment horizontal="center"/>
    </xf>
    <xf numFmtId="0" fontId="6" fillId="0" borderId="25" xfId="13" applyFont="1" applyBorder="1" applyAlignment="1">
      <alignment horizontal="center"/>
    </xf>
  </cellXfs>
  <cellStyles count="16">
    <cellStyle name="Comma" xfId="1" builtinId="3"/>
    <cellStyle name="Comma 3" xfId="5" xr:uid="{00000000-0005-0000-0000-000001000000}"/>
    <cellStyle name="Currency" xfId="2" builtinId="4"/>
    <cellStyle name="Currency 2 2 2" xfId="11" xr:uid="{00000000-0005-0000-0000-000003000000}"/>
    <cellStyle name="Normal" xfId="0" builtinId="0"/>
    <cellStyle name="Normal 10 2" xfId="10" xr:uid="{00000000-0005-0000-0000-000005000000}"/>
    <cellStyle name="Normal 2" xfId="6" xr:uid="{00000000-0005-0000-0000-000006000000}"/>
    <cellStyle name="Normal 2 2" xfId="7" xr:uid="{00000000-0005-0000-0000-000007000000}"/>
    <cellStyle name="Normal 3" xfId="4" xr:uid="{00000000-0005-0000-0000-000008000000}"/>
    <cellStyle name="Normal 4" xfId="8" xr:uid="{00000000-0005-0000-0000-000009000000}"/>
    <cellStyle name="Normal 5" xfId="9" xr:uid="{00000000-0005-0000-0000-00000A000000}"/>
    <cellStyle name="Normal 6" xfId="13" xr:uid="{00000000-0005-0000-0000-00000B000000}"/>
    <cellStyle name="Normal 94" xfId="14" xr:uid="{00000000-0005-0000-0000-00000C000000}"/>
    <cellStyle name="Normal 95" xfId="15" xr:uid="{00000000-0005-0000-0000-00000D000000}"/>
    <cellStyle name="Percent" xfId="3" builtinId="5"/>
    <cellStyle name="Percent 3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19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externalLink" Target="externalLinks/externalLink1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externalLink" Target="externalLinks/externalLink1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442913</xdr:colOff>
      <xdr:row>1</xdr:row>
      <xdr:rowOff>171450</xdr:rowOff>
    </xdr:from>
    <xdr:to>
      <xdr:col>36</xdr:col>
      <xdr:colOff>289889</xdr:colOff>
      <xdr:row>27</xdr:row>
      <xdr:rowOff>28004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39063" y="355600"/>
          <a:ext cx="4876176" cy="4657154"/>
        </a:xfrm>
        <a:prstGeom prst="rect">
          <a:avLst/>
        </a:prstGeom>
      </xdr:spPr>
    </xdr:pic>
    <xdr:clientData/>
  </xdr:twoCellAnchor>
  <xdr:twoCellAnchor editAs="oneCell">
    <xdr:from>
      <xdr:col>28</xdr:col>
      <xdr:colOff>427709</xdr:colOff>
      <xdr:row>27</xdr:row>
      <xdr:rowOff>157162</xdr:rowOff>
    </xdr:from>
    <xdr:to>
      <xdr:col>37</xdr:col>
      <xdr:colOff>203446</xdr:colOff>
      <xdr:row>58</xdr:row>
      <xdr:rowOff>74866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23859" y="5141912"/>
          <a:ext cx="5433587" cy="5639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18906\Local%20Settings\Temporary%20Internet%20Files\OLK44\FuelDetailReportM3LL201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ATA\Ameren\CILCO\CILCO%20Proj%20-%20BR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e\Dutch%20Auctions\CIPS%20Dutch_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20279\Local%20Settings\Temporary%20Internet%20Files\OLK3\Ameren%20ER-2008-0318\Copy%20of%20report%20235%20200701%202008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MEREN_05590\04RET\2004Valuation\Reports\AgeSvcI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O\TSS\MRfiles\2011\04APR2011\FINAL\AMMO_MR_File_Check_April_2011_Final_20110506064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losing%20Journal%20Entries\2022\08-August\Christine\RESRAM\PISA\1.%20UEC%20PISA%20Period%20C%20monthly%20calc%2008-202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siness%20Pricing%20&amp;%20Costing\PSG\DLM%20Rate%20Case.WACC%20Base.Mar%2030%2004.DLM.v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20279\Local%20Settings\Temporary%20Internet%20Files\OLK3\Ameren%20ER-2008-0318\Company%20Workpapers\Cooper%20and%20Pozzo\jpozzo\detail%20200701%20200712%202007%20rates%20re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epraccrDec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l01\SYS3\AMEREN_05590\03RET\5YearForecasts\AmerenCilco03Forecast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l Detail Report(Tom Golden)"/>
      <sheetName val="Coal Detail Report by Plant"/>
      <sheetName val="Coal Detail Report"/>
      <sheetName val="Oil Detail Report"/>
      <sheetName val="UEC Fuel Summary"/>
      <sheetName val="UEC Fuel Summary YTD"/>
      <sheetName val="GEN Fuel Summary"/>
      <sheetName val="ARG Fuel Summary"/>
      <sheetName val="DlGenDol"/>
      <sheetName val="DlKwh"/>
      <sheetName val="DlUnits"/>
      <sheetName val="DLMMBTU"/>
      <sheetName val="UeFobLogic"/>
      <sheetName val="DialogLoadData"/>
      <sheetName val="DlTonInv"/>
      <sheetName val="DlInvDol"/>
      <sheetName val="$"/>
      <sheetName val="Tons"/>
      <sheetName val="Coal Tie-out"/>
      <sheetName val="Tables"/>
      <sheetName val="Note"/>
      <sheetName val="Note ILL"/>
      <sheetName val="Note Mo"/>
      <sheetName val="TimePeri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CORPGenDol</v>
          </cell>
          <cell r="B1" t="str">
            <v>BDGenDol</v>
          </cell>
          <cell r="C1" t="str">
            <v>RMCGenDol</v>
          </cell>
          <cell r="D1" t="str">
            <v>MAJMINGenDol</v>
          </cell>
          <cell r="E1" t="str">
            <v>RTGenDol</v>
          </cell>
          <cell r="AD1" t="str">
            <v>GenDolAmt</v>
          </cell>
          <cell r="AE1">
            <v>2009</v>
          </cell>
          <cell r="AG1" t="str">
            <v>FueltypeGenDol</v>
          </cell>
        </row>
        <row r="2">
          <cell r="A2" t="str">
            <v>AER</v>
          </cell>
          <cell r="B2" t="str">
            <v>AC</v>
          </cell>
          <cell r="C2" t="str">
            <v>299</v>
          </cell>
          <cell r="D2" t="str">
            <v>509</v>
          </cell>
          <cell r="E2" t="str">
            <v>FB</v>
          </cell>
          <cell r="F2">
            <v>173887</v>
          </cell>
          <cell r="G2">
            <v>-173887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AD2">
            <v>0</v>
          </cell>
          <cell r="AF2">
            <v>0</v>
          </cell>
          <cell r="AG2" t="str">
            <v>SO2</v>
          </cell>
        </row>
        <row r="3">
          <cell r="A3" t="str">
            <v>AFS</v>
          </cell>
          <cell r="B3" t="str">
            <v>1F</v>
          </cell>
          <cell r="C3" t="str">
            <v>087</v>
          </cell>
          <cell r="D3" t="str">
            <v>411008</v>
          </cell>
          <cell r="E3" t="str">
            <v>BX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AD3">
            <v>0</v>
          </cell>
          <cell r="AF3">
            <v>0</v>
          </cell>
          <cell r="AG3"/>
        </row>
        <row r="4">
          <cell r="A4" t="str">
            <v>AFS</v>
          </cell>
          <cell r="B4" t="str">
            <v>1F</v>
          </cell>
          <cell r="C4" t="str">
            <v>087</v>
          </cell>
          <cell r="D4" t="str">
            <v>411008</v>
          </cell>
          <cell r="E4" t="str">
            <v>EC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AD4">
            <v>0</v>
          </cell>
          <cell r="AF4">
            <v>0</v>
          </cell>
          <cell r="AG4"/>
        </row>
        <row r="5">
          <cell r="A5" t="str">
            <v>AFS</v>
          </cell>
          <cell r="B5" t="str">
            <v>1F</v>
          </cell>
          <cell r="C5" t="str">
            <v>087</v>
          </cell>
          <cell r="D5" t="str">
            <v>411008</v>
          </cell>
          <cell r="E5" t="str">
            <v>EX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AD5">
            <v>0</v>
          </cell>
          <cell r="AF5">
            <v>0</v>
          </cell>
          <cell r="AG5"/>
        </row>
        <row r="6">
          <cell r="A6" t="str">
            <v>AFS</v>
          </cell>
          <cell r="B6" t="str">
            <v>1F</v>
          </cell>
          <cell r="C6" t="str">
            <v>087</v>
          </cell>
          <cell r="D6" t="str">
            <v>411008</v>
          </cell>
          <cell r="E6" t="str">
            <v>EX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AD6">
            <v>0</v>
          </cell>
          <cell r="AF6">
            <v>0</v>
          </cell>
          <cell r="AG6"/>
        </row>
        <row r="7">
          <cell r="A7" t="str">
            <v>AFS</v>
          </cell>
          <cell r="B7" t="str">
            <v>1F</v>
          </cell>
          <cell r="C7" t="str">
            <v>087</v>
          </cell>
          <cell r="D7" t="str">
            <v>411008</v>
          </cell>
          <cell r="E7" t="str">
            <v>EX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AD7">
            <v>0</v>
          </cell>
          <cell r="AF7">
            <v>0</v>
          </cell>
          <cell r="AG7"/>
        </row>
        <row r="8">
          <cell r="A8" t="str">
            <v>AFS</v>
          </cell>
          <cell r="B8" t="str">
            <v>1F</v>
          </cell>
          <cell r="C8" t="str">
            <v>087</v>
          </cell>
          <cell r="D8" t="str">
            <v>411008</v>
          </cell>
          <cell r="E8" t="str">
            <v>98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AD8">
            <v>0</v>
          </cell>
          <cell r="AF8">
            <v>0</v>
          </cell>
          <cell r="AG8"/>
        </row>
        <row r="9">
          <cell r="A9" t="str">
            <v>AFS</v>
          </cell>
          <cell r="B9" t="str">
            <v>1F</v>
          </cell>
          <cell r="C9" t="str">
            <v>REV</v>
          </cell>
          <cell r="D9" t="str">
            <v>421133</v>
          </cell>
          <cell r="E9" t="str">
            <v>98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AD9">
            <v>0</v>
          </cell>
          <cell r="AF9">
            <v>0</v>
          </cell>
          <cell r="AG9"/>
        </row>
        <row r="10">
          <cell r="A10" t="str">
            <v>AFS</v>
          </cell>
          <cell r="B10" t="str">
            <v>1F</v>
          </cell>
          <cell r="C10" t="str">
            <v>REV</v>
          </cell>
          <cell r="D10" t="str">
            <v>421133</v>
          </cell>
          <cell r="E10" t="str">
            <v>98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AD10">
            <v>0</v>
          </cell>
          <cell r="AF10">
            <v>0</v>
          </cell>
          <cell r="AG10"/>
        </row>
        <row r="11">
          <cell r="A11" t="str">
            <v>AFS</v>
          </cell>
          <cell r="B11" t="str">
            <v>1F</v>
          </cell>
          <cell r="C11" t="str">
            <v>REV</v>
          </cell>
          <cell r="D11" t="str">
            <v>421133</v>
          </cell>
          <cell r="E11" t="str">
            <v>98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AD11">
            <v>0</v>
          </cell>
          <cell r="AF11">
            <v>0</v>
          </cell>
          <cell r="AG11"/>
        </row>
        <row r="12">
          <cell r="A12" t="str">
            <v>AFS</v>
          </cell>
          <cell r="B12" t="str">
            <v>1F</v>
          </cell>
          <cell r="C12" t="str">
            <v>INC</v>
          </cell>
          <cell r="D12" t="str">
            <v>549133</v>
          </cell>
          <cell r="E12" t="str">
            <v>FB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AD12">
            <v>0</v>
          </cell>
          <cell r="AF12">
            <v>0</v>
          </cell>
          <cell r="AG12"/>
        </row>
        <row r="13">
          <cell r="A13" t="str">
            <v>AFS</v>
          </cell>
          <cell r="B13" t="str">
            <v>1F</v>
          </cell>
          <cell r="C13" t="str">
            <v>REV</v>
          </cell>
          <cell r="D13" t="str">
            <v>549133</v>
          </cell>
          <cell r="E13" t="str">
            <v>FB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AD13">
            <v>0</v>
          </cell>
          <cell r="AF13">
            <v>0</v>
          </cell>
          <cell r="AG13"/>
        </row>
        <row r="14">
          <cell r="A14" t="str">
            <v>AFS</v>
          </cell>
          <cell r="B14" t="str">
            <v>1F</v>
          </cell>
          <cell r="C14" t="str">
            <v>REV</v>
          </cell>
          <cell r="D14" t="str">
            <v>549133</v>
          </cell>
          <cell r="E14" t="str">
            <v>FB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AD14">
            <v>0</v>
          </cell>
          <cell r="AF14">
            <v>0</v>
          </cell>
          <cell r="AG14"/>
        </row>
        <row r="15">
          <cell r="A15" t="str">
            <v>AFS</v>
          </cell>
          <cell r="B15" t="str">
            <v>1F</v>
          </cell>
          <cell r="C15" t="str">
            <v>INC</v>
          </cell>
          <cell r="D15" t="str">
            <v>557001</v>
          </cell>
          <cell r="E15" t="str">
            <v>FB</v>
          </cell>
          <cell r="F15">
            <v>0</v>
          </cell>
          <cell r="G15">
            <v>2250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AD15">
            <v>0</v>
          </cell>
          <cell r="AF15">
            <v>2250</v>
          </cell>
          <cell r="AG15"/>
        </row>
        <row r="16">
          <cell r="A16" t="str">
            <v>AFS</v>
          </cell>
          <cell r="B16" t="str">
            <v>1F</v>
          </cell>
          <cell r="C16" t="str">
            <v>INC</v>
          </cell>
          <cell r="D16" t="str">
            <v>557001</v>
          </cell>
          <cell r="E16" t="str">
            <v>FB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AD16">
            <v>0</v>
          </cell>
          <cell r="AF16">
            <v>0</v>
          </cell>
          <cell r="AG16"/>
        </row>
        <row r="17">
          <cell r="A17" t="str">
            <v>AFS</v>
          </cell>
          <cell r="B17" t="str">
            <v>1F</v>
          </cell>
          <cell r="C17" t="str">
            <v>INC</v>
          </cell>
          <cell r="D17" t="str">
            <v>557133</v>
          </cell>
          <cell r="E17" t="str">
            <v>FB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AD17">
            <v>0</v>
          </cell>
          <cell r="AF17">
            <v>0</v>
          </cell>
          <cell r="AG17"/>
        </row>
        <row r="18">
          <cell r="A18" t="str">
            <v>AFS</v>
          </cell>
          <cell r="B18" t="str">
            <v>1F</v>
          </cell>
          <cell r="C18" t="str">
            <v>INC</v>
          </cell>
          <cell r="D18" t="str">
            <v>557133</v>
          </cell>
          <cell r="E18" t="str">
            <v>FB</v>
          </cell>
          <cell r="F18">
            <v>217085.55</v>
          </cell>
          <cell r="G18">
            <v>70086.81</v>
          </cell>
          <cell r="H18">
            <v>420256.53</v>
          </cell>
          <cell r="I18">
            <v>-908867.71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AD18">
            <v>420256.53</v>
          </cell>
          <cell r="AF18">
            <v>707428.89</v>
          </cell>
          <cell r="AG18"/>
        </row>
        <row r="19">
          <cell r="A19" t="str">
            <v>AFS</v>
          </cell>
          <cell r="B19" t="str">
            <v>1F</v>
          </cell>
          <cell r="C19" t="str">
            <v>REV</v>
          </cell>
          <cell r="D19" t="str">
            <v>557133</v>
          </cell>
          <cell r="E19" t="str">
            <v>FB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AD19">
            <v>0</v>
          </cell>
          <cell r="AF19">
            <v>0</v>
          </cell>
          <cell r="AG19"/>
        </row>
        <row r="20">
          <cell r="A20" t="str">
            <v>AFS</v>
          </cell>
          <cell r="B20" t="str">
            <v>1F</v>
          </cell>
          <cell r="C20" t="str">
            <v>INC</v>
          </cell>
          <cell r="D20" t="str">
            <v>557133</v>
          </cell>
          <cell r="E20" t="str">
            <v>98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AD20">
            <v>0</v>
          </cell>
          <cell r="AF20">
            <v>0</v>
          </cell>
          <cell r="AG20"/>
        </row>
        <row r="21">
          <cell r="A21" t="str">
            <v>AMC</v>
          </cell>
          <cell r="B21" t="str">
            <v>CP</v>
          </cell>
          <cell r="C21" t="str">
            <v>299</v>
          </cell>
          <cell r="D21" t="str">
            <v>509</v>
          </cell>
          <cell r="E21" t="str">
            <v>FB</v>
          </cell>
          <cell r="F21">
            <v>0</v>
          </cell>
          <cell r="G21">
            <v>0</v>
          </cell>
          <cell r="H21">
            <v>69765.42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AD21">
            <v>69765.42</v>
          </cell>
          <cell r="AF21">
            <v>69765.42</v>
          </cell>
          <cell r="AG21" t="str">
            <v>SO2</v>
          </cell>
        </row>
        <row r="22">
          <cell r="A22" t="str">
            <v>ARG</v>
          </cell>
          <cell r="B22" t="str">
            <v>DC</v>
          </cell>
          <cell r="C22" t="str">
            <v>INC</v>
          </cell>
          <cell r="D22" t="str">
            <v>411008</v>
          </cell>
          <cell r="E22" t="str">
            <v>EX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AD22">
            <v>0</v>
          </cell>
          <cell r="AF22">
            <v>0</v>
          </cell>
          <cell r="AG22"/>
        </row>
        <row r="23">
          <cell r="A23" t="str">
            <v>ARG</v>
          </cell>
          <cell r="B23" t="str">
            <v>DC</v>
          </cell>
          <cell r="C23" t="str">
            <v>INC</v>
          </cell>
          <cell r="D23" t="str">
            <v>411008</v>
          </cell>
          <cell r="E23" t="str">
            <v>FB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AD23">
            <v>0</v>
          </cell>
          <cell r="AF23">
            <v>0</v>
          </cell>
          <cell r="AG23"/>
        </row>
        <row r="24">
          <cell r="A24" t="str">
            <v>ARG</v>
          </cell>
          <cell r="B24" t="str">
            <v>DC</v>
          </cell>
          <cell r="C24" t="str">
            <v>286</v>
          </cell>
          <cell r="D24" t="str">
            <v>501001</v>
          </cell>
          <cell r="E24" t="str">
            <v>FB</v>
          </cell>
          <cell r="F24">
            <v>2253387.58</v>
          </cell>
          <cell r="G24">
            <v>2695572.13</v>
          </cell>
          <cell r="H24">
            <v>2467149.91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AD24">
            <v>2467149.91</v>
          </cell>
          <cell r="AF24">
            <v>7416109.6200000001</v>
          </cell>
          <cell r="AG24" t="str">
            <v>Coal</v>
          </cell>
        </row>
        <row r="25">
          <cell r="A25" t="str">
            <v>ARG</v>
          </cell>
          <cell r="B25" t="str">
            <v>DC</v>
          </cell>
          <cell r="C25" t="str">
            <v>286</v>
          </cell>
          <cell r="D25" t="str">
            <v>501001</v>
          </cell>
          <cell r="E25" t="str">
            <v>FB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AD25">
            <v>0</v>
          </cell>
          <cell r="AF25">
            <v>0</v>
          </cell>
          <cell r="AG25" t="str">
            <v>Coal</v>
          </cell>
        </row>
        <row r="26">
          <cell r="A26" t="str">
            <v>ARG</v>
          </cell>
          <cell r="B26" t="str">
            <v>DC</v>
          </cell>
          <cell r="C26" t="str">
            <v>286</v>
          </cell>
          <cell r="D26" t="str">
            <v>501002</v>
          </cell>
          <cell r="E26" t="str">
            <v>FB</v>
          </cell>
          <cell r="F26">
            <v>431665.8</v>
          </cell>
          <cell r="G26">
            <v>131280.41</v>
          </cell>
          <cell r="H26">
            <v>156929.99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AD26">
            <v>156929.99</v>
          </cell>
          <cell r="AF26">
            <v>719876.2</v>
          </cell>
          <cell r="AG26" t="str">
            <v>Oil</v>
          </cell>
        </row>
        <row r="27">
          <cell r="A27" t="str">
            <v>ARG</v>
          </cell>
          <cell r="B27" t="str">
            <v>DC</v>
          </cell>
          <cell r="C27" t="str">
            <v>286</v>
          </cell>
          <cell r="D27" t="str">
            <v>501101</v>
          </cell>
          <cell r="E27" t="str">
            <v>FB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AD27">
            <v>0</v>
          </cell>
          <cell r="AF27">
            <v>0</v>
          </cell>
          <cell r="AG27" t="str">
            <v>Coal</v>
          </cell>
        </row>
        <row r="28">
          <cell r="A28" t="str">
            <v>ARG</v>
          </cell>
          <cell r="B28" t="str">
            <v>DC</v>
          </cell>
          <cell r="C28" t="str">
            <v>286</v>
          </cell>
          <cell r="D28" t="str">
            <v>501110</v>
          </cell>
          <cell r="E28" t="str">
            <v>FB</v>
          </cell>
          <cell r="F28">
            <v>2049523.32</v>
          </cell>
          <cell r="G28">
            <v>2593401.38</v>
          </cell>
          <cell r="H28">
            <v>2411528.6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AD28">
            <v>2411528.6</v>
          </cell>
          <cell r="AF28">
            <v>7054453.3000000007</v>
          </cell>
          <cell r="AG28" t="str">
            <v>Coal</v>
          </cell>
        </row>
        <row r="29">
          <cell r="A29" t="str">
            <v>ARG</v>
          </cell>
          <cell r="B29" t="str">
            <v>DC</v>
          </cell>
          <cell r="C29" t="str">
            <v>61A</v>
          </cell>
          <cell r="D29" t="str">
            <v>502003</v>
          </cell>
          <cell r="E29" t="str">
            <v>FB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AD29">
            <v>0</v>
          </cell>
          <cell r="AF29">
            <v>0</v>
          </cell>
          <cell r="AG29"/>
        </row>
        <row r="30">
          <cell r="A30" t="str">
            <v>ARG</v>
          </cell>
          <cell r="B30" t="str">
            <v>DC</v>
          </cell>
          <cell r="C30" t="str">
            <v>186</v>
          </cell>
          <cell r="D30" t="str">
            <v>509</v>
          </cell>
          <cell r="E30" t="str">
            <v>FB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AD30">
            <v>0</v>
          </cell>
          <cell r="AF30">
            <v>0</v>
          </cell>
          <cell r="AG30" t="str">
            <v>SO2</v>
          </cell>
        </row>
        <row r="31">
          <cell r="A31" t="str">
            <v>ARG</v>
          </cell>
          <cell r="B31" t="str">
            <v>DC</v>
          </cell>
          <cell r="C31" t="str">
            <v>286</v>
          </cell>
          <cell r="D31" t="str">
            <v>509</v>
          </cell>
          <cell r="E31" t="str">
            <v>FB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AD31">
            <v>0</v>
          </cell>
          <cell r="AF31">
            <v>0</v>
          </cell>
          <cell r="AG31" t="str">
            <v>SO2</v>
          </cell>
        </row>
        <row r="32">
          <cell r="A32" t="str">
            <v>ARG</v>
          </cell>
          <cell r="B32" t="str">
            <v>DC</v>
          </cell>
          <cell r="C32" t="str">
            <v>286</v>
          </cell>
          <cell r="D32" t="str">
            <v>509</v>
          </cell>
          <cell r="E32" t="str">
            <v>FB</v>
          </cell>
          <cell r="F32">
            <v>11843.99</v>
          </cell>
          <cell r="G32">
            <v>2280.79</v>
          </cell>
          <cell r="H32">
            <v>826.22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AD32">
            <v>826.22</v>
          </cell>
          <cell r="AF32">
            <v>14950.999999999998</v>
          </cell>
          <cell r="AG32" t="str">
            <v>SO2</v>
          </cell>
        </row>
        <row r="33">
          <cell r="A33" t="str">
            <v>ARG</v>
          </cell>
          <cell r="B33" t="str">
            <v>ED</v>
          </cell>
          <cell r="C33" t="str">
            <v>INC</v>
          </cell>
          <cell r="D33" t="str">
            <v>411008</v>
          </cell>
          <cell r="E33" t="str">
            <v>EX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AD33">
            <v>0</v>
          </cell>
          <cell r="AF33">
            <v>0</v>
          </cell>
          <cell r="AG33"/>
        </row>
        <row r="34">
          <cell r="A34" t="str">
            <v>ARG</v>
          </cell>
          <cell r="B34" t="str">
            <v>ED</v>
          </cell>
          <cell r="C34" t="str">
            <v>INC</v>
          </cell>
          <cell r="D34" t="str">
            <v>411008</v>
          </cell>
          <cell r="E34" t="str">
            <v>FB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D34">
            <v>0</v>
          </cell>
          <cell r="AF34">
            <v>0</v>
          </cell>
          <cell r="AG34"/>
        </row>
        <row r="35">
          <cell r="A35" t="str">
            <v>ARG</v>
          </cell>
          <cell r="B35" t="str">
            <v>ED</v>
          </cell>
          <cell r="C35" t="str">
            <v>286</v>
          </cell>
          <cell r="D35" t="str">
            <v>501001</v>
          </cell>
          <cell r="E35" t="str">
            <v>FB</v>
          </cell>
          <cell r="F35">
            <v>4014946.48</v>
          </cell>
          <cell r="G35">
            <v>3513608.39</v>
          </cell>
          <cell r="H35">
            <v>3443300.36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AD35">
            <v>3443300.36</v>
          </cell>
          <cell r="AF35">
            <v>10971855.23</v>
          </cell>
          <cell r="AG35" t="str">
            <v>Coal</v>
          </cell>
        </row>
        <row r="36">
          <cell r="A36" t="str">
            <v>ARG</v>
          </cell>
          <cell r="B36" t="str">
            <v>ED</v>
          </cell>
          <cell r="C36" t="str">
            <v>286</v>
          </cell>
          <cell r="D36" t="str">
            <v>501001</v>
          </cell>
          <cell r="E36" t="str">
            <v>FB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AD36">
            <v>0</v>
          </cell>
          <cell r="AF36">
            <v>0</v>
          </cell>
          <cell r="AG36" t="str">
            <v>Coal</v>
          </cell>
        </row>
        <row r="37">
          <cell r="A37" t="str">
            <v>ARG</v>
          </cell>
          <cell r="B37" t="str">
            <v>ED</v>
          </cell>
          <cell r="C37" t="str">
            <v>286</v>
          </cell>
          <cell r="D37" t="str">
            <v>501002</v>
          </cell>
          <cell r="E37" t="str">
            <v>FB</v>
          </cell>
          <cell r="F37">
            <v>15154.71</v>
          </cell>
          <cell r="G37">
            <v>36458.699999999997</v>
          </cell>
          <cell r="H37">
            <v>91260.26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AD37">
            <v>91260.26</v>
          </cell>
          <cell r="AF37">
            <v>142873.66999999998</v>
          </cell>
          <cell r="AG37" t="str">
            <v>Oil</v>
          </cell>
        </row>
        <row r="38">
          <cell r="A38" t="str">
            <v>ARG</v>
          </cell>
          <cell r="B38" t="str">
            <v>ED</v>
          </cell>
          <cell r="C38" t="str">
            <v>286</v>
          </cell>
          <cell r="D38" t="str">
            <v>501101</v>
          </cell>
          <cell r="E38" t="str">
            <v>FB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AD38">
            <v>0</v>
          </cell>
          <cell r="AF38">
            <v>0</v>
          </cell>
          <cell r="AG38" t="str">
            <v>Coal</v>
          </cell>
        </row>
        <row r="39">
          <cell r="A39" t="str">
            <v>ARG</v>
          </cell>
          <cell r="B39" t="str">
            <v>ED</v>
          </cell>
          <cell r="C39" t="str">
            <v>286</v>
          </cell>
          <cell r="D39" t="str">
            <v>501110</v>
          </cell>
          <cell r="E39" t="str">
            <v>FB</v>
          </cell>
          <cell r="F39">
            <v>4577464.0999999996</v>
          </cell>
          <cell r="G39">
            <v>4228765</v>
          </cell>
          <cell r="H39">
            <v>4296431.7699999996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AD39">
            <v>4296431.7699999996</v>
          </cell>
          <cell r="AF39">
            <v>13102660.869999999</v>
          </cell>
          <cell r="AG39" t="str">
            <v>Coal</v>
          </cell>
        </row>
        <row r="40">
          <cell r="A40" t="str">
            <v>ARG</v>
          </cell>
          <cell r="B40" t="str">
            <v>ED</v>
          </cell>
          <cell r="C40" t="str">
            <v>186</v>
          </cell>
          <cell r="D40" t="str">
            <v>509</v>
          </cell>
          <cell r="E40" t="str">
            <v>FB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AD40">
            <v>0</v>
          </cell>
          <cell r="AF40">
            <v>0</v>
          </cell>
          <cell r="AG40" t="str">
            <v>SO2</v>
          </cell>
        </row>
        <row r="41">
          <cell r="A41" t="str">
            <v>ARG</v>
          </cell>
          <cell r="B41" t="str">
            <v>ED</v>
          </cell>
          <cell r="C41" t="str">
            <v>286</v>
          </cell>
          <cell r="D41" t="str">
            <v>509</v>
          </cell>
          <cell r="E41" t="str">
            <v>FB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AD41">
            <v>0</v>
          </cell>
          <cell r="AF41">
            <v>0</v>
          </cell>
          <cell r="AG41" t="str">
            <v>SO2</v>
          </cell>
        </row>
        <row r="42">
          <cell r="A42" t="str">
            <v>ARG</v>
          </cell>
          <cell r="B42" t="str">
            <v>ED</v>
          </cell>
          <cell r="C42" t="str">
            <v>286</v>
          </cell>
          <cell r="D42" t="str">
            <v>509</v>
          </cell>
          <cell r="E42" t="str">
            <v>FB</v>
          </cell>
          <cell r="F42">
            <v>61391.61</v>
          </cell>
          <cell r="G42">
            <v>12478.75</v>
          </cell>
          <cell r="H42">
            <v>7193.42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AD42">
            <v>7193.42</v>
          </cell>
          <cell r="AF42">
            <v>81063.78</v>
          </cell>
          <cell r="AG42" t="str">
            <v>SO2</v>
          </cell>
        </row>
        <row r="43">
          <cell r="A43" t="str">
            <v>ARG</v>
          </cell>
          <cell r="B43" t="str">
            <v>ED</v>
          </cell>
          <cell r="C43" t="str">
            <v>62E</v>
          </cell>
          <cell r="D43" t="str">
            <v>509</v>
          </cell>
          <cell r="E43" t="str">
            <v>FB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AD43">
            <v>0</v>
          </cell>
          <cell r="AF43">
            <v>0</v>
          </cell>
          <cell r="AG43" t="str">
            <v>SO2</v>
          </cell>
        </row>
        <row r="44">
          <cell r="A44" t="str">
            <v>ARG</v>
          </cell>
          <cell r="B44" t="str">
            <v>HK</v>
          </cell>
          <cell r="C44" t="str">
            <v>286</v>
          </cell>
          <cell r="D44" t="str">
            <v>547002</v>
          </cell>
          <cell r="E44" t="str">
            <v>FB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AD44">
            <v>0</v>
          </cell>
          <cell r="AF44">
            <v>0</v>
          </cell>
          <cell r="AG44" t="str">
            <v>Oil</v>
          </cell>
        </row>
        <row r="45">
          <cell r="A45" t="str">
            <v>ARG</v>
          </cell>
          <cell r="B45" t="str">
            <v>RG</v>
          </cell>
          <cell r="C45" t="str">
            <v>INC</v>
          </cell>
          <cell r="D45" t="str">
            <v>411008</v>
          </cell>
          <cell r="E45" t="str">
            <v>EC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AD45">
            <v>0</v>
          </cell>
          <cell r="AF45">
            <v>0</v>
          </cell>
          <cell r="AG45"/>
        </row>
        <row r="46">
          <cell r="A46" t="str">
            <v>ARG</v>
          </cell>
          <cell r="B46" t="str">
            <v>RG</v>
          </cell>
          <cell r="C46" t="str">
            <v>INC</v>
          </cell>
          <cell r="D46" t="str">
            <v>411008</v>
          </cell>
          <cell r="E46" t="str">
            <v>EX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AD46">
            <v>0</v>
          </cell>
          <cell r="AF46">
            <v>0</v>
          </cell>
          <cell r="AG46"/>
        </row>
        <row r="47">
          <cell r="A47" t="str">
            <v>ARG</v>
          </cell>
          <cell r="B47" t="str">
            <v>RG</v>
          </cell>
          <cell r="C47" t="str">
            <v>INC</v>
          </cell>
          <cell r="D47" t="str">
            <v>411008</v>
          </cell>
          <cell r="E47" t="str">
            <v>FB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AD47">
            <v>0</v>
          </cell>
          <cell r="AF47">
            <v>0</v>
          </cell>
          <cell r="AG47"/>
        </row>
        <row r="48">
          <cell r="A48" t="str">
            <v>ARG</v>
          </cell>
          <cell r="B48" t="str">
            <v>RG</v>
          </cell>
          <cell r="C48" t="str">
            <v>087</v>
          </cell>
          <cell r="D48" t="str">
            <v>411008</v>
          </cell>
          <cell r="E48" t="str">
            <v>FB</v>
          </cell>
          <cell r="F48">
            <v>0</v>
          </cell>
          <cell r="G48">
            <v>0</v>
          </cell>
          <cell r="H48">
            <v>-16829.7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AD48">
            <v>-16829.7</v>
          </cell>
          <cell r="AF48">
            <v>-16829.7</v>
          </cell>
          <cell r="AG48"/>
        </row>
        <row r="49">
          <cell r="A49" t="str">
            <v>ARG</v>
          </cell>
          <cell r="B49" t="str">
            <v>RG</v>
          </cell>
          <cell r="C49" t="str">
            <v>286</v>
          </cell>
          <cell r="D49" t="str">
            <v>509</v>
          </cell>
          <cell r="E49" t="str">
            <v>FB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AD49">
            <v>0</v>
          </cell>
          <cell r="AF49">
            <v>0</v>
          </cell>
          <cell r="AG49" t="str">
            <v>SO2</v>
          </cell>
        </row>
        <row r="50">
          <cell r="A50" t="str">
            <v>ARG</v>
          </cell>
          <cell r="B50" t="str">
            <v>RG</v>
          </cell>
          <cell r="C50" t="str">
            <v>INC</v>
          </cell>
          <cell r="D50" t="str">
            <v>549133</v>
          </cell>
          <cell r="E50" t="str">
            <v>FB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AD50">
            <v>0</v>
          </cell>
          <cell r="AF50">
            <v>0</v>
          </cell>
          <cell r="AG50"/>
        </row>
        <row r="51">
          <cell r="A51" t="str">
            <v>ARG</v>
          </cell>
          <cell r="B51" t="str">
            <v>RG</v>
          </cell>
          <cell r="C51" t="str">
            <v>REV</v>
          </cell>
          <cell r="D51" t="str">
            <v>549133</v>
          </cell>
          <cell r="E51" t="str">
            <v>FB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AD51">
            <v>0</v>
          </cell>
          <cell r="AF51">
            <v>0</v>
          </cell>
          <cell r="AG51"/>
        </row>
        <row r="52">
          <cell r="A52" t="str">
            <v>ARG</v>
          </cell>
          <cell r="B52" t="str">
            <v>RG</v>
          </cell>
          <cell r="C52" t="str">
            <v>INC</v>
          </cell>
          <cell r="D52" t="str">
            <v>557001</v>
          </cell>
          <cell r="E52" t="str">
            <v>FB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AD52">
            <v>0</v>
          </cell>
          <cell r="AF52">
            <v>0</v>
          </cell>
          <cell r="AG52"/>
        </row>
        <row r="53">
          <cell r="A53" t="str">
            <v>ARG</v>
          </cell>
          <cell r="B53" t="str">
            <v>RG</v>
          </cell>
          <cell r="C53" t="str">
            <v>INC</v>
          </cell>
          <cell r="D53" t="str">
            <v>557133</v>
          </cell>
          <cell r="E53" t="str">
            <v>FB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AD53">
            <v>0</v>
          </cell>
          <cell r="AF53">
            <v>0</v>
          </cell>
          <cell r="AG53"/>
        </row>
        <row r="54">
          <cell r="A54" t="str">
            <v>ARG</v>
          </cell>
          <cell r="B54" t="str">
            <v>RG</v>
          </cell>
          <cell r="C54" t="str">
            <v>INC</v>
          </cell>
          <cell r="D54" t="str">
            <v>557133</v>
          </cell>
          <cell r="E54" t="str">
            <v>FB</v>
          </cell>
          <cell r="F54">
            <v>2481087.59</v>
          </cell>
          <cell r="G54">
            <v>-1224784.43</v>
          </cell>
          <cell r="H54">
            <v>-1405710.64</v>
          </cell>
          <cell r="I54">
            <v>1085920.31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AD54">
            <v>-1405710.64</v>
          </cell>
          <cell r="AF54">
            <v>-149407.47999999998</v>
          </cell>
          <cell r="AG54"/>
        </row>
        <row r="55">
          <cell r="A55" t="str">
            <v>ARG</v>
          </cell>
          <cell r="B55" t="str">
            <v>RG</v>
          </cell>
          <cell r="C55" t="str">
            <v>REV</v>
          </cell>
          <cell r="D55" t="str">
            <v>557133</v>
          </cell>
          <cell r="E55" t="str">
            <v>FB</v>
          </cell>
          <cell r="F55">
            <v>0</v>
          </cell>
          <cell r="G55">
            <v>0</v>
          </cell>
          <cell r="H55">
            <v>30335.38</v>
          </cell>
          <cell r="I55">
            <v>-30335.38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AD55">
            <v>30335.38</v>
          </cell>
          <cell r="AF55">
            <v>30335.38</v>
          </cell>
          <cell r="AG55"/>
        </row>
        <row r="56">
          <cell r="A56" t="str">
            <v>ARG</v>
          </cell>
          <cell r="B56" t="str">
            <v>RG</v>
          </cell>
          <cell r="C56" t="str">
            <v>REV</v>
          </cell>
          <cell r="D56" t="str">
            <v>557133</v>
          </cell>
          <cell r="E56" t="str">
            <v>FB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AD56">
            <v>0</v>
          </cell>
          <cell r="AF56">
            <v>0</v>
          </cell>
          <cell r="AG56"/>
        </row>
        <row r="57">
          <cell r="A57" t="str">
            <v>ARG</v>
          </cell>
          <cell r="B57" t="str">
            <v>SA</v>
          </cell>
          <cell r="C57" t="str">
            <v>286</v>
          </cell>
          <cell r="D57" t="str">
            <v>547CIL</v>
          </cell>
          <cell r="E57" t="str">
            <v>FB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AD57">
            <v>0</v>
          </cell>
          <cell r="AF57">
            <v>0</v>
          </cell>
          <cell r="AG57"/>
        </row>
        <row r="58">
          <cell r="A58" t="str">
            <v>ARG</v>
          </cell>
          <cell r="B58" t="str">
            <v>SA</v>
          </cell>
          <cell r="C58" t="str">
            <v>286</v>
          </cell>
          <cell r="D58" t="str">
            <v>547003</v>
          </cell>
          <cell r="E58" t="str">
            <v>FB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AD58">
            <v>0</v>
          </cell>
          <cell r="AF58">
            <v>0</v>
          </cell>
          <cell r="AG58" t="str">
            <v>Gas</v>
          </cell>
        </row>
        <row r="59">
          <cell r="A59" t="str">
            <v>ARG</v>
          </cell>
          <cell r="B59" t="str">
            <v>TL</v>
          </cell>
          <cell r="C59" t="str">
            <v>286</v>
          </cell>
          <cell r="D59" t="str">
            <v>5010CO</v>
          </cell>
          <cell r="E59" t="str">
            <v>FB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AD59">
            <v>0</v>
          </cell>
          <cell r="AF59">
            <v>0</v>
          </cell>
          <cell r="AG59"/>
        </row>
        <row r="60">
          <cell r="A60" t="str">
            <v>ARG</v>
          </cell>
          <cell r="B60" t="str">
            <v>TZ</v>
          </cell>
          <cell r="C60" t="str">
            <v>286</v>
          </cell>
          <cell r="D60" t="str">
            <v>547002</v>
          </cell>
          <cell r="E60" t="str">
            <v>FB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AD60">
            <v>0</v>
          </cell>
          <cell r="AF60">
            <v>0</v>
          </cell>
          <cell r="AG60" t="str">
            <v>Oil</v>
          </cell>
        </row>
        <row r="61">
          <cell r="A61" t="str">
            <v>CCP</v>
          </cell>
          <cell r="B61" t="str">
            <v>CC</v>
          </cell>
          <cell r="C61" t="str">
            <v>099</v>
          </cell>
          <cell r="D61" t="str">
            <v>421133</v>
          </cell>
          <cell r="E61" t="str">
            <v>EI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AD61">
            <v>0</v>
          </cell>
          <cell r="AF61">
            <v>0</v>
          </cell>
          <cell r="AG61"/>
        </row>
        <row r="62">
          <cell r="A62" t="str">
            <v>CCP</v>
          </cell>
          <cell r="B62" t="str">
            <v>CC</v>
          </cell>
          <cell r="C62" t="str">
            <v>286</v>
          </cell>
          <cell r="D62" t="str">
            <v>501001</v>
          </cell>
          <cell r="E62" t="str">
            <v>FB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AD62">
            <v>0</v>
          </cell>
          <cell r="AF62">
            <v>0</v>
          </cell>
          <cell r="AG62" t="str">
            <v>Coal</v>
          </cell>
        </row>
        <row r="63">
          <cell r="A63" t="str">
            <v>CCP</v>
          </cell>
          <cell r="B63" t="str">
            <v>CC</v>
          </cell>
          <cell r="C63" t="str">
            <v>299</v>
          </cell>
          <cell r="D63" t="str">
            <v>509</v>
          </cell>
          <cell r="E63" t="str">
            <v>FB</v>
          </cell>
          <cell r="F63">
            <v>86262.75</v>
          </cell>
          <cell r="G63">
            <v>75106.62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AD63">
            <v>0</v>
          </cell>
          <cell r="AF63">
            <v>161369.37</v>
          </cell>
          <cell r="AG63" t="str">
            <v>SO2</v>
          </cell>
        </row>
        <row r="64">
          <cell r="A64" t="str">
            <v>CIL</v>
          </cell>
          <cell r="B64" t="str">
            <v>CG</v>
          </cell>
          <cell r="C64" t="str">
            <v>INC</v>
          </cell>
          <cell r="D64" t="str">
            <v>411008</v>
          </cell>
          <cell r="E64" t="str">
            <v>98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AD64">
            <v>0</v>
          </cell>
          <cell r="AF64">
            <v>0</v>
          </cell>
          <cell r="AG64"/>
        </row>
        <row r="65">
          <cell r="A65" t="str">
            <v>CIL</v>
          </cell>
          <cell r="B65" t="str">
            <v>CG</v>
          </cell>
          <cell r="C65" t="str">
            <v>286</v>
          </cell>
          <cell r="D65" t="str">
            <v>501001</v>
          </cell>
          <cell r="E65" t="str">
            <v>FB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AD65">
            <v>0</v>
          </cell>
          <cell r="AF65">
            <v>0</v>
          </cell>
          <cell r="AG65" t="str">
            <v>Coal</v>
          </cell>
        </row>
        <row r="66">
          <cell r="A66" t="str">
            <v>CIL</v>
          </cell>
          <cell r="B66" t="str">
            <v>CG</v>
          </cell>
          <cell r="C66" t="str">
            <v>286</v>
          </cell>
          <cell r="D66" t="str">
            <v>547002</v>
          </cell>
          <cell r="E66" t="str">
            <v>FB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AD66">
            <v>0</v>
          </cell>
          <cell r="AF66">
            <v>0</v>
          </cell>
          <cell r="AG66" t="str">
            <v>Oil</v>
          </cell>
        </row>
        <row r="67">
          <cell r="A67" t="str">
            <v>CIL</v>
          </cell>
          <cell r="B67" t="str">
            <v>CG</v>
          </cell>
          <cell r="C67" t="str">
            <v>286</v>
          </cell>
          <cell r="D67" t="str">
            <v>547003</v>
          </cell>
          <cell r="E67" t="str">
            <v>FB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AD67">
            <v>0</v>
          </cell>
          <cell r="AF67">
            <v>0</v>
          </cell>
          <cell r="AG67" t="str">
            <v>Gas</v>
          </cell>
        </row>
        <row r="68">
          <cell r="A68" t="str">
            <v>CIL</v>
          </cell>
          <cell r="B68" t="str">
            <v>CL</v>
          </cell>
          <cell r="C68" t="str">
            <v>286</v>
          </cell>
          <cell r="D68" t="str">
            <v>417001</v>
          </cell>
          <cell r="E68" t="str">
            <v>FB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AD68">
            <v>0</v>
          </cell>
          <cell r="AF68">
            <v>0</v>
          </cell>
          <cell r="AG68"/>
        </row>
        <row r="69">
          <cell r="A69" t="str">
            <v>CIL</v>
          </cell>
          <cell r="B69" t="str">
            <v>CL</v>
          </cell>
          <cell r="C69" t="str">
            <v>REV</v>
          </cell>
          <cell r="D69" t="str">
            <v>481ARG</v>
          </cell>
          <cell r="E69" t="str">
            <v>FB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AD69">
            <v>0</v>
          </cell>
          <cell r="AF69">
            <v>0</v>
          </cell>
          <cell r="AG69"/>
        </row>
        <row r="70">
          <cell r="A70" t="str">
            <v>CIL</v>
          </cell>
          <cell r="B70" t="str">
            <v>CL</v>
          </cell>
          <cell r="C70" t="str">
            <v>286</v>
          </cell>
          <cell r="D70" t="str">
            <v>501300</v>
          </cell>
          <cell r="E70" t="str">
            <v>FB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AD70">
            <v>0</v>
          </cell>
          <cell r="AF70">
            <v>0</v>
          </cell>
          <cell r="AG70"/>
        </row>
        <row r="71">
          <cell r="A71" t="str">
            <v>CIL</v>
          </cell>
          <cell r="B71" t="str">
            <v>CO</v>
          </cell>
          <cell r="C71" t="str">
            <v>299</v>
          </cell>
          <cell r="D71" t="str">
            <v>557001</v>
          </cell>
          <cell r="E71" t="str">
            <v>FB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AD71">
            <v>0</v>
          </cell>
          <cell r="AF71">
            <v>0</v>
          </cell>
          <cell r="AG71"/>
        </row>
        <row r="72">
          <cell r="A72" t="str">
            <v>CIL</v>
          </cell>
          <cell r="B72" t="str">
            <v>DC</v>
          </cell>
          <cell r="C72" t="str">
            <v>286</v>
          </cell>
          <cell r="D72" t="str">
            <v>501001</v>
          </cell>
          <cell r="E72" t="str">
            <v>FB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AD72">
            <v>0</v>
          </cell>
          <cell r="AF72">
            <v>0</v>
          </cell>
          <cell r="AG72" t="str">
            <v>Coal</v>
          </cell>
        </row>
        <row r="73">
          <cell r="A73" t="str">
            <v>CIL</v>
          </cell>
          <cell r="B73" t="str">
            <v>DC</v>
          </cell>
          <cell r="C73" t="str">
            <v>286</v>
          </cell>
          <cell r="D73" t="str">
            <v>501002</v>
          </cell>
          <cell r="E73" t="str">
            <v>FB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AD73">
            <v>0</v>
          </cell>
          <cell r="AF73">
            <v>0</v>
          </cell>
          <cell r="AG73" t="str">
            <v>Oil</v>
          </cell>
        </row>
        <row r="74">
          <cell r="A74" t="str">
            <v>CIL</v>
          </cell>
          <cell r="B74" t="str">
            <v>DC</v>
          </cell>
          <cell r="C74" t="str">
            <v>286</v>
          </cell>
          <cell r="D74" t="str">
            <v>501101</v>
          </cell>
          <cell r="E74" t="str">
            <v>FB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AD74">
            <v>0</v>
          </cell>
          <cell r="AF74">
            <v>0</v>
          </cell>
          <cell r="AG74" t="str">
            <v>Coal</v>
          </cell>
        </row>
        <row r="75">
          <cell r="A75" t="str">
            <v>CIL</v>
          </cell>
          <cell r="B75" t="str">
            <v>ED</v>
          </cell>
          <cell r="C75" t="str">
            <v>286</v>
          </cell>
          <cell r="D75" t="str">
            <v>501001</v>
          </cell>
          <cell r="E75" t="str">
            <v>FB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AD75">
            <v>0</v>
          </cell>
          <cell r="AF75">
            <v>0</v>
          </cell>
          <cell r="AG75" t="str">
            <v>Coal</v>
          </cell>
        </row>
        <row r="76">
          <cell r="A76" t="str">
            <v>CIL</v>
          </cell>
          <cell r="B76" t="str">
            <v>ED</v>
          </cell>
          <cell r="C76" t="str">
            <v>286</v>
          </cell>
          <cell r="D76" t="str">
            <v>501002</v>
          </cell>
          <cell r="E76" t="str">
            <v>FB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AD76">
            <v>0</v>
          </cell>
          <cell r="AF76">
            <v>0</v>
          </cell>
          <cell r="AG76" t="str">
            <v>Oil</v>
          </cell>
        </row>
        <row r="77">
          <cell r="A77" t="str">
            <v>CIL</v>
          </cell>
          <cell r="B77" t="str">
            <v>ED</v>
          </cell>
          <cell r="C77" t="str">
            <v>286</v>
          </cell>
          <cell r="D77" t="str">
            <v>501101</v>
          </cell>
          <cell r="E77" t="str">
            <v>FB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AD77">
            <v>0</v>
          </cell>
          <cell r="AF77">
            <v>0</v>
          </cell>
          <cell r="AG77" t="str">
            <v>Coal</v>
          </cell>
        </row>
        <row r="78">
          <cell r="A78" t="str">
            <v>CIL</v>
          </cell>
          <cell r="B78" t="str">
            <v>ED</v>
          </cell>
          <cell r="C78" t="str">
            <v>62E</v>
          </cell>
          <cell r="D78" t="str">
            <v>509</v>
          </cell>
          <cell r="E78" t="str">
            <v>FB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AD78">
            <v>0</v>
          </cell>
          <cell r="AF78">
            <v>0</v>
          </cell>
          <cell r="AG78" t="str">
            <v>SO2</v>
          </cell>
        </row>
        <row r="79">
          <cell r="A79" t="str">
            <v>CIL</v>
          </cell>
          <cell r="B79" t="str">
            <v>HA</v>
          </cell>
          <cell r="C79" t="str">
            <v>286</v>
          </cell>
          <cell r="D79" t="str">
            <v>547002</v>
          </cell>
          <cell r="E79" t="str">
            <v>FB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AD79">
            <v>0</v>
          </cell>
          <cell r="AF79">
            <v>0</v>
          </cell>
          <cell r="AG79" t="str">
            <v>Oil</v>
          </cell>
        </row>
        <row r="80">
          <cell r="A80" t="str">
            <v>CIL</v>
          </cell>
          <cell r="B80" t="str">
            <v>HA</v>
          </cell>
          <cell r="C80" t="str">
            <v>286</v>
          </cell>
          <cell r="D80" t="str">
            <v>547003</v>
          </cell>
          <cell r="E80" t="str">
            <v>FB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AD80">
            <v>0</v>
          </cell>
          <cell r="AF80">
            <v>0</v>
          </cell>
          <cell r="AG80" t="str">
            <v>Gas</v>
          </cell>
        </row>
        <row r="81">
          <cell r="A81" t="str">
            <v>CIL</v>
          </cell>
          <cell r="B81" t="str">
            <v>IT</v>
          </cell>
          <cell r="C81" t="str">
            <v>286</v>
          </cell>
          <cell r="D81" t="str">
            <v>501003</v>
          </cell>
          <cell r="E81" t="str">
            <v>FB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AD81">
            <v>0</v>
          </cell>
          <cell r="AF81">
            <v>0</v>
          </cell>
          <cell r="AG81" t="str">
            <v>Gas</v>
          </cell>
        </row>
        <row r="82">
          <cell r="A82" t="str">
            <v>CIL</v>
          </cell>
          <cell r="B82" t="str">
            <v>KP</v>
          </cell>
          <cell r="C82" t="str">
            <v>286</v>
          </cell>
          <cell r="D82" t="str">
            <v>547002</v>
          </cell>
          <cell r="E82" t="str">
            <v>FB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AD82">
            <v>0</v>
          </cell>
          <cell r="AF82">
            <v>0</v>
          </cell>
          <cell r="AG82" t="str">
            <v>Oil</v>
          </cell>
        </row>
        <row r="83">
          <cell r="A83" t="str">
            <v>CIL</v>
          </cell>
          <cell r="B83" t="str">
            <v>KP</v>
          </cell>
          <cell r="C83" t="str">
            <v>286</v>
          </cell>
          <cell r="D83" t="str">
            <v>547003</v>
          </cell>
          <cell r="E83" t="str">
            <v>FB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AD83">
            <v>0</v>
          </cell>
          <cell r="AF83">
            <v>0</v>
          </cell>
          <cell r="AG83" t="str">
            <v>Gas</v>
          </cell>
        </row>
        <row r="84">
          <cell r="A84" t="str">
            <v>CIL</v>
          </cell>
          <cell r="B84" t="str">
            <v>MP</v>
          </cell>
          <cell r="C84" t="str">
            <v>286</v>
          </cell>
          <cell r="D84" t="str">
            <v>547002</v>
          </cell>
          <cell r="E84" t="str">
            <v>FB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AD84">
            <v>0</v>
          </cell>
          <cell r="AF84">
            <v>0</v>
          </cell>
          <cell r="AG84" t="str">
            <v>Oil</v>
          </cell>
        </row>
        <row r="85">
          <cell r="A85" t="str">
            <v>CIL</v>
          </cell>
          <cell r="B85" t="str">
            <v>MP</v>
          </cell>
          <cell r="C85" t="str">
            <v>286</v>
          </cell>
          <cell r="D85" t="str">
            <v>547003</v>
          </cell>
          <cell r="E85" t="str">
            <v>FB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AD85">
            <v>0</v>
          </cell>
          <cell r="AF85">
            <v>0</v>
          </cell>
          <cell r="AG85" t="str">
            <v>Gas</v>
          </cell>
        </row>
        <row r="86">
          <cell r="A86" t="str">
            <v>CIL</v>
          </cell>
          <cell r="B86" t="str">
            <v>MS</v>
          </cell>
          <cell r="C86" t="str">
            <v>286</v>
          </cell>
          <cell r="D86" t="str">
            <v>547002</v>
          </cell>
          <cell r="E86" t="str">
            <v>FB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AD86">
            <v>0</v>
          </cell>
          <cell r="AF86">
            <v>0</v>
          </cell>
          <cell r="AG86" t="str">
            <v>Oil</v>
          </cell>
        </row>
        <row r="87">
          <cell r="A87" t="str">
            <v>CIL</v>
          </cell>
          <cell r="B87" t="str">
            <v>MS</v>
          </cell>
          <cell r="C87" t="str">
            <v>286</v>
          </cell>
          <cell r="D87" t="str">
            <v>547003</v>
          </cell>
          <cell r="E87" t="str">
            <v>FB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AD87">
            <v>0</v>
          </cell>
          <cell r="AF87">
            <v>0</v>
          </cell>
          <cell r="AG87" t="str">
            <v>Gas</v>
          </cell>
        </row>
        <row r="88">
          <cell r="A88" t="str">
            <v>CIL</v>
          </cell>
          <cell r="B88" t="str">
            <v>SA</v>
          </cell>
          <cell r="C88" t="str">
            <v>286</v>
          </cell>
          <cell r="D88" t="str">
            <v>547003</v>
          </cell>
          <cell r="E88" t="str">
            <v>FB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AD88">
            <v>0</v>
          </cell>
          <cell r="AF88">
            <v>0</v>
          </cell>
          <cell r="AG88" t="str">
            <v>Gas</v>
          </cell>
        </row>
        <row r="89">
          <cell r="A89" t="str">
            <v>CIL</v>
          </cell>
          <cell r="B89" t="str">
            <v>TW</v>
          </cell>
          <cell r="C89" t="str">
            <v>286</v>
          </cell>
          <cell r="D89" t="str">
            <v>547002</v>
          </cell>
          <cell r="E89" t="str">
            <v>FB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AD89">
            <v>0</v>
          </cell>
          <cell r="AF89">
            <v>0</v>
          </cell>
          <cell r="AG89" t="str">
            <v>Oil</v>
          </cell>
        </row>
        <row r="90">
          <cell r="A90" t="str">
            <v>CIP</v>
          </cell>
          <cell r="B90" t="str">
            <v>40</v>
          </cell>
          <cell r="C90" t="str">
            <v>INC</v>
          </cell>
          <cell r="D90" t="str">
            <v>421FLS</v>
          </cell>
          <cell r="E90" t="str">
            <v>98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AD90">
            <v>0</v>
          </cell>
          <cell r="AF90">
            <v>0</v>
          </cell>
          <cell r="AG90"/>
        </row>
        <row r="91">
          <cell r="A91" t="str">
            <v>CIP</v>
          </cell>
          <cell r="B91" t="str">
            <v>41</v>
          </cell>
          <cell r="C91" t="str">
            <v>03D</v>
          </cell>
          <cell r="D91" t="str">
            <v>581</v>
          </cell>
          <cell r="E91" t="str">
            <v>FB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AD91">
            <v>0</v>
          </cell>
          <cell r="AF91">
            <v>0</v>
          </cell>
          <cell r="AG91"/>
        </row>
        <row r="92">
          <cell r="A92" t="str">
            <v>EEI</v>
          </cell>
          <cell r="B92" t="str">
            <v>15</v>
          </cell>
          <cell r="C92" t="str">
            <v>INC</v>
          </cell>
          <cell r="D92" t="str">
            <v>411008</v>
          </cell>
          <cell r="E92" t="str">
            <v>FB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AD92">
            <v>0</v>
          </cell>
          <cell r="AF92">
            <v>0</v>
          </cell>
          <cell r="AG92"/>
        </row>
        <row r="93">
          <cell r="A93" t="str">
            <v>EEI</v>
          </cell>
          <cell r="B93" t="str">
            <v>15</v>
          </cell>
          <cell r="C93" t="str">
            <v>INC</v>
          </cell>
          <cell r="D93" t="str">
            <v>411008</v>
          </cell>
          <cell r="E93" t="str">
            <v>XA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AD93">
            <v>0</v>
          </cell>
          <cell r="AF93">
            <v>0</v>
          </cell>
          <cell r="AG93"/>
        </row>
        <row r="94">
          <cell r="A94" t="str">
            <v>EEI</v>
          </cell>
          <cell r="B94" t="str">
            <v>15</v>
          </cell>
          <cell r="C94" t="str">
            <v>EEI</v>
          </cell>
          <cell r="D94" t="str">
            <v>501001</v>
          </cell>
          <cell r="E94" t="str">
            <v>FB</v>
          </cell>
          <cell r="F94">
            <v>15332152.109999999</v>
          </cell>
          <cell r="G94">
            <v>13694967</v>
          </cell>
          <cell r="H94">
            <v>15186800.35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AD94">
            <v>15186800.35</v>
          </cell>
          <cell r="AF94">
            <v>44213919.460000001</v>
          </cell>
          <cell r="AG94" t="str">
            <v>Coal</v>
          </cell>
        </row>
        <row r="95">
          <cell r="A95" t="str">
            <v>EEI</v>
          </cell>
          <cell r="B95" t="str">
            <v>15</v>
          </cell>
          <cell r="C95" t="str">
            <v>EEI</v>
          </cell>
          <cell r="D95" t="str">
            <v>501001</v>
          </cell>
          <cell r="E95" t="str">
            <v>FB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AD95">
            <v>0</v>
          </cell>
          <cell r="AF95">
            <v>0</v>
          </cell>
          <cell r="AG95" t="str">
            <v>Coal</v>
          </cell>
        </row>
        <row r="96">
          <cell r="A96" t="str">
            <v>EEI</v>
          </cell>
          <cell r="B96" t="str">
            <v>15</v>
          </cell>
          <cell r="C96" t="str">
            <v>EEI</v>
          </cell>
          <cell r="D96" t="str">
            <v>501001</v>
          </cell>
          <cell r="E96" t="str">
            <v>FI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AD96">
            <v>0</v>
          </cell>
          <cell r="AF96">
            <v>0</v>
          </cell>
          <cell r="AG96" t="str">
            <v>Coal</v>
          </cell>
        </row>
        <row r="97">
          <cell r="A97" t="str">
            <v>EEI</v>
          </cell>
          <cell r="B97" t="str">
            <v>15</v>
          </cell>
          <cell r="C97" t="str">
            <v>EEI</v>
          </cell>
          <cell r="D97" t="str">
            <v>501001</v>
          </cell>
          <cell r="E97" t="str">
            <v>FI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AD97">
            <v>0</v>
          </cell>
          <cell r="AF97">
            <v>0</v>
          </cell>
          <cell r="AG97" t="str">
            <v>Coal</v>
          </cell>
        </row>
        <row r="98">
          <cell r="A98" t="str">
            <v>EEI</v>
          </cell>
          <cell r="B98" t="str">
            <v>15</v>
          </cell>
          <cell r="C98" t="str">
            <v>EEI</v>
          </cell>
          <cell r="D98" t="str">
            <v>501002</v>
          </cell>
          <cell r="E98" t="str">
            <v>FB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AD98">
            <v>0</v>
          </cell>
          <cell r="AF98">
            <v>0</v>
          </cell>
          <cell r="AG98" t="str">
            <v>Oil</v>
          </cell>
        </row>
        <row r="99">
          <cell r="A99" t="str">
            <v>EEI</v>
          </cell>
          <cell r="B99" t="str">
            <v>15</v>
          </cell>
          <cell r="C99" t="str">
            <v>EEI</v>
          </cell>
          <cell r="D99" t="str">
            <v>501002</v>
          </cell>
          <cell r="E99" t="str">
            <v>FB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AD99">
            <v>0</v>
          </cell>
          <cell r="AF99">
            <v>0</v>
          </cell>
          <cell r="AG99" t="str">
            <v>Oil</v>
          </cell>
        </row>
        <row r="100">
          <cell r="A100" t="str">
            <v>EEI</v>
          </cell>
          <cell r="B100" t="str">
            <v>15</v>
          </cell>
          <cell r="C100" t="str">
            <v>EEI</v>
          </cell>
          <cell r="D100" t="str">
            <v>501002</v>
          </cell>
          <cell r="E100" t="str">
            <v>FI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AD100">
            <v>0</v>
          </cell>
          <cell r="AF100">
            <v>0</v>
          </cell>
          <cell r="AG100" t="str">
            <v>Oil</v>
          </cell>
        </row>
        <row r="101">
          <cell r="A101" t="str">
            <v>EEI</v>
          </cell>
          <cell r="B101" t="str">
            <v>15</v>
          </cell>
          <cell r="C101" t="str">
            <v>EEI</v>
          </cell>
          <cell r="D101" t="str">
            <v>501003</v>
          </cell>
          <cell r="E101" t="str">
            <v>FB</v>
          </cell>
          <cell r="F101">
            <v>196330.54</v>
          </cell>
          <cell r="G101">
            <v>165282.54999999999</v>
          </cell>
          <cell r="H101">
            <v>97010.89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AD101">
            <v>97010.89</v>
          </cell>
          <cell r="AF101">
            <v>458623.98</v>
          </cell>
          <cell r="AG101" t="str">
            <v>Gas</v>
          </cell>
        </row>
        <row r="102">
          <cell r="A102" t="str">
            <v>EEI</v>
          </cell>
          <cell r="B102" t="str">
            <v>15</v>
          </cell>
          <cell r="C102" t="str">
            <v>EEI</v>
          </cell>
          <cell r="D102" t="str">
            <v>501003</v>
          </cell>
          <cell r="E102" t="str">
            <v>FB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AD102">
            <v>0</v>
          </cell>
          <cell r="AF102">
            <v>0</v>
          </cell>
          <cell r="AG102" t="str">
            <v>Gas</v>
          </cell>
        </row>
        <row r="103">
          <cell r="A103" t="str">
            <v>EEI</v>
          </cell>
          <cell r="B103" t="str">
            <v>15</v>
          </cell>
          <cell r="C103" t="str">
            <v>EEI</v>
          </cell>
          <cell r="D103" t="str">
            <v>501003</v>
          </cell>
          <cell r="E103" t="str">
            <v>FI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AD103">
            <v>0</v>
          </cell>
          <cell r="AF103">
            <v>0</v>
          </cell>
          <cell r="AG103" t="str">
            <v>Gas</v>
          </cell>
        </row>
        <row r="104">
          <cell r="A104" t="str">
            <v>EEI</v>
          </cell>
          <cell r="B104" t="str">
            <v>15</v>
          </cell>
          <cell r="C104" t="str">
            <v>EEI</v>
          </cell>
          <cell r="D104" t="str">
            <v>501003</v>
          </cell>
          <cell r="E104" t="str">
            <v>FI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AD104">
            <v>0</v>
          </cell>
          <cell r="AF104">
            <v>0</v>
          </cell>
          <cell r="AG104" t="str">
            <v>Gas</v>
          </cell>
        </row>
        <row r="105">
          <cell r="A105" t="str">
            <v>EEI</v>
          </cell>
          <cell r="B105" t="str">
            <v>15</v>
          </cell>
          <cell r="C105" t="str">
            <v>EEI</v>
          </cell>
          <cell r="D105" t="str">
            <v>509</v>
          </cell>
          <cell r="E105" t="str">
            <v>FB</v>
          </cell>
          <cell r="F105">
            <v>225924.4</v>
          </cell>
          <cell r="G105">
            <v>182134.04</v>
          </cell>
          <cell r="H105">
            <v>197824.4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AD105">
            <v>197824.4</v>
          </cell>
          <cell r="AF105">
            <v>605882.84</v>
          </cell>
          <cell r="AG105" t="str">
            <v>SO2</v>
          </cell>
        </row>
        <row r="106">
          <cell r="A106" t="str">
            <v>EEI</v>
          </cell>
          <cell r="B106" t="str">
            <v>15</v>
          </cell>
          <cell r="C106" t="str">
            <v>186</v>
          </cell>
          <cell r="D106" t="str">
            <v>547AED</v>
          </cell>
          <cell r="E106" t="str">
            <v>FI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AD106">
            <v>0</v>
          </cell>
          <cell r="AF106">
            <v>0</v>
          </cell>
          <cell r="AG106"/>
        </row>
        <row r="107">
          <cell r="A107" t="str">
            <v>EEI</v>
          </cell>
          <cell r="B107" t="str">
            <v>15</v>
          </cell>
          <cell r="C107" t="str">
            <v>EEI</v>
          </cell>
          <cell r="D107" t="str">
            <v>547013</v>
          </cell>
          <cell r="E107" t="str">
            <v>FI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AD107">
            <v>0</v>
          </cell>
          <cell r="AF107">
            <v>0</v>
          </cell>
          <cell r="AG107" t="str">
            <v>Gas</v>
          </cell>
        </row>
        <row r="108">
          <cell r="A108" t="str">
            <v>EEI</v>
          </cell>
          <cell r="B108" t="str">
            <v>15</v>
          </cell>
          <cell r="C108" t="str">
            <v>EEI</v>
          </cell>
          <cell r="D108" t="str">
            <v>557133</v>
          </cell>
          <cell r="E108" t="str">
            <v>FB</v>
          </cell>
          <cell r="F108">
            <v>2815922.75</v>
          </cell>
          <cell r="G108">
            <v>-1413470.67</v>
          </cell>
          <cell r="H108">
            <v>-1670151.49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AD108">
            <v>-1670151.49</v>
          </cell>
          <cell r="AF108">
            <v>-267699.40999999992</v>
          </cell>
          <cell r="AG108"/>
        </row>
        <row r="109">
          <cell r="A109" t="str">
            <v>EEI</v>
          </cell>
          <cell r="B109" t="str">
            <v>15</v>
          </cell>
          <cell r="C109" t="str">
            <v>INC</v>
          </cell>
          <cell r="D109" t="str">
            <v>557133</v>
          </cell>
          <cell r="E109" t="str">
            <v>FB</v>
          </cell>
          <cell r="F109">
            <v>0</v>
          </cell>
          <cell r="G109">
            <v>0</v>
          </cell>
          <cell r="H109">
            <v>46293.86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AD109">
            <v>46293.86</v>
          </cell>
          <cell r="AF109">
            <v>46293.86</v>
          </cell>
          <cell r="AG109"/>
        </row>
        <row r="110">
          <cell r="A110" t="str">
            <v>GEN</v>
          </cell>
          <cell r="B110" t="str">
            <v>66</v>
          </cell>
          <cell r="C110" t="str">
            <v>186</v>
          </cell>
          <cell r="D110" t="str">
            <v>INTGEN</v>
          </cell>
          <cell r="E110" t="str">
            <v>FI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AD110">
            <v>0</v>
          </cell>
          <cell r="AF110">
            <v>0</v>
          </cell>
          <cell r="AG110"/>
        </row>
        <row r="111">
          <cell r="A111" t="str">
            <v>GEN</v>
          </cell>
          <cell r="B111" t="str">
            <v>66</v>
          </cell>
          <cell r="C111" t="str">
            <v>186</v>
          </cell>
          <cell r="D111" t="str">
            <v>547003</v>
          </cell>
          <cell r="E111" t="str">
            <v>FB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AD111">
            <v>0</v>
          </cell>
          <cell r="AF111">
            <v>0</v>
          </cell>
          <cell r="AG111" t="str">
            <v>Gas</v>
          </cell>
        </row>
        <row r="112">
          <cell r="A112" t="str">
            <v>GEN</v>
          </cell>
          <cell r="B112" t="str">
            <v>66</v>
          </cell>
          <cell r="C112" t="str">
            <v>186</v>
          </cell>
          <cell r="D112" t="str">
            <v>547003</v>
          </cell>
          <cell r="E112" t="str">
            <v>FI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AD112">
            <v>0</v>
          </cell>
          <cell r="AF112">
            <v>0</v>
          </cell>
          <cell r="AG112" t="str">
            <v>Gas</v>
          </cell>
        </row>
        <row r="113">
          <cell r="A113" t="str">
            <v>GEN</v>
          </cell>
          <cell r="B113" t="str">
            <v>66</v>
          </cell>
          <cell r="C113" t="str">
            <v>186</v>
          </cell>
          <cell r="D113" t="str">
            <v>547003</v>
          </cell>
          <cell r="E113" t="str">
            <v>FI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AD113">
            <v>0</v>
          </cell>
          <cell r="AF113">
            <v>0</v>
          </cell>
          <cell r="AG113" t="str">
            <v>Gas</v>
          </cell>
        </row>
        <row r="114">
          <cell r="A114" t="str">
            <v>GEN</v>
          </cell>
          <cell r="B114" t="str">
            <v>68</v>
          </cell>
          <cell r="C114" t="str">
            <v>186</v>
          </cell>
          <cell r="D114" t="str">
            <v>INTGEN</v>
          </cell>
          <cell r="E114" t="str">
            <v>FI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AD114">
            <v>0</v>
          </cell>
          <cell r="AF114">
            <v>0</v>
          </cell>
          <cell r="AG114"/>
        </row>
        <row r="115">
          <cell r="A115" t="str">
            <v>GEN</v>
          </cell>
          <cell r="B115" t="str">
            <v>68</v>
          </cell>
          <cell r="C115" t="str">
            <v>09M</v>
          </cell>
          <cell r="D115" t="str">
            <v>380001</v>
          </cell>
          <cell r="E115" t="str">
            <v>FB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AD115">
            <v>0</v>
          </cell>
          <cell r="AF115">
            <v>0</v>
          </cell>
          <cell r="AG115"/>
        </row>
        <row r="116">
          <cell r="A116" t="str">
            <v>GEN</v>
          </cell>
          <cell r="B116" t="str">
            <v>68</v>
          </cell>
          <cell r="C116" t="str">
            <v>186</v>
          </cell>
          <cell r="D116" t="str">
            <v>509</v>
          </cell>
          <cell r="E116" t="str">
            <v>FB</v>
          </cell>
          <cell r="F116">
            <v>0</v>
          </cell>
          <cell r="G116">
            <v>-146.55000000000001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AD116">
            <v>0</v>
          </cell>
          <cell r="AF116">
            <v>-146.55000000000001</v>
          </cell>
          <cell r="AG116" t="str">
            <v>SO2</v>
          </cell>
        </row>
        <row r="117">
          <cell r="A117" t="str">
            <v>GEN</v>
          </cell>
          <cell r="B117" t="str">
            <v>68</v>
          </cell>
          <cell r="C117" t="str">
            <v>186</v>
          </cell>
          <cell r="D117" t="str">
            <v>547002</v>
          </cell>
          <cell r="E117" t="str">
            <v>FB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AD117">
            <v>0</v>
          </cell>
          <cell r="AF117">
            <v>0</v>
          </cell>
          <cell r="AG117" t="str">
            <v>Oil</v>
          </cell>
        </row>
        <row r="118">
          <cell r="A118" t="str">
            <v>GEN</v>
          </cell>
          <cell r="B118" t="str">
            <v>68</v>
          </cell>
          <cell r="C118" t="str">
            <v>186</v>
          </cell>
          <cell r="D118" t="str">
            <v>547002</v>
          </cell>
          <cell r="E118" t="str">
            <v>FI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AD118">
            <v>0</v>
          </cell>
          <cell r="AF118">
            <v>0</v>
          </cell>
          <cell r="AG118" t="str">
            <v>Oil</v>
          </cell>
        </row>
        <row r="119">
          <cell r="A119" t="str">
            <v>GEN</v>
          </cell>
          <cell r="B119" t="str">
            <v>68</v>
          </cell>
          <cell r="C119" t="str">
            <v>186</v>
          </cell>
          <cell r="D119" t="str">
            <v>547003</v>
          </cell>
          <cell r="E119" t="str">
            <v>FB</v>
          </cell>
          <cell r="F119">
            <v>7527.49</v>
          </cell>
          <cell r="G119">
            <v>6549.11</v>
          </cell>
          <cell r="H119">
            <v>5688.76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AD119">
            <v>5688.76</v>
          </cell>
          <cell r="AF119">
            <v>19765.36</v>
          </cell>
          <cell r="AG119" t="str">
            <v>Gas</v>
          </cell>
        </row>
        <row r="120">
          <cell r="A120" t="str">
            <v>GEN</v>
          </cell>
          <cell r="B120" t="str">
            <v>68</v>
          </cell>
          <cell r="C120" t="str">
            <v>186</v>
          </cell>
          <cell r="D120" t="str">
            <v>547003</v>
          </cell>
          <cell r="E120" t="str">
            <v>FI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AD120">
            <v>0</v>
          </cell>
          <cell r="AF120">
            <v>0</v>
          </cell>
          <cell r="AG120" t="str">
            <v>Gas</v>
          </cell>
        </row>
        <row r="121">
          <cell r="A121" t="str">
            <v>GEN</v>
          </cell>
          <cell r="B121" t="str">
            <v>68</v>
          </cell>
          <cell r="C121" t="str">
            <v>186</v>
          </cell>
          <cell r="D121" t="str">
            <v>547003</v>
          </cell>
          <cell r="E121" t="str">
            <v>FI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AD121">
            <v>0</v>
          </cell>
          <cell r="AF121">
            <v>0</v>
          </cell>
          <cell r="AG121" t="str">
            <v>Gas</v>
          </cell>
        </row>
        <row r="122">
          <cell r="A122" t="str">
            <v>GEN</v>
          </cell>
          <cell r="B122" t="str">
            <v>69</v>
          </cell>
          <cell r="C122" t="str">
            <v>186</v>
          </cell>
          <cell r="D122" t="str">
            <v>INTGEN</v>
          </cell>
          <cell r="E122" t="str">
            <v>FI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AD122">
            <v>0</v>
          </cell>
          <cell r="AF122">
            <v>0</v>
          </cell>
          <cell r="AG122"/>
        </row>
        <row r="123">
          <cell r="A123" t="str">
            <v>GEN</v>
          </cell>
          <cell r="B123" t="str">
            <v>69</v>
          </cell>
          <cell r="C123" t="str">
            <v>186</v>
          </cell>
          <cell r="D123" t="str">
            <v>547002</v>
          </cell>
          <cell r="E123" t="str">
            <v>FB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AD123">
            <v>0</v>
          </cell>
          <cell r="AF123">
            <v>0</v>
          </cell>
          <cell r="AG123" t="str">
            <v>Oil</v>
          </cell>
        </row>
        <row r="124">
          <cell r="A124" t="str">
            <v>GEN</v>
          </cell>
          <cell r="B124" t="str">
            <v>69</v>
          </cell>
          <cell r="C124" t="str">
            <v>186</v>
          </cell>
          <cell r="D124" t="str">
            <v>547002</v>
          </cell>
          <cell r="E124" t="str">
            <v>FI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AD124">
            <v>0</v>
          </cell>
          <cell r="AF124">
            <v>0</v>
          </cell>
          <cell r="AG124" t="str">
            <v>Oil</v>
          </cell>
        </row>
        <row r="125">
          <cell r="A125" t="str">
            <v>GEN</v>
          </cell>
          <cell r="B125" t="str">
            <v>69</v>
          </cell>
          <cell r="C125" t="str">
            <v>186</v>
          </cell>
          <cell r="D125" t="str">
            <v>547003</v>
          </cell>
          <cell r="E125" t="str">
            <v>FB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AD125">
            <v>0</v>
          </cell>
          <cell r="AF125">
            <v>0</v>
          </cell>
          <cell r="AG125" t="str">
            <v>Gas</v>
          </cell>
        </row>
        <row r="126">
          <cell r="A126" t="str">
            <v>GEN</v>
          </cell>
          <cell r="B126" t="str">
            <v>69</v>
          </cell>
          <cell r="C126" t="str">
            <v>186</v>
          </cell>
          <cell r="D126" t="str">
            <v>547003</v>
          </cell>
          <cell r="E126" t="str">
            <v>FI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AD126">
            <v>0</v>
          </cell>
          <cell r="AF126">
            <v>0</v>
          </cell>
          <cell r="AG126" t="str">
            <v>Gas</v>
          </cell>
        </row>
        <row r="127">
          <cell r="A127" t="str">
            <v>GEN</v>
          </cell>
          <cell r="B127" t="str">
            <v>69</v>
          </cell>
          <cell r="C127" t="str">
            <v>186</v>
          </cell>
          <cell r="D127" t="str">
            <v>547003</v>
          </cell>
          <cell r="E127" t="str">
            <v>FI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AD127">
            <v>0</v>
          </cell>
          <cell r="AF127">
            <v>0</v>
          </cell>
          <cell r="AG127" t="str">
            <v>Gas</v>
          </cell>
        </row>
        <row r="128">
          <cell r="A128" t="str">
            <v>GEN</v>
          </cell>
          <cell r="B128" t="str">
            <v>79</v>
          </cell>
          <cell r="C128" t="str">
            <v>09G</v>
          </cell>
          <cell r="D128" t="str">
            <v>380</v>
          </cell>
          <cell r="E128" t="str">
            <v>FB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AD128">
            <v>0</v>
          </cell>
          <cell r="AF128">
            <v>0</v>
          </cell>
          <cell r="AG128"/>
        </row>
        <row r="129">
          <cell r="A129" t="str">
            <v>GEN</v>
          </cell>
          <cell r="B129" t="str">
            <v>79</v>
          </cell>
          <cell r="C129" t="str">
            <v>09M</v>
          </cell>
          <cell r="D129" t="str">
            <v>380</v>
          </cell>
          <cell r="E129" t="str">
            <v>FB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AD129">
            <v>0</v>
          </cell>
          <cell r="AF129">
            <v>0</v>
          </cell>
          <cell r="AG129"/>
        </row>
        <row r="130">
          <cell r="A130" t="str">
            <v>GEN</v>
          </cell>
          <cell r="B130" t="str">
            <v>79</v>
          </cell>
          <cell r="C130" t="str">
            <v>186</v>
          </cell>
          <cell r="D130" t="str">
            <v>509</v>
          </cell>
          <cell r="E130" t="str">
            <v>FB</v>
          </cell>
          <cell r="F130">
            <v>268.10000000000002</v>
          </cell>
          <cell r="G130">
            <v>-293.10000000000002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AD130">
            <v>0</v>
          </cell>
          <cell r="AF130">
            <v>-25</v>
          </cell>
          <cell r="AG130" t="str">
            <v>SO2</v>
          </cell>
        </row>
        <row r="131">
          <cell r="A131" t="str">
            <v>GEN</v>
          </cell>
          <cell r="B131" t="str">
            <v>79</v>
          </cell>
          <cell r="C131" t="str">
            <v>186</v>
          </cell>
          <cell r="D131" t="str">
            <v>547003</v>
          </cell>
          <cell r="E131" t="str">
            <v>FB</v>
          </cell>
          <cell r="F131">
            <v>205347.23</v>
          </cell>
          <cell r="G131">
            <v>201220.74</v>
          </cell>
          <cell r="H131">
            <v>196390.51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AD131">
            <v>196390.51</v>
          </cell>
          <cell r="AF131">
            <v>602958.48</v>
          </cell>
          <cell r="AG131" t="str">
            <v>Gas</v>
          </cell>
        </row>
        <row r="132">
          <cell r="A132" t="str">
            <v>GEN</v>
          </cell>
          <cell r="B132" t="str">
            <v>79</v>
          </cell>
          <cell r="C132" t="str">
            <v>186</v>
          </cell>
          <cell r="D132" t="str">
            <v>547003</v>
          </cell>
          <cell r="E132" t="str">
            <v>FI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AD132">
            <v>0</v>
          </cell>
          <cell r="AF132">
            <v>0</v>
          </cell>
          <cell r="AG132" t="str">
            <v>Gas</v>
          </cell>
        </row>
        <row r="133">
          <cell r="A133" t="str">
            <v>GEN</v>
          </cell>
          <cell r="B133" t="str">
            <v>9P</v>
          </cell>
          <cell r="C133" t="str">
            <v>299</v>
          </cell>
          <cell r="D133" t="str">
            <v>509</v>
          </cell>
          <cell r="E133" t="str">
            <v>FB</v>
          </cell>
          <cell r="F133">
            <v>0</v>
          </cell>
          <cell r="G133">
            <v>0</v>
          </cell>
          <cell r="H133">
            <v>465378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AD133">
            <v>465378</v>
          </cell>
          <cell r="AF133">
            <v>465378</v>
          </cell>
          <cell r="AG133" t="str">
            <v>SO2</v>
          </cell>
        </row>
        <row r="134">
          <cell r="A134" t="str">
            <v>GEN</v>
          </cell>
          <cell r="B134" t="str">
            <v>90</v>
          </cell>
          <cell r="C134" t="str">
            <v>INC</v>
          </cell>
          <cell r="D134" t="str">
            <v>411008</v>
          </cell>
          <cell r="E134" t="str">
            <v>EX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AD134">
            <v>0</v>
          </cell>
          <cell r="AF134">
            <v>0</v>
          </cell>
          <cell r="AG134"/>
        </row>
        <row r="135">
          <cell r="A135" t="str">
            <v>GEN</v>
          </cell>
          <cell r="B135" t="str">
            <v>90</v>
          </cell>
          <cell r="C135" t="str">
            <v>INC</v>
          </cell>
          <cell r="D135" t="str">
            <v>411008</v>
          </cell>
          <cell r="E135" t="str">
            <v>FB</v>
          </cell>
          <cell r="F135">
            <v>0</v>
          </cell>
          <cell r="G135">
            <v>34500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AD135">
            <v>0</v>
          </cell>
          <cell r="AF135">
            <v>34500</v>
          </cell>
          <cell r="AG135"/>
        </row>
        <row r="136">
          <cell r="A136" t="str">
            <v>GEN</v>
          </cell>
          <cell r="B136" t="str">
            <v>90</v>
          </cell>
          <cell r="C136" t="str">
            <v>087</v>
          </cell>
          <cell r="D136" t="str">
            <v>411008</v>
          </cell>
          <cell r="E136" t="str">
            <v>FB</v>
          </cell>
          <cell r="F136">
            <v>0</v>
          </cell>
          <cell r="G136">
            <v>0</v>
          </cell>
          <cell r="H136">
            <v>-36842.35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AD136">
            <v>-36842.35</v>
          </cell>
          <cell r="AF136">
            <v>-36842.35</v>
          </cell>
          <cell r="AG136"/>
        </row>
        <row r="137">
          <cell r="A137" t="str">
            <v>GEN</v>
          </cell>
          <cell r="B137" t="str">
            <v>90</v>
          </cell>
          <cell r="C137" t="str">
            <v>INC</v>
          </cell>
          <cell r="D137" t="str">
            <v>411009</v>
          </cell>
          <cell r="E137" t="str">
            <v>FB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AD137">
            <v>0</v>
          </cell>
          <cell r="AF137">
            <v>0</v>
          </cell>
          <cell r="AG137"/>
        </row>
        <row r="138">
          <cell r="A138" t="str">
            <v>GEN</v>
          </cell>
          <cell r="B138" t="str">
            <v>90</v>
          </cell>
          <cell r="C138" t="str">
            <v>REV</v>
          </cell>
          <cell r="D138" t="str">
            <v>411009</v>
          </cell>
          <cell r="E138" t="str">
            <v>FB</v>
          </cell>
          <cell r="F138">
            <v>0</v>
          </cell>
          <cell r="G138">
            <v>191395.11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AD138">
            <v>0</v>
          </cell>
          <cell r="AF138">
            <v>191395.11</v>
          </cell>
          <cell r="AG138"/>
        </row>
        <row r="139">
          <cell r="A139" t="str">
            <v>GEN</v>
          </cell>
          <cell r="B139" t="str">
            <v>90</v>
          </cell>
          <cell r="C139" t="str">
            <v>REV</v>
          </cell>
          <cell r="D139" t="str">
            <v>421128</v>
          </cell>
          <cell r="E139" t="str">
            <v>98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AD139">
            <v>0</v>
          </cell>
          <cell r="AF139">
            <v>0</v>
          </cell>
          <cell r="AG139"/>
        </row>
        <row r="140">
          <cell r="A140" t="str">
            <v>GEN</v>
          </cell>
          <cell r="B140" t="str">
            <v>90</v>
          </cell>
          <cell r="C140" t="str">
            <v>REV</v>
          </cell>
          <cell r="D140" t="str">
            <v>421133</v>
          </cell>
          <cell r="E140" t="str">
            <v>98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AD140">
            <v>0</v>
          </cell>
          <cell r="AF140">
            <v>0</v>
          </cell>
          <cell r="AG140"/>
        </row>
        <row r="141">
          <cell r="A141" t="str">
            <v>GEN</v>
          </cell>
          <cell r="B141" t="str">
            <v>90</v>
          </cell>
          <cell r="C141" t="str">
            <v>REV</v>
          </cell>
          <cell r="D141" t="str">
            <v>421133</v>
          </cell>
          <cell r="E141" t="str">
            <v>98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AD141">
            <v>0</v>
          </cell>
          <cell r="AF141">
            <v>0</v>
          </cell>
          <cell r="AG141"/>
        </row>
        <row r="142">
          <cell r="A142" t="str">
            <v>GEN</v>
          </cell>
          <cell r="B142" t="str">
            <v>90</v>
          </cell>
          <cell r="C142" t="str">
            <v>299</v>
          </cell>
          <cell r="D142" t="str">
            <v>509</v>
          </cell>
          <cell r="E142" t="str">
            <v>FB</v>
          </cell>
          <cell r="F142">
            <v>0</v>
          </cell>
          <cell r="G142">
            <v>313659</v>
          </cell>
          <cell r="H142">
            <v>-313659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AD142">
            <v>-313659</v>
          </cell>
          <cell r="AF142">
            <v>0</v>
          </cell>
          <cell r="AG142" t="str">
            <v>SO2</v>
          </cell>
        </row>
        <row r="143">
          <cell r="A143" t="str">
            <v>GEN</v>
          </cell>
          <cell r="B143" t="str">
            <v>90</v>
          </cell>
          <cell r="C143" t="str">
            <v>186</v>
          </cell>
          <cell r="D143" t="str">
            <v>509153</v>
          </cell>
          <cell r="E143" t="str">
            <v>FB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AD143">
            <v>0</v>
          </cell>
          <cell r="AF143">
            <v>0</v>
          </cell>
          <cell r="AG143"/>
        </row>
        <row r="144">
          <cell r="A144" t="str">
            <v>GEN</v>
          </cell>
          <cell r="B144" t="str">
            <v>90</v>
          </cell>
          <cell r="C144" t="str">
            <v>186</v>
          </cell>
          <cell r="D144" t="str">
            <v>509153</v>
          </cell>
          <cell r="E144" t="str">
            <v>FB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AD144">
            <v>0</v>
          </cell>
          <cell r="AF144">
            <v>0</v>
          </cell>
          <cell r="AG144"/>
        </row>
        <row r="145">
          <cell r="A145" t="str">
            <v>GEN</v>
          </cell>
          <cell r="B145" t="str">
            <v>90</v>
          </cell>
          <cell r="C145" t="str">
            <v>186</v>
          </cell>
          <cell r="D145" t="str">
            <v>547AFS</v>
          </cell>
          <cell r="E145" t="str">
            <v>FB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AD145">
            <v>0</v>
          </cell>
          <cell r="AF145">
            <v>0</v>
          </cell>
          <cell r="AG145"/>
        </row>
        <row r="146">
          <cell r="A146" t="str">
            <v>GEN</v>
          </cell>
          <cell r="B146" t="str">
            <v>90</v>
          </cell>
          <cell r="C146" t="str">
            <v>186</v>
          </cell>
          <cell r="D146" t="str">
            <v>547CIP</v>
          </cell>
          <cell r="E146" t="str">
            <v>FB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AD146">
            <v>0</v>
          </cell>
          <cell r="AF146">
            <v>0</v>
          </cell>
          <cell r="AG146"/>
        </row>
        <row r="147">
          <cell r="A147" t="str">
            <v>GEN</v>
          </cell>
          <cell r="B147" t="str">
            <v>90</v>
          </cell>
          <cell r="C147" t="str">
            <v>186</v>
          </cell>
          <cell r="D147" t="str">
            <v>547UEC</v>
          </cell>
          <cell r="E147" t="str">
            <v>FB</v>
          </cell>
          <cell r="F147">
            <v>54745</v>
          </cell>
          <cell r="G147">
            <v>54745</v>
          </cell>
          <cell r="H147">
            <v>54745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AD147">
            <v>54745</v>
          </cell>
          <cell r="AF147">
            <v>164235</v>
          </cell>
          <cell r="AG147"/>
        </row>
        <row r="148">
          <cell r="A148" t="str">
            <v>GEN</v>
          </cell>
          <cell r="B148" t="str">
            <v>90</v>
          </cell>
          <cell r="C148" t="str">
            <v>186</v>
          </cell>
          <cell r="D148" t="str">
            <v>547003</v>
          </cell>
          <cell r="E148" t="str">
            <v>FB</v>
          </cell>
          <cell r="F148">
            <v>-55187.62</v>
          </cell>
          <cell r="G148">
            <v>-54745</v>
          </cell>
          <cell r="H148">
            <v>-65509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AD148">
            <v>-65509</v>
          </cell>
          <cell r="AF148">
            <v>-175441.62</v>
          </cell>
          <cell r="AG148" t="str">
            <v>Gas</v>
          </cell>
        </row>
        <row r="149">
          <cell r="A149" t="str">
            <v>GEN</v>
          </cell>
          <cell r="B149" t="str">
            <v>90</v>
          </cell>
          <cell r="C149" t="str">
            <v>186</v>
          </cell>
          <cell r="D149" t="str">
            <v>54701F</v>
          </cell>
          <cell r="E149" t="str">
            <v>FB</v>
          </cell>
          <cell r="F149">
            <v>442.62</v>
          </cell>
          <cell r="G149">
            <v>0</v>
          </cell>
          <cell r="H149">
            <v>10764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AD149">
            <v>10764</v>
          </cell>
          <cell r="AF149">
            <v>11206.62</v>
          </cell>
          <cell r="AG149" t="str">
            <v>gas</v>
          </cell>
        </row>
        <row r="150">
          <cell r="A150" t="str">
            <v>GEN</v>
          </cell>
          <cell r="B150" t="str">
            <v>90</v>
          </cell>
          <cell r="C150" t="str">
            <v>186</v>
          </cell>
          <cell r="D150" t="str">
            <v>547013</v>
          </cell>
          <cell r="E150" t="str">
            <v>FB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AD150">
            <v>0</v>
          </cell>
          <cell r="AF150">
            <v>0</v>
          </cell>
          <cell r="AG150" t="str">
            <v>Gas</v>
          </cell>
        </row>
        <row r="151">
          <cell r="A151" t="str">
            <v>GEN</v>
          </cell>
          <cell r="B151" t="str">
            <v>90</v>
          </cell>
          <cell r="C151" t="str">
            <v>186</v>
          </cell>
          <cell r="D151" t="str">
            <v>547013</v>
          </cell>
          <cell r="E151" t="str">
            <v>FI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AD151">
            <v>0</v>
          </cell>
          <cell r="AF151">
            <v>0</v>
          </cell>
          <cell r="AG151" t="str">
            <v>Gas</v>
          </cell>
        </row>
        <row r="152">
          <cell r="A152" t="str">
            <v>GEN</v>
          </cell>
          <cell r="B152" t="str">
            <v>90</v>
          </cell>
          <cell r="C152" t="str">
            <v>INC</v>
          </cell>
          <cell r="D152" t="str">
            <v>549133</v>
          </cell>
          <cell r="E152" t="str">
            <v>FB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AD152">
            <v>0</v>
          </cell>
          <cell r="AF152">
            <v>0</v>
          </cell>
          <cell r="AG152"/>
        </row>
        <row r="153">
          <cell r="A153" t="str">
            <v>GEN</v>
          </cell>
          <cell r="B153" t="str">
            <v>90</v>
          </cell>
          <cell r="C153" t="str">
            <v>INC</v>
          </cell>
          <cell r="D153" t="str">
            <v>549133</v>
          </cell>
          <cell r="E153" t="str">
            <v>FB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AD153">
            <v>0</v>
          </cell>
          <cell r="AF153">
            <v>0</v>
          </cell>
          <cell r="AG153"/>
        </row>
        <row r="154">
          <cell r="A154" t="str">
            <v>GEN</v>
          </cell>
          <cell r="B154" t="str">
            <v>90</v>
          </cell>
          <cell r="C154" t="str">
            <v>REV</v>
          </cell>
          <cell r="D154" t="str">
            <v>549133</v>
          </cell>
          <cell r="E154" t="str">
            <v>FB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AD154">
            <v>0</v>
          </cell>
          <cell r="AF154">
            <v>0</v>
          </cell>
          <cell r="AG154"/>
        </row>
        <row r="155">
          <cell r="A155" t="str">
            <v>GEN</v>
          </cell>
          <cell r="B155" t="str">
            <v>90</v>
          </cell>
          <cell r="C155" t="str">
            <v>INC</v>
          </cell>
          <cell r="D155" t="str">
            <v>557001</v>
          </cell>
          <cell r="E155" t="str">
            <v>FB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AD155">
            <v>0</v>
          </cell>
          <cell r="AF155">
            <v>0</v>
          </cell>
          <cell r="AG155"/>
        </row>
        <row r="156">
          <cell r="A156" t="str">
            <v>GEN</v>
          </cell>
          <cell r="B156" t="str">
            <v>90</v>
          </cell>
          <cell r="C156" t="str">
            <v>186</v>
          </cell>
          <cell r="D156" t="str">
            <v>557001</v>
          </cell>
          <cell r="E156" t="str">
            <v>FB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AD156">
            <v>0</v>
          </cell>
          <cell r="AF156">
            <v>0</v>
          </cell>
          <cell r="AG156"/>
        </row>
        <row r="157">
          <cell r="A157" t="str">
            <v>GEN</v>
          </cell>
          <cell r="B157" t="str">
            <v>90</v>
          </cell>
          <cell r="C157" t="str">
            <v>186</v>
          </cell>
          <cell r="D157" t="str">
            <v>557001</v>
          </cell>
          <cell r="E157" t="str">
            <v>FB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AD157">
            <v>0</v>
          </cell>
          <cell r="AF157">
            <v>0</v>
          </cell>
          <cell r="AG157"/>
        </row>
        <row r="158">
          <cell r="A158" t="str">
            <v>GEN</v>
          </cell>
          <cell r="B158" t="str">
            <v>90</v>
          </cell>
          <cell r="C158" t="str">
            <v>INC</v>
          </cell>
          <cell r="D158" t="str">
            <v>557133</v>
          </cell>
          <cell r="E158" t="str">
            <v>FB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AD158">
            <v>0</v>
          </cell>
          <cell r="AF158">
            <v>0</v>
          </cell>
          <cell r="AG158"/>
        </row>
        <row r="159">
          <cell r="A159" t="str">
            <v>GEN</v>
          </cell>
          <cell r="B159" t="str">
            <v>90</v>
          </cell>
          <cell r="C159" t="str">
            <v>INC</v>
          </cell>
          <cell r="D159" t="str">
            <v>557133</v>
          </cell>
          <cell r="E159" t="str">
            <v>FB</v>
          </cell>
          <cell r="F159">
            <v>5490811.4299999997</v>
          </cell>
          <cell r="G159">
            <v>-2750182.78</v>
          </cell>
          <cell r="H159">
            <v>-3153907.69</v>
          </cell>
          <cell r="I159">
            <v>2260152.77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AD159">
            <v>-3153907.69</v>
          </cell>
          <cell r="AF159">
            <v>-413279.04000000004</v>
          </cell>
          <cell r="AG159"/>
        </row>
        <row r="160">
          <cell r="A160" t="str">
            <v>GEN</v>
          </cell>
          <cell r="B160" t="str">
            <v>90</v>
          </cell>
          <cell r="C160" t="str">
            <v>INC</v>
          </cell>
          <cell r="D160" t="str">
            <v>557133</v>
          </cell>
          <cell r="E160" t="str">
            <v>FB</v>
          </cell>
          <cell r="F160">
            <v>348983.75</v>
          </cell>
          <cell r="G160">
            <v>-59666.12</v>
          </cell>
          <cell r="H160">
            <v>590292.81000000006</v>
          </cell>
          <cell r="I160">
            <v>-1509714.68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AD160">
            <v>590292.81000000006</v>
          </cell>
          <cell r="AF160">
            <v>879610.44000000006</v>
          </cell>
          <cell r="AG160"/>
        </row>
        <row r="161">
          <cell r="A161" t="str">
            <v>GEN</v>
          </cell>
          <cell r="B161" t="str">
            <v>90</v>
          </cell>
          <cell r="C161" t="str">
            <v>REV</v>
          </cell>
          <cell r="D161" t="str">
            <v>557133</v>
          </cell>
          <cell r="E161" t="str">
            <v>FB</v>
          </cell>
          <cell r="F161">
            <v>0</v>
          </cell>
          <cell r="G161">
            <v>0</v>
          </cell>
          <cell r="H161">
            <v>67970.36</v>
          </cell>
          <cell r="I161">
            <v>-67970.36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AD161">
            <v>67970.36</v>
          </cell>
          <cell r="AF161">
            <v>67970.36</v>
          </cell>
          <cell r="AG161"/>
        </row>
        <row r="162">
          <cell r="A162" t="str">
            <v>GEN</v>
          </cell>
          <cell r="B162" t="str">
            <v>90</v>
          </cell>
          <cell r="C162" t="str">
            <v>REV</v>
          </cell>
          <cell r="D162" t="str">
            <v>557133</v>
          </cell>
          <cell r="E162" t="str">
            <v>91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AD162">
            <v>0</v>
          </cell>
          <cell r="AF162">
            <v>0</v>
          </cell>
          <cell r="AG162"/>
        </row>
        <row r="163">
          <cell r="A163" t="str">
            <v>GEN</v>
          </cell>
          <cell r="B163" t="str">
            <v>90</v>
          </cell>
          <cell r="C163" t="str">
            <v>INC</v>
          </cell>
          <cell r="D163" t="str">
            <v>557133</v>
          </cell>
          <cell r="E163" t="str">
            <v>98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AD163">
            <v>0</v>
          </cell>
          <cell r="AF163">
            <v>0</v>
          </cell>
          <cell r="AG163"/>
        </row>
        <row r="164">
          <cell r="A164" t="str">
            <v>GEN</v>
          </cell>
          <cell r="B164" t="str">
            <v>90</v>
          </cell>
          <cell r="C164" t="str">
            <v>087</v>
          </cell>
          <cell r="D164" t="str">
            <v>916</v>
          </cell>
          <cell r="E164" t="str">
            <v>FB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AD164">
            <v>0</v>
          </cell>
          <cell r="AF164">
            <v>0</v>
          </cell>
          <cell r="AG164"/>
        </row>
        <row r="165">
          <cell r="A165" t="str">
            <v>GEN</v>
          </cell>
          <cell r="B165" t="str">
            <v>91</v>
          </cell>
          <cell r="C165" t="str">
            <v>186</v>
          </cell>
          <cell r="D165" t="str">
            <v>INTGEN</v>
          </cell>
          <cell r="E165" t="str">
            <v>FI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AD165">
            <v>0</v>
          </cell>
          <cell r="AF165">
            <v>0</v>
          </cell>
          <cell r="AG165"/>
        </row>
        <row r="166">
          <cell r="A166" t="str">
            <v>GEN</v>
          </cell>
          <cell r="B166" t="str">
            <v>91</v>
          </cell>
          <cell r="C166" t="str">
            <v>INC</v>
          </cell>
          <cell r="D166" t="str">
            <v>411008</v>
          </cell>
          <cell r="E166" t="str">
            <v>EX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AD166">
            <v>0</v>
          </cell>
          <cell r="AF166">
            <v>0</v>
          </cell>
          <cell r="AG166"/>
        </row>
        <row r="167">
          <cell r="A167" t="str">
            <v>GEN</v>
          </cell>
          <cell r="B167" t="str">
            <v>91</v>
          </cell>
          <cell r="C167" t="str">
            <v>INC</v>
          </cell>
          <cell r="D167" t="str">
            <v>411008</v>
          </cell>
          <cell r="E167" t="str">
            <v>FB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AD167">
            <v>0</v>
          </cell>
          <cell r="AF167">
            <v>0</v>
          </cell>
          <cell r="AG167"/>
        </row>
        <row r="168">
          <cell r="A168" t="str">
            <v>GEN</v>
          </cell>
          <cell r="B168" t="str">
            <v>91</v>
          </cell>
          <cell r="C168" t="str">
            <v>186</v>
          </cell>
          <cell r="D168" t="str">
            <v>501001</v>
          </cell>
          <cell r="E168" t="str">
            <v>FB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AD168">
            <v>0</v>
          </cell>
          <cell r="AF168">
            <v>0</v>
          </cell>
          <cell r="AG168" t="str">
            <v>Coal</v>
          </cell>
        </row>
        <row r="169">
          <cell r="A169" t="str">
            <v>GEN</v>
          </cell>
          <cell r="B169" t="str">
            <v>91</v>
          </cell>
          <cell r="C169" t="str">
            <v>186</v>
          </cell>
          <cell r="D169" t="str">
            <v>501101</v>
          </cell>
          <cell r="E169" t="str">
            <v>FB</v>
          </cell>
          <cell r="F169">
            <v>2594758.19</v>
          </cell>
          <cell r="G169">
            <v>3499527.22</v>
          </cell>
          <cell r="H169">
            <v>2628469.4900000002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AD169">
            <v>2628469.4900000002</v>
          </cell>
          <cell r="AF169">
            <v>8722754.9000000004</v>
          </cell>
          <cell r="AG169" t="str">
            <v>Coal</v>
          </cell>
        </row>
        <row r="170">
          <cell r="A170" t="str">
            <v>GEN</v>
          </cell>
          <cell r="B170" t="str">
            <v>91</v>
          </cell>
          <cell r="C170" t="str">
            <v>186</v>
          </cell>
          <cell r="D170" t="str">
            <v>501101</v>
          </cell>
          <cell r="E170" t="str">
            <v>FI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AD170">
            <v>0</v>
          </cell>
          <cell r="AF170">
            <v>0</v>
          </cell>
          <cell r="AG170" t="str">
            <v>Coal</v>
          </cell>
        </row>
        <row r="171">
          <cell r="A171" t="str">
            <v>GEN</v>
          </cell>
          <cell r="B171" t="str">
            <v>91</v>
          </cell>
          <cell r="C171" t="str">
            <v>186</v>
          </cell>
          <cell r="D171" t="str">
            <v>501101</v>
          </cell>
          <cell r="E171" t="str">
            <v>FI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AD171">
            <v>0</v>
          </cell>
          <cell r="AF171">
            <v>0</v>
          </cell>
          <cell r="AG171" t="str">
            <v>Coal</v>
          </cell>
        </row>
        <row r="172">
          <cell r="A172" t="str">
            <v>GEN</v>
          </cell>
          <cell r="B172" t="str">
            <v>91</v>
          </cell>
          <cell r="C172" t="str">
            <v>186</v>
          </cell>
          <cell r="D172" t="str">
            <v>501102</v>
          </cell>
          <cell r="E172" t="str">
            <v>FB</v>
          </cell>
          <cell r="F172">
            <v>11300.59</v>
          </cell>
          <cell r="G172">
            <v>1323.3</v>
          </cell>
          <cell r="H172">
            <v>33527.870000000003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AD172">
            <v>33527.870000000003</v>
          </cell>
          <cell r="AF172">
            <v>46151.76</v>
          </cell>
          <cell r="AG172" t="str">
            <v>Oil</v>
          </cell>
        </row>
        <row r="173">
          <cell r="A173" t="str">
            <v>GEN</v>
          </cell>
          <cell r="B173" t="str">
            <v>91</v>
          </cell>
          <cell r="C173" t="str">
            <v>186</v>
          </cell>
          <cell r="D173" t="str">
            <v>501102</v>
          </cell>
          <cell r="E173" t="str">
            <v>FI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AD173">
            <v>0</v>
          </cell>
          <cell r="AF173">
            <v>0</v>
          </cell>
          <cell r="AG173" t="str">
            <v>Oil</v>
          </cell>
        </row>
        <row r="174">
          <cell r="A174" t="str">
            <v>GEN</v>
          </cell>
          <cell r="B174" t="str">
            <v>91</v>
          </cell>
          <cell r="C174" t="str">
            <v>186</v>
          </cell>
          <cell r="D174" t="str">
            <v>501102</v>
          </cell>
          <cell r="E174" t="str">
            <v>FI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AD174">
            <v>0</v>
          </cell>
          <cell r="AF174">
            <v>0</v>
          </cell>
          <cell r="AG174" t="str">
            <v>Oil</v>
          </cell>
        </row>
        <row r="175">
          <cell r="A175" t="str">
            <v>GEN</v>
          </cell>
          <cell r="B175" t="str">
            <v>91</v>
          </cell>
          <cell r="C175" t="str">
            <v>186</v>
          </cell>
          <cell r="D175" t="str">
            <v>501110</v>
          </cell>
          <cell r="E175" t="str">
            <v>FB</v>
          </cell>
          <cell r="F175">
            <v>3683730.22</v>
          </cell>
          <cell r="G175">
            <v>5234069.68</v>
          </cell>
          <cell r="H175">
            <v>4149404.62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AD175">
            <v>4149404.62</v>
          </cell>
          <cell r="AF175">
            <v>13067204.52</v>
          </cell>
          <cell r="AG175" t="str">
            <v>Coal</v>
          </cell>
        </row>
        <row r="176">
          <cell r="A176" t="str">
            <v>GEN</v>
          </cell>
          <cell r="B176" t="str">
            <v>91</v>
          </cell>
          <cell r="C176" t="str">
            <v>186</v>
          </cell>
          <cell r="D176" t="str">
            <v>501110</v>
          </cell>
          <cell r="E176" t="str">
            <v>FI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AD176">
            <v>0</v>
          </cell>
          <cell r="AF176">
            <v>0</v>
          </cell>
          <cell r="AG176" t="str">
            <v>Coal</v>
          </cell>
        </row>
        <row r="177">
          <cell r="A177" t="str">
            <v>GEN</v>
          </cell>
          <cell r="B177" t="str">
            <v>91</v>
          </cell>
          <cell r="C177" t="str">
            <v>186</v>
          </cell>
          <cell r="D177" t="str">
            <v>501110</v>
          </cell>
          <cell r="E177" t="str">
            <v>FI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AD177">
            <v>0</v>
          </cell>
          <cell r="AF177">
            <v>0</v>
          </cell>
          <cell r="AG177" t="str">
            <v>Coal</v>
          </cell>
        </row>
        <row r="178">
          <cell r="A178" t="str">
            <v>GEN</v>
          </cell>
          <cell r="B178" t="str">
            <v>91</v>
          </cell>
          <cell r="C178" t="str">
            <v>186</v>
          </cell>
          <cell r="D178" t="str">
            <v>501201</v>
          </cell>
          <cell r="E178" t="str">
            <v>FB</v>
          </cell>
          <cell r="F178">
            <v>2702312.03</v>
          </cell>
          <cell r="G178">
            <v>2891430.35</v>
          </cell>
          <cell r="H178">
            <v>2554280.4700000002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AD178">
            <v>2554280.4700000002</v>
          </cell>
          <cell r="AF178">
            <v>8148022.8499999996</v>
          </cell>
          <cell r="AG178" t="str">
            <v>Coal</v>
          </cell>
        </row>
        <row r="179">
          <cell r="A179" t="str">
            <v>GEN</v>
          </cell>
          <cell r="B179" t="str">
            <v>91</v>
          </cell>
          <cell r="C179" t="str">
            <v>186</v>
          </cell>
          <cell r="D179" t="str">
            <v>501201</v>
          </cell>
          <cell r="E179" t="str">
            <v>FI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AD179">
            <v>0</v>
          </cell>
          <cell r="AF179">
            <v>0</v>
          </cell>
          <cell r="AG179" t="str">
            <v>Coal</v>
          </cell>
        </row>
        <row r="180">
          <cell r="A180" t="str">
            <v>GEN</v>
          </cell>
          <cell r="B180" t="str">
            <v>91</v>
          </cell>
          <cell r="C180" t="str">
            <v>186</v>
          </cell>
          <cell r="D180" t="str">
            <v>501201</v>
          </cell>
          <cell r="E180" t="str">
            <v>FI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AD180">
            <v>0</v>
          </cell>
          <cell r="AF180">
            <v>0</v>
          </cell>
          <cell r="AG180" t="str">
            <v>Coal</v>
          </cell>
        </row>
        <row r="181">
          <cell r="A181" t="str">
            <v>GEN</v>
          </cell>
          <cell r="B181" t="str">
            <v>91</v>
          </cell>
          <cell r="C181" t="str">
            <v>186</v>
          </cell>
          <cell r="D181" t="str">
            <v>501202</v>
          </cell>
          <cell r="E181" t="str">
            <v>FB</v>
          </cell>
          <cell r="F181">
            <v>64519.24</v>
          </cell>
          <cell r="G181">
            <v>1325.43</v>
          </cell>
          <cell r="H181">
            <v>1540.65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AD181">
            <v>1540.65</v>
          </cell>
          <cell r="AF181">
            <v>67385.319999999992</v>
          </cell>
          <cell r="AG181" t="str">
            <v>Oil</v>
          </cell>
        </row>
        <row r="182">
          <cell r="A182" t="str">
            <v>GEN</v>
          </cell>
          <cell r="B182" t="str">
            <v>91</v>
          </cell>
          <cell r="C182" t="str">
            <v>186</v>
          </cell>
          <cell r="D182" t="str">
            <v>501202</v>
          </cell>
          <cell r="E182" t="str">
            <v>FI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AD182">
            <v>0</v>
          </cell>
          <cell r="AF182">
            <v>0</v>
          </cell>
          <cell r="AG182" t="str">
            <v>Oil</v>
          </cell>
        </row>
        <row r="183">
          <cell r="A183" t="str">
            <v>GEN</v>
          </cell>
          <cell r="B183" t="str">
            <v>91</v>
          </cell>
          <cell r="C183" t="str">
            <v>186</v>
          </cell>
          <cell r="D183" t="str">
            <v>501202</v>
          </cell>
          <cell r="E183" t="str">
            <v>FI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AD183">
            <v>0</v>
          </cell>
          <cell r="AF183">
            <v>0</v>
          </cell>
          <cell r="AG183" t="str">
            <v>Oil</v>
          </cell>
        </row>
        <row r="184">
          <cell r="A184" t="str">
            <v>GEN</v>
          </cell>
          <cell r="B184" t="str">
            <v>91</v>
          </cell>
          <cell r="C184" t="str">
            <v>186</v>
          </cell>
          <cell r="D184" t="str">
            <v>501210</v>
          </cell>
          <cell r="E184" t="str">
            <v>FB</v>
          </cell>
          <cell r="F184">
            <v>3836422.42</v>
          </cell>
          <cell r="G184">
            <v>4324569.28</v>
          </cell>
          <cell r="H184">
            <v>4032286.94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AD184">
            <v>4032286.94</v>
          </cell>
          <cell r="AF184">
            <v>12193278.640000001</v>
          </cell>
          <cell r="AG184" t="str">
            <v>Coal</v>
          </cell>
        </row>
        <row r="185">
          <cell r="A185" t="str">
            <v>GEN</v>
          </cell>
          <cell r="B185" t="str">
            <v>91</v>
          </cell>
          <cell r="C185" t="str">
            <v>186</v>
          </cell>
          <cell r="D185" t="str">
            <v>501210</v>
          </cell>
          <cell r="E185" t="str">
            <v>FI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AD185">
            <v>0</v>
          </cell>
          <cell r="AF185">
            <v>0</v>
          </cell>
          <cell r="AG185" t="str">
            <v>Coal</v>
          </cell>
        </row>
        <row r="186">
          <cell r="A186" t="str">
            <v>GEN</v>
          </cell>
          <cell r="B186" t="str">
            <v>91</v>
          </cell>
          <cell r="C186" t="str">
            <v>186</v>
          </cell>
          <cell r="D186" t="str">
            <v>501210</v>
          </cell>
          <cell r="E186" t="str">
            <v>FI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AD186">
            <v>0</v>
          </cell>
          <cell r="AF186">
            <v>0</v>
          </cell>
          <cell r="AG186" t="str">
            <v>Coal</v>
          </cell>
        </row>
        <row r="187">
          <cell r="A187" t="str">
            <v>GEN</v>
          </cell>
          <cell r="B187" t="str">
            <v>91</v>
          </cell>
          <cell r="C187" t="str">
            <v>186</v>
          </cell>
          <cell r="D187" t="str">
            <v>509</v>
          </cell>
          <cell r="E187" t="str">
            <v>FB</v>
          </cell>
          <cell r="F187">
            <v>515773.79</v>
          </cell>
          <cell r="G187">
            <v>315734.43</v>
          </cell>
          <cell r="H187">
            <v>331442.09999999998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AD187">
            <v>331442.09999999998</v>
          </cell>
          <cell r="AF187">
            <v>1162950.3199999998</v>
          </cell>
          <cell r="AG187" t="str">
            <v>SO2</v>
          </cell>
        </row>
        <row r="188">
          <cell r="A188" t="str">
            <v>GEN</v>
          </cell>
          <cell r="B188" t="str">
            <v>91</v>
          </cell>
          <cell r="C188" t="str">
            <v>186</v>
          </cell>
          <cell r="D188" t="str">
            <v>509</v>
          </cell>
          <cell r="E188" t="str">
            <v>FI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AD188">
            <v>0</v>
          </cell>
          <cell r="AF188">
            <v>0</v>
          </cell>
          <cell r="AG188" t="str">
            <v>SO2</v>
          </cell>
        </row>
        <row r="189">
          <cell r="A189" t="str">
            <v>GEN</v>
          </cell>
          <cell r="B189" t="str">
            <v>92</v>
          </cell>
          <cell r="C189" t="str">
            <v>186</v>
          </cell>
          <cell r="D189" t="str">
            <v>INTGEN</v>
          </cell>
          <cell r="E189" t="str">
            <v>FI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AD189">
            <v>0</v>
          </cell>
          <cell r="AF189">
            <v>0</v>
          </cell>
          <cell r="AG189"/>
        </row>
        <row r="190">
          <cell r="A190" t="str">
            <v>GEN</v>
          </cell>
          <cell r="B190" t="str">
            <v>92</v>
          </cell>
          <cell r="C190" t="str">
            <v>INC</v>
          </cell>
          <cell r="D190" t="str">
            <v>411008</v>
          </cell>
          <cell r="E190" t="str">
            <v>EX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AD190">
            <v>0</v>
          </cell>
          <cell r="AF190">
            <v>0</v>
          </cell>
          <cell r="AG190"/>
        </row>
        <row r="191">
          <cell r="A191" t="str">
            <v>GEN</v>
          </cell>
          <cell r="B191" t="str">
            <v>92</v>
          </cell>
          <cell r="C191" t="str">
            <v>INC</v>
          </cell>
          <cell r="D191" t="str">
            <v>411008</v>
          </cell>
          <cell r="E191" t="str">
            <v>FB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AD191">
            <v>0</v>
          </cell>
          <cell r="AF191">
            <v>0</v>
          </cell>
          <cell r="AG191"/>
        </row>
        <row r="192">
          <cell r="A192" t="str">
            <v>GEN</v>
          </cell>
          <cell r="B192" t="str">
            <v>92</v>
          </cell>
          <cell r="C192" t="str">
            <v>099</v>
          </cell>
          <cell r="D192" t="str">
            <v>501001</v>
          </cell>
          <cell r="E192" t="str">
            <v>FB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AD192">
            <v>0</v>
          </cell>
          <cell r="AF192">
            <v>0</v>
          </cell>
          <cell r="AG192" t="str">
            <v>Coal</v>
          </cell>
        </row>
        <row r="193">
          <cell r="A193" t="str">
            <v>GEN</v>
          </cell>
          <cell r="B193" t="str">
            <v>92</v>
          </cell>
          <cell r="C193" t="str">
            <v>186</v>
          </cell>
          <cell r="D193" t="str">
            <v>501001</v>
          </cell>
          <cell r="E193" t="str">
            <v>FB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AD193">
            <v>0</v>
          </cell>
          <cell r="AF193">
            <v>0</v>
          </cell>
          <cell r="AG193" t="str">
            <v>Coal</v>
          </cell>
        </row>
        <row r="194">
          <cell r="A194" t="str">
            <v>GEN</v>
          </cell>
          <cell r="B194" t="str">
            <v>92</v>
          </cell>
          <cell r="C194" t="str">
            <v>086</v>
          </cell>
          <cell r="D194" t="str">
            <v>501101</v>
          </cell>
          <cell r="E194" t="str">
            <v>FB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AD194">
            <v>0</v>
          </cell>
          <cell r="AF194">
            <v>0</v>
          </cell>
          <cell r="AG194" t="str">
            <v>Coal</v>
          </cell>
        </row>
        <row r="195">
          <cell r="A195" t="str">
            <v>GEN</v>
          </cell>
          <cell r="B195" t="str">
            <v>92</v>
          </cell>
          <cell r="C195" t="str">
            <v>186</v>
          </cell>
          <cell r="D195" t="str">
            <v>501101</v>
          </cell>
          <cell r="E195" t="str">
            <v>FB</v>
          </cell>
          <cell r="F195">
            <v>1825896.11</v>
          </cell>
          <cell r="G195">
            <v>2178628.31</v>
          </cell>
          <cell r="H195">
            <v>2107952.29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AD195">
            <v>2107952.29</v>
          </cell>
          <cell r="AF195">
            <v>6112476.71</v>
          </cell>
          <cell r="AG195" t="str">
            <v>Coal</v>
          </cell>
        </row>
        <row r="196">
          <cell r="A196" t="str">
            <v>GEN</v>
          </cell>
          <cell r="B196" t="str">
            <v>92</v>
          </cell>
          <cell r="C196" t="str">
            <v>186</v>
          </cell>
          <cell r="D196" t="str">
            <v>501101</v>
          </cell>
          <cell r="E196" t="str">
            <v>FB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AD196">
            <v>0</v>
          </cell>
          <cell r="AF196">
            <v>0</v>
          </cell>
          <cell r="AG196" t="str">
            <v>Coal</v>
          </cell>
        </row>
        <row r="197">
          <cell r="A197" t="str">
            <v>GEN</v>
          </cell>
          <cell r="B197" t="str">
            <v>92</v>
          </cell>
          <cell r="C197" t="str">
            <v>186</v>
          </cell>
          <cell r="D197" t="str">
            <v>501101</v>
          </cell>
          <cell r="E197" t="str">
            <v>FI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AD197">
            <v>0</v>
          </cell>
          <cell r="AF197">
            <v>0</v>
          </cell>
          <cell r="AG197" t="str">
            <v>Coal</v>
          </cell>
        </row>
        <row r="198">
          <cell r="A198" t="str">
            <v>GEN</v>
          </cell>
          <cell r="B198" t="str">
            <v>92</v>
          </cell>
          <cell r="C198" t="str">
            <v>186</v>
          </cell>
          <cell r="D198" t="str">
            <v>501101</v>
          </cell>
          <cell r="E198" t="str">
            <v>FI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AD198">
            <v>0</v>
          </cell>
          <cell r="AF198">
            <v>0</v>
          </cell>
          <cell r="AG198" t="str">
            <v>Coal</v>
          </cell>
        </row>
        <row r="199">
          <cell r="A199" t="str">
            <v>GEN</v>
          </cell>
          <cell r="B199" t="str">
            <v>92</v>
          </cell>
          <cell r="C199" t="str">
            <v>186</v>
          </cell>
          <cell r="D199" t="str">
            <v>501102</v>
          </cell>
          <cell r="E199" t="str">
            <v>FB</v>
          </cell>
          <cell r="F199">
            <v>218658.85</v>
          </cell>
          <cell r="G199">
            <v>226458.77</v>
          </cell>
          <cell r="H199">
            <v>154691.01999999999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AD199">
            <v>154691.01999999999</v>
          </cell>
          <cell r="AF199">
            <v>599808.64</v>
          </cell>
          <cell r="AG199" t="str">
            <v>Oil</v>
          </cell>
        </row>
        <row r="200">
          <cell r="A200" t="str">
            <v>GEN</v>
          </cell>
          <cell r="B200" t="str">
            <v>92</v>
          </cell>
          <cell r="C200" t="str">
            <v>186</v>
          </cell>
          <cell r="D200" t="str">
            <v>501102</v>
          </cell>
          <cell r="E200" t="str">
            <v>FI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AD200">
            <v>0</v>
          </cell>
          <cell r="AF200">
            <v>0</v>
          </cell>
          <cell r="AG200" t="str">
            <v>Oil</v>
          </cell>
        </row>
        <row r="201">
          <cell r="A201" t="str">
            <v>GEN</v>
          </cell>
          <cell r="B201" t="str">
            <v>92</v>
          </cell>
          <cell r="C201" t="str">
            <v>186</v>
          </cell>
          <cell r="D201" t="str">
            <v>501102</v>
          </cell>
          <cell r="E201" t="str">
            <v>FI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AD201">
            <v>0</v>
          </cell>
          <cell r="AF201">
            <v>0</v>
          </cell>
          <cell r="AG201" t="str">
            <v>Oil</v>
          </cell>
        </row>
        <row r="202">
          <cell r="A202" t="str">
            <v>GEN</v>
          </cell>
          <cell r="B202" t="str">
            <v>92</v>
          </cell>
          <cell r="C202" t="str">
            <v>186</v>
          </cell>
          <cell r="D202" t="str">
            <v>501108</v>
          </cell>
          <cell r="E202" t="str">
            <v>FB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AD202">
            <v>0</v>
          </cell>
          <cell r="AF202">
            <v>0</v>
          </cell>
          <cell r="AG202" t="str">
            <v>Coal</v>
          </cell>
        </row>
        <row r="203">
          <cell r="A203" t="str">
            <v>GEN</v>
          </cell>
          <cell r="B203" t="str">
            <v>92</v>
          </cell>
          <cell r="C203" t="str">
            <v>186</v>
          </cell>
          <cell r="D203" t="str">
            <v>501109</v>
          </cell>
          <cell r="E203" t="str">
            <v>FB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AD203">
            <v>0</v>
          </cell>
          <cell r="AF203">
            <v>0</v>
          </cell>
          <cell r="AG203" t="str">
            <v>Coal</v>
          </cell>
        </row>
        <row r="204">
          <cell r="A204" t="str">
            <v>GEN</v>
          </cell>
          <cell r="B204" t="str">
            <v>92</v>
          </cell>
          <cell r="C204" t="str">
            <v>186</v>
          </cell>
          <cell r="D204" t="str">
            <v>501109</v>
          </cell>
          <cell r="E204" t="str">
            <v>FI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AD204">
            <v>0</v>
          </cell>
          <cell r="AF204">
            <v>0</v>
          </cell>
          <cell r="AG204" t="str">
            <v>Coal</v>
          </cell>
        </row>
        <row r="205">
          <cell r="A205" t="str">
            <v>GEN</v>
          </cell>
          <cell r="B205" t="str">
            <v>92</v>
          </cell>
          <cell r="C205" t="str">
            <v>186</v>
          </cell>
          <cell r="D205" t="str">
            <v>501109</v>
          </cell>
          <cell r="E205" t="str">
            <v>FI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AD205">
            <v>0</v>
          </cell>
          <cell r="AF205">
            <v>0</v>
          </cell>
          <cell r="AG205" t="str">
            <v>Coal</v>
          </cell>
        </row>
        <row r="206">
          <cell r="A206" t="str">
            <v>GEN</v>
          </cell>
          <cell r="B206" t="str">
            <v>92</v>
          </cell>
          <cell r="C206" t="str">
            <v>186</v>
          </cell>
          <cell r="D206" t="str">
            <v>501110</v>
          </cell>
          <cell r="E206" t="str">
            <v>FB</v>
          </cell>
          <cell r="F206">
            <v>2460541.09</v>
          </cell>
          <cell r="G206">
            <v>2966515.14</v>
          </cell>
          <cell r="H206">
            <v>3048396.82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AD206">
            <v>3048396.82</v>
          </cell>
          <cell r="AF206">
            <v>8475453.0500000007</v>
          </cell>
          <cell r="AG206" t="str">
            <v>Coal</v>
          </cell>
        </row>
        <row r="207">
          <cell r="A207" t="str">
            <v>GEN</v>
          </cell>
          <cell r="B207" t="str">
            <v>92</v>
          </cell>
          <cell r="C207" t="str">
            <v>186</v>
          </cell>
          <cell r="D207" t="str">
            <v>501110</v>
          </cell>
          <cell r="E207" t="str">
            <v>FI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AD207">
            <v>0</v>
          </cell>
          <cell r="AF207">
            <v>0</v>
          </cell>
          <cell r="AG207" t="str">
            <v>Coal</v>
          </cell>
        </row>
        <row r="208">
          <cell r="A208" t="str">
            <v>GEN</v>
          </cell>
          <cell r="B208" t="str">
            <v>92</v>
          </cell>
          <cell r="C208" t="str">
            <v>186</v>
          </cell>
          <cell r="D208" t="str">
            <v>501110</v>
          </cell>
          <cell r="E208" t="str">
            <v>FI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AD208">
            <v>0</v>
          </cell>
          <cell r="AF208">
            <v>0</v>
          </cell>
          <cell r="AG208" t="str">
            <v>Coal</v>
          </cell>
        </row>
        <row r="209">
          <cell r="A209" t="str">
            <v>GEN</v>
          </cell>
          <cell r="B209" t="str">
            <v>92</v>
          </cell>
          <cell r="C209" t="str">
            <v>186</v>
          </cell>
          <cell r="D209" t="str">
            <v>501111</v>
          </cell>
          <cell r="E209" t="str">
            <v>FB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AD209">
            <v>0</v>
          </cell>
          <cell r="AF209">
            <v>0</v>
          </cell>
          <cell r="AG209" t="str">
            <v>PetCoke</v>
          </cell>
        </row>
        <row r="210">
          <cell r="A210" t="str">
            <v>GEN</v>
          </cell>
          <cell r="B210" t="str">
            <v>92</v>
          </cell>
          <cell r="C210" t="str">
            <v>186</v>
          </cell>
          <cell r="D210" t="str">
            <v>501201</v>
          </cell>
          <cell r="E210" t="str">
            <v>FB</v>
          </cell>
          <cell r="F210">
            <v>0</v>
          </cell>
          <cell r="G210">
            <v>91623.41</v>
          </cell>
          <cell r="H210">
            <v>2135712.2799999998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AD210">
            <v>2135712.2799999998</v>
          </cell>
          <cell r="AF210">
            <v>2227335.69</v>
          </cell>
          <cell r="AG210" t="str">
            <v>Coal</v>
          </cell>
        </row>
        <row r="211">
          <cell r="A211" t="str">
            <v>GEN</v>
          </cell>
          <cell r="B211" t="str">
            <v>92</v>
          </cell>
          <cell r="C211" t="str">
            <v>186</v>
          </cell>
          <cell r="D211" t="str">
            <v>501201</v>
          </cell>
          <cell r="E211" t="str">
            <v>FB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AD211">
            <v>0</v>
          </cell>
          <cell r="AF211">
            <v>0</v>
          </cell>
          <cell r="AG211" t="str">
            <v>Coal</v>
          </cell>
        </row>
        <row r="212">
          <cell r="A212" t="str">
            <v>GEN</v>
          </cell>
          <cell r="B212" t="str">
            <v>92</v>
          </cell>
          <cell r="C212" t="str">
            <v>186</v>
          </cell>
          <cell r="D212" t="str">
            <v>501201</v>
          </cell>
          <cell r="E212" t="str">
            <v>FI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AD212">
            <v>0</v>
          </cell>
          <cell r="AF212">
            <v>0</v>
          </cell>
          <cell r="AG212" t="str">
            <v>Coal</v>
          </cell>
        </row>
        <row r="213">
          <cell r="A213" t="str">
            <v>GEN</v>
          </cell>
          <cell r="B213" t="str">
            <v>92</v>
          </cell>
          <cell r="C213" t="str">
            <v>186</v>
          </cell>
          <cell r="D213" t="str">
            <v>501201</v>
          </cell>
          <cell r="E213" t="str">
            <v>FI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AD213">
            <v>0</v>
          </cell>
          <cell r="AF213">
            <v>0</v>
          </cell>
          <cell r="AG213" t="str">
            <v>Coal</v>
          </cell>
        </row>
        <row r="214">
          <cell r="A214" t="str">
            <v>GEN</v>
          </cell>
          <cell r="B214" t="str">
            <v>92</v>
          </cell>
          <cell r="C214" t="str">
            <v>186</v>
          </cell>
          <cell r="D214" t="str">
            <v>501202</v>
          </cell>
          <cell r="E214" t="str">
            <v>FB</v>
          </cell>
          <cell r="F214">
            <v>0</v>
          </cell>
          <cell r="G214">
            <v>53479.37</v>
          </cell>
          <cell r="H214">
            <v>179856.42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AD214">
            <v>179856.42</v>
          </cell>
          <cell r="AF214">
            <v>233335.79</v>
          </cell>
          <cell r="AG214" t="str">
            <v>Oil</v>
          </cell>
        </row>
        <row r="215">
          <cell r="A215" t="str">
            <v>GEN</v>
          </cell>
          <cell r="B215" t="str">
            <v>92</v>
          </cell>
          <cell r="C215" t="str">
            <v>186</v>
          </cell>
          <cell r="D215" t="str">
            <v>501202</v>
          </cell>
          <cell r="E215" t="str">
            <v>FB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AD215">
            <v>0</v>
          </cell>
          <cell r="AF215">
            <v>0</v>
          </cell>
          <cell r="AG215" t="str">
            <v>Oil</v>
          </cell>
        </row>
        <row r="216">
          <cell r="A216" t="str">
            <v>GEN</v>
          </cell>
          <cell r="B216" t="str">
            <v>92</v>
          </cell>
          <cell r="C216" t="str">
            <v>186</v>
          </cell>
          <cell r="D216" t="str">
            <v>501202</v>
          </cell>
          <cell r="E216" t="str">
            <v>FI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AD216">
            <v>0</v>
          </cell>
          <cell r="AF216">
            <v>0</v>
          </cell>
          <cell r="AG216" t="str">
            <v>Oil</v>
          </cell>
        </row>
        <row r="217">
          <cell r="A217" t="str">
            <v>GEN</v>
          </cell>
          <cell r="B217" t="str">
            <v>92</v>
          </cell>
          <cell r="C217" t="str">
            <v>186</v>
          </cell>
          <cell r="D217" t="str">
            <v>501202</v>
          </cell>
          <cell r="E217" t="str">
            <v>FI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AD217">
            <v>0</v>
          </cell>
          <cell r="AF217">
            <v>0</v>
          </cell>
          <cell r="AG217" t="str">
            <v>Oil</v>
          </cell>
        </row>
        <row r="218">
          <cell r="A218" t="str">
            <v>GEN</v>
          </cell>
          <cell r="B218" t="str">
            <v>92</v>
          </cell>
          <cell r="C218" t="str">
            <v>186</v>
          </cell>
          <cell r="D218" t="str">
            <v>501208</v>
          </cell>
          <cell r="E218" t="str">
            <v>FB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AD218">
            <v>0</v>
          </cell>
          <cell r="AF218">
            <v>0</v>
          </cell>
          <cell r="AG218"/>
        </row>
        <row r="219">
          <cell r="A219" t="str">
            <v>GEN</v>
          </cell>
          <cell r="B219" t="str">
            <v>92</v>
          </cell>
          <cell r="C219" t="str">
            <v>186</v>
          </cell>
          <cell r="D219" t="str">
            <v>501209</v>
          </cell>
          <cell r="E219" t="str">
            <v>FB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AD219">
            <v>0</v>
          </cell>
          <cell r="AF219">
            <v>0</v>
          </cell>
          <cell r="AG219" t="str">
            <v>Coal</v>
          </cell>
        </row>
        <row r="220">
          <cell r="A220" t="str">
            <v>GEN</v>
          </cell>
          <cell r="B220" t="str">
            <v>92</v>
          </cell>
          <cell r="C220" t="str">
            <v>186</v>
          </cell>
          <cell r="D220" t="str">
            <v>501209</v>
          </cell>
          <cell r="E220" t="str">
            <v>FI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AD220">
            <v>0</v>
          </cell>
          <cell r="AF220">
            <v>0</v>
          </cell>
          <cell r="AG220" t="str">
            <v>Coal</v>
          </cell>
        </row>
        <row r="221">
          <cell r="A221" t="str">
            <v>GEN</v>
          </cell>
          <cell r="B221" t="str">
            <v>92</v>
          </cell>
          <cell r="C221" t="str">
            <v>186</v>
          </cell>
          <cell r="D221" t="str">
            <v>501209</v>
          </cell>
          <cell r="E221" t="str">
            <v>FI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AD221">
            <v>0</v>
          </cell>
          <cell r="AF221">
            <v>0</v>
          </cell>
          <cell r="AG221" t="str">
            <v>Coal</v>
          </cell>
        </row>
        <row r="222">
          <cell r="A222" t="str">
            <v>GEN</v>
          </cell>
          <cell r="B222" t="str">
            <v>92</v>
          </cell>
          <cell r="C222" t="str">
            <v>186</v>
          </cell>
          <cell r="D222" t="str">
            <v>501210</v>
          </cell>
          <cell r="E222" t="str">
            <v>FB</v>
          </cell>
          <cell r="F222">
            <v>0</v>
          </cell>
          <cell r="G222">
            <v>124758.42</v>
          </cell>
          <cell r="H222">
            <v>3088541.68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AD222">
            <v>3088541.68</v>
          </cell>
          <cell r="AF222">
            <v>3213300.1</v>
          </cell>
          <cell r="AG222" t="str">
            <v>Coal</v>
          </cell>
        </row>
        <row r="223">
          <cell r="A223" t="str">
            <v>GEN</v>
          </cell>
          <cell r="B223" t="str">
            <v>92</v>
          </cell>
          <cell r="C223" t="str">
            <v>186</v>
          </cell>
          <cell r="D223" t="str">
            <v>501210</v>
          </cell>
          <cell r="E223" t="str">
            <v>FI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AD223">
            <v>0</v>
          </cell>
          <cell r="AF223">
            <v>0</v>
          </cell>
          <cell r="AG223" t="str">
            <v>Coal</v>
          </cell>
        </row>
        <row r="224">
          <cell r="A224" t="str">
            <v>GEN</v>
          </cell>
          <cell r="B224" t="str">
            <v>92</v>
          </cell>
          <cell r="C224" t="str">
            <v>186</v>
          </cell>
          <cell r="D224" t="str">
            <v>501210</v>
          </cell>
          <cell r="E224" t="str">
            <v>FI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AD224">
            <v>0</v>
          </cell>
          <cell r="AF224">
            <v>0</v>
          </cell>
          <cell r="AG224" t="str">
            <v>Coal</v>
          </cell>
        </row>
        <row r="225">
          <cell r="A225" t="str">
            <v>GEN</v>
          </cell>
          <cell r="B225" t="str">
            <v>92</v>
          </cell>
          <cell r="C225" t="str">
            <v>186</v>
          </cell>
          <cell r="D225" t="str">
            <v>501211</v>
          </cell>
          <cell r="E225" t="str">
            <v>FB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AD225">
            <v>0</v>
          </cell>
          <cell r="AF225">
            <v>0</v>
          </cell>
          <cell r="AG225" t="str">
            <v>PetCoke</v>
          </cell>
        </row>
        <row r="226">
          <cell r="A226" t="str">
            <v>GEN</v>
          </cell>
          <cell r="B226" t="str">
            <v>92</v>
          </cell>
          <cell r="C226" t="str">
            <v>186</v>
          </cell>
          <cell r="D226" t="str">
            <v>509</v>
          </cell>
          <cell r="E226" t="str">
            <v>FB</v>
          </cell>
          <cell r="F226">
            <v>96610.99</v>
          </cell>
          <cell r="G226">
            <v>-42515.839999999997</v>
          </cell>
          <cell r="H226">
            <v>9113.73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AD226">
            <v>9113.73</v>
          </cell>
          <cell r="AF226">
            <v>63208.880000000005</v>
          </cell>
          <cell r="AG226" t="str">
            <v>SO2</v>
          </cell>
        </row>
        <row r="227">
          <cell r="A227" t="str">
            <v>GEN</v>
          </cell>
          <cell r="B227" t="str">
            <v>92</v>
          </cell>
          <cell r="C227" t="str">
            <v>186</v>
          </cell>
          <cell r="D227" t="str">
            <v>509</v>
          </cell>
          <cell r="E227" t="str">
            <v>FI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AD227">
            <v>0</v>
          </cell>
          <cell r="AF227">
            <v>0</v>
          </cell>
          <cell r="AG227" t="str">
            <v>SO2</v>
          </cell>
        </row>
        <row r="228">
          <cell r="A228" t="str">
            <v>GEN</v>
          </cell>
          <cell r="B228" t="str">
            <v>93</v>
          </cell>
          <cell r="C228" t="str">
            <v>186</v>
          </cell>
          <cell r="D228" t="str">
            <v>INTGEN</v>
          </cell>
          <cell r="E228" t="str">
            <v>FI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AD228">
            <v>0</v>
          </cell>
          <cell r="AF228">
            <v>0</v>
          </cell>
          <cell r="AG228"/>
        </row>
        <row r="229">
          <cell r="A229" t="str">
            <v>GEN</v>
          </cell>
          <cell r="B229" t="str">
            <v>93</v>
          </cell>
          <cell r="C229" t="str">
            <v>INC</v>
          </cell>
          <cell r="D229" t="str">
            <v>411008</v>
          </cell>
          <cell r="E229" t="str">
            <v>EX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AD229">
            <v>0</v>
          </cell>
          <cell r="AF229">
            <v>0</v>
          </cell>
          <cell r="AG229"/>
        </row>
        <row r="230">
          <cell r="A230" t="str">
            <v>GEN</v>
          </cell>
          <cell r="B230" t="str">
            <v>93</v>
          </cell>
          <cell r="C230" t="str">
            <v>INC</v>
          </cell>
          <cell r="D230" t="str">
            <v>411008</v>
          </cell>
          <cell r="E230" t="str">
            <v>FB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AD230">
            <v>0</v>
          </cell>
          <cell r="AF230">
            <v>0</v>
          </cell>
          <cell r="AG230"/>
        </row>
        <row r="231">
          <cell r="A231" t="str">
            <v>GEN</v>
          </cell>
          <cell r="B231" t="str">
            <v>93</v>
          </cell>
          <cell r="C231" t="str">
            <v>099</v>
          </cell>
          <cell r="D231" t="str">
            <v>501001</v>
          </cell>
          <cell r="E231" t="str">
            <v>FB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AD231">
            <v>0</v>
          </cell>
          <cell r="AF231">
            <v>0</v>
          </cell>
          <cell r="AG231" t="str">
            <v>Coal</v>
          </cell>
        </row>
        <row r="232">
          <cell r="A232" t="str">
            <v>GEN</v>
          </cell>
          <cell r="B232" t="str">
            <v>93</v>
          </cell>
          <cell r="C232" t="str">
            <v>186</v>
          </cell>
          <cell r="D232" t="str">
            <v>501001</v>
          </cell>
          <cell r="E232" t="str">
            <v>FB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AD232">
            <v>0</v>
          </cell>
          <cell r="AF232">
            <v>0</v>
          </cell>
          <cell r="AG232" t="str">
            <v>Coal</v>
          </cell>
        </row>
        <row r="233">
          <cell r="A233" t="str">
            <v>GEN</v>
          </cell>
          <cell r="B233" t="str">
            <v>93</v>
          </cell>
          <cell r="C233" t="str">
            <v>186</v>
          </cell>
          <cell r="D233" t="str">
            <v>501301</v>
          </cell>
          <cell r="E233" t="str">
            <v>FB</v>
          </cell>
          <cell r="F233">
            <v>928401.48</v>
          </cell>
          <cell r="G233">
            <v>663143.19999999995</v>
          </cell>
          <cell r="H233">
            <v>778431.48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AD233">
            <v>778431.48</v>
          </cell>
          <cell r="AF233">
            <v>2369976.16</v>
          </cell>
          <cell r="AG233" t="str">
            <v>Coal</v>
          </cell>
        </row>
        <row r="234">
          <cell r="A234" t="str">
            <v>GEN</v>
          </cell>
          <cell r="B234" t="str">
            <v>93</v>
          </cell>
          <cell r="C234" t="str">
            <v>186</v>
          </cell>
          <cell r="D234" t="str">
            <v>501301</v>
          </cell>
          <cell r="E234" t="str">
            <v>FI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AD234">
            <v>0</v>
          </cell>
          <cell r="AF234">
            <v>0</v>
          </cell>
          <cell r="AG234" t="str">
            <v>Coal</v>
          </cell>
        </row>
        <row r="235">
          <cell r="A235" t="str">
            <v>GEN</v>
          </cell>
          <cell r="B235" t="str">
            <v>93</v>
          </cell>
          <cell r="C235" t="str">
            <v>186</v>
          </cell>
          <cell r="D235" t="str">
            <v>501301</v>
          </cell>
          <cell r="E235" t="str">
            <v>FI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AD235">
            <v>0</v>
          </cell>
          <cell r="AF235">
            <v>0</v>
          </cell>
          <cell r="AG235" t="str">
            <v>Coal</v>
          </cell>
        </row>
        <row r="236">
          <cell r="A236" t="str">
            <v>GEN</v>
          </cell>
          <cell r="B236" t="str">
            <v>93</v>
          </cell>
          <cell r="C236" t="str">
            <v>186</v>
          </cell>
          <cell r="D236" t="str">
            <v>501302</v>
          </cell>
          <cell r="E236" t="str">
            <v>FB</v>
          </cell>
          <cell r="F236">
            <v>9305.65</v>
          </cell>
          <cell r="G236">
            <v>120257.78</v>
          </cell>
          <cell r="H236">
            <v>26015.58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AD236">
            <v>26015.58</v>
          </cell>
          <cell r="AF236">
            <v>155579.01</v>
          </cell>
          <cell r="AG236" t="str">
            <v>Oil</v>
          </cell>
        </row>
        <row r="237">
          <cell r="A237" t="str">
            <v>GEN</v>
          </cell>
          <cell r="B237" t="str">
            <v>93</v>
          </cell>
          <cell r="C237" t="str">
            <v>186</v>
          </cell>
          <cell r="D237" t="str">
            <v>501302</v>
          </cell>
          <cell r="E237" t="str">
            <v>FI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AD237">
            <v>0</v>
          </cell>
          <cell r="AF237">
            <v>0</v>
          </cell>
          <cell r="AG237" t="str">
            <v>Oil</v>
          </cell>
        </row>
        <row r="238">
          <cell r="A238" t="str">
            <v>GEN</v>
          </cell>
          <cell r="B238" t="str">
            <v>93</v>
          </cell>
          <cell r="C238" t="str">
            <v>186</v>
          </cell>
          <cell r="D238" t="str">
            <v>501302</v>
          </cell>
          <cell r="E238" t="str">
            <v>FI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AD238">
            <v>0</v>
          </cell>
          <cell r="AF238">
            <v>0</v>
          </cell>
          <cell r="AG238" t="str">
            <v>Oil</v>
          </cell>
        </row>
        <row r="239">
          <cell r="A239" t="str">
            <v>GEN</v>
          </cell>
          <cell r="B239" t="str">
            <v>93</v>
          </cell>
          <cell r="C239" t="str">
            <v>186</v>
          </cell>
          <cell r="D239" t="str">
            <v>501310</v>
          </cell>
          <cell r="E239" t="str">
            <v>FB</v>
          </cell>
          <cell r="F239">
            <v>1645715.03</v>
          </cell>
          <cell r="G239">
            <v>1208943.67</v>
          </cell>
          <cell r="H239">
            <v>1418603.58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AD239">
            <v>1418603.58</v>
          </cell>
          <cell r="AF239">
            <v>4273262.28</v>
          </cell>
          <cell r="AG239" t="str">
            <v>Coal</v>
          </cell>
        </row>
        <row r="240">
          <cell r="A240" t="str">
            <v>GEN</v>
          </cell>
          <cell r="B240" t="str">
            <v>93</v>
          </cell>
          <cell r="C240" t="str">
            <v>186</v>
          </cell>
          <cell r="D240" t="str">
            <v>501310</v>
          </cell>
          <cell r="E240" t="str">
            <v>FI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AD240">
            <v>0</v>
          </cell>
          <cell r="AF240">
            <v>0</v>
          </cell>
          <cell r="AG240" t="str">
            <v>Coal</v>
          </cell>
        </row>
        <row r="241">
          <cell r="A241" t="str">
            <v>GEN</v>
          </cell>
          <cell r="B241" t="str">
            <v>93</v>
          </cell>
          <cell r="C241" t="str">
            <v>186</v>
          </cell>
          <cell r="D241" t="str">
            <v>501310</v>
          </cell>
          <cell r="E241" t="str">
            <v>FI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AD241">
            <v>0</v>
          </cell>
          <cell r="AF241">
            <v>0</v>
          </cell>
          <cell r="AG241" t="str">
            <v>Coal</v>
          </cell>
        </row>
        <row r="242">
          <cell r="A242" t="str">
            <v>GEN</v>
          </cell>
          <cell r="B242" t="str">
            <v>93</v>
          </cell>
          <cell r="C242" t="str">
            <v>186</v>
          </cell>
          <cell r="D242" t="str">
            <v>501402</v>
          </cell>
          <cell r="E242" t="str">
            <v>FB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AD242">
            <v>0</v>
          </cell>
          <cell r="AF242">
            <v>0</v>
          </cell>
          <cell r="AG242" t="str">
            <v>Oil</v>
          </cell>
        </row>
        <row r="243">
          <cell r="A243" t="str">
            <v>GEN</v>
          </cell>
          <cell r="B243" t="str">
            <v>93</v>
          </cell>
          <cell r="C243" t="str">
            <v>186</v>
          </cell>
          <cell r="D243" t="str">
            <v>501402</v>
          </cell>
          <cell r="E243" t="str">
            <v>FI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AD243">
            <v>0</v>
          </cell>
          <cell r="AF243">
            <v>0</v>
          </cell>
          <cell r="AG243" t="str">
            <v>Oil</v>
          </cell>
        </row>
        <row r="244">
          <cell r="A244" t="str">
            <v>GEN</v>
          </cell>
          <cell r="B244" t="str">
            <v>93</v>
          </cell>
          <cell r="C244" t="str">
            <v>186</v>
          </cell>
          <cell r="D244" t="str">
            <v>501402</v>
          </cell>
          <cell r="E244" t="str">
            <v>FI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AD244">
            <v>0</v>
          </cell>
          <cell r="AF244">
            <v>0</v>
          </cell>
          <cell r="AG244" t="str">
            <v>Oil</v>
          </cell>
        </row>
        <row r="245">
          <cell r="A245" t="str">
            <v>GEN</v>
          </cell>
          <cell r="B245" t="str">
            <v>93</v>
          </cell>
          <cell r="C245" t="str">
            <v>186</v>
          </cell>
          <cell r="D245" t="str">
            <v>501403</v>
          </cell>
          <cell r="E245" t="str">
            <v>FB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AD245">
            <v>0</v>
          </cell>
          <cell r="AF245">
            <v>0</v>
          </cell>
          <cell r="AG245" t="str">
            <v>Gas</v>
          </cell>
        </row>
        <row r="246">
          <cell r="A246" t="str">
            <v>GEN</v>
          </cell>
          <cell r="B246" t="str">
            <v>93</v>
          </cell>
          <cell r="C246" t="str">
            <v>186</v>
          </cell>
          <cell r="D246" t="str">
            <v>501403</v>
          </cell>
          <cell r="E246" t="str">
            <v>FI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AD246">
            <v>0</v>
          </cell>
          <cell r="AF246">
            <v>0</v>
          </cell>
          <cell r="AG246" t="str">
            <v>Gas</v>
          </cell>
        </row>
        <row r="247">
          <cell r="A247" t="str">
            <v>GEN</v>
          </cell>
          <cell r="B247" t="str">
            <v>93</v>
          </cell>
          <cell r="C247" t="str">
            <v>186</v>
          </cell>
          <cell r="D247" t="str">
            <v>501403</v>
          </cell>
          <cell r="E247" t="str">
            <v>FI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AD247">
            <v>0</v>
          </cell>
          <cell r="AF247">
            <v>0</v>
          </cell>
          <cell r="AG247" t="str">
            <v>Gas</v>
          </cell>
        </row>
        <row r="248">
          <cell r="A248" t="str">
            <v>GEN</v>
          </cell>
          <cell r="B248" t="str">
            <v>93</v>
          </cell>
          <cell r="C248" t="str">
            <v>186</v>
          </cell>
          <cell r="D248" t="str">
            <v>501501</v>
          </cell>
          <cell r="E248" t="str">
            <v>FB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AD248">
            <v>0</v>
          </cell>
          <cell r="AF248">
            <v>0</v>
          </cell>
          <cell r="AG248" t="str">
            <v>Coal</v>
          </cell>
        </row>
        <row r="249">
          <cell r="A249" t="str">
            <v>GEN</v>
          </cell>
          <cell r="B249" t="str">
            <v>93</v>
          </cell>
          <cell r="C249" t="str">
            <v>186</v>
          </cell>
          <cell r="D249" t="str">
            <v>501501</v>
          </cell>
          <cell r="E249" t="str">
            <v>FI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AD249">
            <v>0</v>
          </cell>
          <cell r="AF249">
            <v>0</v>
          </cell>
          <cell r="AG249" t="str">
            <v>Coal</v>
          </cell>
        </row>
        <row r="250">
          <cell r="A250" t="str">
            <v>GEN</v>
          </cell>
          <cell r="B250" t="str">
            <v>93</v>
          </cell>
          <cell r="C250" t="str">
            <v>186</v>
          </cell>
          <cell r="D250" t="str">
            <v>501501</v>
          </cell>
          <cell r="E250" t="str">
            <v>FI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AD250">
            <v>0</v>
          </cell>
          <cell r="AF250">
            <v>0</v>
          </cell>
          <cell r="AG250" t="str">
            <v>Coal</v>
          </cell>
        </row>
        <row r="251">
          <cell r="A251" t="str">
            <v>GEN</v>
          </cell>
          <cell r="B251" t="str">
            <v>93</v>
          </cell>
          <cell r="C251" t="str">
            <v>186</v>
          </cell>
          <cell r="D251" t="str">
            <v>501502</v>
          </cell>
          <cell r="E251" t="str">
            <v>FB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AD251">
            <v>0</v>
          </cell>
          <cell r="AF251">
            <v>0</v>
          </cell>
          <cell r="AG251" t="str">
            <v>Oil</v>
          </cell>
        </row>
        <row r="252">
          <cell r="A252" t="str">
            <v>GEN</v>
          </cell>
          <cell r="B252" t="str">
            <v>93</v>
          </cell>
          <cell r="C252" t="str">
            <v>186</v>
          </cell>
          <cell r="D252" t="str">
            <v>501502</v>
          </cell>
          <cell r="E252" t="str">
            <v>FI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AD252">
            <v>0</v>
          </cell>
          <cell r="AF252">
            <v>0</v>
          </cell>
          <cell r="AG252" t="str">
            <v>Oil</v>
          </cell>
        </row>
        <row r="253">
          <cell r="A253" t="str">
            <v>GEN</v>
          </cell>
          <cell r="B253" t="str">
            <v>93</v>
          </cell>
          <cell r="C253" t="str">
            <v>186</v>
          </cell>
          <cell r="D253" t="str">
            <v>501502</v>
          </cell>
          <cell r="E253" t="str">
            <v>FI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AD253">
            <v>0</v>
          </cell>
          <cell r="AF253">
            <v>0</v>
          </cell>
          <cell r="AG253" t="str">
            <v>Oil</v>
          </cell>
        </row>
        <row r="254">
          <cell r="A254" t="str">
            <v>GEN</v>
          </cell>
          <cell r="B254" t="str">
            <v>93</v>
          </cell>
          <cell r="C254" t="str">
            <v>186</v>
          </cell>
          <cell r="D254" t="str">
            <v>501510</v>
          </cell>
          <cell r="E254" t="str">
            <v>FB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AD254">
            <v>0</v>
          </cell>
          <cell r="AF254">
            <v>0</v>
          </cell>
          <cell r="AG254" t="str">
            <v>Coal</v>
          </cell>
        </row>
        <row r="255">
          <cell r="A255" t="str">
            <v>GEN</v>
          </cell>
          <cell r="B255" t="str">
            <v>93</v>
          </cell>
          <cell r="C255" t="str">
            <v>186</v>
          </cell>
          <cell r="D255" t="str">
            <v>501510</v>
          </cell>
          <cell r="E255" t="str">
            <v>FI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AD255">
            <v>0</v>
          </cell>
          <cell r="AF255">
            <v>0</v>
          </cell>
          <cell r="AG255" t="str">
            <v>Coal</v>
          </cell>
        </row>
        <row r="256">
          <cell r="A256" t="str">
            <v>GEN</v>
          </cell>
          <cell r="B256" t="str">
            <v>93</v>
          </cell>
          <cell r="C256" t="str">
            <v>186</v>
          </cell>
          <cell r="D256" t="str">
            <v>501510</v>
          </cell>
          <cell r="E256" t="str">
            <v>FI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AD256">
            <v>0</v>
          </cell>
          <cell r="AF256">
            <v>0</v>
          </cell>
          <cell r="AG256" t="str">
            <v>Coal</v>
          </cell>
        </row>
        <row r="257">
          <cell r="A257" t="str">
            <v>GEN</v>
          </cell>
          <cell r="B257" t="str">
            <v>93</v>
          </cell>
          <cell r="C257" t="str">
            <v>186</v>
          </cell>
          <cell r="D257" t="str">
            <v>509</v>
          </cell>
          <cell r="E257" t="str">
            <v>FB</v>
          </cell>
          <cell r="F257">
            <v>87002.16</v>
          </cell>
          <cell r="G257">
            <v>15070.17</v>
          </cell>
          <cell r="H257">
            <v>35524.94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AD257">
            <v>35524.94</v>
          </cell>
          <cell r="AF257">
            <v>137597.27000000002</v>
          </cell>
          <cell r="AG257" t="str">
            <v>SO2</v>
          </cell>
        </row>
        <row r="258">
          <cell r="A258" t="str">
            <v>GEN</v>
          </cell>
          <cell r="B258" t="str">
            <v>93</v>
          </cell>
          <cell r="C258" t="str">
            <v>186</v>
          </cell>
          <cell r="D258" t="str">
            <v>509</v>
          </cell>
          <cell r="E258" t="str">
            <v>FI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AD258">
            <v>0</v>
          </cell>
          <cell r="AF258">
            <v>0</v>
          </cell>
          <cell r="AG258" t="str">
            <v>SO2</v>
          </cell>
        </row>
        <row r="259">
          <cell r="A259" t="str">
            <v>GEN</v>
          </cell>
          <cell r="B259" t="str">
            <v>94</v>
          </cell>
          <cell r="C259" t="str">
            <v>186</v>
          </cell>
          <cell r="D259" t="str">
            <v>INTGEN</v>
          </cell>
          <cell r="E259" t="str">
            <v>FI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AD259">
            <v>0</v>
          </cell>
          <cell r="AF259">
            <v>0</v>
          </cell>
          <cell r="AG259"/>
        </row>
        <row r="260">
          <cell r="A260" t="str">
            <v>GEN</v>
          </cell>
          <cell r="B260" t="str">
            <v>94</v>
          </cell>
          <cell r="C260" t="str">
            <v>INC</v>
          </cell>
          <cell r="D260" t="str">
            <v>411008</v>
          </cell>
          <cell r="E260" t="str">
            <v>EX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AD260">
            <v>0</v>
          </cell>
          <cell r="AF260">
            <v>0</v>
          </cell>
          <cell r="AG260"/>
        </row>
        <row r="261">
          <cell r="A261" t="str">
            <v>GEN</v>
          </cell>
          <cell r="B261" t="str">
            <v>94</v>
          </cell>
          <cell r="C261" t="str">
            <v>INC</v>
          </cell>
          <cell r="D261" t="str">
            <v>411008</v>
          </cell>
          <cell r="E261" t="str">
            <v>FB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AD261">
            <v>0</v>
          </cell>
          <cell r="AF261">
            <v>0</v>
          </cell>
          <cell r="AG261"/>
        </row>
        <row r="262">
          <cell r="A262" t="str">
            <v>GEN</v>
          </cell>
          <cell r="B262" t="str">
            <v>94</v>
          </cell>
          <cell r="C262" t="str">
            <v>186</v>
          </cell>
          <cell r="D262" t="str">
            <v>509</v>
          </cell>
          <cell r="E262" t="str">
            <v>FB</v>
          </cell>
          <cell r="F262">
            <v>0</v>
          </cell>
          <cell r="G262">
            <v>-1978.4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AD262">
            <v>0</v>
          </cell>
          <cell r="AF262">
            <v>-1978.4</v>
          </cell>
          <cell r="AG262" t="str">
            <v>SO2</v>
          </cell>
        </row>
        <row r="263">
          <cell r="A263" t="str">
            <v>GEN</v>
          </cell>
          <cell r="B263" t="str">
            <v>94</v>
          </cell>
          <cell r="C263" t="str">
            <v>186</v>
          </cell>
          <cell r="D263" t="str">
            <v>509</v>
          </cell>
          <cell r="E263" t="str">
            <v>FI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AD263">
            <v>0</v>
          </cell>
          <cell r="AF263">
            <v>0</v>
          </cell>
          <cell r="AG263" t="str">
            <v>SO2</v>
          </cell>
        </row>
        <row r="264">
          <cell r="A264" t="str">
            <v>GEN</v>
          </cell>
          <cell r="B264" t="str">
            <v>94</v>
          </cell>
          <cell r="C264" t="str">
            <v>186</v>
          </cell>
          <cell r="D264" t="str">
            <v>547003</v>
          </cell>
          <cell r="E264" t="str">
            <v>FB</v>
          </cell>
          <cell r="F264">
            <v>519837.66</v>
          </cell>
          <cell r="G264">
            <v>520079.91</v>
          </cell>
          <cell r="H264">
            <v>520553.22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AD264">
            <v>520553.22</v>
          </cell>
          <cell r="AF264">
            <v>1560470.79</v>
          </cell>
          <cell r="AG264" t="str">
            <v>Gas</v>
          </cell>
        </row>
        <row r="265">
          <cell r="A265" t="str">
            <v>GEN</v>
          </cell>
          <cell r="B265" t="str">
            <v>94</v>
          </cell>
          <cell r="C265" t="str">
            <v>186</v>
          </cell>
          <cell r="D265" t="str">
            <v>547003</v>
          </cell>
          <cell r="E265" t="str">
            <v>FI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AD265">
            <v>0</v>
          </cell>
          <cell r="AF265">
            <v>0</v>
          </cell>
          <cell r="AG265" t="str">
            <v>Gas</v>
          </cell>
        </row>
        <row r="266">
          <cell r="A266" t="str">
            <v>GEN</v>
          </cell>
          <cell r="B266" t="str">
            <v>94</v>
          </cell>
          <cell r="C266" t="str">
            <v>186</v>
          </cell>
          <cell r="D266" t="str">
            <v>547003</v>
          </cell>
          <cell r="E266" t="str">
            <v>FI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AD266">
            <v>0</v>
          </cell>
          <cell r="AF266">
            <v>0</v>
          </cell>
          <cell r="AG266" t="str">
            <v>Gas</v>
          </cell>
        </row>
        <row r="267">
          <cell r="A267" t="str">
            <v>GEN</v>
          </cell>
          <cell r="B267" t="str">
            <v>95</v>
          </cell>
          <cell r="C267" t="str">
            <v>186</v>
          </cell>
          <cell r="D267" t="str">
            <v>INTGEN</v>
          </cell>
          <cell r="E267" t="str">
            <v>FI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AD267">
            <v>0</v>
          </cell>
          <cell r="AF267">
            <v>0</v>
          </cell>
          <cell r="AG267"/>
        </row>
        <row r="268">
          <cell r="A268" t="str">
            <v>GEN</v>
          </cell>
          <cell r="B268" t="str">
            <v>95</v>
          </cell>
          <cell r="C268" t="str">
            <v>INC</v>
          </cell>
          <cell r="D268" t="str">
            <v>411008</v>
          </cell>
          <cell r="E268" t="str">
            <v>EX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AD268">
            <v>0</v>
          </cell>
          <cell r="AF268">
            <v>0</v>
          </cell>
          <cell r="AG268"/>
        </row>
        <row r="269">
          <cell r="A269" t="str">
            <v>GEN</v>
          </cell>
          <cell r="B269" t="str">
            <v>95</v>
          </cell>
          <cell r="C269" t="str">
            <v>INC</v>
          </cell>
          <cell r="D269" t="str">
            <v>411008</v>
          </cell>
          <cell r="E269" t="str">
            <v>FB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AD269">
            <v>0</v>
          </cell>
          <cell r="AF269">
            <v>0</v>
          </cell>
          <cell r="AG269"/>
        </row>
        <row r="270">
          <cell r="A270" t="str">
            <v>GEN</v>
          </cell>
          <cell r="B270" t="str">
            <v>95</v>
          </cell>
          <cell r="C270" t="str">
            <v>186</v>
          </cell>
          <cell r="D270" t="str">
            <v>501008</v>
          </cell>
          <cell r="E270" t="str">
            <v>FB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AD270">
            <v>0</v>
          </cell>
          <cell r="AF270">
            <v>0</v>
          </cell>
          <cell r="AG270" t="str">
            <v>PetCoke</v>
          </cell>
        </row>
        <row r="271">
          <cell r="A271" t="str">
            <v>GEN</v>
          </cell>
          <cell r="B271" t="str">
            <v>95</v>
          </cell>
          <cell r="C271" t="str">
            <v>186</v>
          </cell>
          <cell r="D271" t="str">
            <v>501301</v>
          </cell>
          <cell r="E271" t="str">
            <v>FB</v>
          </cell>
          <cell r="F271">
            <v>299156.65999999997</v>
          </cell>
          <cell r="G271">
            <v>306001.81</v>
          </cell>
          <cell r="H271">
            <v>63547.95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AD271">
            <v>63547.95</v>
          </cell>
          <cell r="AF271">
            <v>668706.41999999993</v>
          </cell>
          <cell r="AG271" t="str">
            <v>Coal</v>
          </cell>
        </row>
        <row r="272">
          <cell r="A272" t="str">
            <v>GEN</v>
          </cell>
          <cell r="B272" t="str">
            <v>95</v>
          </cell>
          <cell r="C272" t="str">
            <v>186</v>
          </cell>
          <cell r="D272" t="str">
            <v>501301</v>
          </cell>
          <cell r="E272" t="str">
            <v>FI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AD272">
            <v>0</v>
          </cell>
          <cell r="AF272">
            <v>0</v>
          </cell>
          <cell r="AG272" t="str">
            <v>Coal</v>
          </cell>
        </row>
        <row r="273">
          <cell r="A273" t="str">
            <v>GEN</v>
          </cell>
          <cell r="B273" t="str">
            <v>95</v>
          </cell>
          <cell r="C273" t="str">
            <v>186</v>
          </cell>
          <cell r="D273" t="str">
            <v>501301</v>
          </cell>
          <cell r="E273" t="str">
            <v>FI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AD273">
            <v>0</v>
          </cell>
          <cell r="AF273">
            <v>0</v>
          </cell>
          <cell r="AG273" t="str">
            <v>Coal</v>
          </cell>
        </row>
        <row r="274">
          <cell r="A274" t="str">
            <v>GEN</v>
          </cell>
          <cell r="B274" t="str">
            <v>95</v>
          </cell>
          <cell r="C274" t="str">
            <v>186</v>
          </cell>
          <cell r="D274" t="str">
            <v>501302</v>
          </cell>
          <cell r="E274" t="str">
            <v>FB</v>
          </cell>
          <cell r="F274">
            <v>25459.41</v>
          </cell>
          <cell r="G274">
            <v>377.87</v>
          </cell>
          <cell r="H274">
            <v>15535.22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AD274">
            <v>15535.22</v>
          </cell>
          <cell r="AF274">
            <v>41372.5</v>
          </cell>
          <cell r="AG274" t="str">
            <v>Oil</v>
          </cell>
        </row>
        <row r="275">
          <cell r="A275" t="str">
            <v>GEN</v>
          </cell>
          <cell r="B275" t="str">
            <v>95</v>
          </cell>
          <cell r="C275" t="str">
            <v>186</v>
          </cell>
          <cell r="D275" t="str">
            <v>501302</v>
          </cell>
          <cell r="E275" t="str">
            <v>FI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AD275">
            <v>0</v>
          </cell>
          <cell r="AF275">
            <v>0</v>
          </cell>
          <cell r="AG275" t="str">
            <v>Oil</v>
          </cell>
        </row>
        <row r="276">
          <cell r="A276" t="str">
            <v>GEN</v>
          </cell>
          <cell r="B276" t="str">
            <v>95</v>
          </cell>
          <cell r="C276" t="str">
            <v>186</v>
          </cell>
          <cell r="D276" t="str">
            <v>501302</v>
          </cell>
          <cell r="E276" t="str">
            <v>FI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AD276">
            <v>0</v>
          </cell>
          <cell r="AF276">
            <v>0</v>
          </cell>
          <cell r="AG276" t="str">
            <v>Oil</v>
          </cell>
        </row>
        <row r="277">
          <cell r="A277" t="str">
            <v>GEN</v>
          </cell>
          <cell r="B277" t="str">
            <v>95</v>
          </cell>
          <cell r="C277" t="str">
            <v>186</v>
          </cell>
          <cell r="D277" t="str">
            <v>501310</v>
          </cell>
          <cell r="E277" t="str">
            <v>FB</v>
          </cell>
          <cell r="F277">
            <v>588392.78</v>
          </cell>
          <cell r="G277">
            <v>617980.28</v>
          </cell>
          <cell r="H277">
            <v>131885.57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AD277">
            <v>131885.57</v>
          </cell>
          <cell r="AF277">
            <v>1338258.6300000001</v>
          </cell>
          <cell r="AG277" t="str">
            <v>Coal</v>
          </cell>
        </row>
        <row r="278">
          <cell r="A278" t="str">
            <v>GEN</v>
          </cell>
          <cell r="B278" t="str">
            <v>95</v>
          </cell>
          <cell r="C278" t="str">
            <v>186</v>
          </cell>
          <cell r="D278" t="str">
            <v>501310</v>
          </cell>
          <cell r="E278" t="str">
            <v>FI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AD278">
            <v>0</v>
          </cell>
          <cell r="AF278">
            <v>0</v>
          </cell>
          <cell r="AG278" t="str">
            <v>Coal</v>
          </cell>
        </row>
        <row r="279">
          <cell r="A279" t="str">
            <v>GEN</v>
          </cell>
          <cell r="B279" t="str">
            <v>95</v>
          </cell>
          <cell r="C279" t="str">
            <v>186</v>
          </cell>
          <cell r="D279" t="str">
            <v>501310</v>
          </cell>
          <cell r="E279" t="str">
            <v>FI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AD279">
            <v>0</v>
          </cell>
          <cell r="AF279">
            <v>0</v>
          </cell>
          <cell r="AG279" t="str">
            <v>Coal</v>
          </cell>
        </row>
        <row r="280">
          <cell r="A280" t="str">
            <v>GEN</v>
          </cell>
          <cell r="B280" t="str">
            <v>95</v>
          </cell>
          <cell r="C280" t="str">
            <v>186</v>
          </cell>
          <cell r="D280" t="str">
            <v>501401</v>
          </cell>
          <cell r="E280" t="str">
            <v>FB</v>
          </cell>
          <cell r="F280">
            <v>314046.36</v>
          </cell>
          <cell r="G280">
            <v>300004.40999999997</v>
          </cell>
          <cell r="H280">
            <v>72898.64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AD280">
            <v>72898.64</v>
          </cell>
          <cell r="AF280">
            <v>686949.41</v>
          </cell>
          <cell r="AG280" t="str">
            <v>Coal</v>
          </cell>
        </row>
        <row r="281">
          <cell r="A281" t="str">
            <v>GEN</v>
          </cell>
          <cell r="B281" t="str">
            <v>95</v>
          </cell>
          <cell r="C281" t="str">
            <v>186</v>
          </cell>
          <cell r="D281" t="str">
            <v>501401</v>
          </cell>
          <cell r="E281" t="str">
            <v>FI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AD281">
            <v>0</v>
          </cell>
          <cell r="AF281">
            <v>0</v>
          </cell>
          <cell r="AG281" t="str">
            <v>Coal</v>
          </cell>
        </row>
        <row r="282">
          <cell r="A282" t="str">
            <v>GEN</v>
          </cell>
          <cell r="B282" t="str">
            <v>95</v>
          </cell>
          <cell r="C282" t="str">
            <v>186</v>
          </cell>
          <cell r="D282" t="str">
            <v>501401</v>
          </cell>
          <cell r="E282" t="str">
            <v>FI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AD282">
            <v>0</v>
          </cell>
          <cell r="AF282">
            <v>0</v>
          </cell>
          <cell r="AG282" t="str">
            <v>Coal</v>
          </cell>
        </row>
        <row r="283">
          <cell r="A283" t="str">
            <v>GEN</v>
          </cell>
          <cell r="B283" t="str">
            <v>95</v>
          </cell>
          <cell r="C283" t="str">
            <v>186</v>
          </cell>
          <cell r="D283" t="str">
            <v>501402</v>
          </cell>
          <cell r="E283" t="str">
            <v>FB</v>
          </cell>
          <cell r="F283">
            <v>16092.79</v>
          </cell>
          <cell r="G283">
            <v>380.18</v>
          </cell>
          <cell r="H283">
            <v>34282.129999999997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AD283">
            <v>34282.129999999997</v>
          </cell>
          <cell r="AF283">
            <v>50755.1</v>
          </cell>
          <cell r="AG283" t="str">
            <v>Oil</v>
          </cell>
        </row>
        <row r="284">
          <cell r="A284" t="str">
            <v>GEN</v>
          </cell>
          <cell r="B284" t="str">
            <v>95</v>
          </cell>
          <cell r="C284" t="str">
            <v>186</v>
          </cell>
          <cell r="D284" t="str">
            <v>501402</v>
          </cell>
          <cell r="E284" t="str">
            <v>FI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AD284">
            <v>0</v>
          </cell>
          <cell r="AF284">
            <v>0</v>
          </cell>
          <cell r="AG284" t="str">
            <v>Oil</v>
          </cell>
        </row>
        <row r="285">
          <cell r="A285" t="str">
            <v>GEN</v>
          </cell>
          <cell r="B285" t="str">
            <v>95</v>
          </cell>
          <cell r="C285" t="str">
            <v>186</v>
          </cell>
          <cell r="D285" t="str">
            <v>501402</v>
          </cell>
          <cell r="E285" t="str">
            <v>FI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AD285">
            <v>0</v>
          </cell>
          <cell r="AF285">
            <v>0</v>
          </cell>
          <cell r="AG285" t="str">
            <v>Oil</v>
          </cell>
        </row>
        <row r="286">
          <cell r="A286" t="str">
            <v>GEN</v>
          </cell>
          <cell r="B286" t="str">
            <v>95</v>
          </cell>
          <cell r="C286" t="str">
            <v>186</v>
          </cell>
          <cell r="D286" t="str">
            <v>501410</v>
          </cell>
          <cell r="E286" t="str">
            <v>FB</v>
          </cell>
          <cell r="F286">
            <v>617678.41</v>
          </cell>
          <cell r="G286">
            <v>605868.35</v>
          </cell>
          <cell r="H286">
            <v>151291.71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AD286">
            <v>151291.71</v>
          </cell>
          <cell r="AF286">
            <v>1374838.47</v>
          </cell>
          <cell r="AG286" t="str">
            <v>Coal</v>
          </cell>
        </row>
        <row r="287">
          <cell r="A287" t="str">
            <v>GEN</v>
          </cell>
          <cell r="B287" t="str">
            <v>95</v>
          </cell>
          <cell r="C287" t="str">
            <v>186</v>
          </cell>
          <cell r="D287" t="str">
            <v>501410</v>
          </cell>
          <cell r="E287" t="str">
            <v>FI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AD287">
            <v>0</v>
          </cell>
          <cell r="AF287">
            <v>0</v>
          </cell>
          <cell r="AG287" t="str">
            <v>Coal</v>
          </cell>
        </row>
        <row r="288">
          <cell r="A288" t="str">
            <v>GEN</v>
          </cell>
          <cell r="B288" t="str">
            <v>95</v>
          </cell>
          <cell r="C288" t="str">
            <v>186</v>
          </cell>
          <cell r="D288" t="str">
            <v>501410</v>
          </cell>
          <cell r="E288" t="str">
            <v>FI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AD288">
            <v>0</v>
          </cell>
          <cell r="AF288">
            <v>0</v>
          </cell>
          <cell r="AG288" t="str">
            <v>Coal</v>
          </cell>
        </row>
        <row r="289">
          <cell r="A289" t="str">
            <v>GEN</v>
          </cell>
          <cell r="B289" t="str">
            <v>95</v>
          </cell>
          <cell r="C289" t="str">
            <v>186</v>
          </cell>
          <cell r="D289" t="str">
            <v>509</v>
          </cell>
          <cell r="E289" t="str">
            <v>FB</v>
          </cell>
          <cell r="F289">
            <v>67164.22</v>
          </cell>
          <cell r="G289">
            <v>30006.36</v>
          </cell>
          <cell r="H289">
            <v>9671.7099999999991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AD289">
            <v>9671.7099999999991</v>
          </cell>
          <cell r="AF289">
            <v>106842.29000000001</v>
          </cell>
          <cell r="AG289" t="str">
            <v>SO2</v>
          </cell>
        </row>
        <row r="290">
          <cell r="A290" t="str">
            <v>GEN</v>
          </cell>
          <cell r="B290" t="str">
            <v>95</v>
          </cell>
          <cell r="C290" t="str">
            <v>186</v>
          </cell>
          <cell r="D290" t="str">
            <v>509</v>
          </cell>
          <cell r="E290" t="str">
            <v>FI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AD290">
            <v>0</v>
          </cell>
          <cell r="AF290">
            <v>0</v>
          </cell>
          <cell r="AG290" t="str">
            <v>SO2</v>
          </cell>
        </row>
        <row r="291">
          <cell r="A291" t="str">
            <v>GEN</v>
          </cell>
          <cell r="B291" t="str">
            <v>96</v>
          </cell>
          <cell r="C291" t="str">
            <v>186</v>
          </cell>
          <cell r="D291" t="str">
            <v>547002</v>
          </cell>
          <cell r="E291" t="str">
            <v>FB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AD291">
            <v>0</v>
          </cell>
          <cell r="AF291">
            <v>0</v>
          </cell>
          <cell r="AG291" t="str">
            <v>Oil</v>
          </cell>
        </row>
        <row r="292">
          <cell r="A292" t="str">
            <v>GEN</v>
          </cell>
          <cell r="B292" t="str">
            <v>97</v>
          </cell>
          <cell r="C292" t="str">
            <v>186</v>
          </cell>
          <cell r="D292" t="str">
            <v>INTGEN</v>
          </cell>
          <cell r="E292" t="str">
            <v>FI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AD292">
            <v>0</v>
          </cell>
          <cell r="AF292">
            <v>0</v>
          </cell>
          <cell r="AG292"/>
        </row>
        <row r="293">
          <cell r="A293" t="str">
            <v>GEN</v>
          </cell>
          <cell r="B293" t="str">
            <v>97</v>
          </cell>
          <cell r="C293" t="str">
            <v>186</v>
          </cell>
          <cell r="D293" t="str">
            <v>547003</v>
          </cell>
          <cell r="E293" t="str">
            <v>FB</v>
          </cell>
          <cell r="F293">
            <v>54766</v>
          </cell>
          <cell r="G293">
            <v>54766</v>
          </cell>
          <cell r="H293">
            <v>54766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AD293">
            <v>54766</v>
          </cell>
          <cell r="AF293">
            <v>164298</v>
          </cell>
          <cell r="AG293" t="str">
            <v>Gas</v>
          </cell>
        </row>
        <row r="294">
          <cell r="A294" t="str">
            <v>GEN</v>
          </cell>
          <cell r="B294" t="str">
            <v>97</v>
          </cell>
          <cell r="C294" t="str">
            <v>186</v>
          </cell>
          <cell r="D294" t="str">
            <v>547003</v>
          </cell>
          <cell r="E294" t="str">
            <v>FI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AD294">
            <v>0</v>
          </cell>
          <cell r="AF294">
            <v>0</v>
          </cell>
          <cell r="AG294" t="str">
            <v>Gas</v>
          </cell>
        </row>
        <row r="295">
          <cell r="A295" t="str">
            <v>GEN</v>
          </cell>
          <cell r="B295" t="str">
            <v>97</v>
          </cell>
          <cell r="C295" t="str">
            <v>186</v>
          </cell>
          <cell r="D295" t="str">
            <v>547003</v>
          </cell>
          <cell r="E295" t="str">
            <v>FI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AD295">
            <v>0</v>
          </cell>
          <cell r="AF295">
            <v>0</v>
          </cell>
          <cell r="AG295" t="str">
            <v>Gas</v>
          </cell>
        </row>
        <row r="296">
          <cell r="A296" t="str">
            <v>GEN</v>
          </cell>
          <cell r="B296" t="str">
            <v>99</v>
          </cell>
          <cell r="C296" t="str">
            <v>186</v>
          </cell>
          <cell r="D296" t="str">
            <v>547013</v>
          </cell>
          <cell r="E296" t="str">
            <v>FI</v>
          </cell>
          <cell r="F296">
            <v>6151.23</v>
          </cell>
          <cell r="G296">
            <v>6629.48</v>
          </cell>
          <cell r="H296">
            <v>5665.01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AD296">
            <v>5665.01</v>
          </cell>
          <cell r="AF296">
            <v>18445.72</v>
          </cell>
          <cell r="AG296" t="str">
            <v>Gas</v>
          </cell>
        </row>
        <row r="297">
          <cell r="A297" t="str">
            <v>GMC</v>
          </cell>
          <cell r="B297" t="str">
            <v>1G</v>
          </cell>
          <cell r="C297" t="str">
            <v>REV</v>
          </cell>
          <cell r="D297" t="str">
            <v>421FLS</v>
          </cell>
          <cell r="E297" t="str">
            <v>91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AD297">
            <v>0</v>
          </cell>
          <cell r="AF297">
            <v>0</v>
          </cell>
          <cell r="AG297"/>
        </row>
        <row r="298">
          <cell r="A298" t="str">
            <v>GMC</v>
          </cell>
          <cell r="B298" t="str">
            <v>1G</v>
          </cell>
          <cell r="C298" t="str">
            <v>GM1</v>
          </cell>
          <cell r="D298" t="str">
            <v>547003</v>
          </cell>
          <cell r="E298" t="str">
            <v>FB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AD298">
            <v>0</v>
          </cell>
          <cell r="AF298">
            <v>0</v>
          </cell>
          <cell r="AG298" t="str">
            <v>Gas</v>
          </cell>
        </row>
        <row r="299">
          <cell r="A299" t="str">
            <v>GMC</v>
          </cell>
          <cell r="B299" t="str">
            <v>1G</v>
          </cell>
          <cell r="C299" t="str">
            <v>INC</v>
          </cell>
          <cell r="D299" t="str">
            <v>557133</v>
          </cell>
          <cell r="E299" t="str">
            <v>PG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AD299">
            <v>0</v>
          </cell>
          <cell r="AF299">
            <v>0</v>
          </cell>
          <cell r="AG299"/>
        </row>
        <row r="300">
          <cell r="A300" t="str">
            <v>GMC</v>
          </cell>
          <cell r="B300" t="str">
            <v>1N</v>
          </cell>
          <cell r="C300" t="str">
            <v>647</v>
          </cell>
          <cell r="D300" t="str">
            <v>547002</v>
          </cell>
          <cell r="E300" t="str">
            <v>FB</v>
          </cell>
          <cell r="F300">
            <v>469.98</v>
          </cell>
          <cell r="G300">
            <v>82.81</v>
          </cell>
          <cell r="H300">
            <v>378.22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AD300">
            <v>378.22</v>
          </cell>
          <cell r="AF300">
            <v>931.01</v>
          </cell>
          <cell r="AG300" t="str">
            <v>Oil</v>
          </cell>
        </row>
        <row r="301">
          <cell r="A301" t="str">
            <v>IPC</v>
          </cell>
          <cell r="B301" t="str">
            <v>BL</v>
          </cell>
          <cell r="C301" t="str">
            <v>086</v>
          </cell>
          <cell r="D301" t="str">
            <v>547002</v>
          </cell>
          <cell r="E301" t="str">
            <v>FB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AD301">
            <v>0</v>
          </cell>
          <cell r="AF301">
            <v>0</v>
          </cell>
          <cell r="AG301" t="str">
            <v>Oil</v>
          </cell>
        </row>
        <row r="302">
          <cell r="A302" t="str">
            <v>IPC</v>
          </cell>
          <cell r="B302" t="str">
            <v>BL</v>
          </cell>
          <cell r="C302" t="str">
            <v>639</v>
          </cell>
          <cell r="D302" t="str">
            <v>547002</v>
          </cell>
          <cell r="E302" t="str">
            <v>FB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AD302">
            <v>0</v>
          </cell>
          <cell r="AF302">
            <v>0</v>
          </cell>
          <cell r="AG302" t="str">
            <v>Oil</v>
          </cell>
        </row>
        <row r="303">
          <cell r="A303" t="str">
            <v>IPC</v>
          </cell>
          <cell r="B303" t="str">
            <v>BL</v>
          </cell>
          <cell r="C303" t="str">
            <v>90P</v>
          </cell>
          <cell r="D303" t="str">
            <v>547002</v>
          </cell>
          <cell r="E303" t="str">
            <v>FB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AD303">
            <v>0</v>
          </cell>
          <cell r="AF303">
            <v>0</v>
          </cell>
          <cell r="AG303" t="str">
            <v>Oil</v>
          </cell>
        </row>
        <row r="304">
          <cell r="A304" t="str">
            <v>MEP</v>
          </cell>
          <cell r="B304" t="str">
            <v>ME</v>
          </cell>
          <cell r="C304" t="str">
            <v>186</v>
          </cell>
          <cell r="D304" t="str">
            <v>547AED</v>
          </cell>
          <cell r="E304" t="str">
            <v>FI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AD304">
            <v>0</v>
          </cell>
          <cell r="AF304">
            <v>0</v>
          </cell>
          <cell r="AG304"/>
        </row>
        <row r="305">
          <cell r="A305" t="str">
            <v>MEP</v>
          </cell>
          <cell r="B305" t="str">
            <v>ME</v>
          </cell>
          <cell r="C305" t="str">
            <v>EEI</v>
          </cell>
          <cell r="D305" t="str">
            <v>547013</v>
          </cell>
          <cell r="E305" t="str">
            <v>FB</v>
          </cell>
          <cell r="F305">
            <v>2895.2</v>
          </cell>
          <cell r="G305">
            <v>2683.82</v>
          </cell>
          <cell r="H305">
            <v>2192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AD305">
            <v>2192</v>
          </cell>
          <cell r="AF305">
            <v>7771.02</v>
          </cell>
          <cell r="AG305" t="str">
            <v>Gas</v>
          </cell>
        </row>
        <row r="306">
          <cell r="A306" t="str">
            <v>MEP</v>
          </cell>
          <cell r="B306" t="str">
            <v>ME</v>
          </cell>
          <cell r="C306" t="str">
            <v>EEI</v>
          </cell>
          <cell r="D306" t="str">
            <v>547013</v>
          </cell>
          <cell r="E306" t="str">
            <v>FI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AD306">
            <v>0</v>
          </cell>
          <cell r="AF306">
            <v>0</v>
          </cell>
          <cell r="AG306" t="str">
            <v>Gas</v>
          </cell>
        </row>
        <row r="307">
          <cell r="A307" t="str">
            <v>MV1</v>
          </cell>
          <cell r="B307" t="str">
            <v>V1</v>
          </cell>
          <cell r="C307" t="str">
            <v>086</v>
          </cell>
          <cell r="D307" t="str">
            <v>547AFS</v>
          </cell>
          <cell r="E307" t="str">
            <v>FB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AD307">
            <v>0</v>
          </cell>
          <cell r="AF307">
            <v>0</v>
          </cell>
          <cell r="AG307"/>
        </row>
        <row r="308">
          <cell r="A308" t="str">
            <v>MV1</v>
          </cell>
          <cell r="B308" t="str">
            <v>V1</v>
          </cell>
          <cell r="C308" t="str">
            <v>64A</v>
          </cell>
          <cell r="D308" t="str">
            <v>547AFS</v>
          </cell>
          <cell r="E308" t="str">
            <v>FB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AD308">
            <v>0</v>
          </cell>
          <cell r="AF308">
            <v>0</v>
          </cell>
          <cell r="AG308"/>
        </row>
        <row r="309">
          <cell r="A309" t="str">
            <v>MV1</v>
          </cell>
          <cell r="B309" t="str">
            <v>V1</v>
          </cell>
          <cell r="C309" t="str">
            <v>086</v>
          </cell>
          <cell r="D309" t="str">
            <v>547CIL</v>
          </cell>
          <cell r="E309" t="str">
            <v>FB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AD309">
            <v>0</v>
          </cell>
          <cell r="AF309">
            <v>0</v>
          </cell>
          <cell r="AG309"/>
        </row>
        <row r="310">
          <cell r="A310" t="str">
            <v>MV1</v>
          </cell>
          <cell r="B310" t="str">
            <v>V1</v>
          </cell>
          <cell r="C310" t="str">
            <v>64A</v>
          </cell>
          <cell r="D310" t="str">
            <v>547CIL</v>
          </cell>
          <cell r="E310" t="str">
            <v>FB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AD310">
            <v>0</v>
          </cell>
          <cell r="AF310">
            <v>0</v>
          </cell>
          <cell r="AG310"/>
        </row>
        <row r="311">
          <cell r="A311" t="str">
            <v>MV1</v>
          </cell>
          <cell r="B311" t="str">
            <v>V1</v>
          </cell>
          <cell r="C311" t="str">
            <v>086</v>
          </cell>
          <cell r="D311" t="str">
            <v>547CSI</v>
          </cell>
          <cell r="E311" t="str">
            <v>FB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AD311">
            <v>0</v>
          </cell>
          <cell r="AF311">
            <v>0</v>
          </cell>
          <cell r="AG311"/>
        </row>
        <row r="312">
          <cell r="A312" t="str">
            <v>MV1</v>
          </cell>
          <cell r="B312" t="str">
            <v>V1</v>
          </cell>
          <cell r="C312" t="str">
            <v>64A</v>
          </cell>
          <cell r="D312" t="str">
            <v>547CSI</v>
          </cell>
          <cell r="E312" t="str">
            <v>FB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AD312">
            <v>0</v>
          </cell>
          <cell r="AF312">
            <v>0</v>
          </cell>
          <cell r="AG312"/>
        </row>
        <row r="313">
          <cell r="A313" t="str">
            <v>MV1</v>
          </cell>
          <cell r="B313" t="str">
            <v>V1</v>
          </cell>
          <cell r="C313" t="str">
            <v>086</v>
          </cell>
          <cell r="D313" t="str">
            <v>547GEN</v>
          </cell>
          <cell r="E313" t="str">
            <v>FB</v>
          </cell>
          <cell r="F313">
            <v>309420</v>
          </cell>
          <cell r="G313">
            <v>624583.96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AD313">
            <v>0</v>
          </cell>
          <cell r="AF313">
            <v>934003.96</v>
          </cell>
          <cell r="AG313" t="str">
            <v>gas</v>
          </cell>
        </row>
        <row r="314">
          <cell r="A314" t="str">
            <v>MV1</v>
          </cell>
          <cell r="B314" t="str">
            <v>V1</v>
          </cell>
          <cell r="C314" t="str">
            <v>086</v>
          </cell>
          <cell r="D314" t="str">
            <v>547003</v>
          </cell>
          <cell r="E314" t="str">
            <v>FB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AD314">
            <v>0</v>
          </cell>
          <cell r="AF314">
            <v>0</v>
          </cell>
          <cell r="AG314" t="str">
            <v>Gas</v>
          </cell>
        </row>
        <row r="315">
          <cell r="A315" t="str">
            <v>MV1</v>
          </cell>
          <cell r="B315" t="str">
            <v>V1</v>
          </cell>
          <cell r="C315" t="str">
            <v>64A</v>
          </cell>
          <cell r="D315" t="str">
            <v>547003</v>
          </cell>
          <cell r="E315" t="str">
            <v>FB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AD315">
            <v>0</v>
          </cell>
          <cell r="AF315">
            <v>0</v>
          </cell>
          <cell r="AG315" t="str">
            <v>Gas</v>
          </cell>
        </row>
        <row r="316">
          <cell r="A316" t="str">
            <v>MV1</v>
          </cell>
          <cell r="B316" t="str">
            <v>V1</v>
          </cell>
          <cell r="C316" t="str">
            <v>086</v>
          </cell>
          <cell r="D316" t="str">
            <v>547004</v>
          </cell>
          <cell r="E316" t="str">
            <v>FB</v>
          </cell>
          <cell r="F316">
            <v>1991526.36</v>
          </cell>
          <cell r="G316">
            <v>1172924.0900000001</v>
          </cell>
          <cell r="H316">
            <v>1286460.1200000001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AD316">
            <v>1286460.1200000001</v>
          </cell>
          <cell r="AF316">
            <v>4450910.57</v>
          </cell>
          <cell r="AG316"/>
        </row>
        <row r="317">
          <cell r="A317" t="str">
            <v>MV1</v>
          </cell>
          <cell r="B317" t="str">
            <v>V1</v>
          </cell>
          <cell r="C317" t="str">
            <v>086</v>
          </cell>
          <cell r="D317" t="str">
            <v>547020</v>
          </cell>
          <cell r="E317" t="str">
            <v>FB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AD317">
            <v>0</v>
          </cell>
          <cell r="AF317">
            <v>0</v>
          </cell>
          <cell r="AG317"/>
        </row>
        <row r="318">
          <cell r="A318" t="str">
            <v>UEC</v>
          </cell>
          <cell r="B318" t="str">
            <v>20</v>
          </cell>
          <cell r="C318" t="str">
            <v>086</v>
          </cell>
          <cell r="D318" t="str">
            <v>417002</v>
          </cell>
          <cell r="E318" t="str">
            <v>FI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AD318">
            <v>0</v>
          </cell>
          <cell r="AF318">
            <v>0</v>
          </cell>
          <cell r="AG318"/>
        </row>
        <row r="319">
          <cell r="A319" t="str">
            <v>UEC</v>
          </cell>
          <cell r="B319" t="str">
            <v>20</v>
          </cell>
          <cell r="C319" t="str">
            <v>REV</v>
          </cell>
          <cell r="D319" t="str">
            <v>421FLS</v>
          </cell>
          <cell r="E319" t="str">
            <v>FB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AD319">
            <v>0</v>
          </cell>
          <cell r="AF319">
            <v>0</v>
          </cell>
          <cell r="AG319"/>
        </row>
        <row r="320">
          <cell r="A320" t="str">
            <v>UEC</v>
          </cell>
          <cell r="B320" t="str">
            <v>20</v>
          </cell>
          <cell r="C320" t="str">
            <v>REV</v>
          </cell>
          <cell r="D320" t="str">
            <v>421FLS</v>
          </cell>
          <cell r="E320" t="str">
            <v>98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AD320">
            <v>0</v>
          </cell>
          <cell r="AF320">
            <v>0</v>
          </cell>
          <cell r="AG320"/>
        </row>
        <row r="321">
          <cell r="A321" t="str">
            <v>UEC</v>
          </cell>
          <cell r="B321" t="str">
            <v>20</v>
          </cell>
          <cell r="C321" t="str">
            <v>REV</v>
          </cell>
          <cell r="D321" t="str">
            <v>421133</v>
          </cell>
          <cell r="E321" t="str">
            <v>98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AD321">
            <v>0</v>
          </cell>
          <cell r="AF321">
            <v>0</v>
          </cell>
          <cell r="AG321"/>
        </row>
        <row r="322">
          <cell r="A322" t="str">
            <v>UEC</v>
          </cell>
          <cell r="B322" t="str">
            <v>20</v>
          </cell>
          <cell r="C322" t="str">
            <v>086</v>
          </cell>
          <cell r="D322" t="str">
            <v>501417</v>
          </cell>
          <cell r="E322" t="str">
            <v>FI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AD322">
            <v>0</v>
          </cell>
          <cell r="AF322">
            <v>0</v>
          </cell>
          <cell r="AG322"/>
        </row>
        <row r="323">
          <cell r="A323" t="str">
            <v>UEC</v>
          </cell>
          <cell r="B323" t="str">
            <v>20</v>
          </cell>
          <cell r="C323" t="str">
            <v>REV</v>
          </cell>
          <cell r="D323" t="str">
            <v>549133</v>
          </cell>
          <cell r="E323" t="str">
            <v>FB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AD323">
            <v>0</v>
          </cell>
          <cell r="AF323">
            <v>0</v>
          </cell>
          <cell r="AG323"/>
        </row>
        <row r="324">
          <cell r="A324" t="str">
            <v>UEC</v>
          </cell>
          <cell r="B324" t="str">
            <v>21</v>
          </cell>
          <cell r="C324" t="str">
            <v>050</v>
          </cell>
          <cell r="D324" t="str">
            <v>595</v>
          </cell>
          <cell r="E324" t="str">
            <v>FB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AD324">
            <v>0</v>
          </cell>
          <cell r="AF324">
            <v>0</v>
          </cell>
          <cell r="AG324"/>
        </row>
        <row r="325">
          <cell r="A325" t="str">
            <v>UEC</v>
          </cell>
          <cell r="B325" t="str">
            <v>29</v>
          </cell>
          <cell r="C325" t="str">
            <v>029</v>
          </cell>
          <cell r="D325" t="str">
            <v>588004</v>
          </cell>
          <cell r="E325" t="str">
            <v>FB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AD325">
            <v>0</v>
          </cell>
          <cell r="AF325">
            <v>0</v>
          </cell>
          <cell r="AG325"/>
        </row>
        <row r="326">
          <cell r="A326" t="str">
            <v>UEC</v>
          </cell>
          <cell r="B326" t="str">
            <v>5A</v>
          </cell>
          <cell r="C326" t="str">
            <v>087</v>
          </cell>
          <cell r="D326" t="str">
            <v>411008</v>
          </cell>
          <cell r="E326" t="str">
            <v>BX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AD326">
            <v>0</v>
          </cell>
          <cell r="AF326">
            <v>0</v>
          </cell>
          <cell r="AG326"/>
        </row>
        <row r="327">
          <cell r="A327" t="str">
            <v>UEC</v>
          </cell>
          <cell r="B327" t="str">
            <v>5A</v>
          </cell>
          <cell r="C327" t="str">
            <v>087</v>
          </cell>
          <cell r="D327" t="str">
            <v>411008</v>
          </cell>
          <cell r="E327" t="str">
            <v>BX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AD327">
            <v>0</v>
          </cell>
          <cell r="AF327">
            <v>0</v>
          </cell>
          <cell r="AG327"/>
        </row>
        <row r="328">
          <cell r="A328" t="str">
            <v>UEC</v>
          </cell>
          <cell r="B328" t="str">
            <v>5A</v>
          </cell>
          <cell r="C328" t="str">
            <v>087</v>
          </cell>
          <cell r="D328" t="str">
            <v>411008</v>
          </cell>
          <cell r="E328" t="str">
            <v>BX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AD328">
            <v>0</v>
          </cell>
          <cell r="AF328">
            <v>0</v>
          </cell>
          <cell r="AG328"/>
        </row>
        <row r="329">
          <cell r="A329" t="str">
            <v>UEC</v>
          </cell>
          <cell r="B329" t="str">
            <v>5A</v>
          </cell>
          <cell r="C329" t="str">
            <v>INC</v>
          </cell>
          <cell r="D329" t="str">
            <v>411008</v>
          </cell>
          <cell r="E329" t="str">
            <v>EI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AD329">
            <v>0</v>
          </cell>
          <cell r="AF329">
            <v>0</v>
          </cell>
          <cell r="AG329"/>
        </row>
        <row r="330">
          <cell r="A330" t="str">
            <v>UEC</v>
          </cell>
          <cell r="B330" t="str">
            <v>5A</v>
          </cell>
          <cell r="C330" t="str">
            <v>INC</v>
          </cell>
          <cell r="D330" t="str">
            <v>411008</v>
          </cell>
          <cell r="E330" t="str">
            <v>EX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AD330">
            <v>0</v>
          </cell>
          <cell r="AF330">
            <v>0</v>
          </cell>
          <cell r="AG330"/>
        </row>
        <row r="331">
          <cell r="A331" t="str">
            <v>UEC</v>
          </cell>
          <cell r="B331" t="str">
            <v>5A</v>
          </cell>
          <cell r="C331" t="str">
            <v>087</v>
          </cell>
          <cell r="D331" t="str">
            <v>411008</v>
          </cell>
          <cell r="E331" t="str">
            <v>EX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AD331">
            <v>0</v>
          </cell>
          <cell r="AF331">
            <v>0</v>
          </cell>
          <cell r="AG331"/>
        </row>
        <row r="332">
          <cell r="A332" t="str">
            <v>UEC</v>
          </cell>
          <cell r="B332" t="str">
            <v>5A</v>
          </cell>
          <cell r="C332" t="str">
            <v>INC</v>
          </cell>
          <cell r="D332" t="str">
            <v>411008</v>
          </cell>
          <cell r="E332" t="str">
            <v>EX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AD332">
            <v>0</v>
          </cell>
          <cell r="AF332">
            <v>0</v>
          </cell>
          <cell r="AG332"/>
        </row>
        <row r="333">
          <cell r="A333" t="str">
            <v>UEC</v>
          </cell>
          <cell r="B333" t="str">
            <v>5A</v>
          </cell>
          <cell r="C333" t="str">
            <v>087</v>
          </cell>
          <cell r="D333" t="str">
            <v>411008</v>
          </cell>
          <cell r="E333" t="str">
            <v>EX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AD333">
            <v>0</v>
          </cell>
          <cell r="AF333">
            <v>0</v>
          </cell>
          <cell r="AG333"/>
        </row>
        <row r="334">
          <cell r="A334" t="str">
            <v>UEC</v>
          </cell>
          <cell r="B334" t="str">
            <v>5A</v>
          </cell>
          <cell r="C334" t="str">
            <v>087</v>
          </cell>
          <cell r="D334" t="str">
            <v>411008</v>
          </cell>
          <cell r="E334" t="str">
            <v>FB</v>
          </cell>
          <cell r="F334">
            <v>0</v>
          </cell>
          <cell r="G334">
            <v>0</v>
          </cell>
          <cell r="H334">
            <v>-69944.759999999995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AD334">
            <v>-69944.759999999995</v>
          </cell>
          <cell r="AF334">
            <v>-69944.759999999995</v>
          </cell>
          <cell r="AG334"/>
        </row>
        <row r="335">
          <cell r="A335" t="str">
            <v>UEC</v>
          </cell>
          <cell r="B335" t="str">
            <v>5A</v>
          </cell>
          <cell r="C335" t="str">
            <v>INC</v>
          </cell>
          <cell r="D335" t="str">
            <v>411008</v>
          </cell>
          <cell r="E335" t="str">
            <v>FB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AD335">
            <v>0</v>
          </cell>
          <cell r="AF335">
            <v>0</v>
          </cell>
          <cell r="AG335"/>
        </row>
        <row r="336">
          <cell r="A336" t="str">
            <v>UEC</v>
          </cell>
          <cell r="B336" t="str">
            <v>5A</v>
          </cell>
          <cell r="C336" t="str">
            <v>INC</v>
          </cell>
          <cell r="D336" t="str">
            <v>411008</v>
          </cell>
          <cell r="E336" t="str">
            <v>FB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AD336">
            <v>0</v>
          </cell>
          <cell r="AF336">
            <v>0</v>
          </cell>
          <cell r="AG336"/>
        </row>
        <row r="337">
          <cell r="A337" t="str">
            <v>UEC</v>
          </cell>
          <cell r="B337" t="str">
            <v>5A</v>
          </cell>
          <cell r="C337" t="str">
            <v>INC</v>
          </cell>
          <cell r="D337" t="str">
            <v>419014</v>
          </cell>
          <cell r="E337" t="str">
            <v>FB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AD337">
            <v>0</v>
          </cell>
          <cell r="AF337">
            <v>0</v>
          </cell>
          <cell r="AG337"/>
        </row>
        <row r="338">
          <cell r="A338" t="str">
            <v>UEC</v>
          </cell>
          <cell r="B338" t="str">
            <v>5A</v>
          </cell>
          <cell r="C338" t="str">
            <v>INC</v>
          </cell>
          <cell r="D338" t="str">
            <v>421FLS</v>
          </cell>
          <cell r="E338" t="str">
            <v>FB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AD338">
            <v>0</v>
          </cell>
          <cell r="AF338">
            <v>0</v>
          </cell>
          <cell r="AG338"/>
        </row>
        <row r="339">
          <cell r="A339" t="str">
            <v>UEC</v>
          </cell>
          <cell r="B339" t="str">
            <v>5A</v>
          </cell>
          <cell r="C339" t="str">
            <v>INC</v>
          </cell>
          <cell r="D339" t="str">
            <v>421FLS</v>
          </cell>
          <cell r="E339" t="str">
            <v>FB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AD339">
            <v>0</v>
          </cell>
          <cell r="AF339">
            <v>0</v>
          </cell>
          <cell r="AG339"/>
        </row>
        <row r="340">
          <cell r="A340" t="str">
            <v>UEC</v>
          </cell>
          <cell r="B340" t="str">
            <v>5A</v>
          </cell>
          <cell r="C340" t="str">
            <v>REV</v>
          </cell>
          <cell r="D340" t="str">
            <v>421FLS</v>
          </cell>
          <cell r="E340" t="str">
            <v>FB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AD340">
            <v>0</v>
          </cell>
          <cell r="AF340">
            <v>0</v>
          </cell>
          <cell r="AG340"/>
        </row>
        <row r="341">
          <cell r="A341" t="str">
            <v>UEC</v>
          </cell>
          <cell r="B341" t="str">
            <v>5A</v>
          </cell>
          <cell r="C341" t="str">
            <v>INC</v>
          </cell>
          <cell r="D341" t="str">
            <v>421FLS</v>
          </cell>
          <cell r="E341" t="str">
            <v>98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AD341">
            <v>0</v>
          </cell>
          <cell r="AF341">
            <v>0</v>
          </cell>
          <cell r="AG341"/>
        </row>
        <row r="342">
          <cell r="A342" t="str">
            <v>UEC</v>
          </cell>
          <cell r="B342" t="str">
            <v>5A</v>
          </cell>
          <cell r="C342" t="str">
            <v>INC</v>
          </cell>
          <cell r="D342" t="str">
            <v>421FLS</v>
          </cell>
          <cell r="E342" t="str">
            <v>98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AD342">
            <v>0</v>
          </cell>
          <cell r="AF342">
            <v>0</v>
          </cell>
          <cell r="AG342"/>
        </row>
        <row r="343">
          <cell r="A343" t="str">
            <v>UEC</v>
          </cell>
          <cell r="B343" t="str">
            <v>5A</v>
          </cell>
          <cell r="C343" t="str">
            <v>REV</v>
          </cell>
          <cell r="D343" t="str">
            <v>421FLS</v>
          </cell>
          <cell r="E343" t="str">
            <v>98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AD343">
            <v>0</v>
          </cell>
          <cell r="AF343">
            <v>0</v>
          </cell>
          <cell r="AG343"/>
        </row>
        <row r="344">
          <cell r="A344" t="str">
            <v>UEC</v>
          </cell>
          <cell r="B344" t="str">
            <v>5A</v>
          </cell>
          <cell r="C344" t="str">
            <v>REV</v>
          </cell>
          <cell r="D344" t="str">
            <v>421FLS</v>
          </cell>
          <cell r="E344" t="str">
            <v>98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AD344">
            <v>0</v>
          </cell>
          <cell r="AF344">
            <v>0</v>
          </cell>
          <cell r="AG344"/>
        </row>
        <row r="345">
          <cell r="A345" t="str">
            <v>UEC</v>
          </cell>
          <cell r="B345" t="str">
            <v>5A</v>
          </cell>
          <cell r="C345" t="str">
            <v>REV</v>
          </cell>
          <cell r="D345" t="str">
            <v>421REV</v>
          </cell>
          <cell r="E345" t="str">
            <v>91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AD345">
            <v>0</v>
          </cell>
          <cell r="AF345">
            <v>0</v>
          </cell>
          <cell r="AG345"/>
        </row>
        <row r="346">
          <cell r="A346" t="str">
            <v>UEC</v>
          </cell>
          <cell r="B346" t="str">
            <v>5A</v>
          </cell>
          <cell r="C346" t="str">
            <v>REV</v>
          </cell>
          <cell r="D346" t="str">
            <v>421REV</v>
          </cell>
          <cell r="E346" t="str">
            <v>98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AD346">
            <v>0</v>
          </cell>
          <cell r="AF346">
            <v>0</v>
          </cell>
          <cell r="AG346"/>
        </row>
        <row r="347">
          <cell r="A347" t="str">
            <v>UEC</v>
          </cell>
          <cell r="B347" t="str">
            <v>5A</v>
          </cell>
          <cell r="C347" t="str">
            <v>REV</v>
          </cell>
          <cell r="D347" t="str">
            <v>421128</v>
          </cell>
          <cell r="E347" t="str">
            <v>98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AD347">
            <v>0</v>
          </cell>
          <cell r="AF347">
            <v>0</v>
          </cell>
          <cell r="AG347"/>
        </row>
        <row r="348">
          <cell r="A348" t="str">
            <v>UEC</v>
          </cell>
          <cell r="B348" t="str">
            <v>5A</v>
          </cell>
          <cell r="C348" t="str">
            <v>REV</v>
          </cell>
          <cell r="D348" t="str">
            <v>421133</v>
          </cell>
          <cell r="E348" t="str">
            <v>98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AD348">
            <v>0</v>
          </cell>
          <cell r="AF348">
            <v>0</v>
          </cell>
          <cell r="AG348"/>
        </row>
        <row r="349">
          <cell r="A349" t="str">
            <v>UEC</v>
          </cell>
          <cell r="B349" t="str">
            <v>5A</v>
          </cell>
          <cell r="C349" t="str">
            <v>REV</v>
          </cell>
          <cell r="D349" t="str">
            <v>421133</v>
          </cell>
          <cell r="E349" t="str">
            <v>98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AD349">
            <v>0</v>
          </cell>
          <cell r="AF349">
            <v>0</v>
          </cell>
          <cell r="AG349"/>
        </row>
        <row r="350">
          <cell r="A350" t="str">
            <v>UEC</v>
          </cell>
          <cell r="B350" t="str">
            <v>5A</v>
          </cell>
          <cell r="C350" t="str">
            <v>086</v>
          </cell>
          <cell r="D350" t="str">
            <v>456AFS</v>
          </cell>
          <cell r="E350" t="str">
            <v>FB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AD350">
            <v>0</v>
          </cell>
          <cell r="AF350">
            <v>0</v>
          </cell>
          <cell r="AG350"/>
        </row>
        <row r="351">
          <cell r="A351" t="str">
            <v>UEC</v>
          </cell>
          <cell r="B351" t="str">
            <v>5A</v>
          </cell>
          <cell r="C351" t="str">
            <v>086</v>
          </cell>
          <cell r="D351" t="str">
            <v>456MV1</v>
          </cell>
          <cell r="E351" t="str">
            <v>FB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AD351">
            <v>0</v>
          </cell>
          <cell r="AF351">
            <v>0</v>
          </cell>
          <cell r="AG351"/>
        </row>
        <row r="352">
          <cell r="A352" t="str">
            <v>UEC</v>
          </cell>
          <cell r="B352" t="str">
            <v>5A</v>
          </cell>
          <cell r="C352" t="str">
            <v>086</v>
          </cell>
          <cell r="D352" t="str">
            <v>456601</v>
          </cell>
          <cell r="E352" t="str">
            <v>FB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AD352">
            <v>0</v>
          </cell>
          <cell r="AF352">
            <v>0</v>
          </cell>
          <cell r="AG352"/>
        </row>
        <row r="353">
          <cell r="A353" t="str">
            <v>UEC</v>
          </cell>
          <cell r="B353" t="str">
            <v>5A</v>
          </cell>
          <cell r="C353" t="str">
            <v>086</v>
          </cell>
          <cell r="D353" t="str">
            <v>502600</v>
          </cell>
          <cell r="E353" t="str">
            <v>FB</v>
          </cell>
          <cell r="F353">
            <v>355589.94</v>
          </cell>
          <cell r="G353">
            <v>355589.94</v>
          </cell>
          <cell r="H353">
            <v>355589.94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AD353">
            <v>355589.94</v>
          </cell>
          <cell r="AF353">
            <v>1066769.82</v>
          </cell>
          <cell r="AG353"/>
        </row>
        <row r="354">
          <cell r="A354" t="str">
            <v>UEC</v>
          </cell>
          <cell r="B354" t="str">
            <v>5A</v>
          </cell>
          <cell r="C354" t="str">
            <v>086</v>
          </cell>
          <cell r="D354" t="str">
            <v>547CIP</v>
          </cell>
          <cell r="E354" t="str">
            <v>FB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AD354">
            <v>0</v>
          </cell>
          <cell r="AF354">
            <v>0</v>
          </cell>
          <cell r="AG354"/>
        </row>
        <row r="355">
          <cell r="A355" t="str">
            <v>UEC</v>
          </cell>
          <cell r="B355" t="str">
            <v>5A</v>
          </cell>
          <cell r="C355" t="str">
            <v>086</v>
          </cell>
          <cell r="D355" t="str">
            <v>547GEN</v>
          </cell>
          <cell r="E355" t="str">
            <v>FB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AD355">
            <v>0</v>
          </cell>
          <cell r="AF355">
            <v>0</v>
          </cell>
          <cell r="AG355" t="str">
            <v>gas</v>
          </cell>
        </row>
        <row r="356">
          <cell r="A356" t="str">
            <v>UEC</v>
          </cell>
          <cell r="B356" t="str">
            <v>5A</v>
          </cell>
          <cell r="C356" t="str">
            <v>086</v>
          </cell>
          <cell r="D356" t="str">
            <v>547IPC</v>
          </cell>
          <cell r="E356" t="str">
            <v>FB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AD356">
            <v>0</v>
          </cell>
          <cell r="AF356">
            <v>0</v>
          </cell>
          <cell r="AG356" t="str">
            <v>gas</v>
          </cell>
        </row>
        <row r="357">
          <cell r="A357" t="str">
            <v>UEC</v>
          </cell>
          <cell r="B357" t="str">
            <v>5A</v>
          </cell>
          <cell r="C357" t="str">
            <v>086</v>
          </cell>
          <cell r="D357" t="str">
            <v>547MV1</v>
          </cell>
          <cell r="E357" t="str">
            <v>FB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AD357">
            <v>0</v>
          </cell>
          <cell r="AF357">
            <v>0</v>
          </cell>
          <cell r="AG357" t="str">
            <v>gas</v>
          </cell>
        </row>
        <row r="358">
          <cell r="A358" t="str">
            <v>UEC</v>
          </cell>
          <cell r="B358" t="str">
            <v>5A</v>
          </cell>
          <cell r="C358" t="str">
            <v>086</v>
          </cell>
          <cell r="D358" t="str">
            <v>5470CO</v>
          </cell>
          <cell r="E358" t="str">
            <v>FB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AD358">
            <v>0</v>
          </cell>
          <cell r="AF358">
            <v>0</v>
          </cell>
          <cell r="AG358"/>
        </row>
        <row r="359">
          <cell r="A359" t="str">
            <v>UEC</v>
          </cell>
          <cell r="B359" t="str">
            <v>5A</v>
          </cell>
          <cell r="C359" t="str">
            <v>086</v>
          </cell>
          <cell r="D359" t="str">
            <v>547003</v>
          </cell>
          <cell r="E359" t="str">
            <v>FB</v>
          </cell>
          <cell r="F359">
            <v>386.5</v>
          </cell>
          <cell r="G359">
            <v>293212.34999999998</v>
          </cell>
          <cell r="H359">
            <v>14.6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AD359">
            <v>14.6</v>
          </cell>
          <cell r="AF359">
            <v>293613.44999999995</v>
          </cell>
          <cell r="AG359" t="str">
            <v>Gas</v>
          </cell>
        </row>
        <row r="360">
          <cell r="A360" t="str">
            <v>UEC</v>
          </cell>
          <cell r="B360" t="str">
            <v>5A</v>
          </cell>
          <cell r="C360" t="str">
            <v>086</v>
          </cell>
          <cell r="D360" t="str">
            <v>54701F</v>
          </cell>
          <cell r="E360" t="str">
            <v>FB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AD360">
            <v>0</v>
          </cell>
          <cell r="AF360">
            <v>0</v>
          </cell>
          <cell r="AG360" t="str">
            <v>gas</v>
          </cell>
        </row>
        <row r="361">
          <cell r="A361" t="str">
            <v>UEC</v>
          </cell>
          <cell r="B361" t="str">
            <v>5A</v>
          </cell>
          <cell r="C361" t="str">
            <v>086</v>
          </cell>
          <cell r="D361" t="str">
            <v>547013</v>
          </cell>
          <cell r="E361" t="str">
            <v>FB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AD361">
            <v>0</v>
          </cell>
          <cell r="AF361">
            <v>0</v>
          </cell>
          <cell r="AG361" t="str">
            <v>Gas</v>
          </cell>
        </row>
        <row r="362">
          <cell r="A362" t="str">
            <v>UEC</v>
          </cell>
          <cell r="B362" t="str">
            <v>5A</v>
          </cell>
          <cell r="C362" t="str">
            <v>INC</v>
          </cell>
          <cell r="D362" t="str">
            <v>557001</v>
          </cell>
          <cell r="E362" t="str">
            <v>FB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AD362">
            <v>0</v>
          </cell>
          <cell r="AF362">
            <v>0</v>
          </cell>
          <cell r="AG362"/>
        </row>
        <row r="363">
          <cell r="A363" t="str">
            <v>UEC</v>
          </cell>
          <cell r="B363" t="str">
            <v>5A</v>
          </cell>
          <cell r="C363" t="str">
            <v>INC</v>
          </cell>
          <cell r="D363" t="str">
            <v>557001</v>
          </cell>
          <cell r="E363" t="str">
            <v>FB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AD363">
            <v>0</v>
          </cell>
          <cell r="AF363">
            <v>0</v>
          </cell>
          <cell r="AG363"/>
        </row>
        <row r="364">
          <cell r="A364" t="str">
            <v>UEC</v>
          </cell>
          <cell r="B364" t="str">
            <v>5T</v>
          </cell>
          <cell r="C364" t="str">
            <v>REV</v>
          </cell>
          <cell r="D364" t="str">
            <v>421REV</v>
          </cell>
          <cell r="E364" t="str">
            <v>PG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AD364">
            <v>0</v>
          </cell>
          <cell r="AF364">
            <v>0</v>
          </cell>
          <cell r="AG364"/>
        </row>
        <row r="365">
          <cell r="A365" t="str">
            <v>UEC</v>
          </cell>
          <cell r="B365" t="str">
            <v>5T</v>
          </cell>
          <cell r="C365" t="str">
            <v>REV</v>
          </cell>
          <cell r="D365" t="str">
            <v>421REV</v>
          </cell>
          <cell r="E365" t="str">
            <v>PG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AD365">
            <v>0</v>
          </cell>
          <cell r="AF365">
            <v>0</v>
          </cell>
          <cell r="AG365"/>
        </row>
        <row r="366">
          <cell r="A366" t="str">
            <v>UEC</v>
          </cell>
          <cell r="B366" t="str">
            <v>5T</v>
          </cell>
          <cell r="C366" t="str">
            <v>REV</v>
          </cell>
          <cell r="D366" t="str">
            <v>421REV</v>
          </cell>
          <cell r="E366" t="str">
            <v>91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AD366">
            <v>0</v>
          </cell>
          <cell r="AF366">
            <v>0</v>
          </cell>
          <cell r="AG366"/>
        </row>
        <row r="367">
          <cell r="A367" t="str">
            <v>UEC</v>
          </cell>
          <cell r="B367" t="str">
            <v>5T</v>
          </cell>
          <cell r="C367" t="str">
            <v>REV</v>
          </cell>
          <cell r="D367" t="str">
            <v>421133</v>
          </cell>
          <cell r="E367" t="str">
            <v>91</v>
          </cell>
          <cell r="F367">
            <v>-238080.45</v>
          </cell>
          <cell r="G367">
            <v>-96712.01</v>
          </cell>
          <cell r="H367">
            <v>-33063.769999999997</v>
          </cell>
          <cell r="I367">
            <v>9793.36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AD367">
            <v>-33063.769999999997</v>
          </cell>
          <cell r="AF367">
            <v>-367856.23000000004</v>
          </cell>
          <cell r="AG367"/>
        </row>
        <row r="368">
          <cell r="A368" t="str">
            <v>UEC</v>
          </cell>
          <cell r="B368" t="str">
            <v>50</v>
          </cell>
          <cell r="C368" t="str">
            <v>086</v>
          </cell>
          <cell r="D368" t="str">
            <v>INTGEN</v>
          </cell>
          <cell r="E368" t="str">
            <v>FI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AD368">
            <v>0</v>
          </cell>
          <cell r="AF368">
            <v>0</v>
          </cell>
          <cell r="AG368"/>
        </row>
        <row r="369">
          <cell r="A369" t="str">
            <v>UEC</v>
          </cell>
          <cell r="B369" t="str">
            <v>50</v>
          </cell>
          <cell r="C369" t="str">
            <v>INC</v>
          </cell>
          <cell r="D369" t="str">
            <v>411008</v>
          </cell>
          <cell r="E369" t="str">
            <v>EI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AD369">
            <v>0</v>
          </cell>
          <cell r="AF369">
            <v>0</v>
          </cell>
          <cell r="AG369"/>
        </row>
        <row r="370">
          <cell r="A370" t="str">
            <v>UEC</v>
          </cell>
          <cell r="B370" t="str">
            <v>50</v>
          </cell>
          <cell r="C370" t="str">
            <v>087</v>
          </cell>
          <cell r="D370" t="str">
            <v>411008</v>
          </cell>
          <cell r="E370" t="str">
            <v>EX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AD370">
            <v>0</v>
          </cell>
          <cell r="AF370">
            <v>0</v>
          </cell>
          <cell r="AG370"/>
        </row>
        <row r="371">
          <cell r="A371" t="str">
            <v>UEC</v>
          </cell>
          <cell r="B371" t="str">
            <v>50</v>
          </cell>
          <cell r="C371" t="str">
            <v>087</v>
          </cell>
          <cell r="D371" t="str">
            <v>411008</v>
          </cell>
          <cell r="E371" t="str">
            <v>EX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AD371">
            <v>0</v>
          </cell>
          <cell r="AF371">
            <v>0</v>
          </cell>
          <cell r="AG371"/>
        </row>
        <row r="372">
          <cell r="A372" t="str">
            <v>UEC</v>
          </cell>
          <cell r="B372" t="str">
            <v>50</v>
          </cell>
          <cell r="C372" t="str">
            <v>INC</v>
          </cell>
          <cell r="D372" t="str">
            <v>411008</v>
          </cell>
          <cell r="E372" t="str">
            <v>EX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AD372">
            <v>0</v>
          </cell>
          <cell r="AF372">
            <v>0</v>
          </cell>
          <cell r="AG372"/>
        </row>
        <row r="373">
          <cell r="A373" t="str">
            <v>UEC</v>
          </cell>
          <cell r="B373" t="str">
            <v>50</v>
          </cell>
          <cell r="C373" t="str">
            <v>087</v>
          </cell>
          <cell r="D373" t="str">
            <v>411008</v>
          </cell>
          <cell r="E373" t="str">
            <v>EX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AD373">
            <v>0</v>
          </cell>
          <cell r="AF373">
            <v>0</v>
          </cell>
          <cell r="AG373"/>
        </row>
        <row r="374">
          <cell r="A374" t="str">
            <v>UEC</v>
          </cell>
          <cell r="B374" t="str">
            <v>50</v>
          </cell>
          <cell r="C374" t="str">
            <v>INC</v>
          </cell>
          <cell r="D374" t="str">
            <v>411008</v>
          </cell>
          <cell r="E374" t="str">
            <v>FB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AD374">
            <v>0</v>
          </cell>
          <cell r="AF374">
            <v>0</v>
          </cell>
          <cell r="AG374"/>
        </row>
        <row r="375">
          <cell r="A375" t="str">
            <v>UEC</v>
          </cell>
          <cell r="B375" t="str">
            <v>50</v>
          </cell>
          <cell r="C375" t="str">
            <v>INC</v>
          </cell>
          <cell r="D375" t="str">
            <v>411008</v>
          </cell>
          <cell r="E375" t="str">
            <v>FB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AD375">
            <v>0</v>
          </cell>
          <cell r="AF375">
            <v>0</v>
          </cell>
          <cell r="AG375"/>
        </row>
        <row r="376">
          <cell r="A376" t="str">
            <v>UEC</v>
          </cell>
          <cell r="B376" t="str">
            <v>50</v>
          </cell>
          <cell r="C376" t="str">
            <v>087</v>
          </cell>
          <cell r="D376" t="str">
            <v>411008</v>
          </cell>
          <cell r="E376" t="str">
            <v>98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AD376">
            <v>0</v>
          </cell>
          <cell r="AF376">
            <v>0</v>
          </cell>
          <cell r="AG376"/>
        </row>
        <row r="377">
          <cell r="A377" t="str">
            <v>UEC</v>
          </cell>
          <cell r="B377" t="str">
            <v>50</v>
          </cell>
          <cell r="C377" t="str">
            <v>086</v>
          </cell>
          <cell r="D377" t="str">
            <v>501001</v>
          </cell>
          <cell r="E377" t="str">
            <v>FB</v>
          </cell>
          <cell r="F377">
            <v>2692095.69</v>
          </cell>
          <cell r="G377">
            <v>1874436.22</v>
          </cell>
          <cell r="H377">
            <v>2220093.59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AD377">
            <v>2220093.59</v>
          </cell>
          <cell r="AF377">
            <v>6786625.5</v>
          </cell>
          <cell r="AG377" t="str">
            <v>Coal</v>
          </cell>
        </row>
        <row r="378">
          <cell r="A378" t="str">
            <v>UEC</v>
          </cell>
          <cell r="B378" t="str">
            <v>50</v>
          </cell>
          <cell r="C378" t="str">
            <v>086</v>
          </cell>
          <cell r="D378" t="str">
            <v>501001</v>
          </cell>
          <cell r="E378" t="str">
            <v>FB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AD378">
            <v>0</v>
          </cell>
          <cell r="AF378">
            <v>0</v>
          </cell>
          <cell r="AG378" t="str">
            <v>Coal</v>
          </cell>
        </row>
        <row r="379">
          <cell r="A379" t="str">
            <v>UEC</v>
          </cell>
          <cell r="B379" t="str">
            <v>50</v>
          </cell>
          <cell r="C379" t="str">
            <v>086</v>
          </cell>
          <cell r="D379" t="str">
            <v>501001</v>
          </cell>
          <cell r="E379" t="str">
            <v>FI</v>
          </cell>
          <cell r="F379">
            <v>975609.61</v>
          </cell>
          <cell r="G379">
            <v>1437288.55</v>
          </cell>
          <cell r="H379">
            <v>1607653.98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AD379">
            <v>1607653.98</v>
          </cell>
          <cell r="AF379">
            <v>4020552.14</v>
          </cell>
          <cell r="AG379" t="str">
            <v>Coal</v>
          </cell>
        </row>
        <row r="380">
          <cell r="A380" t="str">
            <v>UEC</v>
          </cell>
          <cell r="B380" t="str">
            <v>50</v>
          </cell>
          <cell r="C380" t="str">
            <v>086</v>
          </cell>
          <cell r="D380" t="str">
            <v>501001</v>
          </cell>
          <cell r="E380" t="str">
            <v>FI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AD380">
            <v>0</v>
          </cell>
          <cell r="AF380">
            <v>0</v>
          </cell>
          <cell r="AG380" t="str">
            <v>Coal</v>
          </cell>
        </row>
        <row r="381">
          <cell r="A381" t="str">
            <v>UEC</v>
          </cell>
          <cell r="B381" t="str">
            <v>50</v>
          </cell>
          <cell r="C381" t="str">
            <v>086</v>
          </cell>
          <cell r="D381" t="str">
            <v>501003</v>
          </cell>
          <cell r="E381" t="str">
            <v>FB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AD381">
            <v>0</v>
          </cell>
          <cell r="AF381">
            <v>0</v>
          </cell>
          <cell r="AG381" t="str">
            <v>Gas</v>
          </cell>
        </row>
        <row r="382">
          <cell r="A382" t="str">
            <v>UEC</v>
          </cell>
          <cell r="B382" t="str">
            <v>50</v>
          </cell>
          <cell r="C382" t="str">
            <v>086</v>
          </cell>
          <cell r="D382" t="str">
            <v>501003</v>
          </cell>
          <cell r="E382" t="str">
            <v>FB</v>
          </cell>
          <cell r="F382">
            <v>28638.61</v>
          </cell>
          <cell r="G382">
            <v>18278.98</v>
          </cell>
          <cell r="H382">
            <v>42795.66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AD382">
            <v>42795.66</v>
          </cell>
          <cell r="AF382">
            <v>89713.25</v>
          </cell>
          <cell r="AG382" t="str">
            <v>Gas</v>
          </cell>
        </row>
        <row r="383">
          <cell r="A383" t="str">
            <v>UEC</v>
          </cell>
          <cell r="B383" t="str">
            <v>50</v>
          </cell>
          <cell r="C383" t="str">
            <v>086</v>
          </cell>
          <cell r="D383" t="str">
            <v>501003</v>
          </cell>
          <cell r="E383" t="str">
            <v>FI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AD383">
            <v>0</v>
          </cell>
          <cell r="AF383">
            <v>0</v>
          </cell>
          <cell r="AG383" t="str">
            <v>Gas</v>
          </cell>
        </row>
        <row r="384">
          <cell r="A384" t="str">
            <v>UEC</v>
          </cell>
          <cell r="B384" t="str">
            <v>50</v>
          </cell>
          <cell r="C384" t="str">
            <v>086</v>
          </cell>
          <cell r="D384" t="str">
            <v>501004</v>
          </cell>
          <cell r="E384" t="str">
            <v>FB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AD384">
            <v>0</v>
          </cell>
          <cell r="AF384">
            <v>0</v>
          </cell>
          <cell r="AG384" t="str">
            <v>Propane</v>
          </cell>
        </row>
        <row r="385">
          <cell r="A385" t="str">
            <v>UEC</v>
          </cell>
          <cell r="B385" t="str">
            <v>50</v>
          </cell>
          <cell r="C385" t="str">
            <v>086</v>
          </cell>
          <cell r="D385" t="str">
            <v>501011</v>
          </cell>
          <cell r="E385" t="str">
            <v>FI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AD385">
            <v>0</v>
          </cell>
          <cell r="AF385">
            <v>0</v>
          </cell>
          <cell r="AG385" t="str">
            <v>Coal</v>
          </cell>
        </row>
        <row r="386">
          <cell r="A386" t="str">
            <v>UEC</v>
          </cell>
          <cell r="B386" t="str">
            <v>50</v>
          </cell>
          <cell r="C386" t="str">
            <v>086</v>
          </cell>
          <cell r="D386" t="str">
            <v>501011</v>
          </cell>
          <cell r="E386" t="str">
            <v>FI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AD386">
            <v>0</v>
          </cell>
          <cell r="AF386">
            <v>0</v>
          </cell>
          <cell r="AG386" t="str">
            <v>Coal</v>
          </cell>
        </row>
        <row r="387">
          <cell r="A387" t="str">
            <v>UEC</v>
          </cell>
          <cell r="B387" t="str">
            <v>50</v>
          </cell>
          <cell r="C387" t="str">
            <v>086</v>
          </cell>
          <cell r="D387" t="str">
            <v>501013</v>
          </cell>
          <cell r="E387" t="str">
            <v>FI</v>
          </cell>
          <cell r="F387">
            <v>10352.209999999999</v>
          </cell>
          <cell r="G387">
            <v>14006.45</v>
          </cell>
          <cell r="H387">
            <v>31047.3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AD387">
            <v>31047.3</v>
          </cell>
          <cell r="AF387">
            <v>55405.96</v>
          </cell>
          <cell r="AG387" t="str">
            <v>Gas</v>
          </cell>
        </row>
        <row r="388">
          <cell r="A388" t="str">
            <v>UEC</v>
          </cell>
          <cell r="B388" t="str">
            <v>50</v>
          </cell>
          <cell r="C388" t="str">
            <v>086</v>
          </cell>
          <cell r="D388" t="str">
            <v>501013</v>
          </cell>
          <cell r="E388" t="str">
            <v>FI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AD388">
            <v>0</v>
          </cell>
          <cell r="AF388">
            <v>0</v>
          </cell>
          <cell r="AG388" t="str">
            <v>Gas</v>
          </cell>
        </row>
        <row r="389">
          <cell r="A389" t="str">
            <v>UEC</v>
          </cell>
          <cell r="B389" t="str">
            <v>50</v>
          </cell>
          <cell r="C389" t="str">
            <v>086</v>
          </cell>
          <cell r="D389" t="str">
            <v>501013</v>
          </cell>
          <cell r="E389" t="str">
            <v>FI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AD389">
            <v>0</v>
          </cell>
          <cell r="AF389">
            <v>0</v>
          </cell>
          <cell r="AG389" t="str">
            <v>Gas</v>
          </cell>
        </row>
        <row r="390">
          <cell r="A390" t="str">
            <v>UEC</v>
          </cell>
          <cell r="B390" t="str">
            <v>50</v>
          </cell>
          <cell r="C390" t="str">
            <v>086</v>
          </cell>
          <cell r="D390" t="str">
            <v>501014</v>
          </cell>
          <cell r="E390" t="str">
            <v>FI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AD390">
            <v>0</v>
          </cell>
          <cell r="AF390">
            <v>0</v>
          </cell>
          <cell r="AG390" t="str">
            <v>PetCoke</v>
          </cell>
        </row>
        <row r="391">
          <cell r="A391" t="str">
            <v>UEC</v>
          </cell>
          <cell r="B391" t="str">
            <v>50</v>
          </cell>
          <cell r="C391" t="str">
            <v>086</v>
          </cell>
          <cell r="D391" t="str">
            <v>501014</v>
          </cell>
          <cell r="E391" t="str">
            <v>FI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AD391">
            <v>0</v>
          </cell>
          <cell r="AF391">
            <v>0</v>
          </cell>
          <cell r="AG391" t="str">
            <v>PetCoke</v>
          </cell>
        </row>
        <row r="392">
          <cell r="A392" t="str">
            <v>UEC</v>
          </cell>
          <cell r="B392" t="str">
            <v>50</v>
          </cell>
          <cell r="C392" t="str">
            <v>086</v>
          </cell>
          <cell r="D392" t="str">
            <v>501110</v>
          </cell>
          <cell r="E392" t="str">
            <v>FB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AD392">
            <v>0</v>
          </cell>
          <cell r="AF392">
            <v>0</v>
          </cell>
          <cell r="AG392" t="str">
            <v>Coal</v>
          </cell>
        </row>
        <row r="393">
          <cell r="A393" t="str">
            <v>UEC</v>
          </cell>
          <cell r="B393" t="str">
            <v>50</v>
          </cell>
          <cell r="C393" t="str">
            <v>086</v>
          </cell>
          <cell r="D393" t="str">
            <v>501110</v>
          </cell>
          <cell r="E393" t="str">
            <v>FB</v>
          </cell>
          <cell r="F393">
            <v>3732804.42</v>
          </cell>
          <cell r="G393">
            <v>2744536.47</v>
          </cell>
          <cell r="H393">
            <v>3283843.08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AD393">
            <v>3283843.08</v>
          </cell>
          <cell r="AF393">
            <v>9761183.9700000007</v>
          </cell>
          <cell r="AG393" t="str">
            <v>Coal</v>
          </cell>
        </row>
        <row r="394">
          <cell r="A394" t="str">
            <v>UEC</v>
          </cell>
          <cell r="B394" t="str">
            <v>50</v>
          </cell>
          <cell r="C394" t="str">
            <v>086</v>
          </cell>
          <cell r="D394" t="str">
            <v>501110</v>
          </cell>
          <cell r="E394" t="str">
            <v>FI</v>
          </cell>
          <cell r="F394">
            <v>1352760.18</v>
          </cell>
          <cell r="G394">
            <v>2104467.89</v>
          </cell>
          <cell r="H394">
            <v>2377955.33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AD394">
            <v>2377955.33</v>
          </cell>
          <cell r="AF394">
            <v>5835183.4000000004</v>
          </cell>
          <cell r="AG394" t="str">
            <v>Coal</v>
          </cell>
        </row>
        <row r="395">
          <cell r="A395" t="str">
            <v>UEC</v>
          </cell>
          <cell r="B395" t="str">
            <v>50</v>
          </cell>
          <cell r="C395" t="str">
            <v>086</v>
          </cell>
          <cell r="D395" t="str">
            <v>501110</v>
          </cell>
          <cell r="E395" t="str">
            <v>FI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AD395">
            <v>0</v>
          </cell>
          <cell r="AF395">
            <v>0</v>
          </cell>
          <cell r="AG395" t="str">
            <v>Coal</v>
          </cell>
        </row>
        <row r="396">
          <cell r="A396" t="str">
            <v>UEC</v>
          </cell>
          <cell r="B396" t="str">
            <v>50</v>
          </cell>
          <cell r="C396" t="str">
            <v>086</v>
          </cell>
          <cell r="D396" t="str">
            <v>509</v>
          </cell>
          <cell r="E396" t="str">
            <v>FB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AD396">
            <v>0</v>
          </cell>
          <cell r="AF396">
            <v>0</v>
          </cell>
          <cell r="AG396" t="str">
            <v>SO2</v>
          </cell>
        </row>
        <row r="397">
          <cell r="A397" t="str">
            <v>UEC</v>
          </cell>
          <cell r="B397" t="str">
            <v>52</v>
          </cell>
          <cell r="C397" t="str">
            <v>086</v>
          </cell>
          <cell r="D397" t="str">
            <v>INTGEN</v>
          </cell>
          <cell r="E397" t="str">
            <v>FI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AD397">
            <v>0</v>
          </cell>
          <cell r="AF397">
            <v>0</v>
          </cell>
          <cell r="AG397"/>
        </row>
        <row r="398">
          <cell r="A398" t="str">
            <v>UEC</v>
          </cell>
          <cell r="B398" t="str">
            <v>53</v>
          </cell>
          <cell r="C398" t="str">
            <v>086</v>
          </cell>
          <cell r="D398" t="str">
            <v>INTGEN</v>
          </cell>
          <cell r="E398" t="str">
            <v>FI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AD398">
            <v>0</v>
          </cell>
          <cell r="AF398">
            <v>0</v>
          </cell>
          <cell r="AG398"/>
        </row>
        <row r="399">
          <cell r="A399" t="str">
            <v>UEC</v>
          </cell>
          <cell r="B399" t="str">
            <v>53</v>
          </cell>
          <cell r="C399" t="str">
            <v>INC</v>
          </cell>
          <cell r="D399" t="str">
            <v>411008</v>
          </cell>
          <cell r="E399" t="str">
            <v>EI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AD399">
            <v>0</v>
          </cell>
          <cell r="AF399">
            <v>0</v>
          </cell>
          <cell r="AG399"/>
        </row>
        <row r="400">
          <cell r="A400" t="str">
            <v>UEC</v>
          </cell>
          <cell r="B400" t="str">
            <v>53</v>
          </cell>
          <cell r="C400" t="str">
            <v>INC</v>
          </cell>
          <cell r="D400" t="str">
            <v>411008</v>
          </cell>
          <cell r="E400" t="str">
            <v>EX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AD400">
            <v>0</v>
          </cell>
          <cell r="AF400">
            <v>0</v>
          </cell>
          <cell r="AG400"/>
        </row>
        <row r="401">
          <cell r="A401" t="str">
            <v>UEC</v>
          </cell>
          <cell r="B401" t="str">
            <v>53</v>
          </cell>
          <cell r="C401" t="str">
            <v>087</v>
          </cell>
          <cell r="D401" t="str">
            <v>411008</v>
          </cell>
          <cell r="E401" t="str">
            <v>EX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AD401">
            <v>0</v>
          </cell>
          <cell r="AF401">
            <v>0</v>
          </cell>
          <cell r="AG401"/>
        </row>
        <row r="402">
          <cell r="A402" t="str">
            <v>UEC</v>
          </cell>
          <cell r="B402" t="str">
            <v>53</v>
          </cell>
          <cell r="C402" t="str">
            <v>087</v>
          </cell>
          <cell r="D402" t="str">
            <v>411008</v>
          </cell>
          <cell r="E402" t="str">
            <v>EX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AD402">
            <v>0</v>
          </cell>
          <cell r="AF402">
            <v>0</v>
          </cell>
          <cell r="AG402"/>
        </row>
        <row r="403">
          <cell r="A403" t="str">
            <v>UEC</v>
          </cell>
          <cell r="B403" t="str">
            <v>53</v>
          </cell>
          <cell r="C403" t="str">
            <v>087</v>
          </cell>
          <cell r="D403" t="str">
            <v>411008</v>
          </cell>
          <cell r="E403" t="str">
            <v>EX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AD403">
            <v>0</v>
          </cell>
          <cell r="AF403">
            <v>0</v>
          </cell>
          <cell r="AG403"/>
        </row>
        <row r="404">
          <cell r="A404" t="str">
            <v>UEC</v>
          </cell>
          <cell r="B404" t="str">
            <v>53</v>
          </cell>
          <cell r="C404" t="str">
            <v>INC</v>
          </cell>
          <cell r="D404" t="str">
            <v>411008</v>
          </cell>
          <cell r="E404" t="str">
            <v>FB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AD404">
            <v>0</v>
          </cell>
          <cell r="AF404">
            <v>0</v>
          </cell>
          <cell r="AG404"/>
        </row>
        <row r="405">
          <cell r="A405" t="str">
            <v>UEC</v>
          </cell>
          <cell r="B405" t="str">
            <v>53</v>
          </cell>
          <cell r="C405" t="str">
            <v>INC</v>
          </cell>
          <cell r="D405" t="str">
            <v>411008</v>
          </cell>
          <cell r="E405" t="str">
            <v>FB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AD405">
            <v>0</v>
          </cell>
          <cell r="AF405">
            <v>0</v>
          </cell>
          <cell r="AG405"/>
        </row>
        <row r="406">
          <cell r="A406" t="str">
            <v>UEC</v>
          </cell>
          <cell r="B406" t="str">
            <v>53</v>
          </cell>
          <cell r="C406" t="str">
            <v>087</v>
          </cell>
          <cell r="D406" t="str">
            <v>411008</v>
          </cell>
          <cell r="E406" t="str">
            <v>98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AD406">
            <v>0</v>
          </cell>
          <cell r="AF406">
            <v>0</v>
          </cell>
          <cell r="AG406"/>
        </row>
        <row r="407">
          <cell r="A407" t="str">
            <v>UEC</v>
          </cell>
          <cell r="B407" t="str">
            <v>53</v>
          </cell>
          <cell r="C407" t="str">
            <v>086</v>
          </cell>
          <cell r="D407" t="str">
            <v>501001</v>
          </cell>
          <cell r="E407" t="str">
            <v>FB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AD407">
            <v>0</v>
          </cell>
          <cell r="AF407">
            <v>0</v>
          </cell>
          <cell r="AG407" t="str">
            <v>Coal</v>
          </cell>
        </row>
        <row r="408">
          <cell r="A408" t="str">
            <v>UEC</v>
          </cell>
          <cell r="B408" t="str">
            <v>53</v>
          </cell>
          <cell r="C408" t="str">
            <v>086</v>
          </cell>
          <cell r="D408" t="str">
            <v>501001</v>
          </cell>
          <cell r="E408" t="str">
            <v>FB</v>
          </cell>
          <cell r="F408">
            <v>5677463.3499999996</v>
          </cell>
          <cell r="G408">
            <v>4781312.34</v>
          </cell>
          <cell r="H408">
            <v>4359689.2699999996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AD408">
            <v>4359689.2699999996</v>
          </cell>
          <cell r="AF408">
            <v>14818464.959999999</v>
          </cell>
          <cell r="AG408" t="str">
            <v>Coal</v>
          </cell>
        </row>
        <row r="409">
          <cell r="A409" t="str">
            <v>UEC</v>
          </cell>
          <cell r="B409" t="str">
            <v>53</v>
          </cell>
          <cell r="C409" t="str">
            <v>85B</v>
          </cell>
          <cell r="D409" t="str">
            <v>501001</v>
          </cell>
          <cell r="E409" t="str">
            <v>FB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AD409">
            <v>0</v>
          </cell>
          <cell r="AF409">
            <v>0</v>
          </cell>
          <cell r="AG409" t="str">
            <v>Coal</v>
          </cell>
        </row>
        <row r="410">
          <cell r="A410" t="str">
            <v>UEC</v>
          </cell>
          <cell r="B410" t="str">
            <v>53</v>
          </cell>
          <cell r="C410" t="str">
            <v>086</v>
          </cell>
          <cell r="D410" t="str">
            <v>501001</v>
          </cell>
          <cell r="E410" t="str">
            <v>FI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AD410">
            <v>0</v>
          </cell>
          <cell r="AF410">
            <v>0</v>
          </cell>
          <cell r="AG410" t="str">
            <v>Coal</v>
          </cell>
        </row>
        <row r="411">
          <cell r="A411" t="str">
            <v>UEC</v>
          </cell>
          <cell r="B411" t="str">
            <v>53</v>
          </cell>
          <cell r="C411" t="str">
            <v>086</v>
          </cell>
          <cell r="D411" t="str">
            <v>501001</v>
          </cell>
          <cell r="E411" t="str">
            <v>FI</v>
          </cell>
          <cell r="F411">
            <v>1033486.24</v>
          </cell>
          <cell r="G411">
            <v>1301782.24</v>
          </cell>
          <cell r="H411">
            <v>1391879.69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AD411">
            <v>1391879.69</v>
          </cell>
          <cell r="AF411">
            <v>3727148.17</v>
          </cell>
          <cell r="AG411" t="str">
            <v>Coal</v>
          </cell>
        </row>
        <row r="412">
          <cell r="A412" t="str">
            <v>UEC</v>
          </cell>
          <cell r="B412" t="str">
            <v>53</v>
          </cell>
          <cell r="C412" t="str">
            <v>086</v>
          </cell>
          <cell r="D412" t="str">
            <v>501002</v>
          </cell>
          <cell r="E412" t="str">
            <v>FB</v>
          </cell>
          <cell r="F412">
            <v>8543.84</v>
          </cell>
          <cell r="G412">
            <v>2881.77</v>
          </cell>
          <cell r="H412">
            <v>12751.41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AD412">
            <v>12751.41</v>
          </cell>
          <cell r="AF412">
            <v>24177.02</v>
          </cell>
          <cell r="AG412" t="str">
            <v>Oil</v>
          </cell>
        </row>
        <row r="413">
          <cell r="A413" t="str">
            <v>UEC</v>
          </cell>
          <cell r="B413" t="str">
            <v>53</v>
          </cell>
          <cell r="C413" t="str">
            <v>086</v>
          </cell>
          <cell r="D413" t="str">
            <v>501007</v>
          </cell>
          <cell r="E413" t="str">
            <v>FB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AD413">
            <v>0</v>
          </cell>
          <cell r="AF413">
            <v>0</v>
          </cell>
          <cell r="AG413" t="str">
            <v>TireChips</v>
          </cell>
        </row>
        <row r="414">
          <cell r="A414" t="str">
            <v>UEC</v>
          </cell>
          <cell r="B414" t="str">
            <v>53</v>
          </cell>
          <cell r="C414" t="str">
            <v>086</v>
          </cell>
          <cell r="D414" t="str">
            <v>501008</v>
          </cell>
          <cell r="E414" t="str">
            <v>FB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AD414">
            <v>0</v>
          </cell>
          <cell r="AF414">
            <v>0</v>
          </cell>
          <cell r="AG414" t="str">
            <v>PetCoke</v>
          </cell>
        </row>
        <row r="415">
          <cell r="A415" t="str">
            <v>UEC</v>
          </cell>
          <cell r="B415" t="str">
            <v>53</v>
          </cell>
          <cell r="C415" t="str">
            <v>086</v>
          </cell>
          <cell r="D415" t="str">
            <v>501011</v>
          </cell>
          <cell r="E415" t="str">
            <v>FI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AD415">
            <v>0</v>
          </cell>
          <cell r="AF415">
            <v>0</v>
          </cell>
          <cell r="AG415" t="str">
            <v>Coal</v>
          </cell>
        </row>
        <row r="416">
          <cell r="A416" t="str">
            <v>UEC</v>
          </cell>
          <cell r="B416" t="str">
            <v>53</v>
          </cell>
          <cell r="C416" t="str">
            <v>086</v>
          </cell>
          <cell r="D416" t="str">
            <v>501011</v>
          </cell>
          <cell r="E416" t="str">
            <v>FI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AD416">
            <v>0</v>
          </cell>
          <cell r="AF416">
            <v>0</v>
          </cell>
          <cell r="AG416" t="str">
            <v>Coal</v>
          </cell>
        </row>
        <row r="417">
          <cell r="A417" t="str">
            <v>UEC</v>
          </cell>
          <cell r="B417" t="str">
            <v>53</v>
          </cell>
          <cell r="C417" t="str">
            <v>086</v>
          </cell>
          <cell r="D417" t="str">
            <v>501012</v>
          </cell>
          <cell r="E417" t="str">
            <v>FI</v>
          </cell>
          <cell r="F417">
            <v>1555.26</v>
          </cell>
          <cell r="G417">
            <v>784.6</v>
          </cell>
          <cell r="H417">
            <v>4071.03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AD417">
            <v>4071.03</v>
          </cell>
          <cell r="AF417">
            <v>6410.89</v>
          </cell>
          <cell r="AG417" t="str">
            <v>Oil</v>
          </cell>
        </row>
        <row r="418">
          <cell r="A418" t="str">
            <v>UEC</v>
          </cell>
          <cell r="B418" t="str">
            <v>53</v>
          </cell>
          <cell r="C418" t="str">
            <v>086</v>
          </cell>
          <cell r="D418" t="str">
            <v>501012</v>
          </cell>
          <cell r="E418" t="str">
            <v>FI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AD418">
            <v>0</v>
          </cell>
          <cell r="AF418">
            <v>0</v>
          </cell>
          <cell r="AG418" t="str">
            <v>Oil</v>
          </cell>
        </row>
        <row r="419">
          <cell r="A419" t="str">
            <v>UEC</v>
          </cell>
          <cell r="B419" t="str">
            <v>53</v>
          </cell>
          <cell r="C419" t="str">
            <v>086</v>
          </cell>
          <cell r="D419" t="str">
            <v>501017</v>
          </cell>
          <cell r="E419" t="str">
            <v>FI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AD419">
            <v>0</v>
          </cell>
          <cell r="AF419">
            <v>0</v>
          </cell>
          <cell r="AG419" t="str">
            <v>TireChips</v>
          </cell>
        </row>
        <row r="420">
          <cell r="A420" t="str">
            <v>UEC</v>
          </cell>
          <cell r="B420" t="str">
            <v>53</v>
          </cell>
          <cell r="C420" t="str">
            <v>086</v>
          </cell>
          <cell r="D420" t="str">
            <v>501017</v>
          </cell>
          <cell r="E420" t="str">
            <v>FI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AD420">
            <v>0</v>
          </cell>
          <cell r="AF420">
            <v>0</v>
          </cell>
          <cell r="AG420" t="str">
            <v>TireChips</v>
          </cell>
        </row>
        <row r="421">
          <cell r="A421" t="str">
            <v>UEC</v>
          </cell>
          <cell r="B421" t="str">
            <v>53</v>
          </cell>
          <cell r="C421" t="str">
            <v>086</v>
          </cell>
          <cell r="D421" t="str">
            <v>501018</v>
          </cell>
          <cell r="E421" t="str">
            <v>FI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AD421">
            <v>0</v>
          </cell>
          <cell r="AF421">
            <v>0</v>
          </cell>
          <cell r="AG421" t="str">
            <v>PetCoke</v>
          </cell>
        </row>
        <row r="422">
          <cell r="A422" t="str">
            <v>UEC</v>
          </cell>
          <cell r="B422" t="str">
            <v>53</v>
          </cell>
          <cell r="C422" t="str">
            <v>086</v>
          </cell>
          <cell r="D422" t="str">
            <v>501018</v>
          </cell>
          <cell r="E422" t="str">
            <v>FI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AD422">
            <v>0</v>
          </cell>
          <cell r="AF422">
            <v>0</v>
          </cell>
          <cell r="AG422" t="str">
            <v>PetCoke</v>
          </cell>
        </row>
        <row r="423">
          <cell r="A423" t="str">
            <v>UEC</v>
          </cell>
          <cell r="B423" t="str">
            <v>53</v>
          </cell>
          <cell r="C423" t="str">
            <v>086</v>
          </cell>
          <cell r="D423" t="str">
            <v>501110</v>
          </cell>
          <cell r="E423" t="str">
            <v>FB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AD423">
            <v>0</v>
          </cell>
          <cell r="AF423">
            <v>0</v>
          </cell>
          <cell r="AG423" t="str">
            <v>Coal</v>
          </cell>
        </row>
        <row r="424">
          <cell r="A424" t="str">
            <v>UEC</v>
          </cell>
          <cell r="B424" t="str">
            <v>53</v>
          </cell>
          <cell r="C424" t="str">
            <v>086</v>
          </cell>
          <cell r="D424" t="str">
            <v>501110</v>
          </cell>
          <cell r="E424" t="str">
            <v>FB</v>
          </cell>
          <cell r="F424">
            <v>4903062.21</v>
          </cell>
          <cell r="G424">
            <v>4116791.5</v>
          </cell>
          <cell r="H424">
            <v>3399826.37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AD424">
            <v>3399826.37</v>
          </cell>
          <cell r="AF424">
            <v>12419680.080000002</v>
          </cell>
          <cell r="AG424" t="str">
            <v>Coal</v>
          </cell>
        </row>
        <row r="425">
          <cell r="A425" t="str">
            <v>UEC</v>
          </cell>
          <cell r="B425" t="str">
            <v>53</v>
          </cell>
          <cell r="C425" t="str">
            <v>086</v>
          </cell>
          <cell r="D425" t="str">
            <v>501110</v>
          </cell>
          <cell r="E425" t="str">
            <v>FI</v>
          </cell>
          <cell r="F425">
            <v>892519.6</v>
          </cell>
          <cell r="G425">
            <v>1120856.72</v>
          </cell>
          <cell r="H425">
            <v>1085432.69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AD425">
            <v>1085432.69</v>
          </cell>
          <cell r="AF425">
            <v>3098809.01</v>
          </cell>
          <cell r="AG425" t="str">
            <v>Coal</v>
          </cell>
        </row>
        <row r="426">
          <cell r="A426" t="str">
            <v>UEC</v>
          </cell>
          <cell r="B426" t="str">
            <v>53</v>
          </cell>
          <cell r="C426" t="str">
            <v>086</v>
          </cell>
          <cell r="D426" t="str">
            <v>501110</v>
          </cell>
          <cell r="E426" t="str">
            <v>FI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AD426">
            <v>0</v>
          </cell>
          <cell r="AF426">
            <v>0</v>
          </cell>
          <cell r="AG426" t="str">
            <v>Coal</v>
          </cell>
        </row>
        <row r="427">
          <cell r="A427" t="str">
            <v>UEC</v>
          </cell>
          <cell r="B427" t="str">
            <v>53</v>
          </cell>
          <cell r="C427" t="str">
            <v>086</v>
          </cell>
          <cell r="D427" t="str">
            <v>509</v>
          </cell>
          <cell r="E427" t="str">
            <v>FB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AD427">
            <v>0</v>
          </cell>
          <cell r="AF427">
            <v>0</v>
          </cell>
          <cell r="AG427" t="str">
            <v>SO2</v>
          </cell>
        </row>
        <row r="428">
          <cell r="A428" t="str">
            <v>UEC</v>
          </cell>
          <cell r="B428" t="str">
            <v>54</v>
          </cell>
          <cell r="C428" t="str">
            <v>086</v>
          </cell>
          <cell r="D428" t="str">
            <v>INTGEN</v>
          </cell>
          <cell r="E428" t="str">
            <v>FI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AD428">
            <v>0</v>
          </cell>
          <cell r="AF428">
            <v>0</v>
          </cell>
          <cell r="AG428"/>
        </row>
        <row r="429">
          <cell r="A429" t="str">
            <v>UEC</v>
          </cell>
          <cell r="B429" t="str">
            <v>57</v>
          </cell>
          <cell r="C429" t="str">
            <v>INC</v>
          </cell>
          <cell r="D429" t="str">
            <v>411008</v>
          </cell>
          <cell r="E429" t="str">
            <v>EX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AD429">
            <v>0</v>
          </cell>
          <cell r="AF429">
            <v>0</v>
          </cell>
          <cell r="AG429"/>
        </row>
        <row r="430">
          <cell r="A430" t="str">
            <v>UEC</v>
          </cell>
          <cell r="B430" t="str">
            <v>57</v>
          </cell>
          <cell r="C430" t="str">
            <v>087</v>
          </cell>
          <cell r="D430" t="str">
            <v>411008</v>
          </cell>
          <cell r="E430" t="str">
            <v>EX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AD430">
            <v>0</v>
          </cell>
          <cell r="AF430">
            <v>0</v>
          </cell>
          <cell r="AG430"/>
        </row>
        <row r="431">
          <cell r="A431" t="str">
            <v>UEC</v>
          </cell>
          <cell r="B431" t="str">
            <v>57</v>
          </cell>
          <cell r="C431" t="str">
            <v>087</v>
          </cell>
          <cell r="D431" t="str">
            <v>411008</v>
          </cell>
          <cell r="E431" t="str">
            <v>EX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AD431">
            <v>0</v>
          </cell>
          <cell r="AF431">
            <v>0</v>
          </cell>
          <cell r="AG431"/>
        </row>
        <row r="432">
          <cell r="A432" t="str">
            <v>UEC</v>
          </cell>
          <cell r="B432" t="str">
            <v>57</v>
          </cell>
          <cell r="C432" t="str">
            <v>087</v>
          </cell>
          <cell r="D432" t="str">
            <v>411008</v>
          </cell>
          <cell r="E432" t="str">
            <v>EX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AD432">
            <v>0</v>
          </cell>
          <cell r="AF432">
            <v>0</v>
          </cell>
          <cell r="AG432"/>
        </row>
        <row r="433">
          <cell r="A433" t="str">
            <v>UEC</v>
          </cell>
          <cell r="B433" t="str">
            <v>57</v>
          </cell>
          <cell r="C433" t="str">
            <v>087</v>
          </cell>
          <cell r="D433" t="str">
            <v>411008</v>
          </cell>
          <cell r="E433" t="str">
            <v>98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AD433">
            <v>0</v>
          </cell>
          <cell r="AF433">
            <v>0</v>
          </cell>
          <cell r="AG433"/>
        </row>
        <row r="434">
          <cell r="A434" t="str">
            <v>UEC</v>
          </cell>
          <cell r="B434" t="str">
            <v>57</v>
          </cell>
          <cell r="C434" t="str">
            <v>086</v>
          </cell>
          <cell r="D434" t="str">
            <v>501002</v>
          </cell>
          <cell r="E434" t="str">
            <v>FB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AD434">
            <v>0</v>
          </cell>
          <cell r="AF434">
            <v>0</v>
          </cell>
          <cell r="AG434" t="str">
            <v>Oil</v>
          </cell>
        </row>
        <row r="435">
          <cell r="A435" t="str">
            <v>UEC</v>
          </cell>
          <cell r="B435" t="str">
            <v>57</v>
          </cell>
          <cell r="C435" t="str">
            <v>086</v>
          </cell>
          <cell r="D435" t="str">
            <v>501003</v>
          </cell>
          <cell r="E435" t="str">
            <v>FB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AD435">
            <v>0</v>
          </cell>
          <cell r="AF435">
            <v>0</v>
          </cell>
          <cell r="AG435" t="str">
            <v>Gas</v>
          </cell>
        </row>
        <row r="436">
          <cell r="A436" t="str">
            <v>UEC</v>
          </cell>
          <cell r="B436" t="str">
            <v>57</v>
          </cell>
          <cell r="C436" t="str">
            <v>086</v>
          </cell>
          <cell r="D436" t="str">
            <v>501012</v>
          </cell>
          <cell r="E436" t="str">
            <v>FI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AD436">
            <v>0</v>
          </cell>
          <cell r="AF436">
            <v>0</v>
          </cell>
          <cell r="AG436" t="str">
            <v>Oil</v>
          </cell>
        </row>
        <row r="437">
          <cell r="A437" t="str">
            <v>UEC</v>
          </cell>
          <cell r="B437" t="str">
            <v>57</v>
          </cell>
          <cell r="C437" t="str">
            <v>086</v>
          </cell>
          <cell r="D437" t="str">
            <v>501012</v>
          </cell>
          <cell r="E437" t="str">
            <v>FI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AD437">
            <v>0</v>
          </cell>
          <cell r="AF437">
            <v>0</v>
          </cell>
          <cell r="AG437" t="str">
            <v>Oil</v>
          </cell>
        </row>
        <row r="438">
          <cell r="A438" t="str">
            <v>UEC</v>
          </cell>
          <cell r="B438" t="str">
            <v>57</v>
          </cell>
          <cell r="C438" t="str">
            <v>086</v>
          </cell>
          <cell r="D438" t="str">
            <v>501013</v>
          </cell>
          <cell r="E438" t="str">
            <v>FI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AD438">
            <v>0</v>
          </cell>
          <cell r="AF438">
            <v>0</v>
          </cell>
          <cell r="AG438" t="str">
            <v>Gas</v>
          </cell>
        </row>
        <row r="439">
          <cell r="A439" t="str">
            <v>UEC</v>
          </cell>
          <cell r="B439" t="str">
            <v>57</v>
          </cell>
          <cell r="C439" t="str">
            <v>086</v>
          </cell>
          <cell r="D439" t="str">
            <v>501013</v>
          </cell>
          <cell r="E439" t="str">
            <v>FI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AD439">
            <v>0</v>
          </cell>
          <cell r="AF439">
            <v>0</v>
          </cell>
          <cell r="AG439" t="str">
            <v>Gas</v>
          </cell>
        </row>
        <row r="440">
          <cell r="A440" t="str">
            <v>UEC</v>
          </cell>
          <cell r="B440" t="str">
            <v>57</v>
          </cell>
          <cell r="C440" t="str">
            <v>086</v>
          </cell>
          <cell r="D440" t="str">
            <v>549</v>
          </cell>
          <cell r="E440" t="str">
            <v>FB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AD440">
            <v>0</v>
          </cell>
          <cell r="AF440">
            <v>0</v>
          </cell>
          <cell r="AG440"/>
        </row>
        <row r="441">
          <cell r="A441" t="str">
            <v>UEC</v>
          </cell>
          <cell r="B441" t="str">
            <v>58</v>
          </cell>
          <cell r="C441" t="str">
            <v>086</v>
          </cell>
          <cell r="D441" t="str">
            <v>INTGEN</v>
          </cell>
          <cell r="E441" t="str">
            <v>FI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AD441">
            <v>0</v>
          </cell>
          <cell r="AF441">
            <v>0</v>
          </cell>
          <cell r="AG441"/>
        </row>
        <row r="442">
          <cell r="A442" t="str">
            <v>UEC</v>
          </cell>
          <cell r="B442" t="str">
            <v>58</v>
          </cell>
          <cell r="C442" t="str">
            <v>INC</v>
          </cell>
          <cell r="D442" t="str">
            <v>411008</v>
          </cell>
          <cell r="E442" t="str">
            <v>EI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AD442">
            <v>0</v>
          </cell>
          <cell r="AF442">
            <v>0</v>
          </cell>
          <cell r="AG442"/>
        </row>
        <row r="443">
          <cell r="A443" t="str">
            <v>UEC</v>
          </cell>
          <cell r="B443" t="str">
            <v>58</v>
          </cell>
          <cell r="C443" t="str">
            <v>INC</v>
          </cell>
          <cell r="D443" t="str">
            <v>411008</v>
          </cell>
          <cell r="E443" t="str">
            <v>EX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AD443">
            <v>0</v>
          </cell>
          <cell r="AF443">
            <v>0</v>
          </cell>
          <cell r="AG443"/>
        </row>
        <row r="444">
          <cell r="A444" t="str">
            <v>UEC</v>
          </cell>
          <cell r="B444" t="str">
            <v>58</v>
          </cell>
          <cell r="C444" t="str">
            <v>087</v>
          </cell>
          <cell r="D444" t="str">
            <v>411008</v>
          </cell>
          <cell r="E444" t="str">
            <v>EX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AD444">
            <v>0</v>
          </cell>
          <cell r="AF444">
            <v>0</v>
          </cell>
          <cell r="AG444"/>
        </row>
        <row r="445">
          <cell r="A445" t="str">
            <v>UEC</v>
          </cell>
          <cell r="B445" t="str">
            <v>58</v>
          </cell>
          <cell r="C445" t="str">
            <v>087</v>
          </cell>
          <cell r="D445" t="str">
            <v>411008</v>
          </cell>
          <cell r="E445" t="str">
            <v>EX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AD445">
            <v>0</v>
          </cell>
          <cell r="AF445">
            <v>0</v>
          </cell>
          <cell r="AG445"/>
        </row>
        <row r="446">
          <cell r="A446" t="str">
            <v>UEC</v>
          </cell>
          <cell r="B446" t="str">
            <v>58</v>
          </cell>
          <cell r="C446" t="str">
            <v>087</v>
          </cell>
          <cell r="D446" t="str">
            <v>411008</v>
          </cell>
          <cell r="E446" t="str">
            <v>EX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AD446">
            <v>0</v>
          </cell>
          <cell r="AF446">
            <v>0</v>
          </cell>
          <cell r="AG446"/>
        </row>
        <row r="447">
          <cell r="A447" t="str">
            <v>UEC</v>
          </cell>
          <cell r="B447" t="str">
            <v>58</v>
          </cell>
          <cell r="C447" t="str">
            <v>INC</v>
          </cell>
          <cell r="D447" t="str">
            <v>411008</v>
          </cell>
          <cell r="E447" t="str">
            <v>FB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AD447">
            <v>0</v>
          </cell>
          <cell r="AF447">
            <v>0</v>
          </cell>
          <cell r="AG447"/>
        </row>
        <row r="448">
          <cell r="A448" t="str">
            <v>UEC</v>
          </cell>
          <cell r="B448" t="str">
            <v>58</v>
          </cell>
          <cell r="C448" t="str">
            <v>INC</v>
          </cell>
          <cell r="D448" t="str">
            <v>411008</v>
          </cell>
          <cell r="E448" t="str">
            <v>FB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AD448">
            <v>0</v>
          </cell>
          <cell r="AF448">
            <v>0</v>
          </cell>
          <cell r="AG448"/>
        </row>
        <row r="449">
          <cell r="A449" t="str">
            <v>UEC</v>
          </cell>
          <cell r="B449" t="str">
            <v>58</v>
          </cell>
          <cell r="C449" t="str">
            <v>087</v>
          </cell>
          <cell r="D449" t="str">
            <v>411008</v>
          </cell>
          <cell r="E449" t="str">
            <v>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AD449">
            <v>0</v>
          </cell>
          <cell r="AF449">
            <v>0</v>
          </cell>
          <cell r="AG449"/>
        </row>
        <row r="450">
          <cell r="A450" t="str">
            <v>UEC</v>
          </cell>
          <cell r="B450" t="str">
            <v>58</v>
          </cell>
          <cell r="C450" t="str">
            <v>086</v>
          </cell>
          <cell r="D450" t="str">
            <v>501001</v>
          </cell>
          <cell r="E450" t="str">
            <v>FB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AD450">
            <v>0</v>
          </cell>
          <cell r="AF450">
            <v>0</v>
          </cell>
          <cell r="AG450" t="str">
            <v>Coal</v>
          </cell>
        </row>
        <row r="451">
          <cell r="A451" t="str">
            <v>UEC</v>
          </cell>
          <cell r="B451" t="str">
            <v>58</v>
          </cell>
          <cell r="C451" t="str">
            <v>086</v>
          </cell>
          <cell r="D451" t="str">
            <v>501001</v>
          </cell>
          <cell r="E451" t="str">
            <v>FB</v>
          </cell>
          <cell r="F451">
            <v>11017455.9</v>
          </cell>
          <cell r="G451">
            <v>10503482.24</v>
          </cell>
          <cell r="H451">
            <v>9436916.8599999994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AD451">
            <v>9436916.8599999994</v>
          </cell>
          <cell r="AF451">
            <v>30957855</v>
          </cell>
          <cell r="AG451" t="str">
            <v>Coal</v>
          </cell>
        </row>
        <row r="452">
          <cell r="A452" t="str">
            <v>UEC</v>
          </cell>
          <cell r="B452" t="str">
            <v>58</v>
          </cell>
          <cell r="C452" t="str">
            <v>086</v>
          </cell>
          <cell r="D452" t="str">
            <v>501001</v>
          </cell>
          <cell r="E452" t="str">
            <v>FB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AD452">
            <v>0</v>
          </cell>
          <cell r="AF452">
            <v>0</v>
          </cell>
          <cell r="AG452" t="str">
            <v>Coal</v>
          </cell>
        </row>
        <row r="453">
          <cell r="A453" t="str">
            <v>UEC</v>
          </cell>
          <cell r="B453" t="str">
            <v>58</v>
          </cell>
          <cell r="C453" t="str">
            <v>086</v>
          </cell>
          <cell r="D453" t="str">
            <v>501001</v>
          </cell>
          <cell r="E453" t="str">
            <v>FI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AD453">
            <v>0</v>
          </cell>
          <cell r="AF453">
            <v>0</v>
          </cell>
          <cell r="AG453" t="str">
            <v>Coal</v>
          </cell>
        </row>
        <row r="454">
          <cell r="A454" t="str">
            <v>UEC</v>
          </cell>
          <cell r="B454" t="str">
            <v>58</v>
          </cell>
          <cell r="C454" t="str">
            <v>086</v>
          </cell>
          <cell r="D454" t="str">
            <v>501001</v>
          </cell>
          <cell r="E454" t="str">
            <v>FI</v>
          </cell>
          <cell r="F454">
            <v>387777.96</v>
          </cell>
          <cell r="G454">
            <v>336024.72</v>
          </cell>
          <cell r="H454">
            <v>2771255.02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AD454">
            <v>2771255.02</v>
          </cell>
          <cell r="AF454">
            <v>3495057.7</v>
          </cell>
          <cell r="AG454" t="str">
            <v>Coal</v>
          </cell>
        </row>
        <row r="455">
          <cell r="A455" t="str">
            <v>UEC</v>
          </cell>
          <cell r="B455" t="str">
            <v>58</v>
          </cell>
          <cell r="C455" t="str">
            <v>086</v>
          </cell>
          <cell r="D455" t="str">
            <v>501002</v>
          </cell>
          <cell r="E455" t="str">
            <v>FB</v>
          </cell>
          <cell r="F455">
            <v>117034.98</v>
          </cell>
          <cell r="G455">
            <v>42893.39</v>
          </cell>
          <cell r="H455">
            <v>26111.03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AD455">
            <v>26111.03</v>
          </cell>
          <cell r="AF455">
            <v>186039.4</v>
          </cell>
          <cell r="AG455" t="str">
            <v>Oil</v>
          </cell>
        </row>
        <row r="456">
          <cell r="A456" t="str">
            <v>UEC</v>
          </cell>
          <cell r="B456" t="str">
            <v>58</v>
          </cell>
          <cell r="C456" t="str">
            <v>086</v>
          </cell>
          <cell r="D456" t="str">
            <v>501005</v>
          </cell>
          <cell r="E456" t="str">
            <v>FB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AD456">
            <v>0</v>
          </cell>
          <cell r="AF456">
            <v>0</v>
          </cell>
          <cell r="AG456" t="str">
            <v>Oil</v>
          </cell>
        </row>
        <row r="457">
          <cell r="A457" t="str">
            <v>UEC</v>
          </cell>
          <cell r="B457" t="str">
            <v>58</v>
          </cell>
          <cell r="C457" t="str">
            <v>086</v>
          </cell>
          <cell r="D457" t="str">
            <v>501011</v>
          </cell>
          <cell r="E457" t="str">
            <v>FI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AD457">
            <v>0</v>
          </cell>
          <cell r="AF457">
            <v>0</v>
          </cell>
          <cell r="AG457" t="str">
            <v>Coal</v>
          </cell>
        </row>
        <row r="458">
          <cell r="A458" t="str">
            <v>UEC</v>
          </cell>
          <cell r="B458" t="str">
            <v>58</v>
          </cell>
          <cell r="C458" t="str">
            <v>086</v>
          </cell>
          <cell r="D458" t="str">
            <v>501011</v>
          </cell>
          <cell r="E458" t="str">
            <v>FI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AD458">
            <v>0</v>
          </cell>
          <cell r="AF458">
            <v>0</v>
          </cell>
          <cell r="AG458" t="str">
            <v>Coal</v>
          </cell>
        </row>
        <row r="459">
          <cell r="A459" t="str">
            <v>UEC</v>
          </cell>
          <cell r="B459" t="str">
            <v>58</v>
          </cell>
          <cell r="C459" t="str">
            <v>086</v>
          </cell>
          <cell r="D459" t="str">
            <v>501012</v>
          </cell>
          <cell r="E459" t="str">
            <v>FI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AD459">
            <v>0</v>
          </cell>
          <cell r="AF459">
            <v>0</v>
          </cell>
          <cell r="AG459" t="str">
            <v>Oil</v>
          </cell>
        </row>
        <row r="460">
          <cell r="A460" t="str">
            <v>UEC</v>
          </cell>
          <cell r="B460" t="str">
            <v>58</v>
          </cell>
          <cell r="C460" t="str">
            <v>086</v>
          </cell>
          <cell r="D460" t="str">
            <v>501012</v>
          </cell>
          <cell r="E460" t="str">
            <v>FI</v>
          </cell>
          <cell r="F460">
            <v>4119.24</v>
          </cell>
          <cell r="G460">
            <v>1372.23</v>
          </cell>
          <cell r="H460">
            <v>7667.79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AD460">
            <v>7667.79</v>
          </cell>
          <cell r="AF460">
            <v>13159.259999999998</v>
          </cell>
          <cell r="AG460" t="str">
            <v>Oil</v>
          </cell>
        </row>
        <row r="461">
          <cell r="A461" t="str">
            <v>UEC</v>
          </cell>
          <cell r="B461" t="str">
            <v>58</v>
          </cell>
          <cell r="C461" t="str">
            <v>086</v>
          </cell>
          <cell r="D461" t="str">
            <v>501110</v>
          </cell>
          <cell r="E461" t="str">
            <v>FB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AD461">
            <v>0</v>
          </cell>
          <cell r="AF461">
            <v>0</v>
          </cell>
          <cell r="AG461" t="str">
            <v>Coal</v>
          </cell>
        </row>
        <row r="462">
          <cell r="A462" t="str">
            <v>UEC</v>
          </cell>
          <cell r="B462" t="str">
            <v>58</v>
          </cell>
          <cell r="C462" t="str">
            <v>086</v>
          </cell>
          <cell r="D462" t="str">
            <v>501110</v>
          </cell>
          <cell r="E462" t="str">
            <v>FB</v>
          </cell>
          <cell r="F462">
            <v>11427912.869999999</v>
          </cell>
          <cell r="G462">
            <v>10529990.16</v>
          </cell>
          <cell r="H462">
            <v>9548357.5199999996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AD462">
            <v>9548357.5199999996</v>
          </cell>
          <cell r="AF462">
            <v>31506260.550000001</v>
          </cell>
          <cell r="AG462" t="str">
            <v>Coal</v>
          </cell>
        </row>
        <row r="463">
          <cell r="A463" t="str">
            <v>UEC</v>
          </cell>
          <cell r="B463" t="str">
            <v>58</v>
          </cell>
          <cell r="C463" t="str">
            <v>086</v>
          </cell>
          <cell r="D463" t="str">
            <v>501110</v>
          </cell>
          <cell r="E463" t="str">
            <v>FI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AD463">
            <v>0</v>
          </cell>
          <cell r="AF463">
            <v>0</v>
          </cell>
          <cell r="AG463" t="str">
            <v>Coal</v>
          </cell>
        </row>
        <row r="464">
          <cell r="A464" t="str">
            <v>UEC</v>
          </cell>
          <cell r="B464" t="str">
            <v>58</v>
          </cell>
          <cell r="C464" t="str">
            <v>086</v>
          </cell>
          <cell r="D464" t="str">
            <v>501110</v>
          </cell>
          <cell r="E464" t="str">
            <v>FI</v>
          </cell>
          <cell r="F464">
            <v>402224.68</v>
          </cell>
          <cell r="G464">
            <v>336872.75</v>
          </cell>
          <cell r="H464">
            <v>2803980.8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AD464">
            <v>2803980.8</v>
          </cell>
          <cell r="AF464">
            <v>3543078.2299999995</v>
          </cell>
          <cell r="AG464" t="str">
            <v>Coal</v>
          </cell>
        </row>
        <row r="465">
          <cell r="A465" t="str">
            <v>UEC</v>
          </cell>
          <cell r="B465" t="str">
            <v>58</v>
          </cell>
          <cell r="C465" t="str">
            <v>086</v>
          </cell>
          <cell r="D465" t="str">
            <v>509</v>
          </cell>
          <cell r="E465" t="str">
            <v>FB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AD465">
            <v>0</v>
          </cell>
          <cell r="AF465">
            <v>0</v>
          </cell>
          <cell r="AG465" t="str">
            <v>SO2</v>
          </cell>
        </row>
        <row r="466">
          <cell r="A466" t="str">
            <v>UEC</v>
          </cell>
          <cell r="B466" t="str">
            <v>59</v>
          </cell>
          <cell r="C466" t="str">
            <v>086</v>
          </cell>
          <cell r="D466" t="str">
            <v>INTGEN</v>
          </cell>
          <cell r="E466" t="str">
            <v>FI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AD466">
            <v>0</v>
          </cell>
          <cell r="AF466">
            <v>0</v>
          </cell>
          <cell r="AG466"/>
        </row>
        <row r="467">
          <cell r="A467" t="str">
            <v>UEC</v>
          </cell>
          <cell r="B467" t="str">
            <v>62</v>
          </cell>
          <cell r="C467" t="str">
            <v>086</v>
          </cell>
          <cell r="D467" t="str">
            <v>INTGEN</v>
          </cell>
          <cell r="E467" t="str">
            <v>FI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AD467">
            <v>0</v>
          </cell>
          <cell r="AF467">
            <v>0</v>
          </cell>
          <cell r="AG467"/>
        </row>
        <row r="468">
          <cell r="A468" t="str">
            <v>UEC</v>
          </cell>
          <cell r="B468" t="str">
            <v>62</v>
          </cell>
          <cell r="C468" t="str">
            <v>09M</v>
          </cell>
          <cell r="D468" t="str">
            <v>380</v>
          </cell>
          <cell r="E468" t="str">
            <v>FB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AD468">
            <v>0</v>
          </cell>
          <cell r="AF468">
            <v>0</v>
          </cell>
          <cell r="AG468"/>
        </row>
        <row r="469">
          <cell r="A469" t="str">
            <v>UEC</v>
          </cell>
          <cell r="B469" t="str">
            <v>62</v>
          </cell>
          <cell r="C469" t="str">
            <v>086</v>
          </cell>
          <cell r="D469" t="str">
            <v>547002</v>
          </cell>
          <cell r="E469" t="str">
            <v>FB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AD469">
            <v>0</v>
          </cell>
          <cell r="AF469">
            <v>0</v>
          </cell>
          <cell r="AG469" t="str">
            <v>Oil</v>
          </cell>
        </row>
        <row r="470">
          <cell r="A470" t="str">
            <v>UEC</v>
          </cell>
          <cell r="B470" t="str">
            <v>62</v>
          </cell>
          <cell r="C470" t="str">
            <v>086</v>
          </cell>
          <cell r="D470" t="str">
            <v>547003</v>
          </cell>
          <cell r="E470" t="str">
            <v>FB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AD470">
            <v>0</v>
          </cell>
          <cell r="AF470">
            <v>0</v>
          </cell>
          <cell r="AG470" t="str">
            <v>Gas</v>
          </cell>
        </row>
        <row r="471">
          <cell r="A471" t="str">
            <v>UEC</v>
          </cell>
          <cell r="B471" t="str">
            <v>62</v>
          </cell>
          <cell r="C471" t="str">
            <v>086</v>
          </cell>
          <cell r="D471" t="str">
            <v>547003</v>
          </cell>
          <cell r="E471" t="str">
            <v>FB</v>
          </cell>
          <cell r="F471">
            <v>27174.9</v>
          </cell>
          <cell r="G471">
            <v>8957.59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AD471">
            <v>0</v>
          </cell>
          <cell r="AF471">
            <v>36132.490000000005</v>
          </cell>
          <cell r="AG471" t="str">
            <v>Gas</v>
          </cell>
        </row>
        <row r="472">
          <cell r="A472" t="str">
            <v>UEC</v>
          </cell>
          <cell r="B472" t="str">
            <v>62</v>
          </cell>
          <cell r="C472" t="str">
            <v>086</v>
          </cell>
          <cell r="D472" t="str">
            <v>547003</v>
          </cell>
          <cell r="E472" t="str">
            <v>FB</v>
          </cell>
          <cell r="F472">
            <v>122400.25</v>
          </cell>
          <cell r="G472">
            <v>-24711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AD472">
            <v>0</v>
          </cell>
          <cell r="AF472">
            <v>97689.25</v>
          </cell>
          <cell r="AG472" t="str">
            <v>Gas</v>
          </cell>
        </row>
        <row r="473">
          <cell r="A473" t="str">
            <v>UEC</v>
          </cell>
          <cell r="B473" t="str">
            <v>62</v>
          </cell>
          <cell r="C473" t="str">
            <v>086</v>
          </cell>
          <cell r="D473" t="str">
            <v>547003</v>
          </cell>
          <cell r="E473" t="str">
            <v>FI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AD473">
            <v>0</v>
          </cell>
          <cell r="AF473">
            <v>0</v>
          </cell>
          <cell r="AG473" t="str">
            <v>Gas</v>
          </cell>
        </row>
        <row r="474">
          <cell r="A474" t="str">
            <v>UEC</v>
          </cell>
          <cell r="B474" t="str">
            <v>62</v>
          </cell>
          <cell r="C474" t="str">
            <v>086</v>
          </cell>
          <cell r="D474" t="str">
            <v>547012</v>
          </cell>
          <cell r="E474" t="str">
            <v>FI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AD474">
            <v>0</v>
          </cell>
          <cell r="AF474">
            <v>0</v>
          </cell>
          <cell r="AG474" t="str">
            <v>Oil</v>
          </cell>
        </row>
        <row r="475">
          <cell r="A475" t="str">
            <v>UEC</v>
          </cell>
          <cell r="B475" t="str">
            <v>62</v>
          </cell>
          <cell r="C475" t="str">
            <v>086</v>
          </cell>
          <cell r="D475" t="str">
            <v>547012</v>
          </cell>
          <cell r="E475" t="str">
            <v>FI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AD475">
            <v>0</v>
          </cell>
          <cell r="AF475">
            <v>0</v>
          </cell>
          <cell r="AG475" t="str">
            <v>Oil</v>
          </cell>
        </row>
        <row r="476">
          <cell r="A476" t="str">
            <v>UEC</v>
          </cell>
          <cell r="B476" t="str">
            <v>62</v>
          </cell>
          <cell r="C476" t="str">
            <v>086</v>
          </cell>
          <cell r="D476" t="str">
            <v>547013</v>
          </cell>
          <cell r="E476" t="str">
            <v>FB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AD476">
            <v>0</v>
          </cell>
          <cell r="AF476">
            <v>0</v>
          </cell>
          <cell r="AG476" t="str">
            <v>Gas</v>
          </cell>
        </row>
        <row r="477">
          <cell r="A477" t="str">
            <v>UEC</v>
          </cell>
          <cell r="B477" t="str">
            <v>62</v>
          </cell>
          <cell r="C477" t="str">
            <v>086</v>
          </cell>
          <cell r="D477" t="str">
            <v>547013</v>
          </cell>
          <cell r="E477" t="str">
            <v>FI</v>
          </cell>
          <cell r="F477">
            <v>360105.07</v>
          </cell>
          <cell r="G477">
            <v>-52291.66</v>
          </cell>
          <cell r="H477">
            <v>109500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AD477">
            <v>109500</v>
          </cell>
          <cell r="AF477">
            <v>417313.41000000003</v>
          </cell>
          <cell r="AG477" t="str">
            <v>Gas</v>
          </cell>
        </row>
        <row r="478">
          <cell r="A478" t="str">
            <v>UEC</v>
          </cell>
          <cell r="B478" t="str">
            <v>62</v>
          </cell>
          <cell r="C478" t="str">
            <v>086</v>
          </cell>
          <cell r="D478" t="str">
            <v>547013</v>
          </cell>
          <cell r="E478" t="str">
            <v>FI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AD478">
            <v>0</v>
          </cell>
          <cell r="AF478">
            <v>0</v>
          </cell>
          <cell r="AG478" t="str">
            <v>Gas</v>
          </cell>
        </row>
        <row r="479">
          <cell r="A479" t="str">
            <v>UEC</v>
          </cell>
          <cell r="B479" t="str">
            <v>62</v>
          </cell>
          <cell r="C479" t="str">
            <v>086</v>
          </cell>
          <cell r="D479" t="str">
            <v>547013</v>
          </cell>
          <cell r="E479" t="str">
            <v>FI</v>
          </cell>
          <cell r="F479">
            <v>79949.34</v>
          </cell>
          <cell r="G479">
            <v>18955.41</v>
          </cell>
          <cell r="H479">
            <v>32377.3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AD479">
            <v>32377.3</v>
          </cell>
          <cell r="AF479">
            <v>131282.04999999999</v>
          </cell>
          <cell r="AG479" t="str">
            <v>Gas</v>
          </cell>
        </row>
        <row r="480">
          <cell r="A480" t="str">
            <v>UEC</v>
          </cell>
          <cell r="B480" t="str">
            <v>62</v>
          </cell>
          <cell r="C480" t="str">
            <v>086</v>
          </cell>
          <cell r="D480" t="str">
            <v>547013</v>
          </cell>
          <cell r="E480" t="str">
            <v>FI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AD480">
            <v>0</v>
          </cell>
          <cell r="AF480">
            <v>0</v>
          </cell>
          <cell r="AG480" t="str">
            <v>Gas</v>
          </cell>
        </row>
        <row r="481">
          <cell r="A481" t="str">
            <v>UEC</v>
          </cell>
          <cell r="B481" t="str">
            <v>63</v>
          </cell>
          <cell r="C481" t="str">
            <v>086</v>
          </cell>
          <cell r="D481" t="str">
            <v>INTGEN</v>
          </cell>
          <cell r="E481" t="str">
            <v>FI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AD481">
            <v>0</v>
          </cell>
          <cell r="AF481">
            <v>0</v>
          </cell>
          <cell r="AG481"/>
        </row>
        <row r="482">
          <cell r="A482" t="str">
            <v>UEC</v>
          </cell>
          <cell r="B482" t="str">
            <v>63</v>
          </cell>
          <cell r="C482" t="str">
            <v>INC</v>
          </cell>
          <cell r="D482" t="str">
            <v>411008</v>
          </cell>
          <cell r="E482" t="str">
            <v>EI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AD482">
            <v>0</v>
          </cell>
          <cell r="AF482">
            <v>0</v>
          </cell>
          <cell r="AG482"/>
        </row>
        <row r="483">
          <cell r="A483" t="str">
            <v>UEC</v>
          </cell>
          <cell r="B483" t="str">
            <v>63</v>
          </cell>
          <cell r="C483" t="str">
            <v>INC</v>
          </cell>
          <cell r="D483" t="str">
            <v>411008</v>
          </cell>
          <cell r="E483" t="str">
            <v>EX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AD483">
            <v>0</v>
          </cell>
          <cell r="AF483">
            <v>0</v>
          </cell>
          <cell r="AG483"/>
        </row>
        <row r="484">
          <cell r="A484" t="str">
            <v>UEC</v>
          </cell>
          <cell r="B484" t="str">
            <v>63</v>
          </cell>
          <cell r="C484" t="str">
            <v>087</v>
          </cell>
          <cell r="D484" t="str">
            <v>411008</v>
          </cell>
          <cell r="E484" t="str">
            <v>EX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AD484">
            <v>0</v>
          </cell>
          <cell r="AF484">
            <v>0</v>
          </cell>
          <cell r="AG484"/>
        </row>
        <row r="485">
          <cell r="A485" t="str">
            <v>UEC</v>
          </cell>
          <cell r="B485" t="str">
            <v>63</v>
          </cell>
          <cell r="C485" t="str">
            <v>087</v>
          </cell>
          <cell r="D485" t="str">
            <v>411008</v>
          </cell>
          <cell r="E485" t="str">
            <v>EX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AD485">
            <v>0</v>
          </cell>
          <cell r="AF485">
            <v>0</v>
          </cell>
          <cell r="AG485"/>
        </row>
        <row r="486">
          <cell r="A486" t="str">
            <v>UEC</v>
          </cell>
          <cell r="B486" t="str">
            <v>63</v>
          </cell>
          <cell r="C486" t="str">
            <v>087</v>
          </cell>
          <cell r="D486" t="str">
            <v>411008</v>
          </cell>
          <cell r="E486" t="str">
            <v>EX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AD486">
            <v>0</v>
          </cell>
          <cell r="AF486">
            <v>0</v>
          </cell>
          <cell r="AG486"/>
        </row>
        <row r="487">
          <cell r="A487" t="str">
            <v>UEC</v>
          </cell>
          <cell r="B487" t="str">
            <v>63</v>
          </cell>
          <cell r="C487" t="str">
            <v>INC</v>
          </cell>
          <cell r="D487" t="str">
            <v>411008</v>
          </cell>
          <cell r="E487" t="str">
            <v>FB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AD487">
            <v>0</v>
          </cell>
          <cell r="AF487">
            <v>0</v>
          </cell>
          <cell r="AG487"/>
        </row>
        <row r="488">
          <cell r="A488" t="str">
            <v>UEC</v>
          </cell>
          <cell r="B488" t="str">
            <v>63</v>
          </cell>
          <cell r="C488" t="str">
            <v>INC</v>
          </cell>
          <cell r="D488" t="str">
            <v>411008</v>
          </cell>
          <cell r="E488" t="str">
            <v>FB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AD488">
            <v>0</v>
          </cell>
          <cell r="AF488">
            <v>0</v>
          </cell>
          <cell r="AG488"/>
        </row>
        <row r="489">
          <cell r="A489" t="str">
            <v>UEC</v>
          </cell>
          <cell r="B489" t="str">
            <v>63</v>
          </cell>
          <cell r="C489" t="str">
            <v>087</v>
          </cell>
          <cell r="D489" t="str">
            <v>411008</v>
          </cell>
          <cell r="E489" t="str">
            <v>98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AD489">
            <v>0</v>
          </cell>
          <cell r="AF489">
            <v>0</v>
          </cell>
          <cell r="AG489"/>
        </row>
        <row r="490">
          <cell r="A490" t="str">
            <v>UEC</v>
          </cell>
          <cell r="B490" t="str">
            <v>63</v>
          </cell>
          <cell r="C490" t="str">
            <v>099</v>
          </cell>
          <cell r="D490" t="str">
            <v>501BS4</v>
          </cell>
          <cell r="E490" t="str">
            <v>FB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AD490">
            <v>0</v>
          </cell>
          <cell r="AF490">
            <v>0</v>
          </cell>
          <cell r="AG490"/>
        </row>
        <row r="491">
          <cell r="A491" t="str">
            <v>UEC</v>
          </cell>
          <cell r="B491" t="str">
            <v>63</v>
          </cell>
          <cell r="C491" t="str">
            <v>099</v>
          </cell>
          <cell r="D491" t="str">
            <v>501BS5</v>
          </cell>
          <cell r="E491" t="str">
            <v>FB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AD491">
            <v>0</v>
          </cell>
          <cell r="AF491">
            <v>0</v>
          </cell>
          <cell r="AG491"/>
        </row>
        <row r="492">
          <cell r="A492" t="str">
            <v>UEC</v>
          </cell>
          <cell r="B492" t="str">
            <v>63</v>
          </cell>
          <cell r="C492" t="str">
            <v>086</v>
          </cell>
          <cell r="D492" t="str">
            <v>501001</v>
          </cell>
          <cell r="E492" t="str">
            <v>FB</v>
          </cell>
          <cell r="F492">
            <v>1393648.99</v>
          </cell>
          <cell r="G492">
            <v>1547857.49</v>
          </cell>
          <cell r="H492">
            <v>1072093.8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AD492">
            <v>1072093.8</v>
          </cell>
          <cell r="AF492">
            <v>4013600.2800000003</v>
          </cell>
          <cell r="AG492" t="str">
            <v>Coal</v>
          </cell>
        </row>
        <row r="493">
          <cell r="A493" t="str">
            <v>UEC</v>
          </cell>
          <cell r="B493" t="str">
            <v>63</v>
          </cell>
          <cell r="C493" t="str">
            <v>086</v>
          </cell>
          <cell r="D493" t="str">
            <v>501001</v>
          </cell>
          <cell r="E493" t="str">
            <v>FB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AD493">
            <v>0</v>
          </cell>
          <cell r="AF493">
            <v>0</v>
          </cell>
          <cell r="AG493" t="str">
            <v>Coal</v>
          </cell>
        </row>
        <row r="494">
          <cell r="A494" t="str">
            <v>UEC</v>
          </cell>
          <cell r="B494" t="str">
            <v>63</v>
          </cell>
          <cell r="C494" t="str">
            <v>086</v>
          </cell>
          <cell r="D494" t="str">
            <v>501001</v>
          </cell>
          <cell r="E494" t="str">
            <v>FB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AD494">
            <v>0</v>
          </cell>
          <cell r="AF494">
            <v>0</v>
          </cell>
          <cell r="AG494" t="str">
            <v>Coal</v>
          </cell>
        </row>
        <row r="495">
          <cell r="A495" t="str">
            <v>UEC</v>
          </cell>
          <cell r="B495" t="str">
            <v>63</v>
          </cell>
          <cell r="C495" t="str">
            <v>086</v>
          </cell>
          <cell r="D495" t="str">
            <v>501001</v>
          </cell>
          <cell r="E495" t="str">
            <v>FI</v>
          </cell>
          <cell r="F495">
            <v>395374.11</v>
          </cell>
          <cell r="G495">
            <v>569594.62</v>
          </cell>
          <cell r="H495">
            <v>1208956.8400000001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AD495">
            <v>1208956.8400000001</v>
          </cell>
          <cell r="AF495">
            <v>2173925.5700000003</v>
          </cell>
          <cell r="AG495" t="str">
            <v>Coal</v>
          </cell>
        </row>
        <row r="496">
          <cell r="A496" t="str">
            <v>UEC</v>
          </cell>
          <cell r="B496" t="str">
            <v>63</v>
          </cell>
          <cell r="C496" t="str">
            <v>086</v>
          </cell>
          <cell r="D496" t="str">
            <v>501001</v>
          </cell>
          <cell r="E496" t="str">
            <v>FI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AD496">
            <v>0</v>
          </cell>
          <cell r="AF496">
            <v>0</v>
          </cell>
          <cell r="AG496" t="str">
            <v>Coal</v>
          </cell>
        </row>
        <row r="497">
          <cell r="A497" t="str">
            <v>UEC</v>
          </cell>
          <cell r="B497" t="str">
            <v>63</v>
          </cell>
          <cell r="C497" t="str">
            <v>086</v>
          </cell>
          <cell r="D497" t="str">
            <v>501002</v>
          </cell>
          <cell r="E497" t="str">
            <v>FB</v>
          </cell>
          <cell r="F497">
            <v>158829.16</v>
          </cell>
          <cell r="G497">
            <v>290.23</v>
          </cell>
          <cell r="H497">
            <v>1174.3800000000001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AD497">
            <v>1174.3800000000001</v>
          </cell>
          <cell r="AF497">
            <v>160293.77000000002</v>
          </cell>
          <cell r="AG497" t="str">
            <v>Oil</v>
          </cell>
        </row>
        <row r="498">
          <cell r="A498" t="str">
            <v>UEC</v>
          </cell>
          <cell r="B498" t="str">
            <v>63</v>
          </cell>
          <cell r="C498" t="str">
            <v>086</v>
          </cell>
          <cell r="D498" t="str">
            <v>501011</v>
          </cell>
          <cell r="E498" t="str">
            <v>FI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AD498">
            <v>0</v>
          </cell>
          <cell r="AF498">
            <v>0</v>
          </cell>
          <cell r="AG498" t="str">
            <v>Coal</v>
          </cell>
        </row>
        <row r="499">
          <cell r="A499" t="str">
            <v>UEC</v>
          </cell>
          <cell r="B499" t="str">
            <v>63</v>
          </cell>
          <cell r="C499" t="str">
            <v>086</v>
          </cell>
          <cell r="D499" t="str">
            <v>501011</v>
          </cell>
          <cell r="E499" t="str">
            <v>FI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AD499">
            <v>0</v>
          </cell>
          <cell r="AF499">
            <v>0</v>
          </cell>
          <cell r="AG499" t="str">
            <v>Coal</v>
          </cell>
        </row>
        <row r="500">
          <cell r="A500" t="str">
            <v>UEC</v>
          </cell>
          <cell r="B500" t="str">
            <v>63</v>
          </cell>
          <cell r="C500" t="str">
            <v>086</v>
          </cell>
          <cell r="D500" t="str">
            <v>501012</v>
          </cell>
          <cell r="E500" t="str">
            <v>FI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AD500">
            <v>0</v>
          </cell>
          <cell r="AF500">
            <v>0</v>
          </cell>
          <cell r="AG500" t="str">
            <v>Oil</v>
          </cell>
        </row>
        <row r="501">
          <cell r="A501" t="str">
            <v>UEC</v>
          </cell>
          <cell r="B501" t="str">
            <v>63</v>
          </cell>
          <cell r="C501" t="str">
            <v>086</v>
          </cell>
          <cell r="D501" t="str">
            <v>501012</v>
          </cell>
          <cell r="E501" t="str">
            <v>FI</v>
          </cell>
          <cell r="F501">
            <v>45059.360000000001</v>
          </cell>
          <cell r="G501">
            <v>106.8</v>
          </cell>
          <cell r="H501">
            <v>1324.3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AD501">
            <v>1324.3</v>
          </cell>
          <cell r="AF501">
            <v>46490.460000000006</v>
          </cell>
          <cell r="AG501" t="str">
            <v>Oil</v>
          </cell>
        </row>
        <row r="502">
          <cell r="A502" t="str">
            <v>UEC</v>
          </cell>
          <cell r="B502" t="str">
            <v>63</v>
          </cell>
          <cell r="C502" t="str">
            <v>086</v>
          </cell>
          <cell r="D502" t="str">
            <v>501110</v>
          </cell>
          <cell r="E502" t="str">
            <v>FB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AD502">
            <v>0</v>
          </cell>
          <cell r="AF502">
            <v>0</v>
          </cell>
          <cell r="AG502" t="str">
            <v>Coal</v>
          </cell>
        </row>
        <row r="503">
          <cell r="A503" t="str">
            <v>UEC</v>
          </cell>
          <cell r="B503" t="str">
            <v>63</v>
          </cell>
          <cell r="C503" t="str">
            <v>086</v>
          </cell>
          <cell r="D503" t="str">
            <v>501110</v>
          </cell>
          <cell r="E503" t="str">
            <v>FB</v>
          </cell>
          <cell r="F503">
            <v>3075580.24</v>
          </cell>
          <cell r="G503">
            <v>3358334.98</v>
          </cell>
          <cell r="H503">
            <v>2273194.7400000002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AD503">
            <v>2273194.7400000002</v>
          </cell>
          <cell r="AF503">
            <v>8707109.9600000009</v>
          </cell>
          <cell r="AG503" t="str">
            <v>Coal</v>
          </cell>
        </row>
        <row r="504">
          <cell r="A504" t="str">
            <v>UEC</v>
          </cell>
          <cell r="B504" t="str">
            <v>63</v>
          </cell>
          <cell r="C504" t="str">
            <v>086</v>
          </cell>
          <cell r="D504" t="str">
            <v>501110</v>
          </cell>
          <cell r="E504" t="str">
            <v>FI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AD504">
            <v>0</v>
          </cell>
          <cell r="AF504">
            <v>0</v>
          </cell>
          <cell r="AG504" t="str">
            <v>Coal</v>
          </cell>
        </row>
        <row r="505">
          <cell r="A505" t="str">
            <v>UEC</v>
          </cell>
          <cell r="B505" t="str">
            <v>63</v>
          </cell>
          <cell r="C505" t="str">
            <v>086</v>
          </cell>
          <cell r="D505" t="str">
            <v>501110</v>
          </cell>
          <cell r="E505" t="str">
            <v>FI</v>
          </cell>
          <cell r="F505">
            <v>872533.03</v>
          </cell>
          <cell r="G505">
            <v>1235830.52</v>
          </cell>
          <cell r="H505">
            <v>2563389.81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AD505">
            <v>2563389.81</v>
          </cell>
          <cell r="AF505">
            <v>4671753.3599999994</v>
          </cell>
          <cell r="AG505" t="str">
            <v>Coal</v>
          </cell>
        </row>
        <row r="506">
          <cell r="A506" t="str">
            <v>UEC</v>
          </cell>
          <cell r="B506" t="str">
            <v>63</v>
          </cell>
          <cell r="C506" t="str">
            <v>086</v>
          </cell>
          <cell r="D506" t="str">
            <v>509</v>
          </cell>
          <cell r="E506" t="str">
            <v>FB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AD506">
            <v>0</v>
          </cell>
          <cell r="AF506">
            <v>0</v>
          </cell>
          <cell r="AG506" t="str">
            <v>SO2</v>
          </cell>
        </row>
        <row r="507">
          <cell r="A507" t="str">
            <v>UEC</v>
          </cell>
          <cell r="B507" t="str">
            <v>65</v>
          </cell>
          <cell r="C507" t="str">
            <v>086</v>
          </cell>
          <cell r="D507" t="str">
            <v>INTGEN</v>
          </cell>
          <cell r="E507" t="str">
            <v>FI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AD507">
            <v>0</v>
          </cell>
          <cell r="AF507">
            <v>0</v>
          </cell>
          <cell r="AG507"/>
        </row>
        <row r="508">
          <cell r="A508" t="str">
            <v>UEC</v>
          </cell>
          <cell r="B508" t="str">
            <v>65</v>
          </cell>
          <cell r="C508" t="str">
            <v>034</v>
          </cell>
          <cell r="D508" t="str">
            <v>120010</v>
          </cell>
          <cell r="E508" t="str">
            <v>FB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AD508">
            <v>0</v>
          </cell>
          <cell r="AF508">
            <v>0</v>
          </cell>
          <cell r="AG508"/>
        </row>
        <row r="509">
          <cell r="A509" t="str">
            <v>UEC</v>
          </cell>
          <cell r="B509" t="str">
            <v>65</v>
          </cell>
          <cell r="C509" t="str">
            <v>034</v>
          </cell>
          <cell r="D509" t="str">
            <v>120052</v>
          </cell>
          <cell r="E509" t="str">
            <v>FB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AD509">
            <v>0</v>
          </cell>
          <cell r="AF509">
            <v>0</v>
          </cell>
          <cell r="AG509"/>
        </row>
        <row r="510">
          <cell r="A510" t="str">
            <v>UEC</v>
          </cell>
          <cell r="B510" t="str">
            <v>65</v>
          </cell>
          <cell r="C510" t="str">
            <v>092</v>
          </cell>
          <cell r="D510" t="str">
            <v>120052</v>
          </cell>
          <cell r="E510" t="str">
            <v>FB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AD510">
            <v>0</v>
          </cell>
          <cell r="AF510">
            <v>0</v>
          </cell>
          <cell r="AG510"/>
        </row>
        <row r="511">
          <cell r="A511" t="str">
            <v>UEC</v>
          </cell>
          <cell r="B511" t="str">
            <v>65</v>
          </cell>
          <cell r="C511" t="str">
            <v>034</v>
          </cell>
          <cell r="D511" t="str">
            <v>120052</v>
          </cell>
          <cell r="E511" t="str">
            <v>FB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AD511">
            <v>0</v>
          </cell>
          <cell r="AF511">
            <v>0</v>
          </cell>
          <cell r="AG511"/>
        </row>
        <row r="512">
          <cell r="A512" t="str">
            <v>UEC</v>
          </cell>
          <cell r="B512" t="str">
            <v>65</v>
          </cell>
          <cell r="C512" t="str">
            <v>034</v>
          </cell>
          <cell r="D512" t="str">
            <v>120060</v>
          </cell>
          <cell r="E512" t="str">
            <v>FB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AD512">
            <v>0</v>
          </cell>
          <cell r="AF512">
            <v>0</v>
          </cell>
          <cell r="AG512"/>
        </row>
        <row r="513">
          <cell r="A513" t="str">
            <v>UEC</v>
          </cell>
          <cell r="B513" t="str">
            <v>65</v>
          </cell>
          <cell r="C513" t="str">
            <v>034</v>
          </cell>
          <cell r="D513" t="str">
            <v>120062</v>
          </cell>
          <cell r="E513" t="str">
            <v>FB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AD513">
            <v>0</v>
          </cell>
          <cell r="AF513">
            <v>0</v>
          </cell>
          <cell r="AG513"/>
        </row>
        <row r="514">
          <cell r="A514" t="str">
            <v>UEC</v>
          </cell>
          <cell r="B514" t="str">
            <v>65</v>
          </cell>
          <cell r="C514" t="str">
            <v>034</v>
          </cell>
          <cell r="D514" t="str">
            <v>120063</v>
          </cell>
          <cell r="E514" t="str">
            <v>FB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AD514">
            <v>0</v>
          </cell>
          <cell r="AF514">
            <v>0</v>
          </cell>
          <cell r="AG514"/>
        </row>
        <row r="515">
          <cell r="A515" t="str">
            <v>UEC</v>
          </cell>
          <cell r="B515" t="str">
            <v>65</v>
          </cell>
          <cell r="C515" t="str">
            <v>034</v>
          </cell>
          <cell r="D515" t="str">
            <v>120065</v>
          </cell>
          <cell r="E515" t="str">
            <v>FB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AD515">
            <v>0</v>
          </cell>
          <cell r="AF515">
            <v>0</v>
          </cell>
          <cell r="AG515"/>
        </row>
        <row r="516">
          <cell r="A516" t="str">
            <v>UEC</v>
          </cell>
          <cell r="B516" t="str">
            <v>65</v>
          </cell>
          <cell r="C516" t="str">
            <v>034</v>
          </cell>
          <cell r="D516" t="str">
            <v>120065</v>
          </cell>
          <cell r="E516" t="str">
            <v>FB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AD516">
            <v>0</v>
          </cell>
          <cell r="AF516">
            <v>0</v>
          </cell>
          <cell r="AG516"/>
        </row>
        <row r="517">
          <cell r="A517" t="str">
            <v>UEC</v>
          </cell>
          <cell r="B517" t="str">
            <v>65</v>
          </cell>
          <cell r="C517" t="str">
            <v>034</v>
          </cell>
          <cell r="D517" t="str">
            <v>120066</v>
          </cell>
          <cell r="E517" t="str">
            <v>FB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AD517">
            <v>0</v>
          </cell>
          <cell r="AF517">
            <v>0</v>
          </cell>
          <cell r="AG517"/>
        </row>
        <row r="518">
          <cell r="A518" t="str">
            <v>UEC</v>
          </cell>
          <cell r="B518" t="str">
            <v>65</v>
          </cell>
          <cell r="C518" t="str">
            <v>034</v>
          </cell>
          <cell r="D518" t="str">
            <v>120067</v>
          </cell>
          <cell r="E518" t="str">
            <v>FB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AD518">
            <v>0</v>
          </cell>
          <cell r="AF518">
            <v>0</v>
          </cell>
          <cell r="AG518"/>
        </row>
        <row r="519">
          <cell r="A519" t="str">
            <v>UEC</v>
          </cell>
          <cell r="B519" t="str">
            <v>65</v>
          </cell>
          <cell r="C519" t="str">
            <v>034</v>
          </cell>
          <cell r="D519" t="str">
            <v>120068</v>
          </cell>
          <cell r="E519" t="str">
            <v>FB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AD519">
            <v>0</v>
          </cell>
          <cell r="AF519">
            <v>0</v>
          </cell>
          <cell r="AG519"/>
        </row>
        <row r="520">
          <cell r="A520" t="str">
            <v>UEC</v>
          </cell>
          <cell r="B520" t="str">
            <v>65</v>
          </cell>
          <cell r="C520" t="str">
            <v>034</v>
          </cell>
          <cell r="D520" t="str">
            <v>120069</v>
          </cell>
          <cell r="E520" t="str">
            <v>FB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AD520">
            <v>0</v>
          </cell>
          <cell r="AF520">
            <v>0</v>
          </cell>
          <cell r="AG520"/>
        </row>
        <row r="521">
          <cell r="A521" t="str">
            <v>UEC</v>
          </cell>
          <cell r="B521" t="str">
            <v>65</v>
          </cell>
          <cell r="C521" t="str">
            <v>034</v>
          </cell>
          <cell r="D521" t="str">
            <v>518001</v>
          </cell>
          <cell r="E521" t="str">
            <v>FB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AD521">
            <v>0</v>
          </cell>
          <cell r="AF521">
            <v>0</v>
          </cell>
          <cell r="AG521" t="str">
            <v>Nuc</v>
          </cell>
        </row>
        <row r="522">
          <cell r="A522" t="str">
            <v>UEC</v>
          </cell>
          <cell r="B522" t="str">
            <v>65</v>
          </cell>
          <cell r="C522" t="str">
            <v>034</v>
          </cell>
          <cell r="D522" t="str">
            <v>518001</v>
          </cell>
          <cell r="E522" t="str">
            <v>FI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AD522">
            <v>0</v>
          </cell>
          <cell r="AF522">
            <v>0</v>
          </cell>
          <cell r="AG522" t="str">
            <v>Nuc</v>
          </cell>
        </row>
        <row r="523">
          <cell r="A523" t="str">
            <v>UEC</v>
          </cell>
          <cell r="B523" t="str">
            <v>65</v>
          </cell>
          <cell r="C523" t="str">
            <v>034</v>
          </cell>
          <cell r="D523" t="str">
            <v>518002</v>
          </cell>
          <cell r="E523" t="str">
            <v>FB</v>
          </cell>
          <cell r="F523">
            <v>4700145.03</v>
          </cell>
          <cell r="G523">
            <v>4241604.49</v>
          </cell>
          <cell r="H523">
            <v>4668410.41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AD523">
            <v>4668410.41</v>
          </cell>
          <cell r="AF523">
            <v>13610159.93</v>
          </cell>
          <cell r="AG523" t="str">
            <v>Nuc</v>
          </cell>
        </row>
        <row r="524">
          <cell r="A524" t="str">
            <v>UEC</v>
          </cell>
          <cell r="B524" t="str">
            <v>65</v>
          </cell>
          <cell r="C524" t="str">
            <v>086</v>
          </cell>
          <cell r="D524" t="str">
            <v>518003</v>
          </cell>
          <cell r="E524" t="str">
            <v>FB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AD524">
            <v>0</v>
          </cell>
          <cell r="AF524">
            <v>0</v>
          </cell>
          <cell r="AG524" t="str">
            <v>Oil</v>
          </cell>
        </row>
        <row r="525">
          <cell r="A525" t="str">
            <v>UEC</v>
          </cell>
          <cell r="B525" t="str">
            <v>65</v>
          </cell>
          <cell r="C525" t="str">
            <v>034</v>
          </cell>
          <cell r="D525" t="str">
            <v>518004</v>
          </cell>
          <cell r="E525" t="str">
            <v>FB</v>
          </cell>
          <cell r="F525">
            <v>-162336.65</v>
          </cell>
          <cell r="G525">
            <v>-162336.65</v>
          </cell>
          <cell r="H525">
            <v>-162336.65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AD525">
            <v>-162336.65</v>
          </cell>
          <cell r="AF525">
            <v>-487009.94999999995</v>
          </cell>
          <cell r="AG525" t="str">
            <v>Wcredit</v>
          </cell>
        </row>
        <row r="526">
          <cell r="A526" t="str">
            <v>UEC</v>
          </cell>
          <cell r="B526" t="str">
            <v>65</v>
          </cell>
          <cell r="C526" t="str">
            <v>034</v>
          </cell>
          <cell r="D526" t="str">
            <v>518005</v>
          </cell>
          <cell r="E526" t="str">
            <v>FB</v>
          </cell>
          <cell r="F526">
            <v>882503.27</v>
          </cell>
          <cell r="G526">
            <v>795971.79</v>
          </cell>
          <cell r="H526">
            <v>873264.83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AD526">
            <v>873264.83</v>
          </cell>
          <cell r="AF526">
            <v>2551739.89</v>
          </cell>
          <cell r="AG526" t="str">
            <v>Nuc</v>
          </cell>
        </row>
        <row r="527">
          <cell r="A527" t="str">
            <v>UEC</v>
          </cell>
          <cell r="B527" t="str">
            <v>65</v>
          </cell>
          <cell r="C527" t="str">
            <v>034</v>
          </cell>
          <cell r="D527" t="str">
            <v>518006</v>
          </cell>
          <cell r="E527" t="str">
            <v>FB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AD527">
            <v>0</v>
          </cell>
          <cell r="AF527">
            <v>0</v>
          </cell>
          <cell r="AG527" t="str">
            <v>Nuc</v>
          </cell>
        </row>
        <row r="528">
          <cell r="A528" t="str">
            <v>UEC</v>
          </cell>
          <cell r="B528" t="str">
            <v>65</v>
          </cell>
          <cell r="C528" t="str">
            <v>8FB</v>
          </cell>
          <cell r="D528" t="str">
            <v>524</v>
          </cell>
          <cell r="E528" t="str">
            <v>FB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AD528">
            <v>0</v>
          </cell>
          <cell r="AF528">
            <v>0</v>
          </cell>
          <cell r="AG528"/>
        </row>
        <row r="529">
          <cell r="A529" t="str">
            <v>UEC</v>
          </cell>
          <cell r="B529" t="str">
            <v>7A</v>
          </cell>
          <cell r="C529" t="str">
            <v>086</v>
          </cell>
          <cell r="D529" t="str">
            <v>INTGEN</v>
          </cell>
          <cell r="E529" t="str">
            <v>FI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AD529">
            <v>0</v>
          </cell>
          <cell r="AF529">
            <v>0</v>
          </cell>
          <cell r="AG529"/>
        </row>
        <row r="530">
          <cell r="A530" t="str">
            <v>UEC</v>
          </cell>
          <cell r="B530" t="str">
            <v>7A</v>
          </cell>
          <cell r="C530" t="str">
            <v>086</v>
          </cell>
          <cell r="D530" t="str">
            <v>547003</v>
          </cell>
          <cell r="E530" t="str">
            <v>FB</v>
          </cell>
          <cell r="F530">
            <v>52642.55</v>
          </cell>
          <cell r="G530">
            <v>2874.03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AD530">
            <v>0</v>
          </cell>
          <cell r="AF530">
            <v>55516.58</v>
          </cell>
          <cell r="AG530" t="str">
            <v>Gas</v>
          </cell>
        </row>
        <row r="531">
          <cell r="A531" t="str">
            <v>UEC</v>
          </cell>
          <cell r="B531" t="str">
            <v>7A</v>
          </cell>
          <cell r="C531" t="str">
            <v>086</v>
          </cell>
          <cell r="D531" t="str">
            <v>547003</v>
          </cell>
          <cell r="E531" t="str">
            <v>FB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AD531">
            <v>0</v>
          </cell>
          <cell r="AF531">
            <v>0</v>
          </cell>
          <cell r="AG531" t="str">
            <v>Gas</v>
          </cell>
        </row>
        <row r="532">
          <cell r="A532" t="str">
            <v>UEC</v>
          </cell>
          <cell r="B532" t="str">
            <v>7A</v>
          </cell>
          <cell r="C532" t="str">
            <v>086</v>
          </cell>
          <cell r="D532" t="str">
            <v>547003</v>
          </cell>
          <cell r="E532" t="str">
            <v>FB</v>
          </cell>
          <cell r="F532">
            <v>25016.32</v>
          </cell>
          <cell r="G532">
            <v>6268.64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AD532">
            <v>0</v>
          </cell>
          <cell r="AF532">
            <v>31284.959999999999</v>
          </cell>
          <cell r="AG532" t="str">
            <v>Gas</v>
          </cell>
        </row>
        <row r="533">
          <cell r="A533" t="str">
            <v>UEC</v>
          </cell>
          <cell r="B533" t="str">
            <v>7A</v>
          </cell>
          <cell r="C533" t="str">
            <v>086</v>
          </cell>
          <cell r="D533" t="str">
            <v>547003</v>
          </cell>
          <cell r="E533" t="str">
            <v>FI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AD533">
            <v>0</v>
          </cell>
          <cell r="AF533">
            <v>0</v>
          </cell>
          <cell r="AG533" t="str">
            <v>Gas</v>
          </cell>
        </row>
        <row r="534">
          <cell r="A534" t="str">
            <v>UEC</v>
          </cell>
          <cell r="B534" t="str">
            <v>7A</v>
          </cell>
          <cell r="C534" t="str">
            <v>086</v>
          </cell>
          <cell r="D534" t="str">
            <v>547003</v>
          </cell>
          <cell r="E534" t="str">
            <v>FI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AD534">
            <v>0</v>
          </cell>
          <cell r="AF534">
            <v>0</v>
          </cell>
          <cell r="AG534" t="str">
            <v>Gas</v>
          </cell>
        </row>
        <row r="535">
          <cell r="A535" t="str">
            <v>UEC</v>
          </cell>
          <cell r="B535" t="str">
            <v>7A</v>
          </cell>
          <cell r="C535" t="str">
            <v>086</v>
          </cell>
          <cell r="D535" t="str">
            <v>547003</v>
          </cell>
          <cell r="E535" t="str">
            <v>FI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AD535">
            <v>0</v>
          </cell>
          <cell r="AF535">
            <v>0</v>
          </cell>
          <cell r="AG535" t="str">
            <v>Gas</v>
          </cell>
        </row>
        <row r="536">
          <cell r="A536" t="str">
            <v>UEC</v>
          </cell>
          <cell r="B536" t="str">
            <v>7A</v>
          </cell>
          <cell r="C536" t="str">
            <v>086</v>
          </cell>
          <cell r="D536" t="str">
            <v>547003</v>
          </cell>
          <cell r="E536" t="str">
            <v>FI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AD536">
            <v>0</v>
          </cell>
          <cell r="AF536">
            <v>0</v>
          </cell>
          <cell r="AG536" t="str">
            <v>Gas</v>
          </cell>
        </row>
        <row r="537">
          <cell r="A537" t="str">
            <v>UEC</v>
          </cell>
          <cell r="B537" t="str">
            <v>7A</v>
          </cell>
          <cell r="C537" t="str">
            <v>086</v>
          </cell>
          <cell r="D537" t="str">
            <v>547013</v>
          </cell>
          <cell r="E537" t="str">
            <v>FI</v>
          </cell>
          <cell r="F537">
            <v>0</v>
          </cell>
          <cell r="G537">
            <v>116262.32</v>
          </cell>
          <cell r="H537">
            <v>178555.08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AD537">
            <v>178555.08</v>
          </cell>
          <cell r="AF537">
            <v>294817.40000000002</v>
          </cell>
          <cell r="AG537" t="str">
            <v>Gas</v>
          </cell>
        </row>
        <row r="538">
          <cell r="A538" t="str">
            <v>UEC</v>
          </cell>
          <cell r="B538" t="str">
            <v>7A</v>
          </cell>
          <cell r="C538" t="str">
            <v>086</v>
          </cell>
          <cell r="D538" t="str">
            <v>547013</v>
          </cell>
          <cell r="E538" t="str">
            <v>FI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AD538">
            <v>0</v>
          </cell>
          <cell r="AF538">
            <v>0</v>
          </cell>
          <cell r="AG538" t="str">
            <v>Gas</v>
          </cell>
        </row>
        <row r="539">
          <cell r="A539" t="str">
            <v>UEC</v>
          </cell>
          <cell r="B539" t="str">
            <v>7A</v>
          </cell>
          <cell r="C539" t="str">
            <v>086</v>
          </cell>
          <cell r="D539" t="str">
            <v>547013</v>
          </cell>
          <cell r="E539" t="str">
            <v>FI</v>
          </cell>
          <cell r="F539">
            <v>0</v>
          </cell>
          <cell r="G539">
            <v>53303.65</v>
          </cell>
          <cell r="H539">
            <v>53792.53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AD539">
            <v>53792.53</v>
          </cell>
          <cell r="AF539">
            <v>107096.18</v>
          </cell>
          <cell r="AG539" t="str">
            <v>Gas</v>
          </cell>
        </row>
        <row r="540">
          <cell r="A540" t="str">
            <v>UEC</v>
          </cell>
          <cell r="B540" t="str">
            <v>7G</v>
          </cell>
          <cell r="C540" t="str">
            <v>086</v>
          </cell>
          <cell r="D540" t="str">
            <v>INTGEN</v>
          </cell>
          <cell r="E540" t="str">
            <v>FI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AD540">
            <v>0</v>
          </cell>
          <cell r="AF540">
            <v>0</v>
          </cell>
          <cell r="AG540"/>
        </row>
        <row r="541">
          <cell r="A541" t="str">
            <v>UEC</v>
          </cell>
          <cell r="B541" t="str">
            <v>7G</v>
          </cell>
          <cell r="C541" t="str">
            <v>086</v>
          </cell>
          <cell r="D541" t="str">
            <v>547003</v>
          </cell>
          <cell r="E541" t="str">
            <v>FB</v>
          </cell>
          <cell r="F541">
            <v>21279.09</v>
          </cell>
          <cell r="G541">
            <v>237.82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AD541">
            <v>0</v>
          </cell>
          <cell r="AF541">
            <v>21516.91</v>
          </cell>
          <cell r="AG541" t="str">
            <v>Gas</v>
          </cell>
        </row>
        <row r="542">
          <cell r="A542" t="str">
            <v>UEC</v>
          </cell>
          <cell r="B542" t="str">
            <v>7G</v>
          </cell>
          <cell r="C542" t="str">
            <v>086</v>
          </cell>
          <cell r="D542" t="str">
            <v>547003</v>
          </cell>
          <cell r="E542" t="str">
            <v>FB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AD542">
            <v>0</v>
          </cell>
          <cell r="AF542">
            <v>0</v>
          </cell>
          <cell r="AG542" t="str">
            <v>Gas</v>
          </cell>
        </row>
        <row r="543">
          <cell r="A543" t="str">
            <v>UEC</v>
          </cell>
          <cell r="B543" t="str">
            <v>7G</v>
          </cell>
          <cell r="C543" t="str">
            <v>086</v>
          </cell>
          <cell r="D543" t="str">
            <v>547003</v>
          </cell>
          <cell r="E543" t="str">
            <v>FB</v>
          </cell>
          <cell r="F543">
            <v>198254.06</v>
          </cell>
          <cell r="G543">
            <v>570.79999999999995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AD543">
            <v>0</v>
          </cell>
          <cell r="AF543">
            <v>198824.86</v>
          </cell>
          <cell r="AG543" t="str">
            <v>Gas</v>
          </cell>
        </row>
        <row r="544">
          <cell r="A544" t="str">
            <v>UEC</v>
          </cell>
          <cell r="B544" t="str">
            <v>7G</v>
          </cell>
          <cell r="C544" t="str">
            <v>086</v>
          </cell>
          <cell r="D544" t="str">
            <v>547003</v>
          </cell>
          <cell r="E544" t="str">
            <v>FI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AD544">
            <v>0</v>
          </cell>
          <cell r="AF544">
            <v>0</v>
          </cell>
          <cell r="AG544" t="str">
            <v>Gas</v>
          </cell>
        </row>
        <row r="545">
          <cell r="A545" t="str">
            <v>UEC</v>
          </cell>
          <cell r="B545" t="str">
            <v>7G</v>
          </cell>
          <cell r="C545" t="str">
            <v>086</v>
          </cell>
          <cell r="D545" t="str">
            <v>547003</v>
          </cell>
          <cell r="E545" t="str">
            <v>FI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AD545">
            <v>0</v>
          </cell>
          <cell r="AF545">
            <v>0</v>
          </cell>
          <cell r="AG545" t="str">
            <v>Gas</v>
          </cell>
        </row>
        <row r="546">
          <cell r="A546" t="str">
            <v>UEC</v>
          </cell>
          <cell r="B546" t="str">
            <v>7G</v>
          </cell>
          <cell r="C546" t="str">
            <v>086</v>
          </cell>
          <cell r="D546" t="str">
            <v>547003</v>
          </cell>
          <cell r="E546" t="str">
            <v>FI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AD546">
            <v>0</v>
          </cell>
          <cell r="AF546">
            <v>0</v>
          </cell>
          <cell r="AG546" t="str">
            <v>Gas</v>
          </cell>
        </row>
        <row r="547">
          <cell r="A547" t="str">
            <v>UEC</v>
          </cell>
          <cell r="B547" t="str">
            <v>7G</v>
          </cell>
          <cell r="C547" t="str">
            <v>086</v>
          </cell>
          <cell r="D547" t="str">
            <v>547013</v>
          </cell>
          <cell r="E547" t="str">
            <v>FI</v>
          </cell>
          <cell r="F547">
            <v>445046.82</v>
          </cell>
          <cell r="G547">
            <v>166483.51</v>
          </cell>
          <cell r="H547">
            <v>62416.34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AD547">
            <v>62416.34</v>
          </cell>
          <cell r="AF547">
            <v>673946.67</v>
          </cell>
          <cell r="AG547" t="str">
            <v>Gas</v>
          </cell>
        </row>
        <row r="548">
          <cell r="A548" t="str">
            <v>UEC</v>
          </cell>
          <cell r="B548" t="str">
            <v>7G</v>
          </cell>
          <cell r="C548" t="str">
            <v>086</v>
          </cell>
          <cell r="D548" t="str">
            <v>547013</v>
          </cell>
          <cell r="E548" t="str">
            <v>FI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AD548">
            <v>0</v>
          </cell>
          <cell r="AF548">
            <v>0</v>
          </cell>
          <cell r="AG548" t="str">
            <v>Gas</v>
          </cell>
        </row>
        <row r="549">
          <cell r="A549" t="str">
            <v>UEC</v>
          </cell>
          <cell r="B549" t="str">
            <v>7G</v>
          </cell>
          <cell r="C549" t="str">
            <v>086</v>
          </cell>
          <cell r="D549" t="str">
            <v>547013</v>
          </cell>
          <cell r="E549" t="str">
            <v>FI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AD549">
            <v>0</v>
          </cell>
          <cell r="AF549">
            <v>0</v>
          </cell>
          <cell r="AG549" t="str">
            <v>Gas</v>
          </cell>
        </row>
        <row r="550">
          <cell r="A550" t="str">
            <v>UEC</v>
          </cell>
          <cell r="B550" t="str">
            <v>7G</v>
          </cell>
          <cell r="C550" t="str">
            <v>086</v>
          </cell>
          <cell r="D550" t="str">
            <v>547013</v>
          </cell>
          <cell r="E550" t="str">
            <v>FI</v>
          </cell>
          <cell r="F550">
            <v>47767.97</v>
          </cell>
          <cell r="G550">
            <v>69363.509999999995</v>
          </cell>
          <cell r="H550">
            <v>76997.990000000005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AD550">
            <v>76997.990000000005</v>
          </cell>
          <cell r="AF550">
            <v>194129.47</v>
          </cell>
          <cell r="AG550" t="str">
            <v>Gas</v>
          </cell>
        </row>
        <row r="551">
          <cell r="A551" t="str">
            <v>UEC</v>
          </cell>
          <cell r="B551" t="str">
            <v>7K</v>
          </cell>
          <cell r="C551" t="str">
            <v>186</v>
          </cell>
          <cell r="D551" t="str">
            <v>INTGEN</v>
          </cell>
          <cell r="E551" t="str">
            <v>FI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AD551">
            <v>0</v>
          </cell>
          <cell r="AF551">
            <v>0</v>
          </cell>
          <cell r="AG551"/>
        </row>
        <row r="552">
          <cell r="A552" t="str">
            <v>UEC</v>
          </cell>
          <cell r="B552" t="str">
            <v>7K</v>
          </cell>
          <cell r="C552" t="str">
            <v>086</v>
          </cell>
          <cell r="D552" t="str">
            <v>INTGEN</v>
          </cell>
          <cell r="E552" t="str">
            <v>FI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AD552">
            <v>0</v>
          </cell>
          <cell r="AF552">
            <v>0</v>
          </cell>
          <cell r="AG552"/>
        </row>
        <row r="553">
          <cell r="A553" t="str">
            <v>UEC</v>
          </cell>
          <cell r="B553" t="str">
            <v>7K</v>
          </cell>
          <cell r="C553" t="str">
            <v>086</v>
          </cell>
          <cell r="D553" t="str">
            <v>547002</v>
          </cell>
          <cell r="E553" t="str">
            <v>FB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AD553">
            <v>0</v>
          </cell>
          <cell r="AF553">
            <v>0</v>
          </cell>
          <cell r="AG553" t="str">
            <v>Oil</v>
          </cell>
        </row>
        <row r="554">
          <cell r="A554" t="str">
            <v>UEC</v>
          </cell>
          <cell r="B554" t="str">
            <v>7K</v>
          </cell>
          <cell r="C554" t="str">
            <v>086</v>
          </cell>
          <cell r="D554" t="str">
            <v>547003</v>
          </cell>
          <cell r="E554" t="str">
            <v>FB</v>
          </cell>
          <cell r="F554">
            <v>31680.41</v>
          </cell>
          <cell r="G554">
            <v>31934.73</v>
          </cell>
          <cell r="H554">
            <v>35328.5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AD554">
            <v>35328.5</v>
          </cell>
          <cell r="AF554">
            <v>98943.64</v>
          </cell>
          <cell r="AG554" t="str">
            <v>Gas</v>
          </cell>
        </row>
        <row r="555">
          <cell r="A555" t="str">
            <v>UEC</v>
          </cell>
          <cell r="B555" t="str">
            <v>7K</v>
          </cell>
          <cell r="C555" t="str">
            <v>086</v>
          </cell>
          <cell r="D555" t="str">
            <v>547003</v>
          </cell>
          <cell r="E555" t="str">
            <v>FB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AD555">
            <v>0</v>
          </cell>
          <cell r="AF555">
            <v>0</v>
          </cell>
          <cell r="AG555" t="str">
            <v>Gas</v>
          </cell>
        </row>
        <row r="556">
          <cell r="A556" t="str">
            <v>UEC</v>
          </cell>
          <cell r="B556" t="str">
            <v>7K</v>
          </cell>
          <cell r="C556" t="str">
            <v>086</v>
          </cell>
          <cell r="D556" t="str">
            <v>547003</v>
          </cell>
          <cell r="E556" t="str">
            <v>FB</v>
          </cell>
          <cell r="F556">
            <v>1744.21</v>
          </cell>
          <cell r="G556">
            <v>977.65</v>
          </cell>
          <cell r="H556">
            <v>451.7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AD556">
            <v>451.7</v>
          </cell>
          <cell r="AF556">
            <v>3173.56</v>
          </cell>
          <cell r="AG556" t="str">
            <v>Gas</v>
          </cell>
        </row>
        <row r="557">
          <cell r="A557" t="str">
            <v>UEC</v>
          </cell>
          <cell r="B557" t="str">
            <v>7K</v>
          </cell>
          <cell r="C557" t="str">
            <v>086</v>
          </cell>
          <cell r="D557" t="str">
            <v>547003</v>
          </cell>
          <cell r="E557" t="str">
            <v>FI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AD557">
            <v>0</v>
          </cell>
          <cell r="AF557">
            <v>0</v>
          </cell>
          <cell r="AG557" t="str">
            <v>Gas</v>
          </cell>
        </row>
        <row r="558">
          <cell r="A558" t="str">
            <v>UEC</v>
          </cell>
          <cell r="B558" t="str">
            <v>7K</v>
          </cell>
          <cell r="C558" t="str">
            <v>086</v>
          </cell>
          <cell r="D558" t="str">
            <v>547003</v>
          </cell>
          <cell r="E558" t="str">
            <v>FI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AD558">
            <v>0</v>
          </cell>
          <cell r="AF558">
            <v>0</v>
          </cell>
          <cell r="AG558" t="str">
            <v>Gas</v>
          </cell>
        </row>
        <row r="559">
          <cell r="A559" t="str">
            <v>UEC</v>
          </cell>
          <cell r="B559" t="str">
            <v>7K</v>
          </cell>
          <cell r="C559" t="str">
            <v>086</v>
          </cell>
          <cell r="D559" t="str">
            <v>547003</v>
          </cell>
          <cell r="E559" t="str">
            <v>FI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AD559">
            <v>0</v>
          </cell>
          <cell r="AF559">
            <v>0</v>
          </cell>
          <cell r="AG559" t="str">
            <v>Gas</v>
          </cell>
        </row>
        <row r="560">
          <cell r="A560" t="str">
            <v>UEC</v>
          </cell>
          <cell r="B560" t="str">
            <v>7K</v>
          </cell>
          <cell r="C560" t="str">
            <v>086</v>
          </cell>
          <cell r="D560" t="str">
            <v>547003</v>
          </cell>
          <cell r="E560" t="str">
            <v>FI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AD560">
            <v>0</v>
          </cell>
          <cell r="AF560">
            <v>0</v>
          </cell>
          <cell r="AG560" t="str">
            <v>Gas</v>
          </cell>
        </row>
        <row r="561">
          <cell r="A561" t="str">
            <v>UEC</v>
          </cell>
          <cell r="B561" t="str">
            <v>7K</v>
          </cell>
          <cell r="C561" t="str">
            <v>086</v>
          </cell>
          <cell r="D561" t="str">
            <v>547013</v>
          </cell>
          <cell r="E561" t="str">
            <v>FI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AD561">
            <v>0</v>
          </cell>
          <cell r="AF561">
            <v>0</v>
          </cell>
          <cell r="AG561" t="str">
            <v>Gas</v>
          </cell>
        </row>
        <row r="562">
          <cell r="A562" t="str">
            <v>UEC</v>
          </cell>
          <cell r="B562" t="str">
            <v>7K</v>
          </cell>
          <cell r="C562" t="str">
            <v>086</v>
          </cell>
          <cell r="D562" t="str">
            <v>547013</v>
          </cell>
          <cell r="E562" t="str">
            <v>FI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AD562">
            <v>0</v>
          </cell>
          <cell r="AF562">
            <v>0</v>
          </cell>
          <cell r="AG562" t="str">
            <v>Gas</v>
          </cell>
        </row>
        <row r="563">
          <cell r="A563" t="str">
            <v>UEC</v>
          </cell>
          <cell r="B563" t="str">
            <v>7K</v>
          </cell>
          <cell r="C563" t="str">
            <v>086</v>
          </cell>
          <cell r="D563" t="str">
            <v>547013</v>
          </cell>
          <cell r="E563" t="str">
            <v>FI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AD563">
            <v>0</v>
          </cell>
          <cell r="AF563">
            <v>0</v>
          </cell>
          <cell r="AG563" t="str">
            <v>Gas</v>
          </cell>
        </row>
        <row r="564">
          <cell r="A564" t="str">
            <v>UEC</v>
          </cell>
          <cell r="B564" t="str">
            <v>7K</v>
          </cell>
          <cell r="C564" t="str">
            <v>086</v>
          </cell>
          <cell r="D564" t="str">
            <v>547013</v>
          </cell>
          <cell r="E564" t="str">
            <v>FI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AD564">
            <v>0</v>
          </cell>
          <cell r="AF564">
            <v>0</v>
          </cell>
          <cell r="AG564" t="str">
            <v>Gas</v>
          </cell>
        </row>
        <row r="565">
          <cell r="A565" t="str">
            <v>UEC</v>
          </cell>
          <cell r="B565" t="str">
            <v>7P</v>
          </cell>
          <cell r="C565" t="str">
            <v>086</v>
          </cell>
          <cell r="D565" t="str">
            <v>INTGEN</v>
          </cell>
          <cell r="E565" t="str">
            <v>FI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AD565">
            <v>0</v>
          </cell>
          <cell r="AF565">
            <v>0</v>
          </cell>
          <cell r="AG565"/>
        </row>
        <row r="566">
          <cell r="A566" t="str">
            <v>UEC</v>
          </cell>
          <cell r="B566" t="str">
            <v>7P</v>
          </cell>
          <cell r="C566" t="str">
            <v>186</v>
          </cell>
          <cell r="D566" t="str">
            <v>INTGEN</v>
          </cell>
          <cell r="E566" t="str">
            <v>FI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AD566">
            <v>0</v>
          </cell>
          <cell r="AF566">
            <v>0</v>
          </cell>
          <cell r="AG566"/>
        </row>
        <row r="567">
          <cell r="A567" t="str">
            <v>UEC</v>
          </cell>
          <cell r="B567" t="str">
            <v>7P</v>
          </cell>
          <cell r="C567" t="str">
            <v>086</v>
          </cell>
          <cell r="D567" t="str">
            <v>547003</v>
          </cell>
          <cell r="E567" t="str">
            <v>FB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AD567">
            <v>0</v>
          </cell>
          <cell r="AF567">
            <v>0</v>
          </cell>
          <cell r="AG567" t="str">
            <v>Gas</v>
          </cell>
        </row>
        <row r="568">
          <cell r="A568" t="str">
            <v>UEC</v>
          </cell>
          <cell r="B568" t="str">
            <v>7P</v>
          </cell>
          <cell r="C568" t="str">
            <v>086</v>
          </cell>
          <cell r="D568" t="str">
            <v>547003</v>
          </cell>
          <cell r="E568" t="str">
            <v>FB</v>
          </cell>
          <cell r="F568">
            <v>55941.71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AD568">
            <v>0</v>
          </cell>
          <cell r="AF568">
            <v>55941.71</v>
          </cell>
          <cell r="AG568" t="str">
            <v>Gas</v>
          </cell>
        </row>
        <row r="569">
          <cell r="A569" t="str">
            <v>UEC</v>
          </cell>
          <cell r="B569" t="str">
            <v>7P</v>
          </cell>
          <cell r="C569" t="str">
            <v>086</v>
          </cell>
          <cell r="D569" t="str">
            <v>547003</v>
          </cell>
          <cell r="E569" t="str">
            <v>FB</v>
          </cell>
          <cell r="F569">
            <v>26368.18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AD569">
            <v>0</v>
          </cell>
          <cell r="AF569">
            <v>26368.18</v>
          </cell>
          <cell r="AG569" t="str">
            <v>Gas</v>
          </cell>
        </row>
        <row r="570">
          <cell r="A570" t="str">
            <v>UEC</v>
          </cell>
          <cell r="B570" t="str">
            <v>7P</v>
          </cell>
          <cell r="C570" t="str">
            <v>086</v>
          </cell>
          <cell r="D570" t="str">
            <v>547003</v>
          </cell>
          <cell r="E570" t="str">
            <v>FI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AD570">
            <v>0</v>
          </cell>
          <cell r="AF570">
            <v>0</v>
          </cell>
          <cell r="AG570" t="str">
            <v>Gas</v>
          </cell>
        </row>
        <row r="571">
          <cell r="A571" t="str">
            <v>UEC</v>
          </cell>
          <cell r="B571" t="str">
            <v>7P</v>
          </cell>
          <cell r="C571" t="str">
            <v>086</v>
          </cell>
          <cell r="D571" t="str">
            <v>547003</v>
          </cell>
          <cell r="E571" t="str">
            <v>FI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AD571">
            <v>0</v>
          </cell>
          <cell r="AF571">
            <v>0</v>
          </cell>
          <cell r="AG571" t="str">
            <v>Gas</v>
          </cell>
        </row>
        <row r="572">
          <cell r="A572" t="str">
            <v>UEC</v>
          </cell>
          <cell r="B572" t="str">
            <v>7P</v>
          </cell>
          <cell r="C572" t="str">
            <v>086</v>
          </cell>
          <cell r="D572" t="str">
            <v>547003</v>
          </cell>
          <cell r="E572" t="str">
            <v>FI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AD572">
            <v>0</v>
          </cell>
          <cell r="AF572">
            <v>0</v>
          </cell>
          <cell r="AG572" t="str">
            <v>Gas</v>
          </cell>
        </row>
        <row r="573">
          <cell r="A573" t="str">
            <v>UEC</v>
          </cell>
          <cell r="B573" t="str">
            <v>7P</v>
          </cell>
          <cell r="C573" t="str">
            <v>086</v>
          </cell>
          <cell r="D573" t="str">
            <v>547003</v>
          </cell>
          <cell r="E573" t="str">
            <v>FI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AD573">
            <v>0</v>
          </cell>
          <cell r="AF573">
            <v>0</v>
          </cell>
          <cell r="AG573" t="str">
            <v>Gas</v>
          </cell>
        </row>
        <row r="574">
          <cell r="A574" t="str">
            <v>UEC</v>
          </cell>
          <cell r="B574" t="str">
            <v>7P</v>
          </cell>
          <cell r="C574" t="str">
            <v>086</v>
          </cell>
          <cell r="D574" t="str">
            <v>547013</v>
          </cell>
          <cell r="E574" t="str">
            <v>FI</v>
          </cell>
          <cell r="F574">
            <v>15410.89</v>
          </cell>
          <cell r="G574">
            <v>42114.44</v>
          </cell>
          <cell r="H574">
            <v>46590.02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AD574">
            <v>46590.02</v>
          </cell>
          <cell r="AF574">
            <v>104115.35</v>
          </cell>
          <cell r="AG574" t="str">
            <v>Gas</v>
          </cell>
        </row>
        <row r="575">
          <cell r="A575" t="str">
            <v>UEC</v>
          </cell>
          <cell r="B575" t="str">
            <v>7P</v>
          </cell>
          <cell r="C575" t="str">
            <v>086</v>
          </cell>
          <cell r="D575" t="str">
            <v>547013</v>
          </cell>
          <cell r="E575" t="str">
            <v>FI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AD575">
            <v>0</v>
          </cell>
          <cell r="AF575">
            <v>0</v>
          </cell>
          <cell r="AG575" t="str">
            <v>Gas</v>
          </cell>
        </row>
        <row r="576">
          <cell r="A576" t="str">
            <v>UEC</v>
          </cell>
          <cell r="B576" t="str">
            <v>7P</v>
          </cell>
          <cell r="C576" t="str">
            <v>086</v>
          </cell>
          <cell r="D576" t="str">
            <v>547013</v>
          </cell>
          <cell r="E576" t="str">
            <v>FI</v>
          </cell>
          <cell r="F576">
            <v>32695.15</v>
          </cell>
          <cell r="G576">
            <v>33101.339999999997</v>
          </cell>
          <cell r="H576">
            <v>248217.78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AD576">
            <v>248217.78</v>
          </cell>
          <cell r="AF576">
            <v>314014.27</v>
          </cell>
          <cell r="AG576" t="str">
            <v>Gas</v>
          </cell>
        </row>
        <row r="577">
          <cell r="A577" t="str">
            <v>UEC</v>
          </cell>
          <cell r="B577" t="str">
            <v>7P</v>
          </cell>
          <cell r="C577" t="str">
            <v>086</v>
          </cell>
          <cell r="D577" t="str">
            <v>547013</v>
          </cell>
          <cell r="E577" t="str">
            <v>FI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AD577">
            <v>0</v>
          </cell>
          <cell r="AF577">
            <v>0</v>
          </cell>
          <cell r="AG577" t="str">
            <v>Gas</v>
          </cell>
        </row>
        <row r="578">
          <cell r="A578" t="str">
            <v>UEC</v>
          </cell>
          <cell r="B578" t="str">
            <v>7R</v>
          </cell>
          <cell r="C578" t="str">
            <v>086</v>
          </cell>
          <cell r="D578" t="str">
            <v>INTGEN</v>
          </cell>
          <cell r="E578" t="str">
            <v>FI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AD578">
            <v>0</v>
          </cell>
          <cell r="AF578">
            <v>0</v>
          </cell>
          <cell r="AG578"/>
        </row>
        <row r="579">
          <cell r="A579" t="str">
            <v>UEC</v>
          </cell>
          <cell r="B579" t="str">
            <v>7R</v>
          </cell>
          <cell r="C579" t="str">
            <v>086</v>
          </cell>
          <cell r="D579" t="str">
            <v>547003</v>
          </cell>
          <cell r="E579" t="str">
            <v>FB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AD579">
            <v>0</v>
          </cell>
          <cell r="AF579">
            <v>0</v>
          </cell>
          <cell r="AG579" t="str">
            <v>Gas</v>
          </cell>
        </row>
        <row r="580">
          <cell r="A580" t="str">
            <v>UEC</v>
          </cell>
          <cell r="B580" t="str">
            <v>7R</v>
          </cell>
          <cell r="C580" t="str">
            <v>086</v>
          </cell>
          <cell r="D580" t="str">
            <v>547003</v>
          </cell>
          <cell r="E580" t="str">
            <v>FB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AD580">
            <v>0</v>
          </cell>
          <cell r="AF580">
            <v>0</v>
          </cell>
          <cell r="AG580" t="str">
            <v>Gas</v>
          </cell>
        </row>
        <row r="581">
          <cell r="A581" t="str">
            <v>UEC</v>
          </cell>
          <cell r="B581" t="str">
            <v>7R</v>
          </cell>
          <cell r="C581" t="str">
            <v>086</v>
          </cell>
          <cell r="D581" t="str">
            <v>547003</v>
          </cell>
          <cell r="E581" t="str">
            <v>FI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AD581">
            <v>0</v>
          </cell>
          <cell r="AF581">
            <v>0</v>
          </cell>
          <cell r="AG581" t="str">
            <v>Gas</v>
          </cell>
        </row>
        <row r="582">
          <cell r="A582" t="str">
            <v>UEC</v>
          </cell>
          <cell r="B582" t="str">
            <v>7R</v>
          </cell>
          <cell r="C582" t="str">
            <v>086</v>
          </cell>
          <cell r="D582" t="str">
            <v>547003</v>
          </cell>
          <cell r="E582" t="str">
            <v>FI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AD582">
            <v>0</v>
          </cell>
          <cell r="AF582">
            <v>0</v>
          </cell>
          <cell r="AG582" t="str">
            <v>Gas</v>
          </cell>
        </row>
        <row r="583">
          <cell r="A583" t="str">
            <v>UEC</v>
          </cell>
          <cell r="B583" t="str">
            <v>7R</v>
          </cell>
          <cell r="C583" t="str">
            <v>086</v>
          </cell>
          <cell r="D583" t="str">
            <v>547013</v>
          </cell>
          <cell r="E583" t="str">
            <v>FI</v>
          </cell>
          <cell r="F583">
            <v>0</v>
          </cell>
          <cell r="G583">
            <v>83283.72</v>
          </cell>
          <cell r="H583">
            <v>12585.85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AD583">
            <v>12585.85</v>
          </cell>
          <cell r="AF583">
            <v>95869.57</v>
          </cell>
          <cell r="AG583" t="str">
            <v>Gas</v>
          </cell>
        </row>
        <row r="584">
          <cell r="A584" t="str">
            <v>UEC</v>
          </cell>
          <cell r="B584" t="str">
            <v>7R</v>
          </cell>
          <cell r="C584" t="str">
            <v>086</v>
          </cell>
          <cell r="D584" t="str">
            <v>547013</v>
          </cell>
          <cell r="E584" t="str">
            <v>FI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AD584">
            <v>0</v>
          </cell>
          <cell r="AF584">
            <v>0</v>
          </cell>
          <cell r="AG584" t="str">
            <v>Gas</v>
          </cell>
        </row>
        <row r="585">
          <cell r="A585" t="str">
            <v>UEC</v>
          </cell>
          <cell r="B585" t="str">
            <v>7R</v>
          </cell>
          <cell r="C585" t="str">
            <v>086</v>
          </cell>
          <cell r="D585" t="str">
            <v>547013</v>
          </cell>
          <cell r="E585" t="str">
            <v>FI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AD585">
            <v>0</v>
          </cell>
          <cell r="AF585">
            <v>0</v>
          </cell>
          <cell r="AG585" t="str">
            <v>Gas</v>
          </cell>
        </row>
        <row r="586">
          <cell r="A586" t="str">
            <v>UEC</v>
          </cell>
          <cell r="B586" t="str">
            <v>7R</v>
          </cell>
          <cell r="C586" t="str">
            <v>086</v>
          </cell>
          <cell r="D586" t="str">
            <v>547013</v>
          </cell>
          <cell r="E586" t="str">
            <v>FI</v>
          </cell>
          <cell r="F586">
            <v>70020.47</v>
          </cell>
          <cell r="G586">
            <v>-70020.47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AD586">
            <v>0</v>
          </cell>
          <cell r="AF586">
            <v>0</v>
          </cell>
          <cell r="AG586" t="str">
            <v>Gas</v>
          </cell>
        </row>
        <row r="587">
          <cell r="A587" t="str">
            <v>UEC</v>
          </cell>
          <cell r="B587" t="str">
            <v>71</v>
          </cell>
          <cell r="C587" t="str">
            <v>086</v>
          </cell>
          <cell r="D587" t="str">
            <v>INTGEN</v>
          </cell>
          <cell r="E587" t="str">
            <v>FI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AD587">
            <v>0</v>
          </cell>
          <cell r="AF587">
            <v>0</v>
          </cell>
          <cell r="AG587"/>
        </row>
        <row r="588">
          <cell r="A588" t="str">
            <v>UEC</v>
          </cell>
          <cell r="B588" t="str">
            <v>71</v>
          </cell>
          <cell r="C588" t="str">
            <v>086</v>
          </cell>
          <cell r="D588" t="str">
            <v>547002</v>
          </cell>
          <cell r="E588" t="str">
            <v>FB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AD588">
            <v>0</v>
          </cell>
          <cell r="AF588">
            <v>0</v>
          </cell>
          <cell r="AG588" t="str">
            <v>Oil</v>
          </cell>
        </row>
        <row r="589">
          <cell r="A589" t="str">
            <v>UEC</v>
          </cell>
          <cell r="B589" t="str">
            <v>71</v>
          </cell>
          <cell r="C589" t="str">
            <v>086</v>
          </cell>
          <cell r="D589" t="str">
            <v>547012</v>
          </cell>
          <cell r="E589" t="str">
            <v>FI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AD589">
            <v>0</v>
          </cell>
          <cell r="AF589">
            <v>0</v>
          </cell>
          <cell r="AG589" t="str">
            <v>Oil</v>
          </cell>
        </row>
        <row r="590">
          <cell r="A590" t="str">
            <v>UEC</v>
          </cell>
          <cell r="B590" t="str">
            <v>71</v>
          </cell>
          <cell r="C590" t="str">
            <v>086</v>
          </cell>
          <cell r="D590" t="str">
            <v>547012</v>
          </cell>
          <cell r="E590" t="str">
            <v>FI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AD590">
            <v>0</v>
          </cell>
          <cell r="AF590">
            <v>0</v>
          </cell>
          <cell r="AG590" t="str">
            <v>Oil</v>
          </cell>
        </row>
        <row r="591">
          <cell r="A591" t="str">
            <v>UEC</v>
          </cell>
          <cell r="B591" t="str">
            <v>72</v>
          </cell>
          <cell r="C591" t="str">
            <v>086</v>
          </cell>
          <cell r="D591" t="str">
            <v>INTGEN</v>
          </cell>
          <cell r="E591" t="str">
            <v>FI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AD591">
            <v>0</v>
          </cell>
          <cell r="AF591">
            <v>0</v>
          </cell>
          <cell r="AG591"/>
        </row>
        <row r="592">
          <cell r="A592" t="str">
            <v>UEC</v>
          </cell>
          <cell r="B592" t="str">
            <v>72</v>
          </cell>
          <cell r="C592" t="str">
            <v>086</v>
          </cell>
          <cell r="D592" t="str">
            <v>547002</v>
          </cell>
          <cell r="E592" t="str">
            <v>FB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AD592">
            <v>0</v>
          </cell>
          <cell r="AF592">
            <v>0</v>
          </cell>
          <cell r="AG592" t="str">
            <v>Oil</v>
          </cell>
        </row>
        <row r="593">
          <cell r="A593" t="str">
            <v>UEC</v>
          </cell>
          <cell r="B593" t="str">
            <v>72</v>
          </cell>
          <cell r="C593" t="str">
            <v>086</v>
          </cell>
          <cell r="D593" t="str">
            <v>547003</v>
          </cell>
          <cell r="E593" t="str">
            <v>FB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AD593">
            <v>0</v>
          </cell>
          <cell r="AF593">
            <v>0</v>
          </cell>
          <cell r="AG593" t="str">
            <v>Gas</v>
          </cell>
        </row>
        <row r="594">
          <cell r="A594" t="str">
            <v>UEC</v>
          </cell>
          <cell r="B594" t="str">
            <v>72</v>
          </cell>
          <cell r="C594" t="str">
            <v>086</v>
          </cell>
          <cell r="D594" t="str">
            <v>547003</v>
          </cell>
          <cell r="E594" t="str">
            <v>FB</v>
          </cell>
          <cell r="F594">
            <v>-6.26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AD594">
            <v>0</v>
          </cell>
          <cell r="AF594">
            <v>-6.26</v>
          </cell>
          <cell r="AG594" t="str">
            <v>Gas</v>
          </cell>
        </row>
        <row r="595">
          <cell r="A595" t="str">
            <v>UEC</v>
          </cell>
          <cell r="B595" t="str">
            <v>72</v>
          </cell>
          <cell r="C595" t="str">
            <v>086</v>
          </cell>
          <cell r="D595" t="str">
            <v>547012</v>
          </cell>
          <cell r="E595" t="str">
            <v>FI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AD595">
            <v>0</v>
          </cell>
          <cell r="AF595">
            <v>0</v>
          </cell>
          <cell r="AG595" t="str">
            <v>Oil</v>
          </cell>
        </row>
        <row r="596">
          <cell r="A596" t="str">
            <v>UEC</v>
          </cell>
          <cell r="B596" t="str">
            <v>72</v>
          </cell>
          <cell r="C596" t="str">
            <v>086</v>
          </cell>
          <cell r="D596" t="str">
            <v>547012</v>
          </cell>
          <cell r="E596" t="str">
            <v>FI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AD596">
            <v>0</v>
          </cell>
          <cell r="AF596">
            <v>0</v>
          </cell>
          <cell r="AG596" t="str">
            <v>Oil</v>
          </cell>
        </row>
        <row r="597">
          <cell r="A597" t="str">
            <v>UEC</v>
          </cell>
          <cell r="B597" t="str">
            <v>72</v>
          </cell>
          <cell r="C597" t="str">
            <v>086</v>
          </cell>
          <cell r="D597" t="str">
            <v>547013</v>
          </cell>
          <cell r="E597" t="str">
            <v>FI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AD597">
            <v>0</v>
          </cell>
          <cell r="AF597">
            <v>0</v>
          </cell>
          <cell r="AG597" t="str">
            <v>Gas</v>
          </cell>
        </row>
        <row r="598">
          <cell r="A598" t="str">
            <v>UEC</v>
          </cell>
          <cell r="B598" t="str">
            <v>72</v>
          </cell>
          <cell r="C598" t="str">
            <v>086</v>
          </cell>
          <cell r="D598" t="str">
            <v>547013</v>
          </cell>
          <cell r="E598" t="str">
            <v>FI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AD598">
            <v>0</v>
          </cell>
          <cell r="AF598">
            <v>0</v>
          </cell>
          <cell r="AG598" t="str">
            <v>Gas</v>
          </cell>
        </row>
        <row r="599">
          <cell r="A599" t="str">
            <v>UEC</v>
          </cell>
          <cell r="B599" t="str">
            <v>72</v>
          </cell>
          <cell r="C599" t="str">
            <v>086</v>
          </cell>
          <cell r="D599" t="str">
            <v>547013</v>
          </cell>
          <cell r="E599" t="str">
            <v>FI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AD599">
            <v>0</v>
          </cell>
          <cell r="AF599">
            <v>0</v>
          </cell>
          <cell r="AG599" t="str">
            <v>Gas</v>
          </cell>
        </row>
        <row r="600">
          <cell r="A600" t="str">
            <v>UEC</v>
          </cell>
          <cell r="B600" t="str">
            <v>73</v>
          </cell>
          <cell r="C600" t="str">
            <v>086</v>
          </cell>
          <cell r="D600" t="str">
            <v>INTGEN</v>
          </cell>
          <cell r="E600" t="str">
            <v>FI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AD600">
            <v>0</v>
          </cell>
          <cell r="AF600">
            <v>0</v>
          </cell>
          <cell r="AG600"/>
        </row>
        <row r="601">
          <cell r="A601" t="str">
            <v>UEC</v>
          </cell>
          <cell r="B601" t="str">
            <v>73</v>
          </cell>
          <cell r="C601" t="str">
            <v>086</v>
          </cell>
          <cell r="D601" t="str">
            <v>547002</v>
          </cell>
          <cell r="E601" t="str">
            <v>FB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AD601">
            <v>0</v>
          </cell>
          <cell r="AF601">
            <v>0</v>
          </cell>
          <cell r="AG601" t="str">
            <v>Oil</v>
          </cell>
        </row>
        <row r="602">
          <cell r="A602" t="str">
            <v>UEC</v>
          </cell>
          <cell r="B602" t="str">
            <v>73</v>
          </cell>
          <cell r="C602" t="str">
            <v>086</v>
          </cell>
          <cell r="D602" t="str">
            <v>547012</v>
          </cell>
          <cell r="E602" t="str">
            <v>FI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AD602">
            <v>0</v>
          </cell>
          <cell r="AF602">
            <v>0</v>
          </cell>
          <cell r="AG602" t="str">
            <v>Oil</v>
          </cell>
        </row>
        <row r="603">
          <cell r="A603" t="str">
            <v>UEC</v>
          </cell>
          <cell r="B603" t="str">
            <v>73</v>
          </cell>
          <cell r="C603" t="str">
            <v>086</v>
          </cell>
          <cell r="D603" t="str">
            <v>547012</v>
          </cell>
          <cell r="E603" t="str">
            <v>FI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AD603">
            <v>0</v>
          </cell>
          <cell r="AF603">
            <v>0</v>
          </cell>
          <cell r="AG603" t="str">
            <v>Oil</v>
          </cell>
        </row>
        <row r="604">
          <cell r="A604" t="str">
            <v>UEC</v>
          </cell>
          <cell r="B604" t="str">
            <v>74</v>
          </cell>
          <cell r="C604" t="str">
            <v>086</v>
          </cell>
          <cell r="D604" t="str">
            <v>INTGEN</v>
          </cell>
          <cell r="E604" t="str">
            <v>FI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AD604">
            <v>0</v>
          </cell>
          <cell r="AF604">
            <v>0</v>
          </cell>
          <cell r="AG604"/>
        </row>
        <row r="605">
          <cell r="A605" t="str">
            <v>UEC</v>
          </cell>
          <cell r="B605" t="str">
            <v>74</v>
          </cell>
          <cell r="C605" t="str">
            <v>086</v>
          </cell>
          <cell r="D605" t="str">
            <v>547003</v>
          </cell>
          <cell r="E605" t="str">
            <v>FB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AD605">
            <v>0</v>
          </cell>
          <cell r="AF605">
            <v>0</v>
          </cell>
          <cell r="AG605" t="str">
            <v>Gas</v>
          </cell>
        </row>
        <row r="606">
          <cell r="A606" t="str">
            <v>UEC</v>
          </cell>
          <cell r="B606" t="str">
            <v>74</v>
          </cell>
          <cell r="C606" t="str">
            <v>086</v>
          </cell>
          <cell r="D606" t="str">
            <v>547013</v>
          </cell>
          <cell r="E606" t="str">
            <v>FI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AD606">
            <v>0</v>
          </cell>
          <cell r="AF606">
            <v>0</v>
          </cell>
          <cell r="AG606" t="str">
            <v>Gas</v>
          </cell>
        </row>
        <row r="607">
          <cell r="A607" t="str">
            <v>UEC</v>
          </cell>
          <cell r="B607" t="str">
            <v>74</v>
          </cell>
          <cell r="C607" t="str">
            <v>086</v>
          </cell>
          <cell r="D607" t="str">
            <v>547013</v>
          </cell>
          <cell r="E607" t="str">
            <v>FI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AD607">
            <v>0</v>
          </cell>
          <cell r="AF607">
            <v>0</v>
          </cell>
          <cell r="AG607" t="str">
            <v>Gas</v>
          </cell>
        </row>
        <row r="608">
          <cell r="A608" t="str">
            <v>UEC</v>
          </cell>
          <cell r="B608" t="str">
            <v>75</v>
          </cell>
          <cell r="C608" t="str">
            <v>086</v>
          </cell>
          <cell r="D608" t="str">
            <v>INTGEN</v>
          </cell>
          <cell r="E608" t="str">
            <v>FI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AD608">
            <v>0</v>
          </cell>
          <cell r="AF608">
            <v>0</v>
          </cell>
          <cell r="AG608"/>
        </row>
        <row r="609">
          <cell r="A609" t="str">
            <v>UEC</v>
          </cell>
          <cell r="B609" t="str">
            <v>75</v>
          </cell>
          <cell r="C609" t="str">
            <v>086</v>
          </cell>
          <cell r="D609" t="str">
            <v>547002</v>
          </cell>
          <cell r="E609" t="str">
            <v>FB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AD609">
            <v>0</v>
          </cell>
          <cell r="AF609">
            <v>0</v>
          </cell>
          <cell r="AG609" t="str">
            <v>Oil</v>
          </cell>
        </row>
        <row r="610">
          <cell r="A610" t="str">
            <v>UEC</v>
          </cell>
          <cell r="B610" t="str">
            <v>75</v>
          </cell>
          <cell r="C610" t="str">
            <v>086</v>
          </cell>
          <cell r="D610" t="str">
            <v>547012</v>
          </cell>
          <cell r="E610" t="str">
            <v>FI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AD610">
            <v>0</v>
          </cell>
          <cell r="AF610">
            <v>0</v>
          </cell>
          <cell r="AG610" t="str">
            <v>Oil</v>
          </cell>
        </row>
        <row r="611">
          <cell r="A611" t="str">
            <v>UEC</v>
          </cell>
          <cell r="B611" t="str">
            <v>75</v>
          </cell>
          <cell r="C611" t="str">
            <v>086</v>
          </cell>
          <cell r="D611" t="str">
            <v>547012</v>
          </cell>
          <cell r="E611" t="str">
            <v>FI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AD611">
            <v>0</v>
          </cell>
          <cell r="AF611">
            <v>0</v>
          </cell>
          <cell r="AG611" t="str">
            <v>Oil</v>
          </cell>
        </row>
        <row r="612">
          <cell r="A612" t="str">
            <v>UEC</v>
          </cell>
          <cell r="B612" t="str">
            <v>76</v>
          </cell>
          <cell r="C612" t="str">
            <v>086</v>
          </cell>
          <cell r="D612" t="str">
            <v>INTGEN</v>
          </cell>
          <cell r="E612" t="str">
            <v>FI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AD612">
            <v>0</v>
          </cell>
          <cell r="AF612">
            <v>0</v>
          </cell>
          <cell r="AG612"/>
        </row>
        <row r="613">
          <cell r="A613" t="str">
            <v>UEC</v>
          </cell>
          <cell r="B613" t="str">
            <v>76</v>
          </cell>
          <cell r="C613" t="str">
            <v>086</v>
          </cell>
          <cell r="D613" t="str">
            <v>547002</v>
          </cell>
          <cell r="E613" t="str">
            <v>FB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AD613">
            <v>0</v>
          </cell>
          <cell r="AF613">
            <v>0</v>
          </cell>
          <cell r="AG613" t="str">
            <v>Oil</v>
          </cell>
        </row>
        <row r="614">
          <cell r="A614" t="str">
            <v>UEC</v>
          </cell>
          <cell r="B614" t="str">
            <v>76</v>
          </cell>
          <cell r="C614" t="str">
            <v>086</v>
          </cell>
          <cell r="D614" t="str">
            <v>547012</v>
          </cell>
          <cell r="E614" t="str">
            <v>FI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AD614">
            <v>0</v>
          </cell>
          <cell r="AF614">
            <v>0</v>
          </cell>
          <cell r="AG614" t="str">
            <v>Oil</v>
          </cell>
        </row>
        <row r="615">
          <cell r="A615" t="str">
            <v>UEC</v>
          </cell>
          <cell r="B615" t="str">
            <v>76</v>
          </cell>
          <cell r="C615" t="str">
            <v>086</v>
          </cell>
          <cell r="D615" t="str">
            <v>547012</v>
          </cell>
          <cell r="E615" t="str">
            <v>FI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AD615">
            <v>0</v>
          </cell>
          <cell r="AF615">
            <v>0</v>
          </cell>
          <cell r="AG615" t="str">
            <v>Oil</v>
          </cell>
        </row>
        <row r="616">
          <cell r="A616" t="str">
            <v>UEC</v>
          </cell>
          <cell r="B616" t="str">
            <v>77</v>
          </cell>
          <cell r="C616" t="str">
            <v>086</v>
          </cell>
          <cell r="D616" t="str">
            <v>INTGEN</v>
          </cell>
          <cell r="E616" t="str">
            <v>FI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AD616">
            <v>0</v>
          </cell>
          <cell r="AF616">
            <v>0</v>
          </cell>
          <cell r="AG616"/>
        </row>
        <row r="617">
          <cell r="A617" t="str">
            <v>UEC</v>
          </cell>
          <cell r="B617" t="str">
            <v>77</v>
          </cell>
          <cell r="C617" t="str">
            <v>086</v>
          </cell>
          <cell r="D617" t="str">
            <v>547002</v>
          </cell>
          <cell r="E617" t="str">
            <v>FB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AD617">
            <v>0</v>
          </cell>
          <cell r="AF617">
            <v>0</v>
          </cell>
          <cell r="AG617" t="str">
            <v>Oil</v>
          </cell>
        </row>
        <row r="618">
          <cell r="A618" t="str">
            <v>UEC</v>
          </cell>
          <cell r="B618" t="str">
            <v>77</v>
          </cell>
          <cell r="C618" t="str">
            <v>086</v>
          </cell>
          <cell r="D618" t="str">
            <v>547012</v>
          </cell>
          <cell r="E618" t="str">
            <v>FI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AD618">
            <v>0</v>
          </cell>
          <cell r="AF618">
            <v>0</v>
          </cell>
          <cell r="AG618" t="str">
            <v>Oil</v>
          </cell>
        </row>
        <row r="619">
          <cell r="A619" t="str">
            <v>UEC</v>
          </cell>
          <cell r="B619" t="str">
            <v>77</v>
          </cell>
          <cell r="C619" t="str">
            <v>086</v>
          </cell>
          <cell r="D619" t="str">
            <v>547012</v>
          </cell>
          <cell r="E619" t="str">
            <v>FI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AD619">
            <v>0</v>
          </cell>
          <cell r="AF619">
            <v>0</v>
          </cell>
          <cell r="AG619" t="str">
            <v>Oil</v>
          </cell>
        </row>
        <row r="620">
          <cell r="A620" t="str">
            <v>UEC</v>
          </cell>
          <cell r="B620" t="str">
            <v>78</v>
          </cell>
          <cell r="C620" t="str">
            <v>086</v>
          </cell>
          <cell r="D620" t="str">
            <v>INTGEN</v>
          </cell>
          <cell r="E620" t="str">
            <v>FI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AD620">
            <v>0</v>
          </cell>
          <cell r="AF620">
            <v>0</v>
          </cell>
          <cell r="AG620"/>
        </row>
        <row r="621">
          <cell r="A621" t="str">
            <v>UEC</v>
          </cell>
          <cell r="B621" t="str">
            <v>78</v>
          </cell>
          <cell r="C621" t="str">
            <v>086</v>
          </cell>
          <cell r="D621" t="str">
            <v>547003</v>
          </cell>
          <cell r="E621" t="str">
            <v>FB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AD621">
            <v>0</v>
          </cell>
          <cell r="AF621">
            <v>0</v>
          </cell>
          <cell r="AG621" t="str">
            <v>Gas</v>
          </cell>
        </row>
        <row r="622">
          <cell r="A622" t="str">
            <v>UEC</v>
          </cell>
          <cell r="B622" t="str">
            <v>78</v>
          </cell>
          <cell r="C622" t="str">
            <v>086</v>
          </cell>
          <cell r="D622" t="str">
            <v>547003</v>
          </cell>
          <cell r="E622" t="str">
            <v>FB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AD622">
            <v>0</v>
          </cell>
          <cell r="AF622">
            <v>0</v>
          </cell>
          <cell r="AG622" t="str">
            <v>Gas</v>
          </cell>
        </row>
        <row r="623">
          <cell r="A623" t="str">
            <v>UEC</v>
          </cell>
          <cell r="B623" t="str">
            <v>78</v>
          </cell>
          <cell r="C623" t="str">
            <v>086</v>
          </cell>
          <cell r="D623" t="str">
            <v>547013</v>
          </cell>
          <cell r="E623" t="str">
            <v>FI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AD623">
            <v>0</v>
          </cell>
          <cell r="AF623">
            <v>0</v>
          </cell>
          <cell r="AG623" t="str">
            <v>Gas</v>
          </cell>
        </row>
        <row r="624">
          <cell r="A624" t="str">
            <v>UEC</v>
          </cell>
          <cell r="B624" t="str">
            <v>78</v>
          </cell>
          <cell r="C624" t="str">
            <v>086</v>
          </cell>
          <cell r="D624" t="str">
            <v>547013</v>
          </cell>
          <cell r="E624" t="str">
            <v>FI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AD624">
            <v>0</v>
          </cell>
          <cell r="AF624">
            <v>0</v>
          </cell>
          <cell r="AG624" t="str">
            <v>Gas</v>
          </cell>
        </row>
        <row r="625">
          <cell r="A625" t="str">
            <v>UEC</v>
          </cell>
          <cell r="B625" t="str">
            <v>98</v>
          </cell>
          <cell r="C625" t="str">
            <v>086</v>
          </cell>
          <cell r="D625" t="str">
            <v>INTGEN</v>
          </cell>
          <cell r="E625" t="str">
            <v>FI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AD625">
            <v>0</v>
          </cell>
          <cell r="AF625">
            <v>0</v>
          </cell>
          <cell r="AG625"/>
        </row>
        <row r="626">
          <cell r="A626" t="str">
            <v>UEC</v>
          </cell>
          <cell r="B626" t="str">
            <v>98</v>
          </cell>
          <cell r="C626" t="str">
            <v>09M</v>
          </cell>
          <cell r="D626" t="str">
            <v>380</v>
          </cell>
          <cell r="E626" t="str">
            <v>FB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AD626">
            <v>0</v>
          </cell>
          <cell r="AF626">
            <v>0</v>
          </cell>
          <cell r="AG626"/>
        </row>
        <row r="627">
          <cell r="A627" t="str">
            <v>UEC</v>
          </cell>
          <cell r="B627" t="str">
            <v>98</v>
          </cell>
          <cell r="C627" t="str">
            <v>086</v>
          </cell>
          <cell r="D627" t="str">
            <v>547002</v>
          </cell>
          <cell r="E627" t="str">
            <v>FB</v>
          </cell>
          <cell r="F627">
            <v>0</v>
          </cell>
          <cell r="G627">
            <v>33.049999999999997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AD627">
            <v>0</v>
          </cell>
          <cell r="AF627">
            <v>33.049999999999997</v>
          </cell>
          <cell r="AG627" t="str">
            <v>Oil</v>
          </cell>
        </row>
        <row r="628">
          <cell r="A628" t="str">
            <v>UEC</v>
          </cell>
          <cell r="B628" t="str">
            <v>98</v>
          </cell>
          <cell r="C628" t="str">
            <v>086</v>
          </cell>
          <cell r="D628" t="str">
            <v>547002</v>
          </cell>
          <cell r="E628" t="str">
            <v>FI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AD628">
            <v>0</v>
          </cell>
          <cell r="AF628">
            <v>0</v>
          </cell>
          <cell r="AG628" t="str">
            <v>Oil</v>
          </cell>
        </row>
        <row r="629">
          <cell r="A629" t="str">
            <v>UEC</v>
          </cell>
          <cell r="B629" t="str">
            <v>98</v>
          </cell>
          <cell r="C629" t="str">
            <v>086</v>
          </cell>
          <cell r="D629" t="str">
            <v>547003</v>
          </cell>
          <cell r="E629" t="str">
            <v>FB</v>
          </cell>
          <cell r="F629">
            <v>0</v>
          </cell>
          <cell r="G629">
            <v>0</v>
          </cell>
          <cell r="H629">
            <v>1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AD629">
            <v>1</v>
          </cell>
          <cell r="AF629">
            <v>1</v>
          </cell>
          <cell r="AG629" t="str">
            <v>Gas</v>
          </cell>
        </row>
        <row r="630">
          <cell r="A630" t="str">
            <v>UEC</v>
          </cell>
          <cell r="B630" t="str">
            <v>98</v>
          </cell>
          <cell r="C630" t="str">
            <v>086</v>
          </cell>
          <cell r="D630" t="str">
            <v>547003</v>
          </cell>
          <cell r="E630" t="str">
            <v>FB</v>
          </cell>
          <cell r="F630">
            <v>248490.26</v>
          </cell>
          <cell r="G630">
            <v>58656.32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AD630">
            <v>0</v>
          </cell>
          <cell r="AF630">
            <v>307146.58</v>
          </cell>
          <cell r="AG630" t="str">
            <v>Gas</v>
          </cell>
        </row>
        <row r="631">
          <cell r="A631" t="str">
            <v>UEC</v>
          </cell>
          <cell r="B631" t="str">
            <v>98</v>
          </cell>
          <cell r="C631" t="str">
            <v>086</v>
          </cell>
          <cell r="D631" t="str">
            <v>547003</v>
          </cell>
          <cell r="E631" t="str">
            <v>FB</v>
          </cell>
          <cell r="F631">
            <v>6003.95</v>
          </cell>
          <cell r="G631">
            <v>2153.36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AD631">
            <v>0</v>
          </cell>
          <cell r="AF631">
            <v>8157.3099999999995</v>
          </cell>
          <cell r="AG631" t="str">
            <v>Gas</v>
          </cell>
        </row>
        <row r="632">
          <cell r="A632" t="str">
            <v>UEC</v>
          </cell>
          <cell r="B632" t="str">
            <v>98</v>
          </cell>
          <cell r="C632" t="str">
            <v>086</v>
          </cell>
          <cell r="D632" t="str">
            <v>547003</v>
          </cell>
          <cell r="E632" t="str">
            <v>FI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AD632">
            <v>0</v>
          </cell>
          <cell r="AF632">
            <v>0</v>
          </cell>
          <cell r="AG632" t="str">
            <v>Gas</v>
          </cell>
        </row>
        <row r="633">
          <cell r="A633" t="str">
            <v>UEC</v>
          </cell>
          <cell r="B633" t="str">
            <v>98</v>
          </cell>
          <cell r="C633" t="str">
            <v>086</v>
          </cell>
          <cell r="D633" t="str">
            <v>547012</v>
          </cell>
          <cell r="E633" t="str">
            <v>FI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AD633">
            <v>0</v>
          </cell>
          <cell r="AF633">
            <v>0</v>
          </cell>
          <cell r="AG633" t="str">
            <v>Oil</v>
          </cell>
        </row>
        <row r="634">
          <cell r="A634" t="str">
            <v>UEC</v>
          </cell>
          <cell r="B634" t="str">
            <v>98</v>
          </cell>
          <cell r="C634" t="str">
            <v>086</v>
          </cell>
          <cell r="D634" t="str">
            <v>547012</v>
          </cell>
          <cell r="E634" t="str">
            <v>FI</v>
          </cell>
          <cell r="F634">
            <v>0</v>
          </cell>
          <cell r="G634">
            <v>201.35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AD634">
            <v>0</v>
          </cell>
          <cell r="AF634">
            <v>201.35</v>
          </cell>
          <cell r="AG634" t="str">
            <v>Oil</v>
          </cell>
        </row>
        <row r="635">
          <cell r="A635" t="str">
            <v>UEC</v>
          </cell>
          <cell r="B635" t="str">
            <v>98</v>
          </cell>
          <cell r="C635" t="str">
            <v>086</v>
          </cell>
          <cell r="D635" t="str">
            <v>547013</v>
          </cell>
          <cell r="E635" t="str">
            <v>FI</v>
          </cell>
          <cell r="F635">
            <v>343564.22</v>
          </cell>
          <cell r="G635">
            <v>357172.19</v>
          </cell>
          <cell r="H635">
            <v>77365.789999999994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AD635">
            <v>77365.789999999994</v>
          </cell>
          <cell r="AF635">
            <v>778102.2</v>
          </cell>
          <cell r="AG635" t="str">
            <v>Gas</v>
          </cell>
        </row>
        <row r="636">
          <cell r="A636" t="str">
            <v>UEC</v>
          </cell>
          <cell r="B636" t="str">
            <v>98</v>
          </cell>
          <cell r="C636" t="str">
            <v>086</v>
          </cell>
          <cell r="D636" t="str">
            <v>547013</v>
          </cell>
          <cell r="E636" t="str">
            <v>FI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AD636">
            <v>0</v>
          </cell>
          <cell r="AF636">
            <v>0</v>
          </cell>
          <cell r="AG636" t="str">
            <v>Gas</v>
          </cell>
        </row>
        <row r="637">
          <cell r="A637" t="str">
            <v>UEC</v>
          </cell>
          <cell r="B637" t="str">
            <v>98</v>
          </cell>
          <cell r="C637" t="str">
            <v>086</v>
          </cell>
          <cell r="D637" t="str">
            <v>547013</v>
          </cell>
          <cell r="E637" t="str">
            <v>FI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AD637">
            <v>0</v>
          </cell>
          <cell r="AF637">
            <v>0</v>
          </cell>
          <cell r="AG637" t="str">
            <v>Gas</v>
          </cell>
        </row>
        <row r="638">
          <cell r="A638" t="str">
            <v>UEC</v>
          </cell>
          <cell r="B638" t="str">
            <v>98</v>
          </cell>
          <cell r="C638" t="str">
            <v>086</v>
          </cell>
          <cell r="D638" t="str">
            <v>547013</v>
          </cell>
          <cell r="E638" t="str">
            <v>FI</v>
          </cell>
          <cell r="F638">
            <v>8301.09</v>
          </cell>
          <cell r="G638">
            <v>13112.31</v>
          </cell>
          <cell r="H638">
            <v>14617.53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AD638">
            <v>14617.53</v>
          </cell>
          <cell r="AF638">
            <v>36030.93</v>
          </cell>
          <cell r="AG638" t="str">
            <v>Gas</v>
          </cell>
        </row>
      </sheetData>
      <sheetData sheetId="9">
        <row r="1">
          <cell r="A1" t="str">
            <v>CorpKwh</v>
          </cell>
          <cell r="B1" t="str">
            <v>BDKwh</v>
          </cell>
          <cell r="C1" t="str">
            <v>MajminKwh</v>
          </cell>
          <cell r="AB1">
            <v>2010</v>
          </cell>
          <cell r="AC1">
            <v>2009</v>
          </cell>
        </row>
        <row r="2">
          <cell r="A2" t="str">
            <v>ARG</v>
          </cell>
        </row>
        <row r="3">
          <cell r="A3" t="str">
            <v>ARG</v>
          </cell>
        </row>
        <row r="4">
          <cell r="A4" t="str">
            <v>ARG</v>
          </cell>
        </row>
        <row r="5">
          <cell r="A5" t="str">
            <v>ARG</v>
          </cell>
        </row>
        <row r="6">
          <cell r="A6" t="str">
            <v>ARG</v>
          </cell>
        </row>
        <row r="7">
          <cell r="A7" t="str">
            <v>ARG</v>
          </cell>
        </row>
        <row r="8">
          <cell r="A8" t="str">
            <v>CIL</v>
          </cell>
        </row>
        <row r="9">
          <cell r="A9" t="str">
            <v>CIL</v>
          </cell>
        </row>
        <row r="10">
          <cell r="A10" t="str">
            <v>CIL</v>
          </cell>
        </row>
        <row r="11">
          <cell r="A11" t="str">
            <v>CIL</v>
          </cell>
        </row>
        <row r="12">
          <cell r="A12" t="str">
            <v>CIL</v>
          </cell>
        </row>
        <row r="13">
          <cell r="A13" t="str">
            <v>CIL</v>
          </cell>
        </row>
        <row r="14">
          <cell r="A14" t="str">
            <v>CIL</v>
          </cell>
        </row>
        <row r="15">
          <cell r="A15" t="str">
            <v>CIL</v>
          </cell>
        </row>
        <row r="16">
          <cell r="A16" t="str">
            <v>CIP</v>
          </cell>
        </row>
        <row r="17">
          <cell r="A17" t="str">
            <v>CIP</v>
          </cell>
        </row>
        <row r="18">
          <cell r="A18" t="str">
            <v>CIP</v>
          </cell>
        </row>
        <row r="19">
          <cell r="A19" t="str">
            <v>CIP</v>
          </cell>
        </row>
        <row r="20">
          <cell r="A20" t="str">
            <v>CIP</v>
          </cell>
        </row>
        <row r="21">
          <cell r="A21" t="str">
            <v>CIP</v>
          </cell>
        </row>
        <row r="22">
          <cell r="A22" t="str">
            <v>CIP</v>
          </cell>
        </row>
        <row r="23">
          <cell r="A23" t="str">
            <v>CIP</v>
          </cell>
        </row>
        <row r="24">
          <cell r="A24" t="str">
            <v>CIP</v>
          </cell>
        </row>
        <row r="25">
          <cell r="A25" t="str">
            <v>CIP</v>
          </cell>
        </row>
        <row r="26">
          <cell r="A26" t="str">
            <v>CIP</v>
          </cell>
        </row>
        <row r="27">
          <cell r="A27" t="str">
            <v>CIP</v>
          </cell>
        </row>
        <row r="28">
          <cell r="A28" t="str">
            <v>EEI</v>
          </cell>
        </row>
        <row r="29">
          <cell r="A29" t="str">
            <v>GEN</v>
          </cell>
        </row>
        <row r="30">
          <cell r="A30" t="str">
            <v>GEN</v>
          </cell>
        </row>
        <row r="31">
          <cell r="A31" t="str">
            <v>GEN</v>
          </cell>
        </row>
        <row r="32">
          <cell r="A32" t="str">
            <v>GEN</v>
          </cell>
        </row>
        <row r="33">
          <cell r="A33" t="str">
            <v>GEN</v>
          </cell>
        </row>
        <row r="34">
          <cell r="A34" t="str">
            <v>GEN</v>
          </cell>
        </row>
        <row r="35">
          <cell r="A35" t="str">
            <v>GEN</v>
          </cell>
        </row>
        <row r="36">
          <cell r="A36" t="str">
            <v>GEN</v>
          </cell>
        </row>
        <row r="37">
          <cell r="A37" t="str">
            <v>GEN</v>
          </cell>
        </row>
        <row r="38">
          <cell r="A38" t="str">
            <v>GEN</v>
          </cell>
        </row>
        <row r="39">
          <cell r="A39" t="str">
            <v>GEN</v>
          </cell>
        </row>
        <row r="40">
          <cell r="A40" t="str">
            <v>GEN</v>
          </cell>
        </row>
        <row r="41">
          <cell r="A41" t="str">
            <v>GEN</v>
          </cell>
        </row>
        <row r="42">
          <cell r="A42" t="str">
            <v>GEN</v>
          </cell>
        </row>
        <row r="43">
          <cell r="A43" t="str">
            <v>GEN</v>
          </cell>
        </row>
        <row r="44">
          <cell r="A44" t="str">
            <v>GEN</v>
          </cell>
        </row>
        <row r="45">
          <cell r="A45" t="str">
            <v>GEN</v>
          </cell>
        </row>
        <row r="46">
          <cell r="A46" t="str">
            <v>GEN</v>
          </cell>
        </row>
        <row r="47">
          <cell r="A47" t="str">
            <v>GEN</v>
          </cell>
        </row>
        <row r="48">
          <cell r="A48" t="str">
            <v>GEN</v>
          </cell>
        </row>
        <row r="49">
          <cell r="A49" t="str">
            <v>GEN</v>
          </cell>
        </row>
        <row r="50">
          <cell r="A50" t="str">
            <v>GEN</v>
          </cell>
        </row>
        <row r="51">
          <cell r="A51" t="str">
            <v>GEN</v>
          </cell>
        </row>
        <row r="52">
          <cell r="A52" t="str">
            <v>GEN</v>
          </cell>
        </row>
        <row r="53">
          <cell r="A53" t="str">
            <v>GEN</v>
          </cell>
        </row>
        <row r="54">
          <cell r="A54" t="str">
            <v>GEN</v>
          </cell>
        </row>
        <row r="55">
          <cell r="A55" t="str">
            <v>GEN</v>
          </cell>
        </row>
        <row r="56">
          <cell r="A56" t="str">
            <v>GEN</v>
          </cell>
        </row>
        <row r="57">
          <cell r="A57" t="str">
            <v>GEN</v>
          </cell>
        </row>
        <row r="58">
          <cell r="A58" t="str">
            <v>GEN</v>
          </cell>
        </row>
        <row r="59">
          <cell r="A59" t="str">
            <v>GEN</v>
          </cell>
        </row>
        <row r="60">
          <cell r="A60" t="str">
            <v>MV1</v>
          </cell>
        </row>
        <row r="61">
          <cell r="A61" t="str">
            <v>UEC</v>
          </cell>
        </row>
        <row r="62">
          <cell r="A62" t="str">
            <v>UEC</v>
          </cell>
        </row>
        <row r="63">
          <cell r="A63" t="str">
            <v>UEC</v>
          </cell>
        </row>
        <row r="64">
          <cell r="A64" t="str">
            <v>UEC</v>
          </cell>
        </row>
        <row r="65">
          <cell r="A65" t="str">
            <v>UEC</v>
          </cell>
        </row>
        <row r="66">
          <cell r="A66" t="str">
            <v>UEC</v>
          </cell>
        </row>
        <row r="67">
          <cell r="A67" t="str">
            <v>UEC</v>
          </cell>
        </row>
        <row r="68">
          <cell r="A68" t="str">
            <v>UEC</v>
          </cell>
        </row>
        <row r="69">
          <cell r="A69" t="str">
            <v>UEC</v>
          </cell>
        </row>
        <row r="70">
          <cell r="A70" t="str">
            <v>UEC</v>
          </cell>
        </row>
        <row r="71">
          <cell r="A71" t="str">
            <v>UEC</v>
          </cell>
        </row>
        <row r="72">
          <cell r="A72" t="str">
            <v>UEC</v>
          </cell>
        </row>
        <row r="73">
          <cell r="A73" t="str">
            <v>UEC</v>
          </cell>
        </row>
        <row r="74">
          <cell r="A74" t="str">
            <v>UEC</v>
          </cell>
        </row>
        <row r="75">
          <cell r="A75" t="str">
            <v>UEC</v>
          </cell>
        </row>
        <row r="76">
          <cell r="A76" t="str">
            <v>UEC</v>
          </cell>
        </row>
        <row r="77">
          <cell r="A77" t="str">
            <v>UEC</v>
          </cell>
        </row>
        <row r="78">
          <cell r="A78" t="str">
            <v>UEC</v>
          </cell>
        </row>
        <row r="79">
          <cell r="A79" t="str">
            <v>UEC</v>
          </cell>
        </row>
        <row r="80">
          <cell r="A80" t="str">
            <v>UEC</v>
          </cell>
        </row>
        <row r="81">
          <cell r="A81" t="str">
            <v>UEC</v>
          </cell>
        </row>
        <row r="82">
          <cell r="A82" t="str">
            <v>UEC</v>
          </cell>
        </row>
        <row r="83">
          <cell r="A83" t="str">
            <v>UEC</v>
          </cell>
        </row>
        <row r="84">
          <cell r="A84" t="str">
            <v>UEC</v>
          </cell>
        </row>
        <row r="85">
          <cell r="A85" t="str">
            <v>UEC</v>
          </cell>
        </row>
        <row r="86">
          <cell r="A86" t="str">
            <v>UEC</v>
          </cell>
        </row>
        <row r="87">
          <cell r="A87" t="str">
            <v>UEC</v>
          </cell>
        </row>
        <row r="88">
          <cell r="A88" t="str">
            <v>UEC</v>
          </cell>
        </row>
        <row r="89">
          <cell r="A89" t="str">
            <v>UEC</v>
          </cell>
        </row>
        <row r="90">
          <cell r="A90" t="str">
            <v>UEC</v>
          </cell>
        </row>
        <row r="91">
          <cell r="A91" t="str">
            <v>UEC</v>
          </cell>
        </row>
        <row r="92">
          <cell r="A92" t="str">
            <v>UEC</v>
          </cell>
        </row>
        <row r="93">
          <cell r="A93" t="str">
            <v>UEC</v>
          </cell>
        </row>
        <row r="94">
          <cell r="A94" t="str">
            <v>UEC</v>
          </cell>
        </row>
        <row r="95">
          <cell r="A95" t="str">
            <v>UEC</v>
          </cell>
        </row>
        <row r="96">
          <cell r="A96" t="str">
            <v>UEC</v>
          </cell>
        </row>
        <row r="97">
          <cell r="A97" t="str">
            <v>UEC</v>
          </cell>
        </row>
        <row r="98">
          <cell r="A98" t="str">
            <v>UEC</v>
          </cell>
        </row>
        <row r="99">
          <cell r="A99" t="str">
            <v>UEC</v>
          </cell>
        </row>
        <row r="100">
          <cell r="A100" t="str">
            <v>UEC</v>
          </cell>
        </row>
        <row r="101">
          <cell r="A101" t="str">
            <v>UEC</v>
          </cell>
        </row>
        <row r="102">
          <cell r="A102" t="str">
            <v>UEC</v>
          </cell>
        </row>
        <row r="103">
          <cell r="A103" t="str">
            <v>UEC</v>
          </cell>
        </row>
        <row r="104">
          <cell r="A104" t="str">
            <v>UEC</v>
          </cell>
        </row>
        <row r="105">
          <cell r="A105" t="str">
            <v>UEC</v>
          </cell>
        </row>
        <row r="106">
          <cell r="A106" t="str">
            <v>UEC</v>
          </cell>
        </row>
        <row r="107">
          <cell r="A107" t="str">
            <v>UEC</v>
          </cell>
        </row>
        <row r="108">
          <cell r="A108" t="str">
            <v>UEC</v>
          </cell>
        </row>
        <row r="109">
          <cell r="A109" t="str">
            <v>UEC</v>
          </cell>
        </row>
        <row r="110">
          <cell r="A110" t="str">
            <v>UEC</v>
          </cell>
        </row>
        <row r="111">
          <cell r="A111" t="str">
            <v>UEC</v>
          </cell>
        </row>
        <row r="112">
          <cell r="A112" t="str">
            <v>UEC</v>
          </cell>
        </row>
        <row r="113">
          <cell r="A113" t="str">
            <v>UEC</v>
          </cell>
        </row>
        <row r="114">
          <cell r="A114" t="str">
            <v>UEC</v>
          </cell>
        </row>
        <row r="115">
          <cell r="A115" t="str">
            <v>UEC</v>
          </cell>
        </row>
        <row r="116">
          <cell r="A116" t="str">
            <v>UEC</v>
          </cell>
        </row>
        <row r="117">
          <cell r="A117" t="str">
            <v>UEC</v>
          </cell>
        </row>
        <row r="118">
          <cell r="A118" t="str">
            <v>UEC</v>
          </cell>
        </row>
        <row r="119">
          <cell r="A119" t="str">
            <v>UEC</v>
          </cell>
        </row>
        <row r="120">
          <cell r="A120" t="str">
            <v>UEC</v>
          </cell>
        </row>
        <row r="121">
          <cell r="A121" t="str">
            <v>UEC</v>
          </cell>
        </row>
        <row r="122">
          <cell r="A122" t="str">
            <v>UEC</v>
          </cell>
        </row>
        <row r="123">
          <cell r="A123" t="str">
            <v>UEC</v>
          </cell>
        </row>
        <row r="124">
          <cell r="A124" t="str">
            <v>UEC</v>
          </cell>
        </row>
        <row r="125">
          <cell r="A125" t="str">
            <v>UEC</v>
          </cell>
        </row>
        <row r="126">
          <cell r="A126" t="str">
            <v>UEC</v>
          </cell>
        </row>
        <row r="127">
          <cell r="A127" t="str">
            <v>UEC</v>
          </cell>
        </row>
        <row r="128">
          <cell r="A128" t="str">
            <v>UEC</v>
          </cell>
        </row>
        <row r="129">
          <cell r="A129" t="str">
            <v>UEC</v>
          </cell>
        </row>
        <row r="130">
          <cell r="A130" t="str">
            <v>UEC</v>
          </cell>
        </row>
        <row r="131">
          <cell r="A131" t="str">
            <v>UEC</v>
          </cell>
        </row>
        <row r="132">
          <cell r="A132" t="str">
            <v>UEC</v>
          </cell>
        </row>
        <row r="133">
          <cell r="A133" t="str">
            <v>UEC</v>
          </cell>
        </row>
        <row r="134">
          <cell r="A134" t="str">
            <v>UEC</v>
          </cell>
        </row>
        <row r="135">
          <cell r="A135" t="str">
            <v>UEC</v>
          </cell>
        </row>
        <row r="136">
          <cell r="A136" t="str">
            <v>UEC</v>
          </cell>
        </row>
      </sheetData>
      <sheetData sheetId="10">
        <row r="1">
          <cell r="A1" t="str">
            <v>CorpUnits</v>
          </cell>
          <cell r="B1" t="str">
            <v>BDUnits</v>
          </cell>
          <cell r="C1" t="str">
            <v>RMCUnits</v>
          </cell>
          <cell r="D1" t="str">
            <v>MAJMINUnits</v>
          </cell>
          <cell r="E1" t="str">
            <v>RTUnits</v>
          </cell>
          <cell r="G1" t="str">
            <v>JanUnits</v>
          </cell>
          <cell r="H1" t="str">
            <v>FebUnits</v>
          </cell>
          <cell r="I1" t="str">
            <v>MarUnits</v>
          </cell>
          <cell r="J1" t="str">
            <v>AprUnits</v>
          </cell>
          <cell r="K1" t="str">
            <v>MayUnits</v>
          </cell>
          <cell r="L1" t="str">
            <v>JunUnits</v>
          </cell>
          <cell r="M1" t="str">
            <v>JulUnits</v>
          </cell>
          <cell r="N1" t="str">
            <v>AugUnits</v>
          </cell>
          <cell r="O1" t="str">
            <v>SepUnits</v>
          </cell>
          <cell r="P1" t="str">
            <v>OctUnits</v>
          </cell>
          <cell r="Q1" t="str">
            <v>NovUnits</v>
          </cell>
          <cell r="R1" t="str">
            <v>DecUnits</v>
          </cell>
          <cell r="S1" t="str">
            <v>Jan-09</v>
          </cell>
          <cell r="T1" t="str">
            <v>Feb-09</v>
          </cell>
          <cell r="U1" t="str">
            <v>Mar-09</v>
          </cell>
          <cell r="V1" t="str">
            <v>Apr-09</v>
          </cell>
          <cell r="W1" t="str">
            <v>May-09</v>
          </cell>
          <cell r="X1" t="str">
            <v>Jun-09</v>
          </cell>
          <cell r="Y1" t="str">
            <v>Jul-09</v>
          </cell>
          <cell r="Z1" t="str">
            <v>Aug-09</v>
          </cell>
          <cell r="AA1" t="str">
            <v>Sep-09</v>
          </cell>
          <cell r="AB1" t="str">
            <v>Oct-09</v>
          </cell>
          <cell r="AC1" t="str">
            <v>Nov-09</v>
          </cell>
          <cell r="AD1" t="str">
            <v>Dec-09</v>
          </cell>
          <cell r="AE1" t="str">
            <v>UnitsAmt</v>
          </cell>
          <cell r="AF1">
            <v>22009</v>
          </cell>
          <cell r="AG1" t="str">
            <v>FuelTypeUnits</v>
          </cell>
          <cell r="AH1">
            <v>32010</v>
          </cell>
          <cell r="AI1">
            <v>42009</v>
          </cell>
        </row>
        <row r="2">
          <cell r="A2" t="str">
            <v>AMS</v>
          </cell>
          <cell r="B2" t="str">
            <v>11</v>
          </cell>
          <cell r="C2" t="str">
            <v>186</v>
          </cell>
          <cell r="D2" t="str">
            <v>557001</v>
          </cell>
          <cell r="E2" t="str">
            <v>XA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AE2">
            <v>0</v>
          </cell>
          <cell r="AG2"/>
          <cell r="AJ2">
            <v>0</v>
          </cell>
        </row>
        <row r="3">
          <cell r="A3" t="str">
            <v>AMS</v>
          </cell>
          <cell r="B3" t="str">
            <v>11</v>
          </cell>
          <cell r="C3" t="str">
            <v>034</v>
          </cell>
          <cell r="D3" t="str">
            <v>586</v>
          </cell>
          <cell r="E3" t="str">
            <v>BX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AE3">
            <v>0</v>
          </cell>
          <cell r="AG3"/>
          <cell r="AJ3">
            <v>0</v>
          </cell>
        </row>
        <row r="4">
          <cell r="A4" t="str">
            <v>AMS</v>
          </cell>
          <cell r="B4" t="str">
            <v>11</v>
          </cell>
          <cell r="C4" t="str">
            <v>086</v>
          </cell>
          <cell r="D4" t="str">
            <v>912</v>
          </cell>
          <cell r="E4" t="str">
            <v>80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AE4">
            <v>0</v>
          </cell>
          <cell r="AG4"/>
          <cell r="AJ4">
            <v>0</v>
          </cell>
        </row>
        <row r="5">
          <cell r="A5" t="str">
            <v>AMS</v>
          </cell>
          <cell r="B5" t="str">
            <v>11</v>
          </cell>
          <cell r="C5" t="str">
            <v>086</v>
          </cell>
          <cell r="D5" t="str">
            <v>912</v>
          </cell>
          <cell r="E5" t="str">
            <v>80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AE5">
            <v>0</v>
          </cell>
          <cell r="AG5"/>
          <cell r="AJ5">
            <v>0</v>
          </cell>
        </row>
        <row r="6">
          <cell r="A6" t="str">
            <v>AMS</v>
          </cell>
          <cell r="B6" t="str">
            <v>11</v>
          </cell>
          <cell r="C6" t="str">
            <v>086</v>
          </cell>
          <cell r="D6" t="str">
            <v>921002</v>
          </cell>
          <cell r="E6" t="str">
            <v>BX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AE6">
            <v>0</v>
          </cell>
          <cell r="AG6"/>
          <cell r="AJ6">
            <v>0</v>
          </cell>
        </row>
        <row r="7">
          <cell r="A7" t="str">
            <v>ARG</v>
          </cell>
          <cell r="B7" t="str">
            <v>DC</v>
          </cell>
          <cell r="C7" t="str">
            <v>286</v>
          </cell>
          <cell r="D7" t="str">
            <v>501001</v>
          </cell>
          <cell r="E7" t="str">
            <v>FB</v>
          </cell>
          <cell r="G7">
            <v>113207</v>
          </cell>
          <cell r="H7">
            <v>135273</v>
          </cell>
          <cell r="I7">
            <v>124362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AE7">
            <v>124362</v>
          </cell>
          <cell r="AG7" t="str">
            <v>Coal</v>
          </cell>
          <cell r="AJ7">
            <v>372842</v>
          </cell>
        </row>
        <row r="8">
          <cell r="A8" t="str">
            <v>ARG</v>
          </cell>
          <cell r="B8" t="str">
            <v>DC</v>
          </cell>
          <cell r="C8" t="str">
            <v>286</v>
          </cell>
          <cell r="D8" t="str">
            <v>501001</v>
          </cell>
          <cell r="E8" t="str">
            <v>BX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AE8">
            <v>0</v>
          </cell>
          <cell r="AG8" t="str">
            <v>Coal</v>
          </cell>
          <cell r="AJ8">
            <v>0</v>
          </cell>
        </row>
        <row r="9">
          <cell r="A9" t="str">
            <v>ARG</v>
          </cell>
          <cell r="B9" t="str">
            <v>DC</v>
          </cell>
          <cell r="C9" t="str">
            <v>286</v>
          </cell>
          <cell r="D9" t="str">
            <v>501001</v>
          </cell>
          <cell r="E9" t="str">
            <v>FB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AE9">
            <v>0</v>
          </cell>
          <cell r="AG9" t="str">
            <v>Coal</v>
          </cell>
          <cell r="AJ9">
            <v>0</v>
          </cell>
        </row>
        <row r="10">
          <cell r="A10" t="str">
            <v>ARG</v>
          </cell>
          <cell r="B10" t="str">
            <v>DC</v>
          </cell>
          <cell r="C10" t="str">
            <v>286</v>
          </cell>
          <cell r="D10" t="str">
            <v>501002</v>
          </cell>
          <cell r="E10" t="str">
            <v>FB</v>
          </cell>
          <cell r="G10">
            <v>190257</v>
          </cell>
          <cell r="H10">
            <v>57243</v>
          </cell>
          <cell r="I10">
            <v>65300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AE10">
            <v>65300</v>
          </cell>
          <cell r="AG10" t="str">
            <v>Oil</v>
          </cell>
          <cell r="AJ10">
            <v>312800</v>
          </cell>
        </row>
        <row r="11">
          <cell r="A11" t="str">
            <v>ARG</v>
          </cell>
          <cell r="B11" t="str">
            <v>DC</v>
          </cell>
          <cell r="C11" t="str">
            <v>286</v>
          </cell>
          <cell r="D11" t="str">
            <v>501101</v>
          </cell>
          <cell r="E11" t="str">
            <v>FB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AE11">
            <v>0</v>
          </cell>
          <cell r="AG11" t="str">
            <v>Coal</v>
          </cell>
          <cell r="AJ11">
            <v>0</v>
          </cell>
        </row>
        <row r="12">
          <cell r="A12" t="str">
            <v>ARG</v>
          </cell>
          <cell r="B12" t="str">
            <v>DC</v>
          </cell>
          <cell r="C12" t="str">
            <v>286</v>
          </cell>
          <cell r="D12" t="str">
            <v>501110</v>
          </cell>
          <cell r="E12" t="str">
            <v>FB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AE12">
            <v>0</v>
          </cell>
          <cell r="AG12" t="str">
            <v>Coal</v>
          </cell>
          <cell r="AJ12">
            <v>0</v>
          </cell>
        </row>
        <row r="13">
          <cell r="A13" t="str">
            <v>ARG</v>
          </cell>
          <cell r="B13" t="str">
            <v>DC</v>
          </cell>
          <cell r="C13" t="str">
            <v>186</v>
          </cell>
          <cell r="D13" t="str">
            <v>502</v>
          </cell>
          <cell r="E13" t="str">
            <v>BX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AE13">
            <v>0</v>
          </cell>
          <cell r="AG13"/>
          <cell r="AJ13">
            <v>0</v>
          </cell>
        </row>
        <row r="14">
          <cell r="A14" t="str">
            <v>ARG</v>
          </cell>
          <cell r="B14" t="str">
            <v>DC</v>
          </cell>
          <cell r="C14" t="str">
            <v>186</v>
          </cell>
          <cell r="D14" t="str">
            <v>502</v>
          </cell>
          <cell r="E14" t="str">
            <v>34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AE14">
            <v>0</v>
          </cell>
          <cell r="AG14"/>
          <cell r="AJ14">
            <v>0</v>
          </cell>
        </row>
        <row r="15">
          <cell r="A15" t="str">
            <v>ARG</v>
          </cell>
          <cell r="B15" t="str">
            <v>DC</v>
          </cell>
          <cell r="C15" t="str">
            <v>186</v>
          </cell>
          <cell r="D15" t="str">
            <v>502001</v>
          </cell>
          <cell r="E15" t="str">
            <v>BG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AE15">
            <v>0</v>
          </cell>
          <cell r="AG15"/>
          <cell r="AJ15">
            <v>0</v>
          </cell>
        </row>
        <row r="16">
          <cell r="A16" t="str">
            <v>ARG</v>
          </cell>
          <cell r="B16" t="str">
            <v>DC</v>
          </cell>
          <cell r="C16" t="str">
            <v>186</v>
          </cell>
          <cell r="D16" t="str">
            <v>502001</v>
          </cell>
          <cell r="E16" t="str">
            <v>34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AE16">
            <v>0</v>
          </cell>
          <cell r="AG16"/>
          <cell r="AJ16">
            <v>0</v>
          </cell>
        </row>
        <row r="17">
          <cell r="A17" t="str">
            <v>ARG</v>
          </cell>
          <cell r="B17" t="str">
            <v>DC</v>
          </cell>
          <cell r="C17" t="str">
            <v>186</v>
          </cell>
          <cell r="D17" t="str">
            <v>509</v>
          </cell>
          <cell r="E17" t="str">
            <v>FB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AE17">
            <v>0</v>
          </cell>
          <cell r="AG17" t="str">
            <v>SO2</v>
          </cell>
          <cell r="AJ17">
            <v>0</v>
          </cell>
        </row>
        <row r="18">
          <cell r="A18" t="str">
            <v>ARG</v>
          </cell>
          <cell r="B18" t="str">
            <v>DC</v>
          </cell>
          <cell r="C18" t="str">
            <v>286</v>
          </cell>
          <cell r="D18" t="str">
            <v>509</v>
          </cell>
          <cell r="E18" t="str">
            <v>FB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AE18">
            <v>0</v>
          </cell>
          <cell r="AG18" t="str">
            <v>SO2</v>
          </cell>
          <cell r="AJ18">
            <v>0</v>
          </cell>
        </row>
        <row r="19">
          <cell r="A19" t="str">
            <v>ARG</v>
          </cell>
          <cell r="B19" t="str">
            <v>DC</v>
          </cell>
          <cell r="C19" t="str">
            <v>286</v>
          </cell>
          <cell r="D19" t="str">
            <v>509</v>
          </cell>
          <cell r="E19" t="str">
            <v>FB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AE19">
            <v>0</v>
          </cell>
          <cell r="AG19" t="str">
            <v>SO2</v>
          </cell>
          <cell r="AJ19">
            <v>0</v>
          </cell>
        </row>
        <row r="20">
          <cell r="A20" t="str">
            <v>ARG</v>
          </cell>
          <cell r="B20" t="str">
            <v>ED</v>
          </cell>
          <cell r="C20" t="str">
            <v>286</v>
          </cell>
          <cell r="D20" t="str">
            <v>501001</v>
          </cell>
          <cell r="E20" t="str">
            <v>FB</v>
          </cell>
          <cell r="G20">
            <v>297004</v>
          </cell>
          <cell r="H20">
            <v>255584</v>
          </cell>
          <cell r="I20">
            <v>242960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AE20">
            <v>242960</v>
          </cell>
          <cell r="AG20" t="str">
            <v>Coal</v>
          </cell>
          <cell r="AJ20">
            <v>795548</v>
          </cell>
        </row>
        <row r="21">
          <cell r="A21" t="str">
            <v>ARG</v>
          </cell>
          <cell r="B21" t="str">
            <v>ED</v>
          </cell>
          <cell r="C21" t="str">
            <v>286</v>
          </cell>
          <cell r="D21" t="str">
            <v>501001</v>
          </cell>
          <cell r="E21" t="str">
            <v>BX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AE21">
            <v>0</v>
          </cell>
          <cell r="AG21" t="str">
            <v>Coal</v>
          </cell>
          <cell r="AJ21">
            <v>0</v>
          </cell>
        </row>
        <row r="22">
          <cell r="A22" t="str">
            <v>ARG</v>
          </cell>
          <cell r="B22" t="str">
            <v>ED</v>
          </cell>
          <cell r="C22" t="str">
            <v>286</v>
          </cell>
          <cell r="D22" t="str">
            <v>501001</v>
          </cell>
          <cell r="E22" t="str">
            <v>FB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AE22">
            <v>0</v>
          </cell>
          <cell r="AG22" t="str">
            <v>Coal</v>
          </cell>
          <cell r="AJ22">
            <v>0</v>
          </cell>
        </row>
        <row r="23">
          <cell r="A23" t="str">
            <v>ARG</v>
          </cell>
          <cell r="B23" t="str">
            <v>ED</v>
          </cell>
          <cell r="C23" t="str">
            <v>286</v>
          </cell>
          <cell r="D23" t="str">
            <v>501002</v>
          </cell>
          <cell r="E23" t="str">
            <v>FB</v>
          </cell>
          <cell r="G23">
            <v>6357</v>
          </cell>
          <cell r="H23">
            <v>16285</v>
          </cell>
          <cell r="I23">
            <v>38682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AE23">
            <v>38682</v>
          </cell>
          <cell r="AG23" t="str">
            <v>Oil</v>
          </cell>
          <cell r="AJ23">
            <v>61324</v>
          </cell>
        </row>
        <row r="24">
          <cell r="A24" t="str">
            <v>ARG</v>
          </cell>
          <cell r="B24" t="str">
            <v>ED</v>
          </cell>
          <cell r="C24" t="str">
            <v>286</v>
          </cell>
          <cell r="D24" t="str">
            <v>501101</v>
          </cell>
          <cell r="E24" t="str">
            <v>FB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AE24">
            <v>0</v>
          </cell>
          <cell r="AG24" t="str">
            <v>Coal</v>
          </cell>
          <cell r="AJ24">
            <v>0</v>
          </cell>
        </row>
        <row r="25">
          <cell r="A25" t="str">
            <v>ARG</v>
          </cell>
          <cell r="B25" t="str">
            <v>ED</v>
          </cell>
          <cell r="C25" t="str">
            <v>286</v>
          </cell>
          <cell r="D25" t="str">
            <v>501110</v>
          </cell>
          <cell r="E25" t="str">
            <v>FB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AE25">
            <v>0</v>
          </cell>
          <cell r="AG25" t="str">
            <v>Coal</v>
          </cell>
          <cell r="AJ25">
            <v>0</v>
          </cell>
        </row>
        <row r="26">
          <cell r="A26" t="str">
            <v>ARG</v>
          </cell>
          <cell r="B26" t="str">
            <v>ED</v>
          </cell>
          <cell r="C26" t="str">
            <v>186</v>
          </cell>
          <cell r="D26" t="str">
            <v>502</v>
          </cell>
          <cell r="E26" t="str">
            <v>BX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AE26">
            <v>0</v>
          </cell>
          <cell r="AG26"/>
          <cell r="AJ26">
            <v>0</v>
          </cell>
        </row>
        <row r="27">
          <cell r="A27" t="str">
            <v>ARG</v>
          </cell>
          <cell r="B27" t="str">
            <v>ED</v>
          </cell>
          <cell r="C27" t="str">
            <v>186</v>
          </cell>
          <cell r="D27" t="str">
            <v>502</v>
          </cell>
          <cell r="E27" t="str">
            <v>BX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AE27">
            <v>0</v>
          </cell>
          <cell r="AG27"/>
          <cell r="AJ27">
            <v>0</v>
          </cell>
        </row>
        <row r="28">
          <cell r="A28" t="str">
            <v>ARG</v>
          </cell>
          <cell r="B28" t="str">
            <v>ED</v>
          </cell>
          <cell r="C28" t="str">
            <v>186</v>
          </cell>
          <cell r="D28" t="str">
            <v>502</v>
          </cell>
          <cell r="E28" t="str">
            <v>34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AE28">
            <v>0</v>
          </cell>
          <cell r="AG28"/>
          <cell r="AJ28">
            <v>0</v>
          </cell>
        </row>
        <row r="29">
          <cell r="A29" t="str">
            <v>ARG</v>
          </cell>
          <cell r="B29" t="str">
            <v>ED</v>
          </cell>
          <cell r="C29" t="str">
            <v>186</v>
          </cell>
          <cell r="D29" t="str">
            <v>502001</v>
          </cell>
          <cell r="E29" t="str">
            <v>BX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AE29">
            <v>0</v>
          </cell>
          <cell r="AG29"/>
          <cell r="AJ29">
            <v>0</v>
          </cell>
        </row>
        <row r="30">
          <cell r="A30" t="str">
            <v>ARG</v>
          </cell>
          <cell r="B30" t="str">
            <v>ED</v>
          </cell>
          <cell r="C30" t="str">
            <v>186</v>
          </cell>
          <cell r="D30" t="str">
            <v>502001</v>
          </cell>
          <cell r="E30" t="str">
            <v>34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AE30">
            <v>0</v>
          </cell>
          <cell r="AG30"/>
          <cell r="AJ30">
            <v>0</v>
          </cell>
        </row>
        <row r="31">
          <cell r="A31" t="str">
            <v>ARG</v>
          </cell>
          <cell r="B31" t="str">
            <v>ED</v>
          </cell>
          <cell r="C31" t="str">
            <v>186</v>
          </cell>
          <cell r="D31" t="str">
            <v>502001</v>
          </cell>
          <cell r="E31" t="str">
            <v>BX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AE31">
            <v>0</v>
          </cell>
          <cell r="AG31"/>
          <cell r="AJ31">
            <v>0</v>
          </cell>
        </row>
        <row r="32">
          <cell r="A32" t="str">
            <v>ARG</v>
          </cell>
          <cell r="B32" t="str">
            <v>ED</v>
          </cell>
          <cell r="C32" t="str">
            <v>186</v>
          </cell>
          <cell r="D32" t="str">
            <v>509</v>
          </cell>
          <cell r="E32" t="str">
            <v>FB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AE32">
            <v>0</v>
          </cell>
          <cell r="AG32" t="str">
            <v>SO2</v>
          </cell>
          <cell r="AJ32">
            <v>0</v>
          </cell>
        </row>
        <row r="33">
          <cell r="A33" t="str">
            <v>ARG</v>
          </cell>
          <cell r="B33" t="str">
            <v>ED</v>
          </cell>
          <cell r="C33" t="str">
            <v>286</v>
          </cell>
          <cell r="D33" t="str">
            <v>509</v>
          </cell>
          <cell r="E33" t="str">
            <v>FB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AE33">
            <v>0</v>
          </cell>
          <cell r="AG33" t="str">
            <v>SO2</v>
          </cell>
          <cell r="AJ33">
            <v>0</v>
          </cell>
        </row>
        <row r="34">
          <cell r="A34" t="str">
            <v>ARG</v>
          </cell>
          <cell r="B34" t="str">
            <v>ED</v>
          </cell>
          <cell r="C34" t="str">
            <v>286</v>
          </cell>
          <cell r="D34" t="str">
            <v>509</v>
          </cell>
          <cell r="E34" t="str">
            <v>FB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AE34">
            <v>0</v>
          </cell>
          <cell r="AG34" t="str">
            <v>SO2</v>
          </cell>
          <cell r="AJ34">
            <v>0</v>
          </cell>
        </row>
        <row r="35">
          <cell r="A35" t="str">
            <v>ARG</v>
          </cell>
          <cell r="B35" t="str">
            <v>ED</v>
          </cell>
          <cell r="C35" t="str">
            <v>186</v>
          </cell>
          <cell r="D35" t="str">
            <v>514</v>
          </cell>
          <cell r="E35" t="str">
            <v>BX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AE35">
            <v>0</v>
          </cell>
          <cell r="AG35"/>
          <cell r="AJ35">
            <v>0</v>
          </cell>
        </row>
        <row r="36">
          <cell r="A36" t="str">
            <v>ARG</v>
          </cell>
          <cell r="B36" t="str">
            <v>ED</v>
          </cell>
          <cell r="C36" t="str">
            <v>186</v>
          </cell>
          <cell r="D36" t="str">
            <v>514</v>
          </cell>
          <cell r="E36" t="str">
            <v>34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AE36">
            <v>0</v>
          </cell>
          <cell r="AG36"/>
          <cell r="AJ36">
            <v>0</v>
          </cell>
        </row>
        <row r="37">
          <cell r="A37" t="str">
            <v>ARG</v>
          </cell>
          <cell r="B37" t="str">
            <v>HK</v>
          </cell>
          <cell r="C37" t="str">
            <v>286</v>
          </cell>
          <cell r="D37" t="str">
            <v>547002</v>
          </cell>
          <cell r="E37" t="str">
            <v>FB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AE37">
            <v>0</v>
          </cell>
          <cell r="AG37" t="str">
            <v>Oil</v>
          </cell>
          <cell r="AJ37">
            <v>0</v>
          </cell>
        </row>
        <row r="38">
          <cell r="A38" t="str">
            <v>ARG</v>
          </cell>
          <cell r="B38" t="str">
            <v>RG</v>
          </cell>
          <cell r="C38" t="str">
            <v>286</v>
          </cell>
          <cell r="D38" t="str">
            <v>509</v>
          </cell>
          <cell r="E38" t="str">
            <v>FB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AE38">
            <v>0</v>
          </cell>
          <cell r="AG38" t="str">
            <v>SO2</v>
          </cell>
          <cell r="AJ38">
            <v>0</v>
          </cell>
        </row>
        <row r="39">
          <cell r="A39" t="str">
            <v>ARG</v>
          </cell>
          <cell r="B39" t="str">
            <v>SA</v>
          </cell>
          <cell r="C39" t="str">
            <v>286</v>
          </cell>
          <cell r="D39" t="str">
            <v>547CIL</v>
          </cell>
          <cell r="E39" t="str">
            <v>FB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AE39">
            <v>0</v>
          </cell>
          <cell r="AG39"/>
          <cell r="AJ39">
            <v>0</v>
          </cell>
        </row>
        <row r="40">
          <cell r="A40" t="str">
            <v>ARG</v>
          </cell>
          <cell r="B40" t="str">
            <v>SA</v>
          </cell>
          <cell r="C40" t="str">
            <v>286</v>
          </cell>
          <cell r="D40" t="str">
            <v>547003</v>
          </cell>
          <cell r="E40" t="str">
            <v>FB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AE40">
            <v>0</v>
          </cell>
          <cell r="AG40" t="str">
            <v>Gas</v>
          </cell>
          <cell r="AJ40">
            <v>0</v>
          </cell>
        </row>
        <row r="41">
          <cell r="A41" t="str">
            <v>ARG</v>
          </cell>
          <cell r="B41" t="str">
            <v>TL</v>
          </cell>
          <cell r="C41" t="str">
            <v>286</v>
          </cell>
          <cell r="D41" t="str">
            <v>5010CO</v>
          </cell>
          <cell r="E41" t="str">
            <v>FB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AE41">
            <v>0</v>
          </cell>
          <cell r="AG41"/>
          <cell r="AJ41">
            <v>0</v>
          </cell>
        </row>
        <row r="42">
          <cell r="A42" t="str">
            <v>ARG</v>
          </cell>
          <cell r="B42" t="str">
            <v>TZ</v>
          </cell>
          <cell r="C42" t="str">
            <v>286</v>
          </cell>
          <cell r="D42" t="str">
            <v>547002</v>
          </cell>
          <cell r="E42" t="str">
            <v>FB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AE42">
            <v>0</v>
          </cell>
          <cell r="AG42" t="str">
            <v>Oil</v>
          </cell>
          <cell r="AJ42">
            <v>0</v>
          </cell>
        </row>
        <row r="43">
          <cell r="A43" t="str">
            <v>CCP</v>
          </cell>
          <cell r="B43" t="str">
            <v>CC</v>
          </cell>
          <cell r="C43" t="str">
            <v>286</v>
          </cell>
          <cell r="D43" t="str">
            <v>501001</v>
          </cell>
          <cell r="E43" t="str">
            <v>FB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AE43">
            <v>0</v>
          </cell>
          <cell r="AG43" t="str">
            <v>Coal</v>
          </cell>
          <cell r="AJ43">
            <v>0</v>
          </cell>
        </row>
        <row r="44">
          <cell r="A44" t="str">
            <v>CIL</v>
          </cell>
          <cell r="B44" t="str">
            <v>CG</v>
          </cell>
          <cell r="C44" t="str">
            <v>286</v>
          </cell>
          <cell r="D44" t="str">
            <v>501</v>
          </cell>
          <cell r="E44" t="str">
            <v>LM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AE44">
            <v>0</v>
          </cell>
          <cell r="AG44"/>
          <cell r="AJ44">
            <v>0</v>
          </cell>
        </row>
        <row r="45">
          <cell r="A45" t="str">
            <v>CIL</v>
          </cell>
          <cell r="B45" t="str">
            <v>CG</v>
          </cell>
          <cell r="C45" t="str">
            <v>286</v>
          </cell>
          <cell r="D45" t="str">
            <v>501001</v>
          </cell>
          <cell r="E45" t="str">
            <v>FB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AE45">
            <v>0</v>
          </cell>
          <cell r="AG45" t="str">
            <v>Coal</v>
          </cell>
          <cell r="AJ45">
            <v>0</v>
          </cell>
        </row>
        <row r="46">
          <cell r="A46" t="str">
            <v>CIL</v>
          </cell>
          <cell r="B46" t="str">
            <v>CG</v>
          </cell>
          <cell r="C46" t="str">
            <v>286</v>
          </cell>
          <cell r="D46" t="str">
            <v>501001</v>
          </cell>
          <cell r="E46" t="str">
            <v>BX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AE46">
            <v>0</v>
          </cell>
          <cell r="AG46" t="str">
            <v>Coal</v>
          </cell>
          <cell r="AJ46">
            <v>0</v>
          </cell>
        </row>
        <row r="47">
          <cell r="A47" t="str">
            <v>CIL</v>
          </cell>
          <cell r="B47" t="str">
            <v>CG</v>
          </cell>
          <cell r="C47" t="str">
            <v>286</v>
          </cell>
          <cell r="D47" t="str">
            <v>547002</v>
          </cell>
          <cell r="E47" t="str">
            <v>FB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AE47">
            <v>0</v>
          </cell>
          <cell r="AG47" t="str">
            <v>Oil</v>
          </cell>
          <cell r="AJ47">
            <v>0</v>
          </cell>
        </row>
        <row r="48">
          <cell r="A48" t="str">
            <v>CIL</v>
          </cell>
          <cell r="B48" t="str">
            <v>CG</v>
          </cell>
          <cell r="C48" t="str">
            <v>286</v>
          </cell>
          <cell r="D48" t="str">
            <v>547003</v>
          </cell>
          <cell r="E48" t="str">
            <v>FB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AE48">
            <v>0</v>
          </cell>
          <cell r="AG48" t="str">
            <v>Gas</v>
          </cell>
          <cell r="AJ48">
            <v>0</v>
          </cell>
        </row>
        <row r="49">
          <cell r="A49" t="str">
            <v>CIL</v>
          </cell>
          <cell r="B49" t="str">
            <v>CL</v>
          </cell>
          <cell r="C49" t="str">
            <v>286</v>
          </cell>
          <cell r="D49" t="str">
            <v>417001</v>
          </cell>
          <cell r="E49" t="str">
            <v>FB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AE49">
            <v>0</v>
          </cell>
          <cell r="AG49"/>
          <cell r="AJ49">
            <v>0</v>
          </cell>
        </row>
        <row r="50">
          <cell r="A50" t="str">
            <v>CIL</v>
          </cell>
          <cell r="B50" t="str">
            <v>CL</v>
          </cell>
          <cell r="C50" t="str">
            <v>286</v>
          </cell>
          <cell r="D50" t="str">
            <v>501300</v>
          </cell>
          <cell r="E50" t="str">
            <v>FB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AE50">
            <v>0</v>
          </cell>
          <cell r="AG50"/>
          <cell r="AJ50">
            <v>0</v>
          </cell>
        </row>
        <row r="51">
          <cell r="A51" t="str">
            <v>CIL</v>
          </cell>
          <cell r="B51" t="str">
            <v>CL</v>
          </cell>
          <cell r="C51" t="str">
            <v>186</v>
          </cell>
          <cell r="D51" t="str">
            <v>813</v>
          </cell>
          <cell r="E51" t="str">
            <v>XA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AE51">
            <v>0</v>
          </cell>
          <cell r="AG51"/>
          <cell r="AJ51">
            <v>0</v>
          </cell>
        </row>
        <row r="52">
          <cell r="A52" t="str">
            <v>CIL</v>
          </cell>
          <cell r="B52" t="str">
            <v>CL</v>
          </cell>
          <cell r="C52" t="str">
            <v>186</v>
          </cell>
          <cell r="D52" t="str">
            <v>816</v>
          </cell>
          <cell r="E52" t="str">
            <v>XA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AE52">
            <v>0</v>
          </cell>
          <cell r="AG52"/>
          <cell r="AJ52">
            <v>0</v>
          </cell>
        </row>
        <row r="53">
          <cell r="A53" t="str">
            <v>CIL</v>
          </cell>
          <cell r="B53" t="str">
            <v>CL</v>
          </cell>
          <cell r="C53" t="str">
            <v>086</v>
          </cell>
          <cell r="D53" t="str">
            <v>912</v>
          </cell>
          <cell r="E53" t="str">
            <v>80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AE53">
            <v>0</v>
          </cell>
          <cell r="AG53"/>
          <cell r="AJ53">
            <v>0</v>
          </cell>
        </row>
        <row r="54">
          <cell r="A54" t="str">
            <v>CIL</v>
          </cell>
          <cell r="B54" t="str">
            <v>CL</v>
          </cell>
          <cell r="C54" t="str">
            <v>086</v>
          </cell>
          <cell r="D54" t="str">
            <v>921002</v>
          </cell>
          <cell r="E54" t="str">
            <v>BX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AE54">
            <v>0</v>
          </cell>
          <cell r="AG54"/>
          <cell r="AJ54">
            <v>0</v>
          </cell>
        </row>
        <row r="55">
          <cell r="A55" t="str">
            <v>CIL</v>
          </cell>
          <cell r="B55" t="str">
            <v>CT</v>
          </cell>
          <cell r="C55" t="str">
            <v>086</v>
          </cell>
          <cell r="D55" t="str">
            <v>921999</v>
          </cell>
          <cell r="E55" t="str">
            <v>80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AE55">
            <v>0</v>
          </cell>
          <cell r="AG55"/>
          <cell r="AJ55">
            <v>0</v>
          </cell>
        </row>
        <row r="56">
          <cell r="A56" t="str">
            <v>CIL</v>
          </cell>
          <cell r="B56" t="str">
            <v>DC</v>
          </cell>
          <cell r="C56" t="str">
            <v>286</v>
          </cell>
          <cell r="D56" t="str">
            <v>501001</v>
          </cell>
          <cell r="E56" t="str">
            <v>FB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AE56">
            <v>0</v>
          </cell>
          <cell r="AG56" t="str">
            <v>Coal</v>
          </cell>
          <cell r="AJ56">
            <v>0</v>
          </cell>
        </row>
        <row r="57">
          <cell r="A57" t="str">
            <v>CIL</v>
          </cell>
          <cell r="B57" t="str">
            <v>DC</v>
          </cell>
          <cell r="C57" t="str">
            <v>286</v>
          </cell>
          <cell r="D57" t="str">
            <v>501002</v>
          </cell>
          <cell r="E57" t="str">
            <v>40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AE57">
            <v>0</v>
          </cell>
          <cell r="AG57" t="str">
            <v>Oil</v>
          </cell>
          <cell r="AJ57">
            <v>0</v>
          </cell>
        </row>
        <row r="58">
          <cell r="A58" t="str">
            <v>CIL</v>
          </cell>
          <cell r="B58" t="str">
            <v>DC</v>
          </cell>
          <cell r="C58" t="str">
            <v>286</v>
          </cell>
          <cell r="D58" t="str">
            <v>501002</v>
          </cell>
          <cell r="E58" t="str">
            <v>35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AE58">
            <v>0</v>
          </cell>
          <cell r="AG58" t="str">
            <v>Oil</v>
          </cell>
          <cell r="AJ58">
            <v>0</v>
          </cell>
        </row>
        <row r="59">
          <cell r="A59" t="str">
            <v>CIL</v>
          </cell>
          <cell r="B59" t="str">
            <v>DC</v>
          </cell>
          <cell r="C59" t="str">
            <v>286</v>
          </cell>
          <cell r="D59" t="str">
            <v>501002</v>
          </cell>
          <cell r="E59" t="str">
            <v>FB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AE59">
            <v>0</v>
          </cell>
          <cell r="AG59" t="str">
            <v>Oil</v>
          </cell>
          <cell r="AJ59">
            <v>0</v>
          </cell>
        </row>
        <row r="60">
          <cell r="A60" t="str">
            <v>CIL</v>
          </cell>
          <cell r="B60" t="str">
            <v>DC</v>
          </cell>
          <cell r="C60" t="str">
            <v>286</v>
          </cell>
          <cell r="D60" t="str">
            <v>501101</v>
          </cell>
          <cell r="E60" t="str">
            <v>FB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AE60">
            <v>0</v>
          </cell>
          <cell r="AG60" t="str">
            <v>Coal</v>
          </cell>
          <cell r="AJ60">
            <v>0</v>
          </cell>
        </row>
        <row r="61">
          <cell r="A61" t="str">
            <v>CIL</v>
          </cell>
          <cell r="B61" t="str">
            <v>ED</v>
          </cell>
          <cell r="C61" t="str">
            <v>286</v>
          </cell>
          <cell r="D61" t="str">
            <v>501001</v>
          </cell>
          <cell r="E61" t="str">
            <v>FB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AE61">
            <v>0</v>
          </cell>
          <cell r="AG61" t="str">
            <v>Coal</v>
          </cell>
          <cell r="AJ61">
            <v>0</v>
          </cell>
        </row>
        <row r="62">
          <cell r="A62" t="str">
            <v>CIL</v>
          </cell>
          <cell r="B62" t="str">
            <v>ED</v>
          </cell>
          <cell r="C62" t="str">
            <v>286</v>
          </cell>
          <cell r="D62" t="str">
            <v>501002</v>
          </cell>
          <cell r="E62" t="str">
            <v>FB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AE62">
            <v>0</v>
          </cell>
          <cell r="AG62" t="str">
            <v>Oil</v>
          </cell>
          <cell r="AJ62">
            <v>0</v>
          </cell>
        </row>
        <row r="63">
          <cell r="A63" t="str">
            <v>CIL</v>
          </cell>
          <cell r="B63" t="str">
            <v>ED</v>
          </cell>
          <cell r="C63" t="str">
            <v>286</v>
          </cell>
          <cell r="D63" t="str">
            <v>501101</v>
          </cell>
          <cell r="E63" t="str">
            <v>FB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AE63">
            <v>0</v>
          </cell>
          <cell r="AG63" t="str">
            <v>Coal</v>
          </cell>
          <cell r="AJ63">
            <v>0</v>
          </cell>
        </row>
        <row r="64">
          <cell r="A64" t="str">
            <v>CIL</v>
          </cell>
          <cell r="B64" t="str">
            <v>HA</v>
          </cell>
          <cell r="C64" t="str">
            <v>286</v>
          </cell>
          <cell r="D64" t="str">
            <v>547002</v>
          </cell>
          <cell r="E64" t="str">
            <v>FB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AE64">
            <v>0</v>
          </cell>
          <cell r="AG64" t="str">
            <v>Oil</v>
          </cell>
          <cell r="AJ64">
            <v>0</v>
          </cell>
        </row>
        <row r="65">
          <cell r="A65" t="str">
            <v>CIL</v>
          </cell>
          <cell r="B65" t="str">
            <v>HA</v>
          </cell>
          <cell r="C65" t="str">
            <v>286</v>
          </cell>
          <cell r="D65" t="str">
            <v>547003</v>
          </cell>
          <cell r="E65" t="str">
            <v>FB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AE65">
            <v>0</v>
          </cell>
          <cell r="AG65" t="str">
            <v>Gas</v>
          </cell>
          <cell r="AJ65">
            <v>0</v>
          </cell>
        </row>
        <row r="66">
          <cell r="A66" t="str">
            <v>CIL</v>
          </cell>
          <cell r="B66" t="str">
            <v>IT</v>
          </cell>
          <cell r="C66" t="str">
            <v>286</v>
          </cell>
          <cell r="D66" t="str">
            <v>501003</v>
          </cell>
          <cell r="E66" t="str">
            <v>FB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AE66">
            <v>0</v>
          </cell>
          <cell r="AG66" t="str">
            <v>Gas</v>
          </cell>
          <cell r="AJ66">
            <v>0</v>
          </cell>
        </row>
        <row r="67">
          <cell r="A67" t="str">
            <v>CIL</v>
          </cell>
          <cell r="B67" t="str">
            <v>KP</v>
          </cell>
          <cell r="C67" t="str">
            <v>286</v>
          </cell>
          <cell r="D67" t="str">
            <v>547002</v>
          </cell>
          <cell r="E67" t="str">
            <v>FB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AE67">
            <v>0</v>
          </cell>
          <cell r="AG67" t="str">
            <v>Oil</v>
          </cell>
          <cell r="AJ67">
            <v>0</v>
          </cell>
        </row>
        <row r="68">
          <cell r="A68" t="str">
            <v>CIL</v>
          </cell>
          <cell r="B68" t="str">
            <v>KP</v>
          </cell>
          <cell r="C68" t="str">
            <v>286</v>
          </cell>
          <cell r="D68" t="str">
            <v>547003</v>
          </cell>
          <cell r="E68" t="str">
            <v>FB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AE68">
            <v>0</v>
          </cell>
          <cell r="AG68" t="str">
            <v>Gas</v>
          </cell>
          <cell r="AJ68">
            <v>0</v>
          </cell>
        </row>
        <row r="69">
          <cell r="A69" t="str">
            <v>CIL</v>
          </cell>
          <cell r="B69" t="str">
            <v>MP</v>
          </cell>
          <cell r="C69" t="str">
            <v>286</v>
          </cell>
          <cell r="D69" t="str">
            <v>547002</v>
          </cell>
          <cell r="E69" t="str">
            <v>FB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AE69">
            <v>0</v>
          </cell>
          <cell r="AG69" t="str">
            <v>Oil</v>
          </cell>
          <cell r="AJ69">
            <v>0</v>
          </cell>
        </row>
        <row r="70">
          <cell r="A70" t="str">
            <v>CIL</v>
          </cell>
          <cell r="B70" t="str">
            <v>MP</v>
          </cell>
          <cell r="C70" t="str">
            <v>286</v>
          </cell>
          <cell r="D70" t="str">
            <v>547003</v>
          </cell>
          <cell r="E70" t="str">
            <v>FB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AE70">
            <v>0</v>
          </cell>
          <cell r="AG70" t="str">
            <v>Gas</v>
          </cell>
          <cell r="AJ70">
            <v>0</v>
          </cell>
        </row>
        <row r="71">
          <cell r="A71" t="str">
            <v>CIL</v>
          </cell>
          <cell r="B71" t="str">
            <v>MS</v>
          </cell>
          <cell r="C71" t="str">
            <v>286</v>
          </cell>
          <cell r="D71" t="str">
            <v>547002</v>
          </cell>
          <cell r="E71" t="str">
            <v>FB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AE71">
            <v>0</v>
          </cell>
          <cell r="AG71" t="str">
            <v>Oil</v>
          </cell>
          <cell r="AJ71">
            <v>0</v>
          </cell>
        </row>
        <row r="72">
          <cell r="A72" t="str">
            <v>CIL</v>
          </cell>
          <cell r="B72" t="str">
            <v>MS</v>
          </cell>
          <cell r="C72" t="str">
            <v>286</v>
          </cell>
          <cell r="D72" t="str">
            <v>547003</v>
          </cell>
          <cell r="E72" t="str">
            <v>FB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AE72">
            <v>0</v>
          </cell>
          <cell r="AG72" t="str">
            <v>Gas</v>
          </cell>
          <cell r="AJ72">
            <v>0</v>
          </cell>
        </row>
        <row r="73">
          <cell r="A73" t="str">
            <v>CIL</v>
          </cell>
          <cell r="B73" t="str">
            <v>SA</v>
          </cell>
          <cell r="C73" t="str">
            <v>286</v>
          </cell>
          <cell r="D73" t="str">
            <v>547003</v>
          </cell>
          <cell r="E73" t="str">
            <v>FB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AE73">
            <v>0</v>
          </cell>
          <cell r="AG73" t="str">
            <v>Gas</v>
          </cell>
          <cell r="AJ73">
            <v>0</v>
          </cell>
        </row>
        <row r="74">
          <cell r="A74" t="str">
            <v>CIL</v>
          </cell>
          <cell r="B74" t="str">
            <v>TW</v>
          </cell>
          <cell r="C74" t="str">
            <v>286</v>
          </cell>
          <cell r="D74" t="str">
            <v>547002</v>
          </cell>
          <cell r="E74" t="str">
            <v>FB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AE74">
            <v>0</v>
          </cell>
          <cell r="AG74" t="str">
            <v>Oil</v>
          </cell>
          <cell r="AJ74">
            <v>0</v>
          </cell>
        </row>
        <row r="75">
          <cell r="A75" t="str">
            <v>CIP</v>
          </cell>
          <cell r="B75" t="str">
            <v>3D</v>
          </cell>
          <cell r="C75" t="str">
            <v>086</v>
          </cell>
          <cell r="D75" t="str">
            <v>912</v>
          </cell>
          <cell r="E75" t="str">
            <v>80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AE75">
            <v>0</v>
          </cell>
          <cell r="AG75"/>
          <cell r="AJ75">
            <v>0</v>
          </cell>
        </row>
        <row r="76">
          <cell r="A76" t="str">
            <v>CIP</v>
          </cell>
          <cell r="B76" t="str">
            <v>40</v>
          </cell>
          <cell r="C76" t="str">
            <v>086</v>
          </cell>
          <cell r="D76" t="str">
            <v>921002</v>
          </cell>
          <cell r="E76" t="str">
            <v>BX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AE76">
            <v>0</v>
          </cell>
          <cell r="AG76"/>
          <cell r="AJ76">
            <v>0</v>
          </cell>
        </row>
        <row r="77">
          <cell r="A77" t="str">
            <v>CIP</v>
          </cell>
          <cell r="B77" t="str">
            <v>41</v>
          </cell>
          <cell r="C77" t="str">
            <v>034</v>
          </cell>
          <cell r="D77" t="str">
            <v>588004</v>
          </cell>
          <cell r="E77" t="str">
            <v>80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AE77">
            <v>0</v>
          </cell>
          <cell r="AG77"/>
          <cell r="AJ77">
            <v>0</v>
          </cell>
        </row>
        <row r="78">
          <cell r="A78" t="str">
            <v>CIP</v>
          </cell>
          <cell r="B78" t="str">
            <v>41</v>
          </cell>
          <cell r="C78" t="str">
            <v>034</v>
          </cell>
          <cell r="D78" t="str">
            <v>742</v>
          </cell>
          <cell r="E78" t="str">
            <v>35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AE78">
            <v>0</v>
          </cell>
          <cell r="AG78"/>
          <cell r="AJ78">
            <v>0</v>
          </cell>
        </row>
        <row r="79">
          <cell r="A79" t="str">
            <v>CIP</v>
          </cell>
          <cell r="B79" t="str">
            <v>41</v>
          </cell>
          <cell r="C79" t="str">
            <v>034</v>
          </cell>
          <cell r="D79" t="str">
            <v>742</v>
          </cell>
          <cell r="E79" t="str">
            <v>40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AE79">
            <v>0</v>
          </cell>
          <cell r="AG79"/>
          <cell r="AJ79">
            <v>0</v>
          </cell>
        </row>
        <row r="80">
          <cell r="A80" t="str">
            <v>CIP</v>
          </cell>
          <cell r="B80" t="str">
            <v>41</v>
          </cell>
          <cell r="C80" t="str">
            <v>186</v>
          </cell>
          <cell r="D80" t="str">
            <v>813</v>
          </cell>
          <cell r="E80" t="str">
            <v>XA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AE80">
            <v>0</v>
          </cell>
          <cell r="AG80"/>
          <cell r="AJ80">
            <v>0</v>
          </cell>
        </row>
        <row r="81">
          <cell r="A81" t="str">
            <v>CIP</v>
          </cell>
          <cell r="B81" t="str">
            <v>41</v>
          </cell>
          <cell r="C81" t="str">
            <v>186</v>
          </cell>
          <cell r="D81" t="str">
            <v>813</v>
          </cell>
          <cell r="E81" t="str">
            <v>EI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AE81">
            <v>0</v>
          </cell>
          <cell r="AG81"/>
          <cell r="AJ81">
            <v>0</v>
          </cell>
        </row>
        <row r="82">
          <cell r="A82" t="str">
            <v>CIP</v>
          </cell>
          <cell r="B82" t="str">
            <v>41</v>
          </cell>
          <cell r="C82" t="str">
            <v>086</v>
          </cell>
          <cell r="D82" t="str">
            <v>912</v>
          </cell>
          <cell r="E82" t="str">
            <v>80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AE82">
            <v>0</v>
          </cell>
          <cell r="AG82"/>
          <cell r="AJ82">
            <v>0</v>
          </cell>
        </row>
        <row r="83">
          <cell r="A83" t="str">
            <v>EEI</v>
          </cell>
          <cell r="B83" t="str">
            <v>15</v>
          </cell>
          <cell r="C83" t="str">
            <v>186</v>
          </cell>
          <cell r="D83" t="str">
            <v>547AED</v>
          </cell>
          <cell r="E83" t="str">
            <v>FI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AE83">
            <v>0</v>
          </cell>
          <cell r="AG83"/>
          <cell r="AJ83">
            <v>0</v>
          </cell>
        </row>
        <row r="84">
          <cell r="A84" t="str">
            <v>ELM</v>
          </cell>
          <cell r="B84" t="str">
            <v>CT</v>
          </cell>
          <cell r="C84" t="str">
            <v>086</v>
          </cell>
          <cell r="D84" t="str">
            <v>921999</v>
          </cell>
          <cell r="E84" t="str">
            <v>80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AE84">
            <v>0</v>
          </cell>
          <cell r="AG84"/>
          <cell r="AJ84">
            <v>0</v>
          </cell>
        </row>
        <row r="85">
          <cell r="A85" t="str">
            <v>ELM</v>
          </cell>
          <cell r="B85" t="str">
            <v>11</v>
          </cell>
          <cell r="C85" t="str">
            <v>186</v>
          </cell>
          <cell r="D85" t="str">
            <v>557001</v>
          </cell>
          <cell r="E85" t="str">
            <v>XA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AE85">
            <v>0</v>
          </cell>
          <cell r="AG85"/>
          <cell r="AJ85">
            <v>0</v>
          </cell>
        </row>
        <row r="86">
          <cell r="A86" t="str">
            <v>ELM</v>
          </cell>
          <cell r="B86" t="str">
            <v>11</v>
          </cell>
          <cell r="C86" t="str">
            <v>034</v>
          </cell>
          <cell r="D86" t="str">
            <v>586</v>
          </cell>
          <cell r="E86" t="str">
            <v>BX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AE86">
            <v>0</v>
          </cell>
          <cell r="AG86"/>
          <cell r="AJ86">
            <v>0</v>
          </cell>
        </row>
        <row r="87">
          <cell r="A87" t="str">
            <v>ELM</v>
          </cell>
          <cell r="B87" t="str">
            <v>11</v>
          </cell>
          <cell r="C87" t="str">
            <v>086</v>
          </cell>
          <cell r="D87" t="str">
            <v>912</v>
          </cell>
          <cell r="E87" t="str">
            <v>80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AE87">
            <v>0</v>
          </cell>
          <cell r="AG87"/>
          <cell r="AJ87">
            <v>0</v>
          </cell>
        </row>
        <row r="88">
          <cell r="A88" t="str">
            <v>ELM</v>
          </cell>
          <cell r="B88" t="str">
            <v>11</v>
          </cell>
          <cell r="C88" t="str">
            <v>086</v>
          </cell>
          <cell r="D88" t="str">
            <v>912</v>
          </cell>
          <cell r="E88" t="str">
            <v>80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AE88">
            <v>0</v>
          </cell>
          <cell r="AG88"/>
          <cell r="AJ88">
            <v>0</v>
          </cell>
        </row>
        <row r="89">
          <cell r="A89" t="str">
            <v>ELM</v>
          </cell>
          <cell r="B89" t="str">
            <v>11</v>
          </cell>
          <cell r="C89" t="str">
            <v>086</v>
          </cell>
          <cell r="D89" t="str">
            <v>921002</v>
          </cell>
          <cell r="E89" t="str">
            <v>BX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AE89">
            <v>0</v>
          </cell>
          <cell r="AG89"/>
          <cell r="AJ89">
            <v>0</v>
          </cell>
        </row>
        <row r="90">
          <cell r="A90" t="str">
            <v>GEN</v>
          </cell>
          <cell r="B90" t="str">
            <v>66</v>
          </cell>
          <cell r="C90" t="str">
            <v>186</v>
          </cell>
          <cell r="D90" t="str">
            <v>INTGEN</v>
          </cell>
          <cell r="E90" t="str">
            <v>FI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AE90">
            <v>0</v>
          </cell>
          <cell r="AG90"/>
          <cell r="AJ90">
            <v>0</v>
          </cell>
        </row>
        <row r="91">
          <cell r="A91" t="str">
            <v>GEN</v>
          </cell>
          <cell r="B91" t="str">
            <v>66</v>
          </cell>
          <cell r="C91" t="str">
            <v>186</v>
          </cell>
          <cell r="D91" t="str">
            <v>547003</v>
          </cell>
          <cell r="E91" t="str">
            <v>FB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AE91">
            <v>0</v>
          </cell>
          <cell r="AG91" t="str">
            <v>Gas</v>
          </cell>
          <cell r="AJ91">
            <v>0</v>
          </cell>
        </row>
        <row r="92">
          <cell r="A92" t="str">
            <v>GEN</v>
          </cell>
          <cell r="B92" t="str">
            <v>66</v>
          </cell>
          <cell r="C92" t="str">
            <v>186</v>
          </cell>
          <cell r="D92" t="str">
            <v>547003</v>
          </cell>
          <cell r="E92" t="str">
            <v>FI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AE92">
            <v>0</v>
          </cell>
          <cell r="AG92" t="str">
            <v>Gas</v>
          </cell>
          <cell r="AJ92">
            <v>0</v>
          </cell>
        </row>
        <row r="93">
          <cell r="A93" t="str">
            <v>GEN</v>
          </cell>
          <cell r="B93" t="str">
            <v>66</v>
          </cell>
          <cell r="C93" t="str">
            <v>186</v>
          </cell>
          <cell r="D93" t="str">
            <v>547003</v>
          </cell>
          <cell r="E93" t="str">
            <v>FI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AE93">
            <v>0</v>
          </cell>
          <cell r="AG93" t="str">
            <v>Gas</v>
          </cell>
          <cell r="AJ93">
            <v>0</v>
          </cell>
        </row>
        <row r="94">
          <cell r="A94" t="str">
            <v>GEN</v>
          </cell>
          <cell r="B94" t="str">
            <v>68</v>
          </cell>
          <cell r="C94" t="str">
            <v>186</v>
          </cell>
          <cell r="D94" t="str">
            <v>INTGEN</v>
          </cell>
          <cell r="E94" t="str">
            <v>FI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AE94">
            <v>0</v>
          </cell>
          <cell r="AG94"/>
          <cell r="AJ94">
            <v>0</v>
          </cell>
        </row>
        <row r="95">
          <cell r="A95" t="str">
            <v>GEN</v>
          </cell>
          <cell r="B95" t="str">
            <v>68</v>
          </cell>
          <cell r="C95" t="str">
            <v>186</v>
          </cell>
          <cell r="D95" t="str">
            <v>509</v>
          </cell>
          <cell r="E95" t="str">
            <v>FB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AE95">
            <v>0</v>
          </cell>
          <cell r="AG95" t="str">
            <v>SO2</v>
          </cell>
          <cell r="AJ95">
            <v>0</v>
          </cell>
        </row>
        <row r="96">
          <cell r="A96" t="str">
            <v>GEN</v>
          </cell>
          <cell r="B96" t="str">
            <v>68</v>
          </cell>
          <cell r="C96" t="str">
            <v>186</v>
          </cell>
          <cell r="D96" t="str">
            <v>547002</v>
          </cell>
          <cell r="E96" t="str">
            <v>FB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AE96">
            <v>0</v>
          </cell>
          <cell r="AG96" t="str">
            <v>Oil</v>
          </cell>
          <cell r="AJ96">
            <v>0</v>
          </cell>
        </row>
        <row r="97">
          <cell r="A97" t="str">
            <v>GEN</v>
          </cell>
          <cell r="B97" t="str">
            <v>68</v>
          </cell>
          <cell r="C97" t="str">
            <v>186</v>
          </cell>
          <cell r="D97" t="str">
            <v>547002</v>
          </cell>
          <cell r="E97" t="str">
            <v>FI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AE97">
            <v>0</v>
          </cell>
          <cell r="AG97" t="str">
            <v>Oil</v>
          </cell>
          <cell r="AJ97">
            <v>0</v>
          </cell>
        </row>
        <row r="98">
          <cell r="A98" t="str">
            <v>GEN</v>
          </cell>
          <cell r="B98" t="str">
            <v>68</v>
          </cell>
          <cell r="C98" t="str">
            <v>186</v>
          </cell>
          <cell r="D98" t="str">
            <v>547003</v>
          </cell>
          <cell r="E98" t="str">
            <v>FB</v>
          </cell>
          <cell r="G98">
            <v>113</v>
          </cell>
          <cell r="H98">
            <v>72</v>
          </cell>
          <cell r="I98">
            <v>55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AE98">
            <v>55</v>
          </cell>
          <cell r="AG98" t="str">
            <v>Gas</v>
          </cell>
          <cell r="AJ98">
            <v>240</v>
          </cell>
        </row>
        <row r="99">
          <cell r="A99" t="str">
            <v>GEN</v>
          </cell>
          <cell r="B99" t="str">
            <v>68</v>
          </cell>
          <cell r="C99" t="str">
            <v>186</v>
          </cell>
          <cell r="D99" t="str">
            <v>547003</v>
          </cell>
          <cell r="E99" t="str">
            <v>FI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AE99">
            <v>0</v>
          </cell>
          <cell r="AG99" t="str">
            <v>Gas</v>
          </cell>
          <cell r="AJ99">
            <v>0</v>
          </cell>
        </row>
        <row r="100">
          <cell r="A100" t="str">
            <v>GEN</v>
          </cell>
          <cell r="B100" t="str">
            <v>68</v>
          </cell>
          <cell r="C100" t="str">
            <v>186</v>
          </cell>
          <cell r="D100" t="str">
            <v>547003</v>
          </cell>
          <cell r="E100" t="str">
            <v>FI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AE100">
            <v>0</v>
          </cell>
          <cell r="AG100" t="str">
            <v>Gas</v>
          </cell>
          <cell r="AJ100">
            <v>0</v>
          </cell>
        </row>
        <row r="101">
          <cell r="A101" t="str">
            <v>GEN</v>
          </cell>
          <cell r="B101" t="str">
            <v>68</v>
          </cell>
          <cell r="C101" t="str">
            <v>186</v>
          </cell>
          <cell r="D101" t="str">
            <v>547003</v>
          </cell>
          <cell r="E101" t="str">
            <v>BX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AE101">
            <v>0</v>
          </cell>
          <cell r="AG101" t="str">
            <v>Gas</v>
          </cell>
          <cell r="AJ101">
            <v>0</v>
          </cell>
        </row>
        <row r="102">
          <cell r="A102" t="str">
            <v>GEN</v>
          </cell>
          <cell r="B102" t="str">
            <v>69</v>
          </cell>
          <cell r="C102" t="str">
            <v>186</v>
          </cell>
          <cell r="D102" t="str">
            <v>INTGEN</v>
          </cell>
          <cell r="E102" t="str">
            <v>FI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AE102">
            <v>0</v>
          </cell>
          <cell r="AG102"/>
          <cell r="AJ102">
            <v>0</v>
          </cell>
        </row>
        <row r="103">
          <cell r="A103" t="str">
            <v>GEN</v>
          </cell>
          <cell r="B103" t="str">
            <v>69</v>
          </cell>
          <cell r="C103" t="str">
            <v>186</v>
          </cell>
          <cell r="D103" t="str">
            <v>547002</v>
          </cell>
          <cell r="E103" t="str">
            <v>FB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AE103">
            <v>0</v>
          </cell>
          <cell r="AG103" t="str">
            <v>Oil</v>
          </cell>
          <cell r="AJ103">
            <v>0</v>
          </cell>
        </row>
        <row r="104">
          <cell r="A104" t="str">
            <v>GEN</v>
          </cell>
          <cell r="B104" t="str">
            <v>69</v>
          </cell>
          <cell r="C104" t="str">
            <v>186</v>
          </cell>
          <cell r="D104" t="str">
            <v>547002</v>
          </cell>
          <cell r="E104" t="str">
            <v>FI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AE104">
            <v>0</v>
          </cell>
          <cell r="AG104" t="str">
            <v>Oil</v>
          </cell>
          <cell r="AJ104">
            <v>0</v>
          </cell>
        </row>
        <row r="105">
          <cell r="A105" t="str">
            <v>GEN</v>
          </cell>
          <cell r="B105" t="str">
            <v>69</v>
          </cell>
          <cell r="C105" t="str">
            <v>186</v>
          </cell>
          <cell r="D105" t="str">
            <v>547003</v>
          </cell>
          <cell r="E105" t="str">
            <v>FB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AE105">
            <v>0</v>
          </cell>
          <cell r="AG105" t="str">
            <v>Gas</v>
          </cell>
          <cell r="AJ105">
            <v>0</v>
          </cell>
        </row>
        <row r="106">
          <cell r="A106" t="str">
            <v>GEN</v>
          </cell>
          <cell r="B106" t="str">
            <v>69</v>
          </cell>
          <cell r="C106" t="str">
            <v>186</v>
          </cell>
          <cell r="D106" t="str">
            <v>547003</v>
          </cell>
          <cell r="E106" t="str">
            <v>FI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AE106">
            <v>0</v>
          </cell>
          <cell r="AG106" t="str">
            <v>Gas</v>
          </cell>
          <cell r="AJ106">
            <v>0</v>
          </cell>
        </row>
        <row r="107">
          <cell r="A107" t="str">
            <v>GEN</v>
          </cell>
          <cell r="B107" t="str">
            <v>69</v>
          </cell>
          <cell r="C107" t="str">
            <v>186</v>
          </cell>
          <cell r="D107" t="str">
            <v>547003</v>
          </cell>
          <cell r="E107" t="str">
            <v>FI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AE107">
            <v>0</v>
          </cell>
          <cell r="AG107" t="str">
            <v>Gas</v>
          </cell>
          <cell r="AJ107">
            <v>0</v>
          </cell>
        </row>
        <row r="108">
          <cell r="A108" t="str">
            <v>GEN</v>
          </cell>
          <cell r="B108" t="str">
            <v>79</v>
          </cell>
          <cell r="C108" t="str">
            <v>186</v>
          </cell>
          <cell r="D108" t="str">
            <v>509</v>
          </cell>
          <cell r="E108" t="str">
            <v>FB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AE108">
            <v>0</v>
          </cell>
          <cell r="AG108" t="str">
            <v>SO2</v>
          </cell>
          <cell r="AJ108">
            <v>0</v>
          </cell>
        </row>
        <row r="109">
          <cell r="A109" t="str">
            <v>GEN</v>
          </cell>
          <cell r="B109" t="str">
            <v>79</v>
          </cell>
          <cell r="C109" t="str">
            <v>186</v>
          </cell>
          <cell r="D109" t="str">
            <v>547003</v>
          </cell>
          <cell r="E109" t="str">
            <v>FB</v>
          </cell>
          <cell r="G109">
            <v>517</v>
          </cell>
          <cell r="H109">
            <v>395</v>
          </cell>
          <cell r="I109">
            <v>361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AE109">
            <v>361</v>
          </cell>
          <cell r="AG109" t="str">
            <v>Gas</v>
          </cell>
          <cell r="AJ109">
            <v>1273</v>
          </cell>
        </row>
        <row r="110">
          <cell r="A110" t="str">
            <v>GEN</v>
          </cell>
          <cell r="B110" t="str">
            <v>79</v>
          </cell>
          <cell r="C110" t="str">
            <v>186</v>
          </cell>
          <cell r="D110" t="str">
            <v>547003</v>
          </cell>
          <cell r="E110" t="str">
            <v>FI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AE110">
            <v>0</v>
          </cell>
          <cell r="AG110" t="str">
            <v>Gas</v>
          </cell>
          <cell r="AJ110">
            <v>0</v>
          </cell>
        </row>
        <row r="111">
          <cell r="A111" t="str">
            <v>GEN</v>
          </cell>
          <cell r="B111" t="str">
            <v>90</v>
          </cell>
          <cell r="C111" t="str">
            <v>086</v>
          </cell>
          <cell r="D111" t="str">
            <v>426001</v>
          </cell>
          <cell r="E111" t="str">
            <v>C2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AE111">
            <v>0</v>
          </cell>
          <cell r="AG111"/>
          <cell r="AJ111">
            <v>0</v>
          </cell>
        </row>
        <row r="112">
          <cell r="A112" t="str">
            <v>GEN</v>
          </cell>
          <cell r="B112" t="str">
            <v>90</v>
          </cell>
          <cell r="C112" t="str">
            <v>186</v>
          </cell>
          <cell r="D112" t="str">
            <v>509153</v>
          </cell>
          <cell r="E112" t="str">
            <v>EI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AE112">
            <v>0</v>
          </cell>
          <cell r="AG112"/>
          <cell r="AJ112">
            <v>0</v>
          </cell>
        </row>
        <row r="113">
          <cell r="A113" t="str">
            <v>GEN</v>
          </cell>
          <cell r="B113" t="str">
            <v>90</v>
          </cell>
          <cell r="C113" t="str">
            <v>186</v>
          </cell>
          <cell r="D113" t="str">
            <v>509153</v>
          </cell>
          <cell r="E113" t="str">
            <v>FB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AE113">
            <v>0</v>
          </cell>
          <cell r="AG113"/>
          <cell r="AJ113">
            <v>0</v>
          </cell>
        </row>
        <row r="114">
          <cell r="A114" t="str">
            <v>GEN</v>
          </cell>
          <cell r="B114" t="str">
            <v>90</v>
          </cell>
          <cell r="C114" t="str">
            <v>186</v>
          </cell>
          <cell r="D114" t="str">
            <v>509153</v>
          </cell>
          <cell r="E114" t="str">
            <v>FB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AE114">
            <v>0</v>
          </cell>
          <cell r="AG114"/>
          <cell r="AJ114">
            <v>0</v>
          </cell>
        </row>
        <row r="115">
          <cell r="A115" t="str">
            <v>GEN</v>
          </cell>
          <cell r="B115" t="str">
            <v>90</v>
          </cell>
          <cell r="C115" t="str">
            <v>186</v>
          </cell>
          <cell r="D115" t="str">
            <v>547AFS</v>
          </cell>
          <cell r="E115" t="str">
            <v>FB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AE115">
            <v>0</v>
          </cell>
          <cell r="AG115"/>
          <cell r="AJ115">
            <v>0</v>
          </cell>
        </row>
        <row r="116">
          <cell r="A116" t="str">
            <v>GEN</v>
          </cell>
          <cell r="B116" t="str">
            <v>90</v>
          </cell>
          <cell r="C116" t="str">
            <v>186</v>
          </cell>
          <cell r="D116" t="str">
            <v>547CIP</v>
          </cell>
          <cell r="E116" t="str">
            <v>FB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AE116">
            <v>0</v>
          </cell>
          <cell r="AG116"/>
          <cell r="AJ116">
            <v>0</v>
          </cell>
        </row>
        <row r="117">
          <cell r="A117" t="str">
            <v>GEN</v>
          </cell>
          <cell r="B117" t="str">
            <v>90</v>
          </cell>
          <cell r="C117" t="str">
            <v>186</v>
          </cell>
          <cell r="D117" t="str">
            <v>547UEC</v>
          </cell>
          <cell r="E117" t="str">
            <v>FB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AE117">
            <v>0</v>
          </cell>
          <cell r="AG117"/>
          <cell r="AJ117">
            <v>0</v>
          </cell>
        </row>
        <row r="118">
          <cell r="A118" t="str">
            <v>GEN</v>
          </cell>
          <cell r="B118" t="str">
            <v>90</v>
          </cell>
          <cell r="C118" t="str">
            <v>186</v>
          </cell>
          <cell r="D118" t="str">
            <v>547003</v>
          </cell>
          <cell r="E118" t="str">
            <v>FB</v>
          </cell>
          <cell r="G118">
            <v>-72</v>
          </cell>
          <cell r="H118">
            <v>0</v>
          </cell>
          <cell r="I118">
            <v>-2600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AE118">
            <v>-2600</v>
          </cell>
          <cell r="AG118" t="str">
            <v>Gas</v>
          </cell>
          <cell r="AJ118">
            <v>-2672</v>
          </cell>
        </row>
        <row r="119">
          <cell r="A119" t="str">
            <v>GEN</v>
          </cell>
          <cell r="B119" t="str">
            <v>90</v>
          </cell>
          <cell r="C119" t="str">
            <v>186</v>
          </cell>
          <cell r="D119" t="str">
            <v>54701F</v>
          </cell>
          <cell r="E119" t="str">
            <v>FB</v>
          </cell>
          <cell r="G119">
            <v>72</v>
          </cell>
          <cell r="H119">
            <v>0</v>
          </cell>
          <cell r="I119">
            <v>2600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AE119">
            <v>2600</v>
          </cell>
          <cell r="AG119" t="str">
            <v>gas</v>
          </cell>
          <cell r="AJ119">
            <v>2672</v>
          </cell>
        </row>
        <row r="120">
          <cell r="A120" t="str">
            <v>GEN</v>
          </cell>
          <cell r="B120" t="str">
            <v>90</v>
          </cell>
          <cell r="C120" t="str">
            <v>186</v>
          </cell>
          <cell r="D120" t="str">
            <v>547013</v>
          </cell>
          <cell r="E120" t="str">
            <v>FB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AE120">
            <v>0</v>
          </cell>
          <cell r="AG120" t="str">
            <v>Gas</v>
          </cell>
          <cell r="AJ120">
            <v>0</v>
          </cell>
        </row>
        <row r="121">
          <cell r="A121" t="str">
            <v>GEN</v>
          </cell>
          <cell r="B121" t="str">
            <v>90</v>
          </cell>
          <cell r="C121" t="str">
            <v>186</v>
          </cell>
          <cell r="D121" t="str">
            <v>547013</v>
          </cell>
          <cell r="E121" t="str">
            <v>FI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AE121">
            <v>0</v>
          </cell>
          <cell r="AG121" t="str">
            <v>Gas</v>
          </cell>
          <cell r="AJ121">
            <v>0</v>
          </cell>
        </row>
        <row r="122">
          <cell r="A122" t="str">
            <v>GEN</v>
          </cell>
          <cell r="B122" t="str">
            <v>90</v>
          </cell>
          <cell r="C122" t="str">
            <v>186</v>
          </cell>
          <cell r="D122" t="str">
            <v>557001</v>
          </cell>
          <cell r="E122" t="str">
            <v>FB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AE122">
            <v>0</v>
          </cell>
          <cell r="AG122"/>
          <cell r="AJ122">
            <v>0</v>
          </cell>
        </row>
        <row r="123">
          <cell r="A123" t="str">
            <v>GEN</v>
          </cell>
          <cell r="B123" t="str">
            <v>90</v>
          </cell>
          <cell r="C123" t="str">
            <v>186</v>
          </cell>
          <cell r="D123" t="str">
            <v>557001</v>
          </cell>
          <cell r="E123" t="str">
            <v>XA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AE123">
            <v>0</v>
          </cell>
          <cell r="AG123"/>
          <cell r="AJ123">
            <v>0</v>
          </cell>
        </row>
        <row r="124">
          <cell r="A124" t="str">
            <v>GEN</v>
          </cell>
          <cell r="B124" t="str">
            <v>90</v>
          </cell>
          <cell r="C124" t="str">
            <v>186</v>
          </cell>
          <cell r="D124" t="str">
            <v>557001</v>
          </cell>
          <cell r="E124" t="str">
            <v>FB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AE124">
            <v>0</v>
          </cell>
          <cell r="AG124"/>
          <cell r="AJ124">
            <v>0</v>
          </cell>
        </row>
        <row r="125">
          <cell r="A125" t="str">
            <v>GEN</v>
          </cell>
          <cell r="B125" t="str">
            <v>90</v>
          </cell>
          <cell r="C125" t="str">
            <v>086</v>
          </cell>
          <cell r="D125" t="str">
            <v>921002</v>
          </cell>
          <cell r="E125" t="str">
            <v>BX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AE125">
            <v>0</v>
          </cell>
          <cell r="AG125"/>
          <cell r="AJ125">
            <v>0</v>
          </cell>
        </row>
        <row r="126">
          <cell r="A126" t="str">
            <v>GEN</v>
          </cell>
          <cell r="B126" t="str">
            <v>91</v>
          </cell>
          <cell r="C126" t="str">
            <v>186</v>
          </cell>
          <cell r="D126" t="str">
            <v>INTGEN</v>
          </cell>
          <cell r="E126" t="str">
            <v>FI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AE126">
            <v>0</v>
          </cell>
          <cell r="AG126"/>
          <cell r="AJ126">
            <v>0</v>
          </cell>
        </row>
        <row r="127">
          <cell r="A127" t="str">
            <v>GEN</v>
          </cell>
          <cell r="B127" t="str">
            <v>91</v>
          </cell>
          <cell r="C127" t="str">
            <v>186</v>
          </cell>
          <cell r="D127" t="str">
            <v>501001</v>
          </cell>
          <cell r="E127" t="str">
            <v>FB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AE127">
            <v>0</v>
          </cell>
          <cell r="AG127" t="str">
            <v>Coal</v>
          </cell>
          <cell r="AJ127">
            <v>0</v>
          </cell>
        </row>
        <row r="128">
          <cell r="A128" t="str">
            <v>GEN</v>
          </cell>
          <cell r="B128" t="str">
            <v>91</v>
          </cell>
          <cell r="C128" t="str">
            <v>186</v>
          </cell>
          <cell r="D128" t="str">
            <v>501101</v>
          </cell>
          <cell r="E128" t="str">
            <v>FB</v>
          </cell>
          <cell r="G128">
            <v>194644.55</v>
          </cell>
          <cell r="H128">
            <v>257111.4</v>
          </cell>
          <cell r="I128">
            <v>191203.4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AE128">
            <v>191203.4</v>
          </cell>
          <cell r="AG128" t="str">
            <v>Coal</v>
          </cell>
          <cell r="AJ128">
            <v>642959.35</v>
          </cell>
        </row>
        <row r="129">
          <cell r="A129" t="str">
            <v>GEN</v>
          </cell>
          <cell r="B129" t="str">
            <v>91</v>
          </cell>
          <cell r="C129" t="str">
            <v>186</v>
          </cell>
          <cell r="D129" t="str">
            <v>501101</v>
          </cell>
          <cell r="E129" t="str">
            <v>FI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AE129">
            <v>0</v>
          </cell>
          <cell r="AG129" t="str">
            <v>Coal</v>
          </cell>
          <cell r="AJ129">
            <v>0</v>
          </cell>
        </row>
        <row r="130">
          <cell r="A130" t="str">
            <v>GEN</v>
          </cell>
          <cell r="B130" t="str">
            <v>91</v>
          </cell>
          <cell r="C130" t="str">
            <v>186</v>
          </cell>
          <cell r="D130" t="str">
            <v>501101</v>
          </cell>
          <cell r="E130" t="str">
            <v>FI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AE130">
            <v>0</v>
          </cell>
          <cell r="AG130" t="str">
            <v>Coal</v>
          </cell>
          <cell r="AJ130">
            <v>0</v>
          </cell>
        </row>
        <row r="131">
          <cell r="A131" t="str">
            <v>GEN</v>
          </cell>
          <cell r="B131" t="str">
            <v>91</v>
          </cell>
          <cell r="C131" t="str">
            <v>186</v>
          </cell>
          <cell r="D131" t="str">
            <v>501102</v>
          </cell>
          <cell r="E131" t="str">
            <v>FB</v>
          </cell>
          <cell r="G131">
            <v>5316</v>
          </cell>
          <cell r="H131">
            <v>621</v>
          </cell>
          <cell r="I131">
            <v>15734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AE131">
            <v>15734</v>
          </cell>
          <cell r="AG131" t="str">
            <v>Oil</v>
          </cell>
          <cell r="AJ131">
            <v>21671</v>
          </cell>
        </row>
        <row r="132">
          <cell r="A132" t="str">
            <v>GEN</v>
          </cell>
          <cell r="B132" t="str">
            <v>91</v>
          </cell>
          <cell r="C132" t="str">
            <v>186</v>
          </cell>
          <cell r="D132" t="str">
            <v>501102</v>
          </cell>
          <cell r="E132" t="str">
            <v>FI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AE132">
            <v>0</v>
          </cell>
          <cell r="AG132" t="str">
            <v>Oil</v>
          </cell>
          <cell r="AJ132">
            <v>0</v>
          </cell>
        </row>
        <row r="133">
          <cell r="A133" t="str">
            <v>GEN</v>
          </cell>
          <cell r="B133" t="str">
            <v>91</v>
          </cell>
          <cell r="C133" t="str">
            <v>186</v>
          </cell>
          <cell r="D133" t="str">
            <v>501102</v>
          </cell>
          <cell r="E133" t="str">
            <v>FI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AE133">
            <v>0</v>
          </cell>
          <cell r="AG133" t="str">
            <v>Oil</v>
          </cell>
          <cell r="AJ133">
            <v>0</v>
          </cell>
        </row>
        <row r="134">
          <cell r="A134" t="str">
            <v>GEN</v>
          </cell>
          <cell r="B134" t="str">
            <v>91</v>
          </cell>
          <cell r="C134" t="str">
            <v>186</v>
          </cell>
          <cell r="D134" t="str">
            <v>501110</v>
          </cell>
          <cell r="E134" t="str">
            <v>FB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AE134">
            <v>0</v>
          </cell>
          <cell r="AG134" t="str">
            <v>Coal</v>
          </cell>
          <cell r="AJ134">
            <v>0</v>
          </cell>
        </row>
        <row r="135">
          <cell r="A135" t="str">
            <v>GEN</v>
          </cell>
          <cell r="B135" t="str">
            <v>91</v>
          </cell>
          <cell r="C135" t="str">
            <v>186</v>
          </cell>
          <cell r="D135" t="str">
            <v>501110</v>
          </cell>
          <cell r="E135" t="str">
            <v>FI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AE135">
            <v>0</v>
          </cell>
          <cell r="AG135" t="str">
            <v>Coal</v>
          </cell>
          <cell r="AJ135">
            <v>0</v>
          </cell>
        </row>
        <row r="136">
          <cell r="A136" t="str">
            <v>GEN</v>
          </cell>
          <cell r="B136" t="str">
            <v>91</v>
          </cell>
          <cell r="C136" t="str">
            <v>186</v>
          </cell>
          <cell r="D136" t="str">
            <v>501110</v>
          </cell>
          <cell r="E136" t="str">
            <v>FI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AE136">
            <v>0</v>
          </cell>
          <cell r="AG136" t="str">
            <v>Coal</v>
          </cell>
          <cell r="AJ136">
            <v>0</v>
          </cell>
        </row>
        <row r="137">
          <cell r="A137" t="str">
            <v>GEN</v>
          </cell>
          <cell r="B137" t="str">
            <v>91</v>
          </cell>
          <cell r="C137" t="str">
            <v>186</v>
          </cell>
          <cell r="D137" t="str">
            <v>501201</v>
          </cell>
          <cell r="E137" t="str">
            <v>FB</v>
          </cell>
          <cell r="G137">
            <v>202712.65</v>
          </cell>
          <cell r="H137">
            <v>212434.7</v>
          </cell>
          <cell r="I137">
            <v>185806.65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AE137">
            <v>185806.65</v>
          </cell>
          <cell r="AG137" t="str">
            <v>Coal</v>
          </cell>
          <cell r="AJ137">
            <v>600954</v>
          </cell>
        </row>
        <row r="138">
          <cell r="A138" t="str">
            <v>GEN</v>
          </cell>
          <cell r="B138" t="str">
            <v>91</v>
          </cell>
          <cell r="C138" t="str">
            <v>186</v>
          </cell>
          <cell r="D138" t="str">
            <v>501201</v>
          </cell>
          <cell r="E138" t="str">
            <v>FI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AE138">
            <v>0</v>
          </cell>
          <cell r="AG138" t="str">
            <v>Coal</v>
          </cell>
          <cell r="AJ138">
            <v>0</v>
          </cell>
        </row>
        <row r="139">
          <cell r="A139" t="str">
            <v>GEN</v>
          </cell>
          <cell r="B139" t="str">
            <v>91</v>
          </cell>
          <cell r="C139" t="str">
            <v>186</v>
          </cell>
          <cell r="D139" t="str">
            <v>501201</v>
          </cell>
          <cell r="E139" t="str">
            <v>FI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AE139">
            <v>0</v>
          </cell>
          <cell r="AG139" t="str">
            <v>Coal</v>
          </cell>
          <cell r="AJ139">
            <v>0</v>
          </cell>
        </row>
        <row r="140">
          <cell r="A140" t="str">
            <v>GEN</v>
          </cell>
          <cell r="B140" t="str">
            <v>91</v>
          </cell>
          <cell r="C140" t="str">
            <v>186</v>
          </cell>
          <cell r="D140" t="str">
            <v>501202</v>
          </cell>
          <cell r="E140" t="str">
            <v>FB</v>
          </cell>
          <cell r="G140">
            <v>30351</v>
          </cell>
          <cell r="H140">
            <v>622</v>
          </cell>
          <cell r="I140">
            <v>723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AE140">
            <v>723</v>
          </cell>
          <cell r="AG140" t="str">
            <v>Oil</v>
          </cell>
          <cell r="AJ140">
            <v>31696</v>
          </cell>
        </row>
        <row r="141">
          <cell r="A141" t="str">
            <v>GEN</v>
          </cell>
          <cell r="B141" t="str">
            <v>91</v>
          </cell>
          <cell r="C141" t="str">
            <v>186</v>
          </cell>
          <cell r="D141" t="str">
            <v>501202</v>
          </cell>
          <cell r="E141" t="str">
            <v>FI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AE141">
            <v>0</v>
          </cell>
          <cell r="AG141" t="str">
            <v>Oil</v>
          </cell>
          <cell r="AJ141">
            <v>0</v>
          </cell>
        </row>
        <row r="142">
          <cell r="A142" t="str">
            <v>GEN</v>
          </cell>
          <cell r="B142" t="str">
            <v>91</v>
          </cell>
          <cell r="C142" t="str">
            <v>186</v>
          </cell>
          <cell r="D142" t="str">
            <v>501202</v>
          </cell>
          <cell r="E142" t="str">
            <v>FI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AE142">
            <v>0</v>
          </cell>
          <cell r="AG142" t="str">
            <v>Oil</v>
          </cell>
          <cell r="AJ142">
            <v>0</v>
          </cell>
        </row>
        <row r="143">
          <cell r="A143" t="str">
            <v>GEN</v>
          </cell>
          <cell r="B143" t="str">
            <v>91</v>
          </cell>
          <cell r="C143" t="str">
            <v>186</v>
          </cell>
          <cell r="D143" t="str">
            <v>501210</v>
          </cell>
          <cell r="E143" t="str">
            <v>FB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AE143">
            <v>0</v>
          </cell>
          <cell r="AG143" t="str">
            <v>Coal</v>
          </cell>
          <cell r="AJ143">
            <v>0</v>
          </cell>
        </row>
        <row r="144">
          <cell r="A144" t="str">
            <v>GEN</v>
          </cell>
          <cell r="B144" t="str">
            <v>91</v>
          </cell>
          <cell r="C144" t="str">
            <v>186</v>
          </cell>
          <cell r="D144" t="str">
            <v>501210</v>
          </cell>
          <cell r="E144" t="str">
            <v>FI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AE144">
            <v>0</v>
          </cell>
          <cell r="AG144" t="str">
            <v>Coal</v>
          </cell>
          <cell r="AJ144">
            <v>0</v>
          </cell>
        </row>
        <row r="145">
          <cell r="A145" t="str">
            <v>GEN</v>
          </cell>
          <cell r="B145" t="str">
            <v>91</v>
          </cell>
          <cell r="C145" t="str">
            <v>186</v>
          </cell>
          <cell r="D145" t="str">
            <v>501210</v>
          </cell>
          <cell r="E145" t="str">
            <v>FI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AE145">
            <v>0</v>
          </cell>
          <cell r="AG145" t="str">
            <v>Coal</v>
          </cell>
          <cell r="AJ145">
            <v>0</v>
          </cell>
        </row>
        <row r="146">
          <cell r="A146" t="str">
            <v>GEN</v>
          </cell>
          <cell r="B146" t="str">
            <v>91</v>
          </cell>
          <cell r="C146" t="str">
            <v>186</v>
          </cell>
          <cell r="D146" t="str">
            <v>509</v>
          </cell>
          <cell r="E146" t="str">
            <v>FB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AE146">
            <v>0</v>
          </cell>
          <cell r="AG146" t="str">
            <v>SO2</v>
          </cell>
          <cell r="AJ146">
            <v>0</v>
          </cell>
        </row>
        <row r="147">
          <cell r="A147" t="str">
            <v>GEN</v>
          </cell>
          <cell r="B147" t="str">
            <v>91</v>
          </cell>
          <cell r="C147" t="str">
            <v>186</v>
          </cell>
          <cell r="D147" t="str">
            <v>509</v>
          </cell>
          <cell r="E147" t="str">
            <v>FI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AE147">
            <v>0</v>
          </cell>
          <cell r="AG147" t="str">
            <v>SO2</v>
          </cell>
          <cell r="AJ147">
            <v>0</v>
          </cell>
        </row>
        <row r="148">
          <cell r="A148" t="str">
            <v>GEN</v>
          </cell>
          <cell r="B148" t="str">
            <v>92</v>
          </cell>
          <cell r="C148" t="str">
            <v>186</v>
          </cell>
          <cell r="D148" t="str">
            <v>INTGEN</v>
          </cell>
          <cell r="E148" t="str">
            <v>FI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AE148">
            <v>0</v>
          </cell>
          <cell r="AG148"/>
          <cell r="AJ148">
            <v>0</v>
          </cell>
        </row>
        <row r="149">
          <cell r="A149" t="str">
            <v>GEN</v>
          </cell>
          <cell r="B149" t="str">
            <v>92</v>
          </cell>
          <cell r="C149" t="str">
            <v>186</v>
          </cell>
          <cell r="D149" t="str">
            <v>500</v>
          </cell>
          <cell r="E149" t="str">
            <v>BX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AE149">
            <v>0</v>
          </cell>
          <cell r="AG149"/>
          <cell r="AJ149">
            <v>0</v>
          </cell>
        </row>
        <row r="150">
          <cell r="A150" t="str">
            <v>GEN</v>
          </cell>
          <cell r="B150" t="str">
            <v>92</v>
          </cell>
          <cell r="C150" t="str">
            <v>186</v>
          </cell>
          <cell r="D150" t="str">
            <v>500</v>
          </cell>
          <cell r="E150" t="str">
            <v>34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AE150">
            <v>0</v>
          </cell>
          <cell r="AG150"/>
          <cell r="AJ150">
            <v>0</v>
          </cell>
        </row>
        <row r="151">
          <cell r="A151" t="str">
            <v>GEN</v>
          </cell>
          <cell r="B151" t="str">
            <v>92</v>
          </cell>
          <cell r="C151" t="str">
            <v>186</v>
          </cell>
          <cell r="D151" t="str">
            <v>501001</v>
          </cell>
          <cell r="E151" t="str">
            <v>FB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AE151">
            <v>0</v>
          </cell>
          <cell r="AG151" t="str">
            <v>Coal</v>
          </cell>
          <cell r="AJ151">
            <v>0</v>
          </cell>
        </row>
        <row r="152">
          <cell r="A152" t="str">
            <v>GEN</v>
          </cell>
          <cell r="B152" t="str">
            <v>92</v>
          </cell>
          <cell r="C152" t="str">
            <v>086</v>
          </cell>
          <cell r="D152" t="str">
            <v>501101</v>
          </cell>
          <cell r="E152" t="str">
            <v>FB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AE152">
            <v>0</v>
          </cell>
          <cell r="AG152" t="str">
            <v>Coal</v>
          </cell>
          <cell r="AJ152">
            <v>0</v>
          </cell>
        </row>
        <row r="153">
          <cell r="A153" t="str">
            <v>GEN</v>
          </cell>
          <cell r="B153" t="str">
            <v>92</v>
          </cell>
          <cell r="C153" t="str">
            <v>186</v>
          </cell>
          <cell r="D153" t="str">
            <v>501101</v>
          </cell>
          <cell r="E153" t="str">
            <v>FB</v>
          </cell>
          <cell r="G153">
            <v>107471</v>
          </cell>
          <cell r="H153">
            <v>127807</v>
          </cell>
          <cell r="I153">
            <v>128067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AE153">
            <v>128067</v>
          </cell>
          <cell r="AG153" t="str">
            <v>Coal</v>
          </cell>
          <cell r="AJ153">
            <v>363345</v>
          </cell>
        </row>
        <row r="154">
          <cell r="A154" t="str">
            <v>GEN</v>
          </cell>
          <cell r="B154" t="str">
            <v>92</v>
          </cell>
          <cell r="C154" t="str">
            <v>186</v>
          </cell>
          <cell r="D154" t="str">
            <v>501101</v>
          </cell>
          <cell r="E154" t="str">
            <v>BC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AE154">
            <v>0</v>
          </cell>
          <cell r="AG154" t="str">
            <v>Coal</v>
          </cell>
          <cell r="AJ154">
            <v>0</v>
          </cell>
        </row>
        <row r="155">
          <cell r="A155" t="str">
            <v>GEN</v>
          </cell>
          <cell r="B155" t="str">
            <v>92</v>
          </cell>
          <cell r="C155" t="str">
            <v>186</v>
          </cell>
          <cell r="D155" t="str">
            <v>501101</v>
          </cell>
          <cell r="E155" t="str">
            <v>BX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AE155">
            <v>0</v>
          </cell>
          <cell r="AG155" t="str">
            <v>Coal</v>
          </cell>
          <cell r="AJ155">
            <v>0</v>
          </cell>
        </row>
        <row r="156">
          <cell r="A156" t="str">
            <v>GEN</v>
          </cell>
          <cell r="B156" t="str">
            <v>92</v>
          </cell>
          <cell r="C156" t="str">
            <v>186</v>
          </cell>
          <cell r="D156" t="str">
            <v>501101</v>
          </cell>
          <cell r="E156" t="str">
            <v>EC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AE156">
            <v>0</v>
          </cell>
          <cell r="AG156" t="str">
            <v>Coal</v>
          </cell>
          <cell r="AJ156">
            <v>0</v>
          </cell>
        </row>
        <row r="157">
          <cell r="A157" t="str">
            <v>GEN</v>
          </cell>
          <cell r="B157" t="str">
            <v>92</v>
          </cell>
          <cell r="C157" t="str">
            <v>186</v>
          </cell>
          <cell r="D157" t="str">
            <v>501101</v>
          </cell>
          <cell r="E157" t="str">
            <v>EL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AE157">
            <v>0</v>
          </cell>
          <cell r="AG157" t="str">
            <v>Coal</v>
          </cell>
          <cell r="AJ157">
            <v>0</v>
          </cell>
        </row>
        <row r="158">
          <cell r="A158" t="str">
            <v>GEN</v>
          </cell>
          <cell r="B158" t="str">
            <v>92</v>
          </cell>
          <cell r="C158" t="str">
            <v>186</v>
          </cell>
          <cell r="D158" t="str">
            <v>501101</v>
          </cell>
          <cell r="E158" t="str">
            <v>FB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AE158">
            <v>0</v>
          </cell>
          <cell r="AG158" t="str">
            <v>Coal</v>
          </cell>
          <cell r="AJ158">
            <v>0</v>
          </cell>
        </row>
        <row r="159">
          <cell r="A159" t="str">
            <v>GEN</v>
          </cell>
          <cell r="B159" t="str">
            <v>92</v>
          </cell>
          <cell r="C159" t="str">
            <v>186</v>
          </cell>
          <cell r="D159" t="str">
            <v>501101</v>
          </cell>
          <cell r="E159" t="str">
            <v>BX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AE159">
            <v>0</v>
          </cell>
          <cell r="AG159" t="str">
            <v>Coal</v>
          </cell>
          <cell r="AJ159">
            <v>0</v>
          </cell>
        </row>
        <row r="160">
          <cell r="A160" t="str">
            <v>GEN</v>
          </cell>
          <cell r="B160" t="str">
            <v>92</v>
          </cell>
          <cell r="C160" t="str">
            <v>186</v>
          </cell>
          <cell r="D160" t="str">
            <v>501101</v>
          </cell>
          <cell r="E160" t="str">
            <v>FI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AE160">
            <v>0</v>
          </cell>
          <cell r="AG160" t="str">
            <v>Coal</v>
          </cell>
          <cell r="AJ160">
            <v>0</v>
          </cell>
        </row>
        <row r="161">
          <cell r="A161" t="str">
            <v>GEN</v>
          </cell>
          <cell r="B161" t="str">
            <v>92</v>
          </cell>
          <cell r="C161" t="str">
            <v>186</v>
          </cell>
          <cell r="D161" t="str">
            <v>501101</v>
          </cell>
          <cell r="E161" t="str">
            <v>FI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AE161">
            <v>0</v>
          </cell>
          <cell r="AG161" t="str">
            <v>Coal</v>
          </cell>
          <cell r="AJ161">
            <v>0</v>
          </cell>
        </row>
        <row r="162">
          <cell r="A162" t="str">
            <v>GEN</v>
          </cell>
          <cell r="B162" t="str">
            <v>92</v>
          </cell>
          <cell r="C162" t="str">
            <v>186</v>
          </cell>
          <cell r="D162" t="str">
            <v>501101</v>
          </cell>
          <cell r="E162" t="str">
            <v>EC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AE162">
            <v>0</v>
          </cell>
          <cell r="AG162" t="str">
            <v>Coal</v>
          </cell>
          <cell r="AJ162">
            <v>0</v>
          </cell>
        </row>
        <row r="163">
          <cell r="A163" t="str">
            <v>GEN</v>
          </cell>
          <cell r="B163" t="str">
            <v>92</v>
          </cell>
          <cell r="C163" t="str">
            <v>186</v>
          </cell>
          <cell r="D163" t="str">
            <v>501101</v>
          </cell>
          <cell r="E163" t="str">
            <v>EC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AE163">
            <v>0</v>
          </cell>
          <cell r="AG163" t="str">
            <v>Coal</v>
          </cell>
          <cell r="AJ163">
            <v>0</v>
          </cell>
        </row>
        <row r="164">
          <cell r="A164" t="str">
            <v>GEN</v>
          </cell>
          <cell r="B164" t="str">
            <v>92</v>
          </cell>
          <cell r="C164" t="str">
            <v>186</v>
          </cell>
          <cell r="D164" t="str">
            <v>501102</v>
          </cell>
          <cell r="E164" t="str">
            <v>FB</v>
          </cell>
          <cell r="G164">
            <v>96037</v>
          </cell>
          <cell r="H164">
            <v>99350</v>
          </cell>
          <cell r="I164">
            <v>65496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AE164">
            <v>65496</v>
          </cell>
          <cell r="AG164" t="str">
            <v>Oil</v>
          </cell>
          <cell r="AJ164">
            <v>260883</v>
          </cell>
        </row>
        <row r="165">
          <cell r="A165" t="str">
            <v>GEN</v>
          </cell>
          <cell r="B165" t="str">
            <v>92</v>
          </cell>
          <cell r="C165" t="str">
            <v>186</v>
          </cell>
          <cell r="D165" t="str">
            <v>501102</v>
          </cell>
          <cell r="E165" t="str">
            <v>BX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AE165">
            <v>0</v>
          </cell>
          <cell r="AG165" t="str">
            <v>Oil</v>
          </cell>
          <cell r="AJ165">
            <v>0</v>
          </cell>
        </row>
        <row r="166">
          <cell r="A166" t="str">
            <v>GEN</v>
          </cell>
          <cell r="B166" t="str">
            <v>92</v>
          </cell>
          <cell r="C166" t="str">
            <v>186</v>
          </cell>
          <cell r="D166" t="str">
            <v>501102</v>
          </cell>
          <cell r="E166" t="str">
            <v>FI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AE166">
            <v>0</v>
          </cell>
          <cell r="AG166" t="str">
            <v>Oil</v>
          </cell>
          <cell r="AJ166">
            <v>0</v>
          </cell>
        </row>
        <row r="167">
          <cell r="A167" t="str">
            <v>GEN</v>
          </cell>
          <cell r="B167" t="str">
            <v>92</v>
          </cell>
          <cell r="C167" t="str">
            <v>186</v>
          </cell>
          <cell r="D167" t="str">
            <v>501102</v>
          </cell>
          <cell r="E167" t="str">
            <v>FI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AE167">
            <v>0</v>
          </cell>
          <cell r="AG167" t="str">
            <v>Oil</v>
          </cell>
          <cell r="AJ167">
            <v>0</v>
          </cell>
        </row>
        <row r="168">
          <cell r="A168" t="str">
            <v>GEN</v>
          </cell>
          <cell r="B168" t="str">
            <v>92</v>
          </cell>
          <cell r="C168" t="str">
            <v>186</v>
          </cell>
          <cell r="D168" t="str">
            <v>501108</v>
          </cell>
          <cell r="E168" t="str">
            <v>FB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AE168">
            <v>0</v>
          </cell>
          <cell r="AG168" t="str">
            <v>Coal</v>
          </cell>
          <cell r="AJ168">
            <v>0</v>
          </cell>
        </row>
        <row r="169">
          <cell r="A169" t="str">
            <v>GEN</v>
          </cell>
          <cell r="B169" t="str">
            <v>92</v>
          </cell>
          <cell r="C169" t="str">
            <v>186</v>
          </cell>
          <cell r="D169" t="str">
            <v>501109</v>
          </cell>
          <cell r="E169" t="str">
            <v>FB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AE169">
            <v>0</v>
          </cell>
          <cell r="AG169" t="str">
            <v>Coal</v>
          </cell>
          <cell r="AJ169">
            <v>0</v>
          </cell>
        </row>
        <row r="170">
          <cell r="A170" t="str">
            <v>GEN</v>
          </cell>
          <cell r="B170" t="str">
            <v>92</v>
          </cell>
          <cell r="C170" t="str">
            <v>186</v>
          </cell>
          <cell r="D170" t="str">
            <v>501109</v>
          </cell>
          <cell r="E170" t="str">
            <v>FI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AE170">
            <v>0</v>
          </cell>
          <cell r="AG170" t="str">
            <v>Coal</v>
          </cell>
          <cell r="AJ170">
            <v>0</v>
          </cell>
        </row>
        <row r="171">
          <cell r="A171" t="str">
            <v>GEN</v>
          </cell>
          <cell r="B171" t="str">
            <v>92</v>
          </cell>
          <cell r="C171" t="str">
            <v>186</v>
          </cell>
          <cell r="D171" t="str">
            <v>501109</v>
          </cell>
          <cell r="E171" t="str">
            <v>FI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AE171">
            <v>0</v>
          </cell>
          <cell r="AG171" t="str">
            <v>Coal</v>
          </cell>
          <cell r="AJ171">
            <v>0</v>
          </cell>
        </row>
        <row r="172">
          <cell r="A172" t="str">
            <v>GEN</v>
          </cell>
          <cell r="B172" t="str">
            <v>92</v>
          </cell>
          <cell r="C172" t="str">
            <v>186</v>
          </cell>
          <cell r="D172" t="str">
            <v>501110</v>
          </cell>
          <cell r="E172" t="str">
            <v>FB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AE172">
            <v>0</v>
          </cell>
          <cell r="AG172" t="str">
            <v>Coal</v>
          </cell>
          <cell r="AJ172">
            <v>0</v>
          </cell>
        </row>
        <row r="173">
          <cell r="A173" t="str">
            <v>GEN</v>
          </cell>
          <cell r="B173" t="str">
            <v>92</v>
          </cell>
          <cell r="C173" t="str">
            <v>186</v>
          </cell>
          <cell r="D173" t="str">
            <v>501110</v>
          </cell>
          <cell r="E173" t="str">
            <v>FI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AE173">
            <v>0</v>
          </cell>
          <cell r="AG173" t="str">
            <v>Coal</v>
          </cell>
          <cell r="AJ173">
            <v>0</v>
          </cell>
        </row>
        <row r="174">
          <cell r="A174" t="str">
            <v>GEN</v>
          </cell>
          <cell r="B174" t="str">
            <v>92</v>
          </cell>
          <cell r="C174" t="str">
            <v>186</v>
          </cell>
          <cell r="D174" t="str">
            <v>501110</v>
          </cell>
          <cell r="E174" t="str">
            <v>FI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AE174">
            <v>0</v>
          </cell>
          <cell r="AG174" t="str">
            <v>Coal</v>
          </cell>
          <cell r="AJ174">
            <v>0</v>
          </cell>
        </row>
        <row r="175">
          <cell r="A175" t="str">
            <v>GEN</v>
          </cell>
          <cell r="B175" t="str">
            <v>92</v>
          </cell>
          <cell r="C175" t="str">
            <v>186</v>
          </cell>
          <cell r="D175" t="str">
            <v>501111</v>
          </cell>
          <cell r="E175" t="str">
            <v>FB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AE175">
            <v>0</v>
          </cell>
          <cell r="AG175" t="str">
            <v>PetCoke</v>
          </cell>
          <cell r="AJ175">
            <v>0</v>
          </cell>
        </row>
        <row r="176">
          <cell r="A176" t="str">
            <v>GEN</v>
          </cell>
          <cell r="B176" t="str">
            <v>92</v>
          </cell>
          <cell r="C176" t="str">
            <v>186</v>
          </cell>
          <cell r="D176" t="str">
            <v>501201</v>
          </cell>
          <cell r="E176" t="str">
            <v>FB</v>
          </cell>
          <cell r="G176">
            <v>0</v>
          </cell>
          <cell r="H176">
            <v>5330</v>
          </cell>
          <cell r="I176">
            <v>130056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AE176">
            <v>130056</v>
          </cell>
          <cell r="AG176" t="str">
            <v>Coal</v>
          </cell>
          <cell r="AJ176">
            <v>135386</v>
          </cell>
        </row>
        <row r="177">
          <cell r="A177" t="str">
            <v>GEN</v>
          </cell>
          <cell r="B177" t="str">
            <v>92</v>
          </cell>
          <cell r="C177" t="str">
            <v>186</v>
          </cell>
          <cell r="D177" t="str">
            <v>501201</v>
          </cell>
          <cell r="E177" t="str">
            <v>BC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AE177">
            <v>0</v>
          </cell>
          <cell r="AG177" t="str">
            <v>Coal</v>
          </cell>
          <cell r="AJ177">
            <v>0</v>
          </cell>
        </row>
        <row r="178">
          <cell r="A178" t="str">
            <v>GEN</v>
          </cell>
          <cell r="B178" t="str">
            <v>92</v>
          </cell>
          <cell r="C178" t="str">
            <v>186</v>
          </cell>
          <cell r="D178" t="str">
            <v>501201</v>
          </cell>
          <cell r="E178" t="str">
            <v>BX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AE178">
            <v>0</v>
          </cell>
          <cell r="AG178" t="str">
            <v>Coal</v>
          </cell>
          <cell r="AJ178">
            <v>0</v>
          </cell>
        </row>
        <row r="179">
          <cell r="A179" t="str">
            <v>GEN</v>
          </cell>
          <cell r="B179" t="str">
            <v>92</v>
          </cell>
          <cell r="C179" t="str">
            <v>186</v>
          </cell>
          <cell r="D179" t="str">
            <v>501201</v>
          </cell>
          <cell r="E179" t="str">
            <v>EC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AE179">
            <v>0</v>
          </cell>
          <cell r="AG179" t="str">
            <v>Coal</v>
          </cell>
          <cell r="AJ179">
            <v>0</v>
          </cell>
        </row>
        <row r="180">
          <cell r="A180" t="str">
            <v>GEN</v>
          </cell>
          <cell r="B180" t="str">
            <v>92</v>
          </cell>
          <cell r="C180" t="str">
            <v>186</v>
          </cell>
          <cell r="D180" t="str">
            <v>501201</v>
          </cell>
          <cell r="E180" t="str">
            <v>EL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AE180">
            <v>0</v>
          </cell>
          <cell r="AG180" t="str">
            <v>Coal</v>
          </cell>
          <cell r="AJ180">
            <v>0</v>
          </cell>
        </row>
        <row r="181">
          <cell r="A181" t="str">
            <v>GEN</v>
          </cell>
          <cell r="B181" t="str">
            <v>92</v>
          </cell>
          <cell r="C181" t="str">
            <v>186</v>
          </cell>
          <cell r="D181" t="str">
            <v>501201</v>
          </cell>
          <cell r="E181" t="str">
            <v>FB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AE181">
            <v>0</v>
          </cell>
          <cell r="AG181" t="str">
            <v>Coal</v>
          </cell>
          <cell r="AJ181">
            <v>0</v>
          </cell>
        </row>
        <row r="182">
          <cell r="A182" t="str">
            <v>GEN</v>
          </cell>
          <cell r="B182" t="str">
            <v>92</v>
          </cell>
          <cell r="C182" t="str">
            <v>186</v>
          </cell>
          <cell r="D182" t="str">
            <v>501201</v>
          </cell>
          <cell r="E182" t="str">
            <v>BX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AE182">
            <v>0</v>
          </cell>
          <cell r="AG182" t="str">
            <v>Coal</v>
          </cell>
          <cell r="AJ182">
            <v>0</v>
          </cell>
        </row>
        <row r="183">
          <cell r="A183" t="str">
            <v>GEN</v>
          </cell>
          <cell r="B183" t="str">
            <v>92</v>
          </cell>
          <cell r="C183" t="str">
            <v>186</v>
          </cell>
          <cell r="D183" t="str">
            <v>501201</v>
          </cell>
          <cell r="E183" t="str">
            <v>FI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AE183">
            <v>0</v>
          </cell>
          <cell r="AG183" t="str">
            <v>Coal</v>
          </cell>
          <cell r="AJ183">
            <v>0</v>
          </cell>
        </row>
        <row r="184">
          <cell r="A184" t="str">
            <v>GEN</v>
          </cell>
          <cell r="B184" t="str">
            <v>92</v>
          </cell>
          <cell r="C184" t="str">
            <v>186</v>
          </cell>
          <cell r="D184" t="str">
            <v>501201</v>
          </cell>
          <cell r="E184" t="str">
            <v>FI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AE184">
            <v>0</v>
          </cell>
          <cell r="AG184" t="str">
            <v>Coal</v>
          </cell>
          <cell r="AJ184">
            <v>0</v>
          </cell>
        </row>
        <row r="185">
          <cell r="A185" t="str">
            <v>GEN</v>
          </cell>
          <cell r="B185" t="str">
            <v>92</v>
          </cell>
          <cell r="C185" t="str">
            <v>186</v>
          </cell>
          <cell r="D185" t="str">
            <v>501201</v>
          </cell>
          <cell r="E185" t="str">
            <v>EC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AE185">
            <v>0</v>
          </cell>
          <cell r="AG185" t="str">
            <v>Coal</v>
          </cell>
          <cell r="AJ185">
            <v>0</v>
          </cell>
        </row>
        <row r="186">
          <cell r="A186" t="str">
            <v>GEN</v>
          </cell>
          <cell r="B186" t="str">
            <v>92</v>
          </cell>
          <cell r="C186" t="str">
            <v>186</v>
          </cell>
          <cell r="D186" t="str">
            <v>501201</v>
          </cell>
          <cell r="E186" t="str">
            <v>EC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AE186">
            <v>0</v>
          </cell>
          <cell r="AG186" t="str">
            <v>Coal</v>
          </cell>
          <cell r="AJ186">
            <v>0</v>
          </cell>
        </row>
        <row r="187">
          <cell r="A187" t="str">
            <v>GEN</v>
          </cell>
          <cell r="B187" t="str">
            <v>92</v>
          </cell>
          <cell r="C187" t="str">
            <v>186</v>
          </cell>
          <cell r="D187" t="str">
            <v>501202</v>
          </cell>
          <cell r="E187" t="str">
            <v>FB</v>
          </cell>
          <cell r="G187">
            <v>0</v>
          </cell>
          <cell r="H187">
            <v>23462</v>
          </cell>
          <cell r="I187">
            <v>76151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AE187">
            <v>76151</v>
          </cell>
          <cell r="AG187" t="str">
            <v>Oil</v>
          </cell>
          <cell r="AJ187">
            <v>99613</v>
          </cell>
        </row>
        <row r="188">
          <cell r="A188" t="str">
            <v>GEN</v>
          </cell>
          <cell r="B188" t="str">
            <v>92</v>
          </cell>
          <cell r="C188" t="str">
            <v>186</v>
          </cell>
          <cell r="D188" t="str">
            <v>501202</v>
          </cell>
          <cell r="E188" t="str">
            <v>BX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AE188">
            <v>0</v>
          </cell>
          <cell r="AG188" t="str">
            <v>Oil</v>
          </cell>
          <cell r="AJ188">
            <v>0</v>
          </cell>
        </row>
        <row r="189">
          <cell r="A189" t="str">
            <v>GEN</v>
          </cell>
          <cell r="B189" t="str">
            <v>92</v>
          </cell>
          <cell r="C189" t="str">
            <v>186</v>
          </cell>
          <cell r="D189" t="str">
            <v>501202</v>
          </cell>
          <cell r="E189" t="str">
            <v>FB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AE189">
            <v>0</v>
          </cell>
          <cell r="AG189" t="str">
            <v>Oil</v>
          </cell>
          <cell r="AJ189">
            <v>0</v>
          </cell>
        </row>
        <row r="190">
          <cell r="A190" t="str">
            <v>GEN</v>
          </cell>
          <cell r="B190" t="str">
            <v>92</v>
          </cell>
          <cell r="C190" t="str">
            <v>186</v>
          </cell>
          <cell r="D190" t="str">
            <v>501202</v>
          </cell>
          <cell r="E190" t="str">
            <v>FI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AE190">
            <v>0</v>
          </cell>
          <cell r="AG190" t="str">
            <v>Oil</v>
          </cell>
          <cell r="AJ190">
            <v>0</v>
          </cell>
        </row>
        <row r="191">
          <cell r="A191" t="str">
            <v>GEN</v>
          </cell>
          <cell r="B191" t="str">
            <v>92</v>
          </cell>
          <cell r="C191" t="str">
            <v>186</v>
          </cell>
          <cell r="D191" t="str">
            <v>501202</v>
          </cell>
          <cell r="E191" t="str">
            <v>FI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AE191">
            <v>0</v>
          </cell>
          <cell r="AG191" t="str">
            <v>Oil</v>
          </cell>
          <cell r="AJ191">
            <v>0</v>
          </cell>
        </row>
        <row r="192">
          <cell r="A192" t="str">
            <v>GEN</v>
          </cell>
          <cell r="B192" t="str">
            <v>92</v>
          </cell>
          <cell r="C192" t="str">
            <v>186</v>
          </cell>
          <cell r="D192" t="str">
            <v>501208</v>
          </cell>
          <cell r="E192" t="str">
            <v>FB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AE192">
            <v>0</v>
          </cell>
          <cell r="AG192"/>
          <cell r="AJ192">
            <v>0</v>
          </cell>
        </row>
        <row r="193">
          <cell r="A193" t="str">
            <v>GEN</v>
          </cell>
          <cell r="B193" t="str">
            <v>92</v>
          </cell>
          <cell r="C193" t="str">
            <v>186</v>
          </cell>
          <cell r="D193" t="str">
            <v>501209</v>
          </cell>
          <cell r="E193" t="str">
            <v>FB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AE193">
            <v>0</v>
          </cell>
          <cell r="AG193" t="str">
            <v>Coal</v>
          </cell>
          <cell r="AJ193">
            <v>0</v>
          </cell>
        </row>
        <row r="194">
          <cell r="A194" t="str">
            <v>GEN</v>
          </cell>
          <cell r="B194" t="str">
            <v>92</v>
          </cell>
          <cell r="C194" t="str">
            <v>186</v>
          </cell>
          <cell r="D194" t="str">
            <v>501209</v>
          </cell>
          <cell r="E194" t="str">
            <v>FI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AE194">
            <v>0</v>
          </cell>
          <cell r="AG194" t="str">
            <v>Coal</v>
          </cell>
          <cell r="AJ194">
            <v>0</v>
          </cell>
        </row>
        <row r="195">
          <cell r="A195" t="str">
            <v>GEN</v>
          </cell>
          <cell r="B195" t="str">
            <v>92</v>
          </cell>
          <cell r="C195" t="str">
            <v>186</v>
          </cell>
          <cell r="D195" t="str">
            <v>501209</v>
          </cell>
          <cell r="E195" t="str">
            <v>FI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AE195">
            <v>0</v>
          </cell>
          <cell r="AG195" t="str">
            <v>Coal</v>
          </cell>
          <cell r="AJ195">
            <v>0</v>
          </cell>
        </row>
        <row r="196">
          <cell r="A196" t="str">
            <v>GEN</v>
          </cell>
          <cell r="B196" t="str">
            <v>92</v>
          </cell>
          <cell r="C196" t="str">
            <v>186</v>
          </cell>
          <cell r="D196" t="str">
            <v>501210</v>
          </cell>
          <cell r="E196" t="str">
            <v>FB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AE196">
            <v>0</v>
          </cell>
          <cell r="AG196" t="str">
            <v>Coal</v>
          </cell>
          <cell r="AJ196">
            <v>0</v>
          </cell>
        </row>
        <row r="197">
          <cell r="A197" t="str">
            <v>GEN</v>
          </cell>
          <cell r="B197" t="str">
            <v>92</v>
          </cell>
          <cell r="C197" t="str">
            <v>186</v>
          </cell>
          <cell r="D197" t="str">
            <v>501210</v>
          </cell>
          <cell r="E197" t="str">
            <v>FI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AE197">
            <v>0</v>
          </cell>
          <cell r="AG197" t="str">
            <v>Coal</v>
          </cell>
          <cell r="AJ197">
            <v>0</v>
          </cell>
        </row>
        <row r="198">
          <cell r="A198" t="str">
            <v>GEN</v>
          </cell>
          <cell r="B198" t="str">
            <v>92</v>
          </cell>
          <cell r="C198" t="str">
            <v>186</v>
          </cell>
          <cell r="D198" t="str">
            <v>501210</v>
          </cell>
          <cell r="E198" t="str">
            <v>FI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AE198">
            <v>0</v>
          </cell>
          <cell r="AG198" t="str">
            <v>Coal</v>
          </cell>
          <cell r="AJ198">
            <v>0</v>
          </cell>
        </row>
        <row r="199">
          <cell r="A199" t="str">
            <v>GEN</v>
          </cell>
          <cell r="B199" t="str">
            <v>92</v>
          </cell>
          <cell r="C199" t="str">
            <v>186</v>
          </cell>
          <cell r="D199" t="str">
            <v>501211</v>
          </cell>
          <cell r="E199" t="str">
            <v>FB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AE199">
            <v>0</v>
          </cell>
          <cell r="AG199" t="str">
            <v>PetCoke</v>
          </cell>
          <cell r="AJ199">
            <v>0</v>
          </cell>
        </row>
        <row r="200">
          <cell r="A200" t="str">
            <v>GEN</v>
          </cell>
          <cell r="B200" t="str">
            <v>92</v>
          </cell>
          <cell r="C200" t="str">
            <v>186</v>
          </cell>
          <cell r="D200" t="str">
            <v>502</v>
          </cell>
          <cell r="E200" t="str">
            <v>BX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AE200">
            <v>0</v>
          </cell>
          <cell r="AG200"/>
          <cell r="AJ200">
            <v>0</v>
          </cell>
        </row>
        <row r="201">
          <cell r="A201" t="str">
            <v>GEN</v>
          </cell>
          <cell r="B201" t="str">
            <v>92</v>
          </cell>
          <cell r="C201" t="str">
            <v>186</v>
          </cell>
          <cell r="D201" t="str">
            <v>502</v>
          </cell>
          <cell r="E201" t="str">
            <v>34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AE201">
            <v>0</v>
          </cell>
          <cell r="AG201"/>
          <cell r="AJ201">
            <v>0</v>
          </cell>
        </row>
        <row r="202">
          <cell r="A202" t="str">
            <v>GEN</v>
          </cell>
          <cell r="B202" t="str">
            <v>92</v>
          </cell>
          <cell r="C202" t="str">
            <v>286</v>
          </cell>
          <cell r="D202" t="str">
            <v>502</v>
          </cell>
          <cell r="E202" t="str">
            <v>BX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AE202">
            <v>0</v>
          </cell>
          <cell r="AG202"/>
          <cell r="AJ202">
            <v>0</v>
          </cell>
        </row>
        <row r="203">
          <cell r="A203" t="str">
            <v>GEN</v>
          </cell>
          <cell r="B203" t="str">
            <v>92</v>
          </cell>
          <cell r="C203" t="str">
            <v>186</v>
          </cell>
          <cell r="D203" t="str">
            <v>502001</v>
          </cell>
          <cell r="E203" t="str">
            <v>BG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AE203">
            <v>0</v>
          </cell>
          <cell r="AG203"/>
          <cell r="AJ203">
            <v>0</v>
          </cell>
        </row>
        <row r="204">
          <cell r="A204" t="str">
            <v>GEN</v>
          </cell>
          <cell r="B204" t="str">
            <v>92</v>
          </cell>
          <cell r="C204" t="str">
            <v>186</v>
          </cell>
          <cell r="D204" t="str">
            <v>502001</v>
          </cell>
          <cell r="E204" t="str">
            <v>34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AE204">
            <v>0</v>
          </cell>
          <cell r="AG204"/>
          <cell r="AJ204">
            <v>0</v>
          </cell>
        </row>
        <row r="205">
          <cell r="A205" t="str">
            <v>GEN</v>
          </cell>
          <cell r="B205" t="str">
            <v>92</v>
          </cell>
          <cell r="C205" t="str">
            <v>186</v>
          </cell>
          <cell r="D205" t="str">
            <v>502003</v>
          </cell>
          <cell r="E205" t="str">
            <v>BG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AE205">
            <v>0</v>
          </cell>
          <cell r="AG205"/>
          <cell r="AJ205">
            <v>0</v>
          </cell>
        </row>
        <row r="206">
          <cell r="A206" t="str">
            <v>GEN</v>
          </cell>
          <cell r="B206" t="str">
            <v>92</v>
          </cell>
          <cell r="C206" t="str">
            <v>186</v>
          </cell>
          <cell r="D206" t="str">
            <v>502003</v>
          </cell>
          <cell r="E206" t="str">
            <v>BX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AE206">
            <v>0</v>
          </cell>
          <cell r="AG206"/>
          <cell r="AJ206">
            <v>0</v>
          </cell>
        </row>
        <row r="207">
          <cell r="A207" t="str">
            <v>GEN</v>
          </cell>
          <cell r="B207" t="str">
            <v>92</v>
          </cell>
          <cell r="C207" t="str">
            <v>186</v>
          </cell>
          <cell r="D207" t="str">
            <v>506</v>
          </cell>
          <cell r="E207" t="str">
            <v>BX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AE207">
            <v>0</v>
          </cell>
          <cell r="AG207"/>
          <cell r="AJ207">
            <v>0</v>
          </cell>
        </row>
        <row r="208">
          <cell r="A208" t="str">
            <v>GEN</v>
          </cell>
          <cell r="B208" t="str">
            <v>92</v>
          </cell>
          <cell r="C208" t="str">
            <v>186</v>
          </cell>
          <cell r="D208" t="str">
            <v>509</v>
          </cell>
          <cell r="E208" t="str">
            <v>FB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AE208">
            <v>0</v>
          </cell>
          <cell r="AG208" t="str">
            <v>SO2</v>
          </cell>
          <cell r="AJ208">
            <v>0</v>
          </cell>
        </row>
        <row r="209">
          <cell r="A209" t="str">
            <v>GEN</v>
          </cell>
          <cell r="B209" t="str">
            <v>92</v>
          </cell>
          <cell r="C209" t="str">
            <v>186</v>
          </cell>
          <cell r="D209" t="str">
            <v>509</v>
          </cell>
          <cell r="E209" t="str">
            <v>FI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AE209">
            <v>0</v>
          </cell>
          <cell r="AG209" t="str">
            <v>SO2</v>
          </cell>
          <cell r="AJ209">
            <v>0</v>
          </cell>
        </row>
        <row r="210">
          <cell r="A210" t="str">
            <v>GEN</v>
          </cell>
          <cell r="B210" t="str">
            <v>93</v>
          </cell>
          <cell r="C210" t="str">
            <v>186</v>
          </cell>
          <cell r="D210" t="str">
            <v>INTGEN</v>
          </cell>
          <cell r="E210" t="str">
            <v>FI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AE210">
            <v>0</v>
          </cell>
          <cell r="AG210"/>
          <cell r="AJ210">
            <v>0</v>
          </cell>
        </row>
        <row r="211">
          <cell r="A211" t="str">
            <v>GEN</v>
          </cell>
          <cell r="B211" t="str">
            <v>93</v>
          </cell>
          <cell r="C211" t="str">
            <v>186</v>
          </cell>
          <cell r="D211" t="str">
            <v>501001</v>
          </cell>
          <cell r="E211" t="str">
            <v>FB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AE211">
            <v>0</v>
          </cell>
          <cell r="AG211" t="str">
            <v>Coal</v>
          </cell>
          <cell r="AJ211">
            <v>0</v>
          </cell>
        </row>
        <row r="212">
          <cell r="A212" t="str">
            <v>GEN</v>
          </cell>
          <cell r="B212" t="str">
            <v>93</v>
          </cell>
          <cell r="C212" t="str">
            <v>186</v>
          </cell>
          <cell r="D212" t="str">
            <v>501301</v>
          </cell>
          <cell r="E212" t="str">
            <v>FB</v>
          </cell>
          <cell r="G212">
            <v>74358.16</v>
          </cell>
          <cell r="H212">
            <v>51081.98</v>
          </cell>
          <cell r="I212">
            <v>57734.71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AE212">
            <v>57734.71</v>
          </cell>
          <cell r="AG212" t="str">
            <v>Coal</v>
          </cell>
          <cell r="AJ212">
            <v>183174.85</v>
          </cell>
        </row>
        <row r="213">
          <cell r="A213" t="str">
            <v>GEN</v>
          </cell>
          <cell r="B213" t="str">
            <v>93</v>
          </cell>
          <cell r="C213" t="str">
            <v>186</v>
          </cell>
          <cell r="D213" t="str">
            <v>501301</v>
          </cell>
          <cell r="E213" t="str">
            <v>FI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AE213">
            <v>0</v>
          </cell>
          <cell r="AG213" t="str">
            <v>Coal</v>
          </cell>
          <cell r="AJ213">
            <v>0</v>
          </cell>
        </row>
        <row r="214">
          <cell r="A214" t="str">
            <v>GEN</v>
          </cell>
          <cell r="B214" t="str">
            <v>93</v>
          </cell>
          <cell r="C214" t="str">
            <v>186</v>
          </cell>
          <cell r="D214" t="str">
            <v>501301</v>
          </cell>
          <cell r="E214" t="str">
            <v>FI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AE214">
            <v>0</v>
          </cell>
          <cell r="AG214" t="str">
            <v>Coal</v>
          </cell>
          <cell r="AJ214">
            <v>0</v>
          </cell>
        </row>
        <row r="215">
          <cell r="A215" t="str">
            <v>GEN</v>
          </cell>
          <cell r="B215" t="str">
            <v>93</v>
          </cell>
          <cell r="C215" t="str">
            <v>186</v>
          </cell>
          <cell r="D215" t="str">
            <v>501302</v>
          </cell>
          <cell r="E215" t="str">
            <v>FB</v>
          </cell>
          <cell r="G215">
            <v>4200</v>
          </cell>
          <cell r="H215">
            <v>54200</v>
          </cell>
          <cell r="I215">
            <v>11600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AE215">
            <v>11600</v>
          </cell>
          <cell r="AG215" t="str">
            <v>Oil</v>
          </cell>
          <cell r="AJ215">
            <v>70000</v>
          </cell>
        </row>
        <row r="216">
          <cell r="A216" t="str">
            <v>GEN</v>
          </cell>
          <cell r="B216" t="str">
            <v>93</v>
          </cell>
          <cell r="C216" t="str">
            <v>186</v>
          </cell>
          <cell r="D216" t="str">
            <v>501302</v>
          </cell>
          <cell r="E216" t="str">
            <v>FI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AE216">
            <v>0</v>
          </cell>
          <cell r="AG216" t="str">
            <v>Oil</v>
          </cell>
          <cell r="AJ216">
            <v>0</v>
          </cell>
        </row>
        <row r="217">
          <cell r="A217" t="str">
            <v>GEN</v>
          </cell>
          <cell r="B217" t="str">
            <v>93</v>
          </cell>
          <cell r="C217" t="str">
            <v>186</v>
          </cell>
          <cell r="D217" t="str">
            <v>501302</v>
          </cell>
          <cell r="E217" t="str">
            <v>FI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AE217">
            <v>0</v>
          </cell>
          <cell r="AG217" t="str">
            <v>Oil</v>
          </cell>
          <cell r="AJ217">
            <v>0</v>
          </cell>
        </row>
        <row r="218">
          <cell r="A218" t="str">
            <v>GEN</v>
          </cell>
          <cell r="B218" t="str">
            <v>93</v>
          </cell>
          <cell r="C218" t="str">
            <v>186</v>
          </cell>
          <cell r="D218" t="str">
            <v>501310</v>
          </cell>
          <cell r="E218" t="str">
            <v>FB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AE218">
            <v>0</v>
          </cell>
          <cell r="AG218" t="str">
            <v>Coal</v>
          </cell>
          <cell r="AJ218">
            <v>0</v>
          </cell>
        </row>
        <row r="219">
          <cell r="A219" t="str">
            <v>GEN</v>
          </cell>
          <cell r="B219" t="str">
            <v>93</v>
          </cell>
          <cell r="C219" t="str">
            <v>186</v>
          </cell>
          <cell r="D219" t="str">
            <v>501310</v>
          </cell>
          <cell r="E219" t="str">
            <v>FI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AE219">
            <v>0</v>
          </cell>
          <cell r="AG219" t="str">
            <v>Coal</v>
          </cell>
          <cell r="AJ219">
            <v>0</v>
          </cell>
        </row>
        <row r="220">
          <cell r="A220" t="str">
            <v>GEN</v>
          </cell>
          <cell r="B220" t="str">
            <v>93</v>
          </cell>
          <cell r="C220" t="str">
            <v>186</v>
          </cell>
          <cell r="D220" t="str">
            <v>501310</v>
          </cell>
          <cell r="E220" t="str">
            <v>FI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AE220">
            <v>0</v>
          </cell>
          <cell r="AG220" t="str">
            <v>Coal</v>
          </cell>
          <cell r="AJ220">
            <v>0</v>
          </cell>
        </row>
        <row r="221">
          <cell r="A221" t="str">
            <v>GEN</v>
          </cell>
          <cell r="B221" t="str">
            <v>93</v>
          </cell>
          <cell r="C221" t="str">
            <v>186</v>
          </cell>
          <cell r="D221" t="str">
            <v>501402</v>
          </cell>
          <cell r="E221" t="str">
            <v>FB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AE221">
            <v>0</v>
          </cell>
          <cell r="AG221" t="str">
            <v>Oil</v>
          </cell>
          <cell r="AJ221">
            <v>0</v>
          </cell>
        </row>
        <row r="222">
          <cell r="A222" t="str">
            <v>GEN</v>
          </cell>
          <cell r="B222" t="str">
            <v>93</v>
          </cell>
          <cell r="C222" t="str">
            <v>186</v>
          </cell>
          <cell r="D222" t="str">
            <v>501402</v>
          </cell>
          <cell r="E222" t="str">
            <v>FI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AE222">
            <v>0</v>
          </cell>
          <cell r="AG222" t="str">
            <v>Oil</v>
          </cell>
          <cell r="AJ222">
            <v>0</v>
          </cell>
        </row>
        <row r="223">
          <cell r="A223" t="str">
            <v>GEN</v>
          </cell>
          <cell r="B223" t="str">
            <v>93</v>
          </cell>
          <cell r="C223" t="str">
            <v>186</v>
          </cell>
          <cell r="D223" t="str">
            <v>501402</v>
          </cell>
          <cell r="E223" t="str">
            <v>FI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AE223">
            <v>0</v>
          </cell>
          <cell r="AG223" t="str">
            <v>Oil</v>
          </cell>
          <cell r="AJ223">
            <v>0</v>
          </cell>
        </row>
        <row r="224">
          <cell r="A224" t="str">
            <v>GEN</v>
          </cell>
          <cell r="B224" t="str">
            <v>93</v>
          </cell>
          <cell r="C224" t="str">
            <v>186</v>
          </cell>
          <cell r="D224" t="str">
            <v>501403</v>
          </cell>
          <cell r="E224" t="str">
            <v>FB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AE224">
            <v>0</v>
          </cell>
          <cell r="AG224" t="str">
            <v>Gas</v>
          </cell>
          <cell r="AJ224">
            <v>0</v>
          </cell>
        </row>
        <row r="225">
          <cell r="A225" t="str">
            <v>GEN</v>
          </cell>
          <cell r="B225" t="str">
            <v>93</v>
          </cell>
          <cell r="C225" t="str">
            <v>186</v>
          </cell>
          <cell r="D225" t="str">
            <v>501403</v>
          </cell>
          <cell r="E225" t="str">
            <v>FI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AE225">
            <v>0</v>
          </cell>
          <cell r="AG225" t="str">
            <v>Gas</v>
          </cell>
          <cell r="AJ225">
            <v>0</v>
          </cell>
        </row>
        <row r="226">
          <cell r="A226" t="str">
            <v>GEN</v>
          </cell>
          <cell r="B226" t="str">
            <v>93</v>
          </cell>
          <cell r="C226" t="str">
            <v>186</v>
          </cell>
          <cell r="D226" t="str">
            <v>501403</v>
          </cell>
          <cell r="E226" t="str">
            <v>FI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AE226">
            <v>0</v>
          </cell>
          <cell r="AG226" t="str">
            <v>Gas</v>
          </cell>
          <cell r="AJ226">
            <v>0</v>
          </cell>
        </row>
        <row r="227">
          <cell r="A227" t="str">
            <v>GEN</v>
          </cell>
          <cell r="B227" t="str">
            <v>93</v>
          </cell>
          <cell r="C227" t="str">
            <v>186</v>
          </cell>
          <cell r="D227" t="str">
            <v>501501</v>
          </cell>
          <cell r="E227" t="str">
            <v>FB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AE227">
            <v>0</v>
          </cell>
          <cell r="AG227" t="str">
            <v>Coal</v>
          </cell>
          <cell r="AJ227">
            <v>0</v>
          </cell>
        </row>
        <row r="228">
          <cell r="A228" t="str">
            <v>GEN</v>
          </cell>
          <cell r="B228" t="str">
            <v>93</v>
          </cell>
          <cell r="C228" t="str">
            <v>186</v>
          </cell>
          <cell r="D228" t="str">
            <v>501501</v>
          </cell>
          <cell r="E228" t="str">
            <v>FI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AE228">
            <v>0</v>
          </cell>
          <cell r="AG228" t="str">
            <v>Coal</v>
          </cell>
          <cell r="AJ228">
            <v>0</v>
          </cell>
        </row>
        <row r="229">
          <cell r="A229" t="str">
            <v>GEN</v>
          </cell>
          <cell r="B229" t="str">
            <v>93</v>
          </cell>
          <cell r="C229" t="str">
            <v>186</v>
          </cell>
          <cell r="D229" t="str">
            <v>501501</v>
          </cell>
          <cell r="E229" t="str">
            <v>FI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AE229">
            <v>0</v>
          </cell>
          <cell r="AG229" t="str">
            <v>Coal</v>
          </cell>
          <cell r="AJ229">
            <v>0</v>
          </cell>
        </row>
        <row r="230">
          <cell r="A230" t="str">
            <v>GEN</v>
          </cell>
          <cell r="B230" t="str">
            <v>93</v>
          </cell>
          <cell r="C230" t="str">
            <v>186</v>
          </cell>
          <cell r="D230" t="str">
            <v>501502</v>
          </cell>
          <cell r="E230" t="str">
            <v>FB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AE230">
            <v>0</v>
          </cell>
          <cell r="AG230" t="str">
            <v>Oil</v>
          </cell>
          <cell r="AJ230">
            <v>0</v>
          </cell>
        </row>
        <row r="231">
          <cell r="A231" t="str">
            <v>GEN</v>
          </cell>
          <cell r="B231" t="str">
            <v>93</v>
          </cell>
          <cell r="C231" t="str">
            <v>186</v>
          </cell>
          <cell r="D231" t="str">
            <v>501502</v>
          </cell>
          <cell r="E231" t="str">
            <v>FI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AE231">
            <v>0</v>
          </cell>
          <cell r="AG231" t="str">
            <v>Oil</v>
          </cell>
          <cell r="AJ231">
            <v>0</v>
          </cell>
        </row>
        <row r="232">
          <cell r="A232" t="str">
            <v>GEN</v>
          </cell>
          <cell r="B232" t="str">
            <v>93</v>
          </cell>
          <cell r="C232" t="str">
            <v>186</v>
          </cell>
          <cell r="D232" t="str">
            <v>501502</v>
          </cell>
          <cell r="E232" t="str">
            <v>FI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AE232">
            <v>0</v>
          </cell>
          <cell r="AG232" t="str">
            <v>Oil</v>
          </cell>
          <cell r="AJ232">
            <v>0</v>
          </cell>
        </row>
        <row r="233">
          <cell r="A233" t="str">
            <v>GEN</v>
          </cell>
          <cell r="B233" t="str">
            <v>93</v>
          </cell>
          <cell r="C233" t="str">
            <v>186</v>
          </cell>
          <cell r="D233" t="str">
            <v>501510</v>
          </cell>
          <cell r="E233" t="str">
            <v>FB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AE233">
            <v>0</v>
          </cell>
          <cell r="AG233" t="str">
            <v>Coal</v>
          </cell>
          <cell r="AJ233">
            <v>0</v>
          </cell>
        </row>
        <row r="234">
          <cell r="A234" t="str">
            <v>GEN</v>
          </cell>
          <cell r="B234" t="str">
            <v>93</v>
          </cell>
          <cell r="C234" t="str">
            <v>186</v>
          </cell>
          <cell r="D234" t="str">
            <v>501510</v>
          </cell>
          <cell r="E234" t="str">
            <v>FI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AE234">
            <v>0</v>
          </cell>
          <cell r="AG234" t="str">
            <v>Coal</v>
          </cell>
          <cell r="AJ234">
            <v>0</v>
          </cell>
        </row>
        <row r="235">
          <cell r="A235" t="str">
            <v>GEN</v>
          </cell>
          <cell r="B235" t="str">
            <v>93</v>
          </cell>
          <cell r="C235" t="str">
            <v>186</v>
          </cell>
          <cell r="D235" t="str">
            <v>501510</v>
          </cell>
          <cell r="E235" t="str">
            <v>FI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AE235">
            <v>0</v>
          </cell>
          <cell r="AG235" t="str">
            <v>Coal</v>
          </cell>
          <cell r="AJ235">
            <v>0</v>
          </cell>
        </row>
        <row r="236">
          <cell r="A236" t="str">
            <v>GEN</v>
          </cell>
          <cell r="B236" t="str">
            <v>93</v>
          </cell>
          <cell r="C236" t="str">
            <v>186</v>
          </cell>
          <cell r="D236" t="str">
            <v>509</v>
          </cell>
          <cell r="E236" t="str">
            <v>FB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AE236">
            <v>0</v>
          </cell>
          <cell r="AG236" t="str">
            <v>SO2</v>
          </cell>
          <cell r="AJ236">
            <v>0</v>
          </cell>
        </row>
        <row r="237">
          <cell r="A237" t="str">
            <v>GEN</v>
          </cell>
          <cell r="B237" t="str">
            <v>93</v>
          </cell>
          <cell r="C237" t="str">
            <v>186</v>
          </cell>
          <cell r="D237" t="str">
            <v>509</v>
          </cell>
          <cell r="E237" t="str">
            <v>FI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AE237">
            <v>0</v>
          </cell>
          <cell r="AG237" t="str">
            <v>SO2</v>
          </cell>
          <cell r="AJ237">
            <v>0</v>
          </cell>
        </row>
        <row r="238">
          <cell r="A238" t="str">
            <v>GEN</v>
          </cell>
          <cell r="B238" t="str">
            <v>94</v>
          </cell>
          <cell r="C238" t="str">
            <v>186</v>
          </cell>
          <cell r="D238" t="str">
            <v>INTGEN</v>
          </cell>
          <cell r="E238" t="str">
            <v>FI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AE238">
            <v>0</v>
          </cell>
          <cell r="AG238"/>
          <cell r="AJ238">
            <v>0</v>
          </cell>
        </row>
        <row r="239">
          <cell r="A239" t="str">
            <v>GEN</v>
          </cell>
          <cell r="B239" t="str">
            <v>94</v>
          </cell>
          <cell r="C239" t="str">
            <v>186</v>
          </cell>
          <cell r="D239" t="str">
            <v>509</v>
          </cell>
          <cell r="E239" t="str">
            <v>FB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AE239">
            <v>0</v>
          </cell>
          <cell r="AG239" t="str">
            <v>SO2</v>
          </cell>
          <cell r="AJ239">
            <v>0</v>
          </cell>
        </row>
        <row r="240">
          <cell r="A240" t="str">
            <v>GEN</v>
          </cell>
          <cell r="B240" t="str">
            <v>94</v>
          </cell>
          <cell r="C240" t="str">
            <v>186</v>
          </cell>
          <cell r="D240" t="str">
            <v>509</v>
          </cell>
          <cell r="E240" t="str">
            <v>FI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AE240">
            <v>0</v>
          </cell>
          <cell r="AG240" t="str">
            <v>SO2</v>
          </cell>
          <cell r="AJ240">
            <v>0</v>
          </cell>
        </row>
        <row r="241">
          <cell r="A241" t="str">
            <v>GEN</v>
          </cell>
          <cell r="B241" t="str">
            <v>94</v>
          </cell>
          <cell r="C241" t="str">
            <v>186</v>
          </cell>
          <cell r="D241" t="str">
            <v>547003</v>
          </cell>
          <cell r="E241" t="str">
            <v>FB</v>
          </cell>
          <cell r="G241">
            <v>0</v>
          </cell>
          <cell r="H241">
            <v>0</v>
          </cell>
          <cell r="I241">
            <v>176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AE241">
            <v>176</v>
          </cell>
          <cell r="AG241" t="str">
            <v>Gas</v>
          </cell>
          <cell r="AJ241">
            <v>176</v>
          </cell>
        </row>
        <row r="242">
          <cell r="A242" t="str">
            <v>GEN</v>
          </cell>
          <cell r="B242" t="str">
            <v>94</v>
          </cell>
          <cell r="C242" t="str">
            <v>186</v>
          </cell>
          <cell r="D242" t="str">
            <v>547003</v>
          </cell>
          <cell r="E242" t="str">
            <v>FI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AE242">
            <v>0</v>
          </cell>
          <cell r="AG242" t="str">
            <v>Gas</v>
          </cell>
          <cell r="AJ242">
            <v>0</v>
          </cell>
        </row>
        <row r="243">
          <cell r="A243" t="str">
            <v>GEN</v>
          </cell>
          <cell r="B243" t="str">
            <v>94</v>
          </cell>
          <cell r="C243" t="str">
            <v>186</v>
          </cell>
          <cell r="D243" t="str">
            <v>547003</v>
          </cell>
          <cell r="E243" t="str">
            <v>FI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AE243">
            <v>0</v>
          </cell>
          <cell r="AG243" t="str">
            <v>Gas</v>
          </cell>
          <cell r="AJ243">
            <v>0</v>
          </cell>
        </row>
        <row r="244">
          <cell r="A244" t="str">
            <v>GEN</v>
          </cell>
          <cell r="B244" t="str">
            <v>95</v>
          </cell>
          <cell r="C244" t="str">
            <v>186</v>
          </cell>
          <cell r="D244" t="str">
            <v>INTGEN</v>
          </cell>
          <cell r="E244" t="str">
            <v>FI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AE244">
            <v>0</v>
          </cell>
          <cell r="AG244"/>
          <cell r="AJ244">
            <v>0</v>
          </cell>
        </row>
        <row r="245">
          <cell r="A245" t="str">
            <v>GEN</v>
          </cell>
          <cell r="B245" t="str">
            <v>95</v>
          </cell>
          <cell r="C245" t="str">
            <v>186</v>
          </cell>
          <cell r="D245" t="str">
            <v>501001</v>
          </cell>
          <cell r="E245" t="str">
            <v>BX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AE245">
            <v>0</v>
          </cell>
          <cell r="AG245" t="str">
            <v>Coal</v>
          </cell>
          <cell r="AJ245">
            <v>0</v>
          </cell>
        </row>
        <row r="246">
          <cell r="A246" t="str">
            <v>GEN</v>
          </cell>
          <cell r="B246" t="str">
            <v>95</v>
          </cell>
          <cell r="C246" t="str">
            <v>186</v>
          </cell>
          <cell r="D246" t="str">
            <v>501008</v>
          </cell>
          <cell r="E246" t="str">
            <v>FB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AE246">
            <v>0</v>
          </cell>
          <cell r="AG246" t="str">
            <v>PetCoke</v>
          </cell>
          <cell r="AJ246">
            <v>0</v>
          </cell>
        </row>
        <row r="247">
          <cell r="A247" t="str">
            <v>GEN</v>
          </cell>
          <cell r="B247" t="str">
            <v>95</v>
          </cell>
          <cell r="C247" t="str">
            <v>186</v>
          </cell>
          <cell r="D247" t="str">
            <v>501301</v>
          </cell>
          <cell r="E247" t="str">
            <v>FB</v>
          </cell>
          <cell r="G247">
            <v>22787.8</v>
          </cell>
          <cell r="H247">
            <v>22947</v>
          </cell>
          <cell r="I247">
            <v>4705.6000000000004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AE247">
            <v>4705.6000000000004</v>
          </cell>
          <cell r="AG247" t="str">
            <v>Coal</v>
          </cell>
          <cell r="AJ247">
            <v>50440.4</v>
          </cell>
        </row>
        <row r="248">
          <cell r="A248" t="str">
            <v>GEN</v>
          </cell>
          <cell r="B248" t="str">
            <v>95</v>
          </cell>
          <cell r="C248" t="str">
            <v>186</v>
          </cell>
          <cell r="D248" t="str">
            <v>501301</v>
          </cell>
          <cell r="E248" t="str">
            <v>FI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AE248">
            <v>0</v>
          </cell>
          <cell r="AG248" t="str">
            <v>Coal</v>
          </cell>
          <cell r="AJ248">
            <v>0</v>
          </cell>
        </row>
        <row r="249">
          <cell r="A249" t="str">
            <v>GEN</v>
          </cell>
          <cell r="B249" t="str">
            <v>95</v>
          </cell>
          <cell r="C249" t="str">
            <v>186</v>
          </cell>
          <cell r="D249" t="str">
            <v>501301</v>
          </cell>
          <cell r="E249" t="str">
            <v>FI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AE249">
            <v>0</v>
          </cell>
          <cell r="AG249" t="str">
            <v>Coal</v>
          </cell>
          <cell r="AJ249">
            <v>0</v>
          </cell>
        </row>
        <row r="250">
          <cell r="A250" t="str">
            <v>GEN</v>
          </cell>
          <cell r="B250" t="str">
            <v>95</v>
          </cell>
          <cell r="C250" t="str">
            <v>186</v>
          </cell>
          <cell r="D250" t="str">
            <v>501302</v>
          </cell>
          <cell r="E250" t="str">
            <v>FB</v>
          </cell>
          <cell r="G250">
            <v>10992</v>
          </cell>
          <cell r="H250">
            <v>163</v>
          </cell>
          <cell r="I250">
            <v>6680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AE250">
            <v>6680</v>
          </cell>
          <cell r="AG250" t="str">
            <v>Oil</v>
          </cell>
          <cell r="AJ250">
            <v>17835</v>
          </cell>
        </row>
        <row r="251">
          <cell r="A251" t="str">
            <v>GEN</v>
          </cell>
          <cell r="B251" t="str">
            <v>95</v>
          </cell>
          <cell r="C251" t="str">
            <v>186</v>
          </cell>
          <cell r="D251" t="str">
            <v>501302</v>
          </cell>
          <cell r="E251" t="str">
            <v>FI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AE251">
            <v>0</v>
          </cell>
          <cell r="AG251" t="str">
            <v>Oil</v>
          </cell>
          <cell r="AJ251">
            <v>0</v>
          </cell>
        </row>
        <row r="252">
          <cell r="A252" t="str">
            <v>GEN</v>
          </cell>
          <cell r="B252" t="str">
            <v>95</v>
          </cell>
          <cell r="C252" t="str">
            <v>186</v>
          </cell>
          <cell r="D252" t="str">
            <v>501302</v>
          </cell>
          <cell r="E252" t="str">
            <v>FI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AE252">
            <v>0</v>
          </cell>
          <cell r="AG252" t="str">
            <v>Oil</v>
          </cell>
          <cell r="AJ252">
            <v>0</v>
          </cell>
        </row>
        <row r="253">
          <cell r="A253" t="str">
            <v>GEN</v>
          </cell>
          <cell r="B253" t="str">
            <v>95</v>
          </cell>
          <cell r="C253" t="str">
            <v>186</v>
          </cell>
          <cell r="D253" t="str">
            <v>501310</v>
          </cell>
          <cell r="E253" t="str">
            <v>FB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AE253">
            <v>0</v>
          </cell>
          <cell r="AG253" t="str">
            <v>Coal</v>
          </cell>
          <cell r="AJ253">
            <v>0</v>
          </cell>
        </row>
        <row r="254">
          <cell r="A254" t="str">
            <v>GEN</v>
          </cell>
          <cell r="B254" t="str">
            <v>95</v>
          </cell>
          <cell r="C254" t="str">
            <v>186</v>
          </cell>
          <cell r="D254" t="str">
            <v>501310</v>
          </cell>
          <cell r="E254" t="str">
            <v>FI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AE254">
            <v>0</v>
          </cell>
          <cell r="AG254" t="str">
            <v>Coal</v>
          </cell>
          <cell r="AJ254">
            <v>0</v>
          </cell>
        </row>
        <row r="255">
          <cell r="A255" t="str">
            <v>GEN</v>
          </cell>
          <cell r="B255" t="str">
            <v>95</v>
          </cell>
          <cell r="C255" t="str">
            <v>186</v>
          </cell>
          <cell r="D255" t="str">
            <v>501310</v>
          </cell>
          <cell r="E255" t="str">
            <v>FI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AE255">
            <v>0</v>
          </cell>
          <cell r="AG255" t="str">
            <v>Coal</v>
          </cell>
          <cell r="AJ255">
            <v>0</v>
          </cell>
        </row>
        <row r="256">
          <cell r="A256" t="str">
            <v>GEN</v>
          </cell>
          <cell r="B256" t="str">
            <v>95</v>
          </cell>
          <cell r="C256" t="str">
            <v>186</v>
          </cell>
          <cell r="D256" t="str">
            <v>501401</v>
          </cell>
          <cell r="E256" t="str">
            <v>FB</v>
          </cell>
          <cell r="G256">
            <v>23922</v>
          </cell>
          <cell r="H256">
            <v>22496.1</v>
          </cell>
          <cell r="I256">
            <v>5398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AE256">
            <v>5398</v>
          </cell>
          <cell r="AG256" t="str">
            <v>Coal</v>
          </cell>
          <cell r="AJ256">
            <v>51816.1</v>
          </cell>
        </row>
        <row r="257">
          <cell r="A257" t="str">
            <v>GEN</v>
          </cell>
          <cell r="B257" t="str">
            <v>95</v>
          </cell>
          <cell r="C257" t="str">
            <v>186</v>
          </cell>
          <cell r="D257" t="str">
            <v>501401</v>
          </cell>
          <cell r="E257" t="str">
            <v>FI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AE257">
            <v>0</v>
          </cell>
          <cell r="AG257" t="str">
            <v>Coal</v>
          </cell>
          <cell r="AJ257">
            <v>0</v>
          </cell>
        </row>
        <row r="258">
          <cell r="A258" t="str">
            <v>GEN</v>
          </cell>
          <cell r="B258" t="str">
            <v>95</v>
          </cell>
          <cell r="C258" t="str">
            <v>186</v>
          </cell>
          <cell r="D258" t="str">
            <v>501401</v>
          </cell>
          <cell r="E258" t="str">
            <v>FI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AE258">
            <v>0</v>
          </cell>
          <cell r="AG258" t="str">
            <v>Coal</v>
          </cell>
          <cell r="AJ258">
            <v>0</v>
          </cell>
        </row>
        <row r="259">
          <cell r="A259" t="str">
            <v>GEN</v>
          </cell>
          <cell r="B259" t="str">
            <v>95</v>
          </cell>
          <cell r="C259" t="str">
            <v>186</v>
          </cell>
          <cell r="D259" t="str">
            <v>501402</v>
          </cell>
          <cell r="E259" t="str">
            <v>FB</v>
          </cell>
          <cell r="G259">
            <v>6948</v>
          </cell>
          <cell r="H259">
            <v>164</v>
          </cell>
          <cell r="I259">
            <v>14741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AE259">
            <v>14741</v>
          </cell>
          <cell r="AG259" t="str">
            <v>Oil</v>
          </cell>
          <cell r="AJ259">
            <v>21853</v>
          </cell>
        </row>
        <row r="260">
          <cell r="A260" t="str">
            <v>GEN</v>
          </cell>
          <cell r="B260" t="str">
            <v>95</v>
          </cell>
          <cell r="C260" t="str">
            <v>186</v>
          </cell>
          <cell r="D260" t="str">
            <v>501402</v>
          </cell>
          <cell r="E260" t="str">
            <v>FI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AE260">
            <v>0</v>
          </cell>
          <cell r="AG260" t="str">
            <v>Oil</v>
          </cell>
          <cell r="AJ260">
            <v>0</v>
          </cell>
        </row>
        <row r="261">
          <cell r="A261" t="str">
            <v>GEN</v>
          </cell>
          <cell r="B261" t="str">
            <v>95</v>
          </cell>
          <cell r="C261" t="str">
            <v>186</v>
          </cell>
          <cell r="D261" t="str">
            <v>501402</v>
          </cell>
          <cell r="E261" t="str">
            <v>FI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AE261">
            <v>0</v>
          </cell>
          <cell r="AG261" t="str">
            <v>Oil</v>
          </cell>
          <cell r="AJ261">
            <v>0</v>
          </cell>
        </row>
        <row r="262">
          <cell r="A262" t="str">
            <v>GEN</v>
          </cell>
          <cell r="B262" t="str">
            <v>95</v>
          </cell>
          <cell r="C262" t="str">
            <v>186</v>
          </cell>
          <cell r="D262" t="str">
            <v>501410</v>
          </cell>
          <cell r="E262" t="str">
            <v>FB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AE262">
            <v>0</v>
          </cell>
          <cell r="AG262" t="str">
            <v>Coal</v>
          </cell>
          <cell r="AJ262">
            <v>0</v>
          </cell>
        </row>
        <row r="263">
          <cell r="A263" t="str">
            <v>GEN</v>
          </cell>
          <cell r="B263" t="str">
            <v>95</v>
          </cell>
          <cell r="C263" t="str">
            <v>186</v>
          </cell>
          <cell r="D263" t="str">
            <v>501410</v>
          </cell>
          <cell r="E263" t="str">
            <v>FI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AE263">
            <v>0</v>
          </cell>
          <cell r="AG263" t="str">
            <v>Coal</v>
          </cell>
          <cell r="AJ263">
            <v>0</v>
          </cell>
        </row>
        <row r="264">
          <cell r="A264" t="str">
            <v>GEN</v>
          </cell>
          <cell r="B264" t="str">
            <v>95</v>
          </cell>
          <cell r="C264" t="str">
            <v>186</v>
          </cell>
          <cell r="D264" t="str">
            <v>501410</v>
          </cell>
          <cell r="E264" t="str">
            <v>FI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AE264">
            <v>0</v>
          </cell>
          <cell r="AG264" t="str">
            <v>Coal</v>
          </cell>
          <cell r="AJ264">
            <v>0</v>
          </cell>
        </row>
        <row r="265">
          <cell r="A265" t="str">
            <v>GEN</v>
          </cell>
          <cell r="B265" t="str">
            <v>95</v>
          </cell>
          <cell r="C265" t="str">
            <v>186</v>
          </cell>
          <cell r="D265" t="str">
            <v>509</v>
          </cell>
          <cell r="E265" t="str">
            <v>FB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AE265">
            <v>0</v>
          </cell>
          <cell r="AG265" t="str">
            <v>SO2</v>
          </cell>
          <cell r="AJ265">
            <v>0</v>
          </cell>
        </row>
        <row r="266">
          <cell r="A266" t="str">
            <v>GEN</v>
          </cell>
          <cell r="B266" t="str">
            <v>95</v>
          </cell>
          <cell r="C266" t="str">
            <v>186</v>
          </cell>
          <cell r="D266" t="str">
            <v>509</v>
          </cell>
          <cell r="E266" t="str">
            <v>FI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AE266">
            <v>0</v>
          </cell>
          <cell r="AG266" t="str">
            <v>SO2</v>
          </cell>
          <cell r="AJ266">
            <v>0</v>
          </cell>
        </row>
        <row r="267">
          <cell r="A267" t="str">
            <v>GEN</v>
          </cell>
          <cell r="B267" t="str">
            <v>96</v>
          </cell>
          <cell r="C267" t="str">
            <v>186</v>
          </cell>
          <cell r="D267" t="str">
            <v>547002</v>
          </cell>
          <cell r="E267" t="str">
            <v>FB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AE267">
            <v>0</v>
          </cell>
          <cell r="AG267" t="str">
            <v>Oil</v>
          </cell>
          <cell r="AJ267">
            <v>0</v>
          </cell>
        </row>
        <row r="268">
          <cell r="A268" t="str">
            <v>GEN</v>
          </cell>
          <cell r="B268" t="str">
            <v>97</v>
          </cell>
          <cell r="C268" t="str">
            <v>186</v>
          </cell>
          <cell r="D268" t="str">
            <v>INTGEN</v>
          </cell>
          <cell r="E268" t="str">
            <v>FI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AE268">
            <v>0</v>
          </cell>
          <cell r="AG268"/>
          <cell r="AJ268">
            <v>0</v>
          </cell>
        </row>
        <row r="269">
          <cell r="A269" t="str">
            <v>GEN</v>
          </cell>
          <cell r="B269" t="str">
            <v>97</v>
          </cell>
          <cell r="C269" t="str">
            <v>186</v>
          </cell>
          <cell r="D269" t="str">
            <v>547003</v>
          </cell>
          <cell r="E269" t="str">
            <v>FB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AE269">
            <v>0</v>
          </cell>
          <cell r="AG269" t="str">
            <v>Gas</v>
          </cell>
          <cell r="AJ269">
            <v>0</v>
          </cell>
        </row>
        <row r="270">
          <cell r="A270" t="str">
            <v>GEN</v>
          </cell>
          <cell r="B270" t="str">
            <v>97</v>
          </cell>
          <cell r="C270" t="str">
            <v>186</v>
          </cell>
          <cell r="D270" t="str">
            <v>547003</v>
          </cell>
          <cell r="E270" t="str">
            <v>FI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AE270">
            <v>0</v>
          </cell>
          <cell r="AG270" t="str">
            <v>Gas</v>
          </cell>
          <cell r="AJ270">
            <v>0</v>
          </cell>
        </row>
        <row r="271">
          <cell r="A271" t="str">
            <v>GEN</v>
          </cell>
          <cell r="B271" t="str">
            <v>97</v>
          </cell>
          <cell r="C271" t="str">
            <v>186</v>
          </cell>
          <cell r="D271" t="str">
            <v>547003</v>
          </cell>
          <cell r="E271" t="str">
            <v>FI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AE271">
            <v>0</v>
          </cell>
          <cell r="AG271" t="str">
            <v>Gas</v>
          </cell>
          <cell r="AJ271">
            <v>0</v>
          </cell>
        </row>
        <row r="272">
          <cell r="A272" t="str">
            <v>GEN</v>
          </cell>
          <cell r="B272" t="str">
            <v>99</v>
          </cell>
          <cell r="C272" t="str">
            <v>186</v>
          </cell>
          <cell r="D272" t="str">
            <v>547013</v>
          </cell>
          <cell r="E272" t="str">
            <v>FI</v>
          </cell>
          <cell r="G272">
            <v>102</v>
          </cell>
          <cell r="H272">
            <v>215</v>
          </cell>
          <cell r="I272">
            <v>274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AE272">
            <v>274</v>
          </cell>
          <cell r="AG272" t="str">
            <v>Gas</v>
          </cell>
          <cell r="AJ272">
            <v>591</v>
          </cell>
        </row>
        <row r="273">
          <cell r="A273" t="str">
            <v>GMC</v>
          </cell>
          <cell r="B273" t="str">
            <v>1G</v>
          </cell>
          <cell r="C273" t="str">
            <v>186</v>
          </cell>
          <cell r="D273" t="str">
            <v>916</v>
          </cell>
          <cell r="E273" t="str">
            <v>XA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AE273">
            <v>0</v>
          </cell>
          <cell r="AG273"/>
          <cell r="AJ273">
            <v>0</v>
          </cell>
        </row>
        <row r="274">
          <cell r="A274" t="str">
            <v>IPC</v>
          </cell>
          <cell r="B274" t="str">
            <v>BL</v>
          </cell>
          <cell r="C274" t="str">
            <v>086</v>
          </cell>
          <cell r="D274" t="str">
            <v>547002</v>
          </cell>
          <cell r="E274" t="str">
            <v>FB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AE274">
            <v>0</v>
          </cell>
          <cell r="AG274" t="str">
            <v>Oil</v>
          </cell>
          <cell r="AJ274">
            <v>0</v>
          </cell>
        </row>
        <row r="275">
          <cell r="A275" t="str">
            <v>IPC</v>
          </cell>
          <cell r="B275" t="str">
            <v>IP</v>
          </cell>
          <cell r="C275" t="str">
            <v>186</v>
          </cell>
          <cell r="D275" t="str">
            <v>813</v>
          </cell>
          <cell r="E275" t="str">
            <v>XA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AE275">
            <v>0</v>
          </cell>
          <cell r="AG275"/>
          <cell r="AJ275">
            <v>0</v>
          </cell>
        </row>
        <row r="276">
          <cell r="A276" t="str">
            <v>IPC</v>
          </cell>
          <cell r="B276" t="str">
            <v>IP</v>
          </cell>
          <cell r="C276" t="str">
            <v>086</v>
          </cell>
          <cell r="D276" t="str">
            <v>912</v>
          </cell>
          <cell r="E276" t="str">
            <v>80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AE276">
            <v>0</v>
          </cell>
          <cell r="AG276"/>
          <cell r="AJ276">
            <v>0</v>
          </cell>
        </row>
        <row r="277">
          <cell r="A277" t="str">
            <v>IPC</v>
          </cell>
          <cell r="B277" t="str">
            <v>TR</v>
          </cell>
          <cell r="C277" t="str">
            <v>086</v>
          </cell>
          <cell r="D277" t="str">
            <v>374001</v>
          </cell>
          <cell r="E277" t="str">
            <v>80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AE277">
            <v>0</v>
          </cell>
          <cell r="AG277"/>
          <cell r="AJ277">
            <v>0</v>
          </cell>
        </row>
        <row r="278">
          <cell r="A278" t="str">
            <v>MEP</v>
          </cell>
          <cell r="B278" t="str">
            <v>ME</v>
          </cell>
          <cell r="C278" t="str">
            <v>186</v>
          </cell>
          <cell r="D278" t="str">
            <v>547AED</v>
          </cell>
          <cell r="E278" t="str">
            <v>FI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AE278">
            <v>0</v>
          </cell>
          <cell r="AG278"/>
          <cell r="AJ278">
            <v>0</v>
          </cell>
        </row>
        <row r="279">
          <cell r="A279" t="str">
            <v>MV1</v>
          </cell>
          <cell r="B279" t="str">
            <v>V1</v>
          </cell>
          <cell r="C279" t="str">
            <v>086</v>
          </cell>
          <cell r="D279" t="str">
            <v>547AFS</v>
          </cell>
          <cell r="E279" t="str">
            <v>FB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AE279">
            <v>0</v>
          </cell>
          <cell r="AG279"/>
          <cell r="AJ279">
            <v>0</v>
          </cell>
        </row>
        <row r="280">
          <cell r="A280" t="str">
            <v>MV1</v>
          </cell>
          <cell r="B280" t="str">
            <v>V1</v>
          </cell>
          <cell r="C280" t="str">
            <v>086</v>
          </cell>
          <cell r="D280" t="str">
            <v>547CIL</v>
          </cell>
          <cell r="E280" t="str">
            <v>BX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AE280">
            <v>0</v>
          </cell>
          <cell r="AG280"/>
          <cell r="AJ280">
            <v>0</v>
          </cell>
        </row>
        <row r="281">
          <cell r="A281" t="str">
            <v>MV1</v>
          </cell>
          <cell r="B281" t="str">
            <v>V1</v>
          </cell>
          <cell r="C281" t="str">
            <v>086</v>
          </cell>
          <cell r="D281" t="str">
            <v>547CIL</v>
          </cell>
          <cell r="E281" t="str">
            <v>FB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AE281">
            <v>0</v>
          </cell>
          <cell r="AG281"/>
          <cell r="AJ281">
            <v>0</v>
          </cell>
        </row>
        <row r="282">
          <cell r="A282" t="str">
            <v>MV1</v>
          </cell>
          <cell r="B282" t="str">
            <v>V1</v>
          </cell>
          <cell r="C282" t="str">
            <v>086</v>
          </cell>
          <cell r="D282" t="str">
            <v>547CSI</v>
          </cell>
          <cell r="E282" t="str">
            <v>FB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AE282">
            <v>0</v>
          </cell>
          <cell r="AG282"/>
          <cell r="AJ282">
            <v>0</v>
          </cell>
        </row>
        <row r="283">
          <cell r="A283" t="str">
            <v>MV1</v>
          </cell>
          <cell r="B283" t="str">
            <v>V1</v>
          </cell>
          <cell r="C283" t="str">
            <v>086</v>
          </cell>
          <cell r="D283" t="str">
            <v>547GEN</v>
          </cell>
          <cell r="E283" t="str">
            <v>FB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AE283">
            <v>0</v>
          </cell>
          <cell r="AG283" t="str">
            <v>gas</v>
          </cell>
          <cell r="AJ283">
            <v>0</v>
          </cell>
        </row>
        <row r="284">
          <cell r="A284" t="str">
            <v>MV1</v>
          </cell>
          <cell r="B284" t="str">
            <v>V1</v>
          </cell>
          <cell r="C284" t="str">
            <v>086</v>
          </cell>
          <cell r="D284" t="str">
            <v>547003</v>
          </cell>
          <cell r="E284" t="str">
            <v>FB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AE284">
            <v>0</v>
          </cell>
          <cell r="AG284" t="str">
            <v>Gas</v>
          </cell>
          <cell r="AJ284">
            <v>0</v>
          </cell>
        </row>
        <row r="285">
          <cell r="A285" t="str">
            <v>MV1</v>
          </cell>
          <cell r="B285" t="str">
            <v>V1</v>
          </cell>
          <cell r="C285" t="str">
            <v>086</v>
          </cell>
          <cell r="D285" t="str">
            <v>547004</v>
          </cell>
          <cell r="E285" t="str">
            <v>FB</v>
          </cell>
          <cell r="G285">
            <v>339456.18</v>
          </cell>
          <cell r="H285">
            <v>259111.88</v>
          </cell>
          <cell r="I285">
            <v>193282.8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AE285">
            <v>193282.8</v>
          </cell>
          <cell r="AG285"/>
          <cell r="AJ285">
            <v>791850.8600000001</v>
          </cell>
        </row>
        <row r="286">
          <cell r="A286" t="str">
            <v>MV1</v>
          </cell>
          <cell r="B286" t="str">
            <v>V1</v>
          </cell>
          <cell r="C286" t="str">
            <v>086</v>
          </cell>
          <cell r="D286" t="str">
            <v>547020</v>
          </cell>
          <cell r="E286" t="str">
            <v>FB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AE286">
            <v>0</v>
          </cell>
          <cell r="AG286"/>
          <cell r="AJ286">
            <v>0</v>
          </cell>
        </row>
        <row r="287">
          <cell r="A287" t="str">
            <v>UEC</v>
          </cell>
          <cell r="B287" t="str">
            <v>AE</v>
          </cell>
          <cell r="C287" t="str">
            <v>186</v>
          </cell>
          <cell r="D287" t="str">
            <v>557001</v>
          </cell>
          <cell r="E287" t="str">
            <v>XA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AE287">
            <v>0</v>
          </cell>
          <cell r="AG287"/>
          <cell r="AJ287">
            <v>0</v>
          </cell>
        </row>
        <row r="288">
          <cell r="A288" t="str">
            <v>UEC</v>
          </cell>
          <cell r="B288" t="str">
            <v>20</v>
          </cell>
          <cell r="C288" t="str">
            <v>086</v>
          </cell>
          <cell r="D288" t="str">
            <v>417002</v>
          </cell>
          <cell r="E288" t="str">
            <v>FI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AE288">
            <v>0</v>
          </cell>
          <cell r="AG288"/>
          <cell r="AJ288">
            <v>0</v>
          </cell>
        </row>
        <row r="289">
          <cell r="A289" t="str">
            <v>UEC</v>
          </cell>
          <cell r="B289" t="str">
            <v>20</v>
          </cell>
          <cell r="C289" t="str">
            <v>086</v>
          </cell>
          <cell r="D289" t="str">
            <v>501417</v>
          </cell>
          <cell r="E289" t="str">
            <v>FI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AE289">
            <v>0</v>
          </cell>
          <cell r="AG289"/>
          <cell r="AJ289">
            <v>0</v>
          </cell>
        </row>
        <row r="290">
          <cell r="A290" t="str">
            <v>UEC</v>
          </cell>
          <cell r="B290" t="str">
            <v>20</v>
          </cell>
          <cell r="C290" t="str">
            <v>086</v>
          </cell>
          <cell r="D290" t="str">
            <v>921002</v>
          </cell>
          <cell r="E290" t="str">
            <v>BX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AE290">
            <v>0</v>
          </cell>
          <cell r="AG290"/>
          <cell r="AJ290">
            <v>0</v>
          </cell>
        </row>
        <row r="291">
          <cell r="A291" t="str">
            <v>UEC</v>
          </cell>
          <cell r="B291" t="str">
            <v>21</v>
          </cell>
          <cell r="C291" t="str">
            <v>034</v>
          </cell>
          <cell r="D291" t="str">
            <v>586</v>
          </cell>
          <cell r="E291" t="str">
            <v>BX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AE291">
            <v>0</v>
          </cell>
          <cell r="AG291"/>
          <cell r="AJ291">
            <v>0</v>
          </cell>
        </row>
        <row r="292">
          <cell r="A292" t="str">
            <v>UEC</v>
          </cell>
          <cell r="B292" t="str">
            <v>21</v>
          </cell>
          <cell r="C292" t="str">
            <v>086</v>
          </cell>
          <cell r="D292" t="str">
            <v>586</v>
          </cell>
          <cell r="E292" t="str">
            <v>XA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AE292">
            <v>0</v>
          </cell>
          <cell r="AG292"/>
          <cell r="AJ292">
            <v>0</v>
          </cell>
        </row>
        <row r="293">
          <cell r="A293" t="str">
            <v>UEC</v>
          </cell>
          <cell r="B293" t="str">
            <v>21</v>
          </cell>
          <cell r="C293" t="str">
            <v>034</v>
          </cell>
          <cell r="D293" t="str">
            <v>588004</v>
          </cell>
          <cell r="E293" t="str">
            <v>VX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AE293">
            <v>0</v>
          </cell>
          <cell r="AG293"/>
          <cell r="AJ293">
            <v>0</v>
          </cell>
        </row>
        <row r="294">
          <cell r="A294" t="str">
            <v>UEC</v>
          </cell>
          <cell r="B294" t="str">
            <v>21</v>
          </cell>
          <cell r="C294" t="str">
            <v>086</v>
          </cell>
          <cell r="D294" t="str">
            <v>912</v>
          </cell>
          <cell r="E294" t="str">
            <v>80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AE294">
            <v>0</v>
          </cell>
          <cell r="AG294"/>
          <cell r="AJ294">
            <v>0</v>
          </cell>
        </row>
        <row r="295">
          <cell r="A295" t="str">
            <v>UEC</v>
          </cell>
          <cell r="B295" t="str">
            <v>21</v>
          </cell>
          <cell r="C295" t="str">
            <v>086</v>
          </cell>
          <cell r="D295" t="str">
            <v>912</v>
          </cell>
          <cell r="E295" t="str">
            <v>80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AE295">
            <v>0</v>
          </cell>
          <cell r="AG295"/>
          <cell r="AJ295">
            <v>0</v>
          </cell>
        </row>
        <row r="296">
          <cell r="A296" t="str">
            <v>UEC</v>
          </cell>
          <cell r="B296" t="str">
            <v>30</v>
          </cell>
          <cell r="C296" t="str">
            <v>086</v>
          </cell>
          <cell r="D296" t="str">
            <v>921002</v>
          </cell>
          <cell r="E296" t="str">
            <v>BX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AE296">
            <v>0</v>
          </cell>
          <cell r="AG296"/>
          <cell r="AJ296">
            <v>0</v>
          </cell>
        </row>
        <row r="297">
          <cell r="A297" t="str">
            <v>UEC</v>
          </cell>
          <cell r="B297" t="str">
            <v>5A</v>
          </cell>
          <cell r="C297" t="str">
            <v>086</v>
          </cell>
          <cell r="D297" t="str">
            <v>456AFS</v>
          </cell>
          <cell r="E297" t="str">
            <v>FB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AE297">
            <v>0</v>
          </cell>
          <cell r="AG297"/>
          <cell r="AJ297">
            <v>0</v>
          </cell>
        </row>
        <row r="298">
          <cell r="A298" t="str">
            <v>UEC</v>
          </cell>
          <cell r="B298" t="str">
            <v>5A</v>
          </cell>
          <cell r="C298" t="str">
            <v>086</v>
          </cell>
          <cell r="D298" t="str">
            <v>456MV1</v>
          </cell>
          <cell r="E298" t="str">
            <v>FB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AE298">
            <v>0</v>
          </cell>
          <cell r="AG298"/>
          <cell r="AJ298">
            <v>0</v>
          </cell>
        </row>
        <row r="299">
          <cell r="A299" t="str">
            <v>UEC</v>
          </cell>
          <cell r="B299" t="str">
            <v>5A</v>
          </cell>
          <cell r="C299" t="str">
            <v>086</v>
          </cell>
          <cell r="D299" t="str">
            <v>456601</v>
          </cell>
          <cell r="E299" t="str">
            <v>FB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AE299">
            <v>0</v>
          </cell>
          <cell r="AG299"/>
          <cell r="AJ299">
            <v>0</v>
          </cell>
        </row>
        <row r="300">
          <cell r="A300" t="str">
            <v>UEC</v>
          </cell>
          <cell r="B300" t="str">
            <v>5A</v>
          </cell>
          <cell r="C300" t="str">
            <v>086</v>
          </cell>
          <cell r="D300" t="str">
            <v>502600</v>
          </cell>
          <cell r="E300" t="str">
            <v>FB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AE300">
            <v>0</v>
          </cell>
          <cell r="AG300"/>
          <cell r="AJ300">
            <v>0</v>
          </cell>
        </row>
        <row r="301">
          <cell r="A301" t="str">
            <v>UEC</v>
          </cell>
          <cell r="B301" t="str">
            <v>5A</v>
          </cell>
          <cell r="C301" t="str">
            <v>086</v>
          </cell>
          <cell r="D301" t="str">
            <v>547CIP</v>
          </cell>
          <cell r="E301" t="str">
            <v>FB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AE301">
            <v>0</v>
          </cell>
          <cell r="AG301"/>
          <cell r="AJ301">
            <v>0</v>
          </cell>
        </row>
        <row r="302">
          <cell r="A302" t="str">
            <v>UEC</v>
          </cell>
          <cell r="B302" t="str">
            <v>5A</v>
          </cell>
          <cell r="C302" t="str">
            <v>086</v>
          </cell>
          <cell r="D302" t="str">
            <v>547GEN</v>
          </cell>
          <cell r="E302" t="str">
            <v>FB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AE302">
            <v>0</v>
          </cell>
          <cell r="AG302" t="str">
            <v>gas</v>
          </cell>
          <cell r="AJ302">
            <v>0</v>
          </cell>
        </row>
        <row r="303">
          <cell r="A303" t="str">
            <v>UEC</v>
          </cell>
          <cell r="B303" t="str">
            <v>5A</v>
          </cell>
          <cell r="C303" t="str">
            <v>086</v>
          </cell>
          <cell r="D303" t="str">
            <v>547IPC</v>
          </cell>
          <cell r="E303" t="str">
            <v>FB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AE303">
            <v>0</v>
          </cell>
          <cell r="AG303" t="str">
            <v>gas</v>
          </cell>
          <cell r="AJ303">
            <v>0</v>
          </cell>
        </row>
        <row r="304">
          <cell r="A304" t="str">
            <v>UEC</v>
          </cell>
          <cell r="B304" t="str">
            <v>5A</v>
          </cell>
          <cell r="C304" t="str">
            <v>086</v>
          </cell>
          <cell r="D304" t="str">
            <v>547MV1</v>
          </cell>
          <cell r="E304" t="str">
            <v>FB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AE304">
            <v>0</v>
          </cell>
          <cell r="AG304" t="str">
            <v>gas</v>
          </cell>
          <cell r="AJ304">
            <v>0</v>
          </cell>
        </row>
        <row r="305">
          <cell r="A305" t="str">
            <v>UEC</v>
          </cell>
          <cell r="B305" t="str">
            <v>5A</v>
          </cell>
          <cell r="C305" t="str">
            <v>086</v>
          </cell>
          <cell r="D305" t="str">
            <v>5470CO</v>
          </cell>
          <cell r="E305" t="str">
            <v>FB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AE305">
            <v>0</v>
          </cell>
          <cell r="AG305"/>
          <cell r="AJ305">
            <v>0</v>
          </cell>
        </row>
        <row r="306">
          <cell r="A306" t="str">
            <v>UEC</v>
          </cell>
          <cell r="B306" t="str">
            <v>5A</v>
          </cell>
          <cell r="C306" t="str">
            <v>086</v>
          </cell>
          <cell r="D306" t="str">
            <v>547003</v>
          </cell>
          <cell r="E306" t="str">
            <v>FB</v>
          </cell>
          <cell r="G306">
            <v>240936</v>
          </cell>
          <cell r="H306">
            <v>156547</v>
          </cell>
          <cell r="I306">
            <v>130913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AE306">
            <v>130913</v>
          </cell>
          <cell r="AG306" t="str">
            <v>Gas</v>
          </cell>
          <cell r="AJ306">
            <v>528396</v>
          </cell>
        </row>
        <row r="307">
          <cell r="A307" t="str">
            <v>UEC</v>
          </cell>
          <cell r="B307" t="str">
            <v>5A</v>
          </cell>
          <cell r="C307" t="str">
            <v>086</v>
          </cell>
          <cell r="D307" t="str">
            <v>54701F</v>
          </cell>
          <cell r="E307" t="str">
            <v>FB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AE307">
            <v>0</v>
          </cell>
          <cell r="AG307" t="str">
            <v>gas</v>
          </cell>
          <cell r="AJ307">
            <v>0</v>
          </cell>
        </row>
        <row r="308">
          <cell r="A308" t="str">
            <v>UEC</v>
          </cell>
          <cell r="B308" t="str">
            <v>5A</v>
          </cell>
          <cell r="C308" t="str">
            <v>086</v>
          </cell>
          <cell r="D308" t="str">
            <v>547013</v>
          </cell>
          <cell r="E308" t="str">
            <v>FB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AE308">
            <v>0</v>
          </cell>
          <cell r="AG308" t="str">
            <v>Gas</v>
          </cell>
          <cell r="AJ308">
            <v>0</v>
          </cell>
        </row>
        <row r="309">
          <cell r="A309" t="str">
            <v>UEC</v>
          </cell>
          <cell r="B309" t="str">
            <v>5A</v>
          </cell>
          <cell r="C309" t="str">
            <v>186</v>
          </cell>
          <cell r="D309" t="str">
            <v>557001</v>
          </cell>
          <cell r="E309" t="str">
            <v>EX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AE309">
            <v>0</v>
          </cell>
          <cell r="AG309"/>
          <cell r="AJ309">
            <v>0</v>
          </cell>
        </row>
        <row r="310">
          <cell r="A310" t="str">
            <v>UEC</v>
          </cell>
          <cell r="B310" t="str">
            <v>5A</v>
          </cell>
          <cell r="C310" t="str">
            <v>186</v>
          </cell>
          <cell r="D310" t="str">
            <v>557001</v>
          </cell>
          <cell r="E310" t="str">
            <v>XA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AE310">
            <v>0</v>
          </cell>
          <cell r="AG310"/>
          <cell r="AJ310">
            <v>0</v>
          </cell>
        </row>
        <row r="311">
          <cell r="A311" t="str">
            <v>UEC</v>
          </cell>
          <cell r="B311" t="str">
            <v>50</v>
          </cell>
          <cell r="C311" t="str">
            <v>086</v>
          </cell>
          <cell r="D311" t="str">
            <v>INTGEN</v>
          </cell>
          <cell r="E311" t="str">
            <v>FI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AE311">
            <v>0</v>
          </cell>
          <cell r="AG311"/>
          <cell r="AJ311">
            <v>0</v>
          </cell>
        </row>
        <row r="312">
          <cell r="A312" t="str">
            <v>UEC</v>
          </cell>
          <cell r="B312" t="str">
            <v>50</v>
          </cell>
          <cell r="C312" t="str">
            <v>086</v>
          </cell>
          <cell r="D312" t="str">
            <v>501001</v>
          </cell>
          <cell r="E312" t="str">
            <v>FB</v>
          </cell>
          <cell r="G312">
            <v>225431.95</v>
          </cell>
          <cell r="H312">
            <v>155298.51</v>
          </cell>
          <cell r="I312">
            <v>177493.34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AE312">
            <v>177493.34</v>
          </cell>
          <cell r="AG312" t="str">
            <v>Coal</v>
          </cell>
          <cell r="AJ312">
            <v>558223.80000000005</v>
          </cell>
        </row>
        <row r="313">
          <cell r="A313" t="str">
            <v>UEC</v>
          </cell>
          <cell r="B313" t="str">
            <v>50</v>
          </cell>
          <cell r="C313" t="str">
            <v>086</v>
          </cell>
          <cell r="D313" t="str">
            <v>501001</v>
          </cell>
          <cell r="E313" t="str">
            <v>FB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AE313">
            <v>0</v>
          </cell>
          <cell r="AG313" t="str">
            <v>Coal</v>
          </cell>
          <cell r="AJ313">
            <v>0</v>
          </cell>
        </row>
        <row r="314">
          <cell r="A314" t="str">
            <v>UEC</v>
          </cell>
          <cell r="B314" t="str">
            <v>50</v>
          </cell>
          <cell r="C314" t="str">
            <v>086</v>
          </cell>
          <cell r="D314" t="str">
            <v>501001</v>
          </cell>
          <cell r="E314" t="str">
            <v>FI</v>
          </cell>
          <cell r="G314">
            <v>81696.05</v>
          </cell>
          <cell r="H314">
            <v>119080.49</v>
          </cell>
          <cell r="I314">
            <v>128529.66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AE314">
            <v>128529.66</v>
          </cell>
          <cell r="AG314" t="str">
            <v>Coal</v>
          </cell>
          <cell r="AJ314">
            <v>329306.2</v>
          </cell>
        </row>
        <row r="315">
          <cell r="A315" t="str">
            <v>UEC</v>
          </cell>
          <cell r="B315" t="str">
            <v>50</v>
          </cell>
          <cell r="C315" t="str">
            <v>086</v>
          </cell>
          <cell r="D315" t="str">
            <v>501001</v>
          </cell>
          <cell r="E315" t="str">
            <v>FI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AE315">
            <v>0</v>
          </cell>
          <cell r="AG315" t="str">
            <v>Coal</v>
          </cell>
          <cell r="AJ315">
            <v>0</v>
          </cell>
        </row>
        <row r="316">
          <cell r="A316" t="str">
            <v>UEC</v>
          </cell>
          <cell r="B316" t="str">
            <v>50</v>
          </cell>
          <cell r="C316" t="str">
            <v>086</v>
          </cell>
          <cell r="D316" t="str">
            <v>501003</v>
          </cell>
          <cell r="E316" t="str">
            <v>FB</v>
          </cell>
          <cell r="G316">
            <v>5223</v>
          </cell>
          <cell r="H316">
            <v>6153.68</v>
          </cell>
          <cell r="I316">
            <v>6711.18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AE316">
            <v>6711.18</v>
          </cell>
          <cell r="AG316" t="str">
            <v>Gas</v>
          </cell>
          <cell r="AJ316">
            <v>18087.86</v>
          </cell>
        </row>
        <row r="317">
          <cell r="A317" t="str">
            <v>UEC</v>
          </cell>
          <cell r="B317" t="str">
            <v>50</v>
          </cell>
          <cell r="C317" t="str">
            <v>086</v>
          </cell>
          <cell r="D317" t="str">
            <v>501003</v>
          </cell>
          <cell r="E317" t="str">
            <v>FB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AE317">
            <v>0</v>
          </cell>
          <cell r="AG317" t="str">
            <v>Gas</v>
          </cell>
          <cell r="AJ317">
            <v>0</v>
          </cell>
        </row>
        <row r="318">
          <cell r="A318" t="str">
            <v>UEC</v>
          </cell>
          <cell r="B318" t="str">
            <v>50</v>
          </cell>
          <cell r="C318" t="str">
            <v>086</v>
          </cell>
          <cell r="D318" t="str">
            <v>501003</v>
          </cell>
          <cell r="E318" t="str">
            <v>FI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AE318">
            <v>0</v>
          </cell>
          <cell r="AG318" t="str">
            <v>Gas</v>
          </cell>
          <cell r="AJ318">
            <v>0</v>
          </cell>
        </row>
        <row r="319">
          <cell r="A319" t="str">
            <v>UEC</v>
          </cell>
          <cell r="B319" t="str">
            <v>50</v>
          </cell>
          <cell r="C319" t="str">
            <v>086</v>
          </cell>
          <cell r="D319" t="str">
            <v>501004</v>
          </cell>
          <cell r="E319" t="str">
            <v>FB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AE319">
            <v>0</v>
          </cell>
          <cell r="AG319" t="str">
            <v>Propane</v>
          </cell>
          <cell r="AJ319">
            <v>0</v>
          </cell>
        </row>
        <row r="320">
          <cell r="A320" t="str">
            <v>UEC</v>
          </cell>
          <cell r="B320" t="str">
            <v>50</v>
          </cell>
          <cell r="C320" t="str">
            <v>086</v>
          </cell>
          <cell r="D320" t="str">
            <v>501011</v>
          </cell>
          <cell r="E320" t="str">
            <v>FI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AE320">
            <v>0</v>
          </cell>
          <cell r="AG320" t="str">
            <v>Coal</v>
          </cell>
          <cell r="AJ320">
            <v>0</v>
          </cell>
        </row>
        <row r="321">
          <cell r="A321" t="str">
            <v>UEC</v>
          </cell>
          <cell r="B321" t="str">
            <v>50</v>
          </cell>
          <cell r="C321" t="str">
            <v>086</v>
          </cell>
          <cell r="D321" t="str">
            <v>501011</v>
          </cell>
          <cell r="E321" t="str">
            <v>FI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AE321">
            <v>0</v>
          </cell>
          <cell r="AG321" t="str">
            <v>Coal</v>
          </cell>
          <cell r="AJ321">
            <v>0</v>
          </cell>
        </row>
        <row r="322">
          <cell r="A322" t="str">
            <v>UEC</v>
          </cell>
          <cell r="B322" t="str">
            <v>50</v>
          </cell>
          <cell r="C322" t="str">
            <v>086</v>
          </cell>
          <cell r="D322" t="str">
            <v>501013</v>
          </cell>
          <cell r="E322" t="str">
            <v>FI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AE322">
            <v>0</v>
          </cell>
          <cell r="AG322" t="str">
            <v>Gas</v>
          </cell>
          <cell r="AJ322">
            <v>0</v>
          </cell>
        </row>
        <row r="323">
          <cell r="A323" t="str">
            <v>UEC</v>
          </cell>
          <cell r="B323" t="str">
            <v>50</v>
          </cell>
          <cell r="C323" t="str">
            <v>086</v>
          </cell>
          <cell r="D323" t="str">
            <v>501013</v>
          </cell>
          <cell r="E323" t="str">
            <v>FI</v>
          </cell>
          <cell r="G323">
            <v>1888</v>
          </cell>
          <cell r="H323">
            <v>4715.32</v>
          </cell>
          <cell r="I323">
            <v>4868.82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AE323">
            <v>4868.82</v>
          </cell>
          <cell r="AG323" t="str">
            <v>Gas</v>
          </cell>
          <cell r="AJ323">
            <v>11472.14</v>
          </cell>
        </row>
        <row r="324">
          <cell r="A324" t="str">
            <v>UEC</v>
          </cell>
          <cell r="B324" t="str">
            <v>50</v>
          </cell>
          <cell r="C324" t="str">
            <v>086</v>
          </cell>
          <cell r="D324" t="str">
            <v>501013</v>
          </cell>
          <cell r="E324" t="str">
            <v>FI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AE324">
            <v>0</v>
          </cell>
          <cell r="AG324" t="str">
            <v>Gas</v>
          </cell>
          <cell r="AJ324">
            <v>0</v>
          </cell>
        </row>
        <row r="325">
          <cell r="A325" t="str">
            <v>UEC</v>
          </cell>
          <cell r="B325" t="str">
            <v>50</v>
          </cell>
          <cell r="C325" t="str">
            <v>086</v>
          </cell>
          <cell r="D325" t="str">
            <v>501014</v>
          </cell>
          <cell r="E325" t="str">
            <v>FI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AE325">
            <v>0</v>
          </cell>
          <cell r="AG325" t="str">
            <v>PetCoke</v>
          </cell>
          <cell r="AJ325">
            <v>0</v>
          </cell>
        </row>
        <row r="326">
          <cell r="A326" t="str">
            <v>UEC</v>
          </cell>
          <cell r="B326" t="str">
            <v>50</v>
          </cell>
          <cell r="C326" t="str">
            <v>086</v>
          </cell>
          <cell r="D326" t="str">
            <v>501014</v>
          </cell>
          <cell r="E326" t="str">
            <v>FI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AE326">
            <v>0</v>
          </cell>
          <cell r="AG326" t="str">
            <v>PetCoke</v>
          </cell>
          <cell r="AJ326">
            <v>0</v>
          </cell>
        </row>
        <row r="327">
          <cell r="A327" t="str">
            <v>UEC</v>
          </cell>
          <cell r="B327" t="str">
            <v>50</v>
          </cell>
          <cell r="C327" t="str">
            <v>086</v>
          </cell>
          <cell r="D327" t="str">
            <v>501110</v>
          </cell>
          <cell r="E327" t="str">
            <v>FB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AE327">
            <v>0</v>
          </cell>
          <cell r="AG327" t="str">
            <v>Coal</v>
          </cell>
          <cell r="AJ327">
            <v>0</v>
          </cell>
        </row>
        <row r="328">
          <cell r="A328" t="str">
            <v>UEC</v>
          </cell>
          <cell r="B328" t="str">
            <v>50</v>
          </cell>
          <cell r="C328" t="str">
            <v>086</v>
          </cell>
          <cell r="D328" t="str">
            <v>501110</v>
          </cell>
          <cell r="E328" t="str">
            <v>FB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AE328">
            <v>0</v>
          </cell>
          <cell r="AG328" t="str">
            <v>Coal</v>
          </cell>
          <cell r="AJ328">
            <v>0</v>
          </cell>
        </row>
        <row r="329">
          <cell r="A329" t="str">
            <v>UEC</v>
          </cell>
          <cell r="B329" t="str">
            <v>50</v>
          </cell>
          <cell r="C329" t="str">
            <v>086</v>
          </cell>
          <cell r="D329" t="str">
            <v>501110</v>
          </cell>
          <cell r="E329" t="str">
            <v>FI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AE329">
            <v>0</v>
          </cell>
          <cell r="AG329" t="str">
            <v>Coal</v>
          </cell>
          <cell r="AJ329">
            <v>0</v>
          </cell>
        </row>
        <row r="330">
          <cell r="A330" t="str">
            <v>UEC</v>
          </cell>
          <cell r="B330" t="str">
            <v>50</v>
          </cell>
          <cell r="C330" t="str">
            <v>086</v>
          </cell>
          <cell r="D330" t="str">
            <v>501110</v>
          </cell>
          <cell r="E330" t="str">
            <v>FI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AE330">
            <v>0</v>
          </cell>
          <cell r="AG330" t="str">
            <v>Coal</v>
          </cell>
          <cell r="AJ330">
            <v>0</v>
          </cell>
        </row>
        <row r="331">
          <cell r="A331" t="str">
            <v>UEC</v>
          </cell>
          <cell r="B331" t="str">
            <v>50</v>
          </cell>
          <cell r="C331" t="str">
            <v>086</v>
          </cell>
          <cell r="D331" t="str">
            <v>509</v>
          </cell>
          <cell r="E331" t="str">
            <v>FB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AE331">
            <v>0</v>
          </cell>
          <cell r="AG331" t="str">
            <v>SO2</v>
          </cell>
          <cell r="AJ331">
            <v>0</v>
          </cell>
        </row>
        <row r="332">
          <cell r="A332" t="str">
            <v>UEC</v>
          </cell>
          <cell r="B332" t="str">
            <v>52</v>
          </cell>
          <cell r="C332" t="str">
            <v>086</v>
          </cell>
          <cell r="D332" t="str">
            <v>INTGEN</v>
          </cell>
          <cell r="E332" t="str">
            <v>FI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AE332">
            <v>0</v>
          </cell>
          <cell r="AG332"/>
          <cell r="AJ332">
            <v>0</v>
          </cell>
        </row>
        <row r="333">
          <cell r="A333" t="str">
            <v>UEC</v>
          </cell>
          <cell r="B333" t="str">
            <v>53</v>
          </cell>
          <cell r="C333" t="str">
            <v>086</v>
          </cell>
          <cell r="D333" t="str">
            <v>INTGEN</v>
          </cell>
          <cell r="E333" t="str">
            <v>FI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AE333">
            <v>0</v>
          </cell>
          <cell r="AG333"/>
          <cell r="AJ333">
            <v>0</v>
          </cell>
        </row>
        <row r="334">
          <cell r="A334" t="str">
            <v>UEC</v>
          </cell>
          <cell r="B334" t="str">
            <v>53</v>
          </cell>
          <cell r="C334" t="str">
            <v>086</v>
          </cell>
          <cell r="D334" t="str">
            <v>501001</v>
          </cell>
          <cell r="E334" t="str">
            <v>FB</v>
          </cell>
          <cell r="G334">
            <v>279975.74</v>
          </cell>
          <cell r="H334">
            <v>238249.06</v>
          </cell>
          <cell r="I334">
            <v>198469.41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AE334">
            <v>198469.41</v>
          </cell>
          <cell r="AG334" t="str">
            <v>Coal</v>
          </cell>
          <cell r="AJ334">
            <v>716694.21</v>
          </cell>
        </row>
        <row r="335">
          <cell r="A335" t="str">
            <v>UEC</v>
          </cell>
          <cell r="B335" t="str">
            <v>53</v>
          </cell>
          <cell r="C335" t="str">
            <v>086</v>
          </cell>
          <cell r="D335" t="str">
            <v>501001</v>
          </cell>
          <cell r="E335" t="str">
            <v>EC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AE335">
            <v>0</v>
          </cell>
          <cell r="AG335" t="str">
            <v>Coal</v>
          </cell>
          <cell r="AJ335">
            <v>0</v>
          </cell>
        </row>
        <row r="336">
          <cell r="A336" t="str">
            <v>UEC</v>
          </cell>
          <cell r="B336" t="str">
            <v>53</v>
          </cell>
          <cell r="C336" t="str">
            <v>086</v>
          </cell>
          <cell r="D336" t="str">
            <v>501001</v>
          </cell>
          <cell r="E336" t="str">
            <v>FB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AE336">
            <v>0</v>
          </cell>
          <cell r="AG336" t="str">
            <v>Coal</v>
          </cell>
          <cell r="AJ336">
            <v>0</v>
          </cell>
        </row>
        <row r="337">
          <cell r="A337" t="str">
            <v>UEC</v>
          </cell>
          <cell r="B337" t="str">
            <v>53</v>
          </cell>
          <cell r="C337" t="str">
            <v>086</v>
          </cell>
          <cell r="D337" t="str">
            <v>501001</v>
          </cell>
          <cell r="E337" t="str">
            <v>FI</v>
          </cell>
          <cell r="G337">
            <v>50964.85</v>
          </cell>
          <cell r="H337">
            <v>64866.79</v>
          </cell>
          <cell r="I337">
            <v>63363.59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AE337">
            <v>63363.59</v>
          </cell>
          <cell r="AG337" t="str">
            <v>Coal</v>
          </cell>
          <cell r="AJ337">
            <v>179195.22999999998</v>
          </cell>
        </row>
        <row r="338">
          <cell r="A338" t="str">
            <v>UEC</v>
          </cell>
          <cell r="B338" t="str">
            <v>53</v>
          </cell>
          <cell r="C338" t="str">
            <v>086</v>
          </cell>
          <cell r="D338" t="str">
            <v>501001</v>
          </cell>
          <cell r="E338" t="str">
            <v>FI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AE338">
            <v>0</v>
          </cell>
          <cell r="AG338" t="str">
            <v>Coal</v>
          </cell>
          <cell r="AJ338">
            <v>0</v>
          </cell>
        </row>
        <row r="339">
          <cell r="A339" t="str">
            <v>UEC</v>
          </cell>
          <cell r="B339" t="str">
            <v>53</v>
          </cell>
          <cell r="C339" t="str">
            <v>086</v>
          </cell>
          <cell r="D339" t="str">
            <v>501002</v>
          </cell>
          <cell r="E339" t="str">
            <v>FB</v>
          </cell>
          <cell r="G339">
            <v>4051.49</v>
          </cell>
          <cell r="H339">
            <v>1374.71</v>
          </cell>
          <cell r="I339">
            <v>5977.59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AE339">
            <v>5977.59</v>
          </cell>
          <cell r="AG339" t="str">
            <v>Oil</v>
          </cell>
          <cell r="AJ339">
            <v>11403.79</v>
          </cell>
        </row>
        <row r="340">
          <cell r="A340" t="str">
            <v>UEC</v>
          </cell>
          <cell r="B340" t="str">
            <v>53</v>
          </cell>
          <cell r="C340" t="str">
            <v>086</v>
          </cell>
          <cell r="D340" t="str">
            <v>501007</v>
          </cell>
          <cell r="E340" t="str">
            <v>FB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AE340">
            <v>0</v>
          </cell>
          <cell r="AG340" t="str">
            <v>TireChips</v>
          </cell>
          <cell r="AJ340">
            <v>0</v>
          </cell>
        </row>
        <row r="341">
          <cell r="A341" t="str">
            <v>UEC</v>
          </cell>
          <cell r="B341" t="str">
            <v>53</v>
          </cell>
          <cell r="C341" t="str">
            <v>086</v>
          </cell>
          <cell r="D341" t="str">
            <v>501008</v>
          </cell>
          <cell r="E341" t="str">
            <v>FB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AE341">
            <v>0</v>
          </cell>
          <cell r="AG341" t="str">
            <v>PetCoke</v>
          </cell>
          <cell r="AJ341">
            <v>0</v>
          </cell>
        </row>
        <row r="342">
          <cell r="A342" t="str">
            <v>UEC</v>
          </cell>
          <cell r="B342" t="str">
            <v>53</v>
          </cell>
          <cell r="C342" t="str">
            <v>086</v>
          </cell>
          <cell r="D342" t="str">
            <v>501011</v>
          </cell>
          <cell r="E342" t="str">
            <v>FI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AE342">
            <v>0</v>
          </cell>
          <cell r="AG342" t="str">
            <v>Coal</v>
          </cell>
          <cell r="AJ342">
            <v>0</v>
          </cell>
        </row>
        <row r="343">
          <cell r="A343" t="str">
            <v>UEC</v>
          </cell>
          <cell r="B343" t="str">
            <v>53</v>
          </cell>
          <cell r="C343" t="str">
            <v>086</v>
          </cell>
          <cell r="D343" t="str">
            <v>501011</v>
          </cell>
          <cell r="E343" t="str">
            <v>FI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AE343">
            <v>0</v>
          </cell>
          <cell r="AG343" t="str">
            <v>Coal</v>
          </cell>
          <cell r="AJ343">
            <v>0</v>
          </cell>
        </row>
        <row r="344">
          <cell r="A344" t="str">
            <v>UEC</v>
          </cell>
          <cell r="B344" t="str">
            <v>53</v>
          </cell>
          <cell r="C344" t="str">
            <v>086</v>
          </cell>
          <cell r="D344" t="str">
            <v>501012</v>
          </cell>
          <cell r="E344" t="str">
            <v>FI</v>
          </cell>
          <cell r="G344">
            <v>737.51</v>
          </cell>
          <cell r="H344">
            <v>374.29</v>
          </cell>
          <cell r="I344">
            <v>1908.41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AE344">
            <v>1908.41</v>
          </cell>
          <cell r="AG344" t="str">
            <v>Oil</v>
          </cell>
          <cell r="AJ344">
            <v>3020.21</v>
          </cell>
        </row>
        <row r="345">
          <cell r="A345" t="str">
            <v>UEC</v>
          </cell>
          <cell r="B345" t="str">
            <v>53</v>
          </cell>
          <cell r="C345" t="str">
            <v>086</v>
          </cell>
          <cell r="D345" t="str">
            <v>501012</v>
          </cell>
          <cell r="E345" t="str">
            <v>FI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AE345">
            <v>0</v>
          </cell>
          <cell r="AG345" t="str">
            <v>Oil</v>
          </cell>
          <cell r="AJ345">
            <v>0</v>
          </cell>
        </row>
        <row r="346">
          <cell r="A346" t="str">
            <v>UEC</v>
          </cell>
          <cell r="B346" t="str">
            <v>53</v>
          </cell>
          <cell r="C346" t="str">
            <v>086</v>
          </cell>
          <cell r="D346" t="str">
            <v>501017</v>
          </cell>
          <cell r="E346" t="str">
            <v>FI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AE346">
            <v>0</v>
          </cell>
          <cell r="AG346" t="str">
            <v>TireChips</v>
          </cell>
          <cell r="AJ346">
            <v>0</v>
          </cell>
        </row>
        <row r="347">
          <cell r="A347" t="str">
            <v>UEC</v>
          </cell>
          <cell r="B347" t="str">
            <v>53</v>
          </cell>
          <cell r="C347" t="str">
            <v>086</v>
          </cell>
          <cell r="D347" t="str">
            <v>501017</v>
          </cell>
          <cell r="E347" t="str">
            <v>FI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AE347">
            <v>0</v>
          </cell>
          <cell r="AG347" t="str">
            <v>TireChips</v>
          </cell>
          <cell r="AJ347">
            <v>0</v>
          </cell>
        </row>
        <row r="348">
          <cell r="A348" t="str">
            <v>UEC</v>
          </cell>
          <cell r="B348" t="str">
            <v>53</v>
          </cell>
          <cell r="C348" t="str">
            <v>086</v>
          </cell>
          <cell r="D348" t="str">
            <v>501018</v>
          </cell>
          <cell r="E348" t="str">
            <v>FI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AE348">
            <v>0</v>
          </cell>
          <cell r="AG348" t="str">
            <v>PetCoke</v>
          </cell>
          <cell r="AJ348">
            <v>0</v>
          </cell>
        </row>
        <row r="349">
          <cell r="A349" t="str">
            <v>UEC</v>
          </cell>
          <cell r="B349" t="str">
            <v>53</v>
          </cell>
          <cell r="C349" t="str">
            <v>086</v>
          </cell>
          <cell r="D349" t="str">
            <v>501018</v>
          </cell>
          <cell r="E349" t="str">
            <v>FI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AE349">
            <v>0</v>
          </cell>
          <cell r="AG349" t="str">
            <v>PetCoke</v>
          </cell>
          <cell r="AJ349">
            <v>0</v>
          </cell>
        </row>
        <row r="350">
          <cell r="A350" t="str">
            <v>UEC</v>
          </cell>
          <cell r="B350" t="str">
            <v>53</v>
          </cell>
          <cell r="C350" t="str">
            <v>086</v>
          </cell>
          <cell r="D350" t="str">
            <v>501110</v>
          </cell>
          <cell r="E350" t="str">
            <v>FB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AE350">
            <v>0</v>
          </cell>
          <cell r="AG350" t="str">
            <v>Coal</v>
          </cell>
          <cell r="AJ350">
            <v>0</v>
          </cell>
        </row>
        <row r="351">
          <cell r="A351" t="str">
            <v>UEC</v>
          </cell>
          <cell r="B351" t="str">
            <v>53</v>
          </cell>
          <cell r="C351" t="str">
            <v>086</v>
          </cell>
          <cell r="D351" t="str">
            <v>501110</v>
          </cell>
          <cell r="E351" t="str">
            <v>FB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AE351">
            <v>0</v>
          </cell>
          <cell r="AG351" t="str">
            <v>Coal</v>
          </cell>
          <cell r="AJ351">
            <v>0</v>
          </cell>
        </row>
        <row r="352">
          <cell r="A352" t="str">
            <v>UEC</v>
          </cell>
          <cell r="B352" t="str">
            <v>53</v>
          </cell>
          <cell r="C352" t="str">
            <v>086</v>
          </cell>
          <cell r="D352" t="str">
            <v>501110</v>
          </cell>
          <cell r="E352" t="str">
            <v>FI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AE352">
            <v>0</v>
          </cell>
          <cell r="AG352" t="str">
            <v>Coal</v>
          </cell>
          <cell r="AJ352">
            <v>0</v>
          </cell>
        </row>
        <row r="353">
          <cell r="A353" t="str">
            <v>UEC</v>
          </cell>
          <cell r="B353" t="str">
            <v>53</v>
          </cell>
          <cell r="C353" t="str">
            <v>086</v>
          </cell>
          <cell r="D353" t="str">
            <v>501110</v>
          </cell>
          <cell r="E353" t="str">
            <v>FI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AE353">
            <v>0</v>
          </cell>
          <cell r="AG353" t="str">
            <v>Coal</v>
          </cell>
          <cell r="AJ353">
            <v>0</v>
          </cell>
        </row>
        <row r="354">
          <cell r="A354" t="str">
            <v>UEC</v>
          </cell>
          <cell r="B354" t="str">
            <v>53</v>
          </cell>
          <cell r="C354" t="str">
            <v>086</v>
          </cell>
          <cell r="D354" t="str">
            <v>502</v>
          </cell>
          <cell r="E354" t="str">
            <v>BX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AE354">
            <v>0</v>
          </cell>
          <cell r="AG354"/>
          <cell r="AJ354">
            <v>0</v>
          </cell>
        </row>
        <row r="355">
          <cell r="A355" t="str">
            <v>UEC</v>
          </cell>
          <cell r="B355" t="str">
            <v>53</v>
          </cell>
          <cell r="C355" t="str">
            <v>086</v>
          </cell>
          <cell r="D355" t="str">
            <v>502</v>
          </cell>
          <cell r="E355" t="str">
            <v>34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AE355">
            <v>0</v>
          </cell>
          <cell r="AG355"/>
          <cell r="AJ355">
            <v>0</v>
          </cell>
        </row>
        <row r="356">
          <cell r="A356" t="str">
            <v>UEC</v>
          </cell>
          <cell r="B356" t="str">
            <v>53</v>
          </cell>
          <cell r="C356" t="str">
            <v>086</v>
          </cell>
          <cell r="D356" t="str">
            <v>509</v>
          </cell>
          <cell r="E356" t="str">
            <v>FB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AE356">
            <v>0</v>
          </cell>
          <cell r="AG356" t="str">
            <v>SO2</v>
          </cell>
          <cell r="AJ356">
            <v>0</v>
          </cell>
        </row>
        <row r="357">
          <cell r="A357" t="str">
            <v>UEC</v>
          </cell>
          <cell r="B357" t="str">
            <v>54</v>
          </cell>
          <cell r="C357" t="str">
            <v>086</v>
          </cell>
          <cell r="D357" t="str">
            <v>INTGEN</v>
          </cell>
          <cell r="E357" t="str">
            <v>FI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AE357">
            <v>0</v>
          </cell>
          <cell r="AG357"/>
          <cell r="AJ357">
            <v>0</v>
          </cell>
        </row>
        <row r="358">
          <cell r="A358" t="str">
            <v>UEC</v>
          </cell>
          <cell r="B358" t="str">
            <v>57</v>
          </cell>
          <cell r="C358" t="str">
            <v>086</v>
          </cell>
          <cell r="D358" t="str">
            <v>501002</v>
          </cell>
          <cell r="E358" t="str">
            <v>FB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AE358">
            <v>0</v>
          </cell>
          <cell r="AG358" t="str">
            <v>Oil</v>
          </cell>
          <cell r="AJ358">
            <v>0</v>
          </cell>
        </row>
        <row r="359">
          <cell r="A359" t="str">
            <v>UEC</v>
          </cell>
          <cell r="B359" t="str">
            <v>57</v>
          </cell>
          <cell r="C359" t="str">
            <v>086</v>
          </cell>
          <cell r="D359" t="str">
            <v>501003</v>
          </cell>
          <cell r="E359" t="str">
            <v>FB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AE359">
            <v>0</v>
          </cell>
          <cell r="AG359" t="str">
            <v>Gas</v>
          </cell>
          <cell r="AJ359">
            <v>0</v>
          </cell>
        </row>
        <row r="360">
          <cell r="A360" t="str">
            <v>UEC</v>
          </cell>
          <cell r="B360" t="str">
            <v>57</v>
          </cell>
          <cell r="C360" t="str">
            <v>086</v>
          </cell>
          <cell r="D360" t="str">
            <v>501012</v>
          </cell>
          <cell r="E360" t="str">
            <v>FI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AE360">
            <v>0</v>
          </cell>
          <cell r="AG360" t="str">
            <v>Oil</v>
          </cell>
          <cell r="AJ360">
            <v>0</v>
          </cell>
        </row>
        <row r="361">
          <cell r="A361" t="str">
            <v>UEC</v>
          </cell>
          <cell r="B361" t="str">
            <v>57</v>
          </cell>
          <cell r="C361" t="str">
            <v>086</v>
          </cell>
          <cell r="D361" t="str">
            <v>501012</v>
          </cell>
          <cell r="E361" t="str">
            <v>FI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AE361">
            <v>0</v>
          </cell>
          <cell r="AG361" t="str">
            <v>Oil</v>
          </cell>
          <cell r="AJ361">
            <v>0</v>
          </cell>
        </row>
        <row r="362">
          <cell r="A362" t="str">
            <v>UEC</v>
          </cell>
          <cell r="B362" t="str">
            <v>57</v>
          </cell>
          <cell r="C362" t="str">
            <v>086</v>
          </cell>
          <cell r="D362" t="str">
            <v>501013</v>
          </cell>
          <cell r="E362" t="str">
            <v>FI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AE362">
            <v>0</v>
          </cell>
          <cell r="AG362" t="str">
            <v>Gas</v>
          </cell>
          <cell r="AJ362">
            <v>0</v>
          </cell>
        </row>
        <row r="363">
          <cell r="A363" t="str">
            <v>UEC</v>
          </cell>
          <cell r="B363" t="str">
            <v>57</v>
          </cell>
          <cell r="C363" t="str">
            <v>086</v>
          </cell>
          <cell r="D363" t="str">
            <v>501013</v>
          </cell>
          <cell r="E363" t="str">
            <v>FI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AE363">
            <v>0</v>
          </cell>
          <cell r="AG363" t="str">
            <v>Gas</v>
          </cell>
          <cell r="AJ363">
            <v>0</v>
          </cell>
        </row>
        <row r="364">
          <cell r="A364" t="str">
            <v>UEC</v>
          </cell>
          <cell r="B364" t="str">
            <v>57</v>
          </cell>
          <cell r="C364" t="str">
            <v>086</v>
          </cell>
          <cell r="D364" t="str">
            <v>549</v>
          </cell>
          <cell r="E364" t="str">
            <v>FB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AE364">
            <v>0</v>
          </cell>
          <cell r="AG364"/>
          <cell r="AJ364">
            <v>0</v>
          </cell>
        </row>
        <row r="365">
          <cell r="A365" t="str">
            <v>UEC</v>
          </cell>
          <cell r="B365" t="str">
            <v>58</v>
          </cell>
          <cell r="C365" t="str">
            <v>086</v>
          </cell>
          <cell r="D365" t="str">
            <v>INTGEN</v>
          </cell>
          <cell r="E365" t="str">
            <v>FI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AE365">
            <v>0</v>
          </cell>
          <cell r="AG365"/>
          <cell r="AJ365">
            <v>0</v>
          </cell>
        </row>
        <row r="366">
          <cell r="A366" t="str">
            <v>UEC</v>
          </cell>
          <cell r="B366" t="str">
            <v>58</v>
          </cell>
          <cell r="C366" t="str">
            <v>086</v>
          </cell>
          <cell r="D366" t="str">
            <v>501001</v>
          </cell>
          <cell r="E366" t="str">
            <v>FB</v>
          </cell>
          <cell r="G366">
            <v>913362.66</v>
          </cell>
          <cell r="H366">
            <v>842180.19</v>
          </cell>
          <cell r="I366">
            <v>758018.49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AE366">
            <v>758018.49</v>
          </cell>
          <cell r="AG366" t="str">
            <v>Coal</v>
          </cell>
          <cell r="AJ366">
            <v>2513561.34</v>
          </cell>
        </row>
        <row r="367">
          <cell r="A367" t="str">
            <v>UEC</v>
          </cell>
          <cell r="B367" t="str">
            <v>58</v>
          </cell>
          <cell r="C367" t="str">
            <v>086</v>
          </cell>
          <cell r="D367" t="str">
            <v>501001</v>
          </cell>
          <cell r="E367" t="str">
            <v>BX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AE367">
            <v>0</v>
          </cell>
          <cell r="AG367" t="str">
            <v>Coal</v>
          </cell>
          <cell r="AJ367">
            <v>0</v>
          </cell>
        </row>
        <row r="368">
          <cell r="A368" t="str">
            <v>UEC</v>
          </cell>
          <cell r="B368" t="str">
            <v>58</v>
          </cell>
          <cell r="C368" t="str">
            <v>086</v>
          </cell>
          <cell r="D368" t="str">
            <v>501001</v>
          </cell>
          <cell r="E368" t="str">
            <v>FB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AE368">
            <v>0</v>
          </cell>
          <cell r="AG368" t="str">
            <v>Coal</v>
          </cell>
          <cell r="AJ368">
            <v>0</v>
          </cell>
        </row>
        <row r="369">
          <cell r="A369" t="str">
            <v>UEC</v>
          </cell>
          <cell r="B369" t="str">
            <v>58</v>
          </cell>
          <cell r="C369" t="str">
            <v>086</v>
          </cell>
          <cell r="D369" t="str">
            <v>501001</v>
          </cell>
          <cell r="E369" t="str">
            <v>34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AE369">
            <v>0</v>
          </cell>
          <cell r="AG369" t="str">
            <v>Coal</v>
          </cell>
          <cell r="AJ369">
            <v>0</v>
          </cell>
        </row>
        <row r="370">
          <cell r="A370" t="str">
            <v>UEC</v>
          </cell>
          <cell r="B370" t="str">
            <v>58</v>
          </cell>
          <cell r="C370" t="str">
            <v>086</v>
          </cell>
          <cell r="D370" t="str">
            <v>501001</v>
          </cell>
          <cell r="E370" t="str">
            <v>FB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AE370">
            <v>0</v>
          </cell>
          <cell r="AG370" t="str">
            <v>Coal</v>
          </cell>
          <cell r="AJ370">
            <v>0</v>
          </cell>
        </row>
        <row r="371">
          <cell r="A371" t="str">
            <v>UEC</v>
          </cell>
          <cell r="B371" t="str">
            <v>58</v>
          </cell>
          <cell r="C371" t="str">
            <v>086</v>
          </cell>
          <cell r="D371" t="str">
            <v>501001</v>
          </cell>
          <cell r="E371" t="str">
            <v>FI</v>
          </cell>
          <cell r="G371">
            <v>32147.34</v>
          </cell>
          <cell r="H371">
            <v>26942.81</v>
          </cell>
          <cell r="I371">
            <v>222600.51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AE371">
            <v>222600.51</v>
          </cell>
          <cell r="AG371" t="str">
            <v>Coal</v>
          </cell>
          <cell r="AJ371">
            <v>281690.66000000003</v>
          </cell>
        </row>
        <row r="372">
          <cell r="A372" t="str">
            <v>UEC</v>
          </cell>
          <cell r="B372" t="str">
            <v>58</v>
          </cell>
          <cell r="C372" t="str">
            <v>086</v>
          </cell>
          <cell r="D372" t="str">
            <v>501001</v>
          </cell>
          <cell r="E372" t="str">
            <v>FI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AE372">
            <v>0</v>
          </cell>
          <cell r="AG372" t="str">
            <v>Coal</v>
          </cell>
          <cell r="AJ372">
            <v>0</v>
          </cell>
        </row>
        <row r="373">
          <cell r="A373" t="str">
            <v>UEC</v>
          </cell>
          <cell r="B373" t="str">
            <v>58</v>
          </cell>
          <cell r="C373" t="str">
            <v>086</v>
          </cell>
          <cell r="D373" t="str">
            <v>501002</v>
          </cell>
          <cell r="E373" t="str">
            <v>FB</v>
          </cell>
          <cell r="G373">
            <v>57313.75</v>
          </cell>
          <cell r="H373">
            <v>21046.68</v>
          </cell>
          <cell r="I373">
            <v>12711.99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AE373">
            <v>12711.99</v>
          </cell>
          <cell r="AG373" t="str">
            <v>Oil</v>
          </cell>
          <cell r="AJ373">
            <v>91072.42</v>
          </cell>
        </row>
        <row r="374">
          <cell r="A374" t="str">
            <v>UEC</v>
          </cell>
          <cell r="B374" t="str">
            <v>58</v>
          </cell>
          <cell r="C374" t="str">
            <v>086</v>
          </cell>
          <cell r="D374" t="str">
            <v>501005</v>
          </cell>
          <cell r="E374" t="str">
            <v>FB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AE374">
            <v>0</v>
          </cell>
          <cell r="AG374" t="str">
            <v>Oil</v>
          </cell>
          <cell r="AJ374">
            <v>0</v>
          </cell>
        </row>
        <row r="375">
          <cell r="A375" t="str">
            <v>UEC</v>
          </cell>
          <cell r="B375" t="str">
            <v>58</v>
          </cell>
          <cell r="C375" t="str">
            <v>086</v>
          </cell>
          <cell r="D375" t="str">
            <v>501011</v>
          </cell>
          <cell r="E375" t="str">
            <v>BX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AE375">
            <v>0</v>
          </cell>
          <cell r="AG375" t="str">
            <v>Coal</v>
          </cell>
          <cell r="AJ375">
            <v>0</v>
          </cell>
        </row>
        <row r="376">
          <cell r="A376" t="str">
            <v>UEC</v>
          </cell>
          <cell r="B376" t="str">
            <v>58</v>
          </cell>
          <cell r="C376" t="str">
            <v>086</v>
          </cell>
          <cell r="D376" t="str">
            <v>501011</v>
          </cell>
          <cell r="E376" t="str">
            <v>FI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AE376">
            <v>0</v>
          </cell>
          <cell r="AG376" t="str">
            <v>Coal</v>
          </cell>
          <cell r="AJ376">
            <v>0</v>
          </cell>
        </row>
        <row r="377">
          <cell r="A377" t="str">
            <v>UEC</v>
          </cell>
          <cell r="B377" t="str">
            <v>58</v>
          </cell>
          <cell r="C377" t="str">
            <v>086</v>
          </cell>
          <cell r="D377" t="str">
            <v>501011</v>
          </cell>
          <cell r="E377" t="str">
            <v>FI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AE377">
            <v>0</v>
          </cell>
          <cell r="AG377" t="str">
            <v>Coal</v>
          </cell>
          <cell r="AJ377">
            <v>0</v>
          </cell>
        </row>
        <row r="378">
          <cell r="A378" t="str">
            <v>UEC</v>
          </cell>
          <cell r="B378" t="str">
            <v>58</v>
          </cell>
          <cell r="C378" t="str">
            <v>086</v>
          </cell>
          <cell r="D378" t="str">
            <v>501012</v>
          </cell>
          <cell r="E378" t="str">
            <v>FI</v>
          </cell>
          <cell r="G378">
            <v>2017.25</v>
          </cell>
          <cell r="H378">
            <v>673.32</v>
          </cell>
          <cell r="I378">
            <v>3733.02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AE378">
            <v>3733.02</v>
          </cell>
          <cell r="AG378" t="str">
            <v>Oil</v>
          </cell>
          <cell r="AJ378">
            <v>6423.59</v>
          </cell>
        </row>
        <row r="379">
          <cell r="A379" t="str">
            <v>UEC</v>
          </cell>
          <cell r="B379" t="str">
            <v>58</v>
          </cell>
          <cell r="C379" t="str">
            <v>086</v>
          </cell>
          <cell r="D379" t="str">
            <v>501012</v>
          </cell>
          <cell r="E379" t="str">
            <v>FI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AE379">
            <v>0</v>
          </cell>
          <cell r="AG379" t="str">
            <v>Oil</v>
          </cell>
          <cell r="AJ379">
            <v>0</v>
          </cell>
        </row>
        <row r="380">
          <cell r="A380" t="str">
            <v>UEC</v>
          </cell>
          <cell r="B380" t="str">
            <v>58</v>
          </cell>
          <cell r="C380" t="str">
            <v>086</v>
          </cell>
          <cell r="D380" t="str">
            <v>501110</v>
          </cell>
          <cell r="E380" t="str">
            <v>FB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AE380">
            <v>0</v>
          </cell>
          <cell r="AG380" t="str">
            <v>Coal</v>
          </cell>
          <cell r="AJ380">
            <v>0</v>
          </cell>
        </row>
        <row r="381">
          <cell r="A381" t="str">
            <v>UEC</v>
          </cell>
          <cell r="B381" t="str">
            <v>58</v>
          </cell>
          <cell r="C381" t="str">
            <v>086</v>
          </cell>
          <cell r="D381" t="str">
            <v>501110</v>
          </cell>
          <cell r="E381" t="str">
            <v>FB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AE381">
            <v>0</v>
          </cell>
          <cell r="AG381" t="str">
            <v>Coal</v>
          </cell>
          <cell r="AJ381">
            <v>0</v>
          </cell>
        </row>
        <row r="382">
          <cell r="A382" t="str">
            <v>UEC</v>
          </cell>
          <cell r="B382" t="str">
            <v>58</v>
          </cell>
          <cell r="C382" t="str">
            <v>086</v>
          </cell>
          <cell r="D382" t="str">
            <v>501110</v>
          </cell>
          <cell r="E382" t="str">
            <v>FI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AE382">
            <v>0</v>
          </cell>
          <cell r="AG382" t="str">
            <v>Coal</v>
          </cell>
          <cell r="AJ382">
            <v>0</v>
          </cell>
        </row>
        <row r="383">
          <cell r="A383" t="str">
            <v>UEC</v>
          </cell>
          <cell r="B383" t="str">
            <v>58</v>
          </cell>
          <cell r="C383" t="str">
            <v>086</v>
          </cell>
          <cell r="D383" t="str">
            <v>501110</v>
          </cell>
          <cell r="E383" t="str">
            <v>FI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AE383">
            <v>0</v>
          </cell>
          <cell r="AG383" t="str">
            <v>Coal</v>
          </cell>
          <cell r="AJ383">
            <v>0</v>
          </cell>
        </row>
        <row r="384">
          <cell r="A384" t="str">
            <v>UEC</v>
          </cell>
          <cell r="B384" t="str">
            <v>58</v>
          </cell>
          <cell r="C384" t="str">
            <v>086</v>
          </cell>
          <cell r="D384" t="str">
            <v>509</v>
          </cell>
          <cell r="E384" t="str">
            <v>FB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AE384">
            <v>0</v>
          </cell>
          <cell r="AG384" t="str">
            <v>SO2</v>
          </cell>
          <cell r="AJ384">
            <v>0</v>
          </cell>
        </row>
        <row r="385">
          <cell r="A385" t="str">
            <v>UEC</v>
          </cell>
          <cell r="B385" t="str">
            <v>59</v>
          </cell>
          <cell r="C385" t="str">
            <v>086</v>
          </cell>
          <cell r="D385" t="str">
            <v>INTGEN</v>
          </cell>
          <cell r="E385" t="str">
            <v>FI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AE385">
            <v>0</v>
          </cell>
          <cell r="AG385"/>
          <cell r="AJ385">
            <v>0</v>
          </cell>
        </row>
        <row r="386">
          <cell r="A386" t="str">
            <v>UEC</v>
          </cell>
          <cell r="B386" t="str">
            <v>62</v>
          </cell>
          <cell r="C386" t="str">
            <v>086</v>
          </cell>
          <cell r="D386" t="str">
            <v>INTGEN</v>
          </cell>
          <cell r="E386" t="str">
            <v>FI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AE386">
            <v>0</v>
          </cell>
          <cell r="AG386"/>
          <cell r="AJ386">
            <v>0</v>
          </cell>
        </row>
        <row r="387">
          <cell r="A387" t="str">
            <v>UEC</v>
          </cell>
          <cell r="B387" t="str">
            <v>62</v>
          </cell>
          <cell r="C387" t="str">
            <v>086</v>
          </cell>
          <cell r="D387" t="str">
            <v>547002</v>
          </cell>
          <cell r="E387" t="str">
            <v>FB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AE387">
            <v>0</v>
          </cell>
          <cell r="AG387" t="str">
            <v>Oil</v>
          </cell>
          <cell r="AJ387">
            <v>0</v>
          </cell>
        </row>
        <row r="388">
          <cell r="A388" t="str">
            <v>UEC</v>
          </cell>
          <cell r="B388" t="str">
            <v>62</v>
          </cell>
          <cell r="C388" t="str">
            <v>086</v>
          </cell>
          <cell r="D388" t="str">
            <v>547003</v>
          </cell>
          <cell r="E388" t="str">
            <v>FB</v>
          </cell>
          <cell r="G388">
            <v>4606.26</v>
          </cell>
          <cell r="H388">
            <v>3100.64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AE388">
            <v>0</v>
          </cell>
          <cell r="AG388" t="str">
            <v>Gas</v>
          </cell>
          <cell r="AJ388">
            <v>7706.9</v>
          </cell>
        </row>
        <row r="389">
          <cell r="A389" t="str">
            <v>UEC</v>
          </cell>
          <cell r="B389" t="str">
            <v>62</v>
          </cell>
          <cell r="C389" t="str">
            <v>086</v>
          </cell>
          <cell r="D389" t="str">
            <v>547003</v>
          </cell>
          <cell r="E389" t="str">
            <v>FB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AE389">
            <v>0</v>
          </cell>
          <cell r="AG389" t="str">
            <v>Gas</v>
          </cell>
          <cell r="AJ389">
            <v>0</v>
          </cell>
        </row>
        <row r="390">
          <cell r="A390" t="str">
            <v>UEC</v>
          </cell>
          <cell r="B390" t="str">
            <v>62</v>
          </cell>
          <cell r="C390" t="str">
            <v>086</v>
          </cell>
          <cell r="D390" t="str">
            <v>547003</v>
          </cell>
          <cell r="E390" t="str">
            <v>FB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AE390">
            <v>0</v>
          </cell>
          <cell r="AG390" t="str">
            <v>Gas</v>
          </cell>
          <cell r="AJ390">
            <v>0</v>
          </cell>
        </row>
        <row r="391">
          <cell r="A391" t="str">
            <v>UEC</v>
          </cell>
          <cell r="B391" t="str">
            <v>62</v>
          </cell>
          <cell r="C391" t="str">
            <v>086</v>
          </cell>
          <cell r="D391" t="str">
            <v>547003</v>
          </cell>
          <cell r="E391" t="str">
            <v>FI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AE391">
            <v>0</v>
          </cell>
          <cell r="AG391" t="str">
            <v>Gas</v>
          </cell>
          <cell r="AJ391">
            <v>0</v>
          </cell>
        </row>
        <row r="392">
          <cell r="A392" t="str">
            <v>UEC</v>
          </cell>
          <cell r="B392" t="str">
            <v>62</v>
          </cell>
          <cell r="C392" t="str">
            <v>086</v>
          </cell>
          <cell r="D392" t="str">
            <v>547012</v>
          </cell>
          <cell r="E392" t="str">
            <v>FI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AE392">
            <v>0</v>
          </cell>
          <cell r="AG392" t="str">
            <v>Oil</v>
          </cell>
          <cell r="AJ392">
            <v>0</v>
          </cell>
        </row>
        <row r="393">
          <cell r="A393" t="str">
            <v>UEC</v>
          </cell>
          <cell r="B393" t="str">
            <v>62</v>
          </cell>
          <cell r="C393" t="str">
            <v>086</v>
          </cell>
          <cell r="D393" t="str">
            <v>547012</v>
          </cell>
          <cell r="E393" t="str">
            <v>FI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AE393">
            <v>0</v>
          </cell>
          <cell r="AG393" t="str">
            <v>Oil</v>
          </cell>
          <cell r="AJ393">
            <v>0</v>
          </cell>
        </row>
        <row r="394">
          <cell r="A394" t="str">
            <v>UEC</v>
          </cell>
          <cell r="B394" t="str">
            <v>62</v>
          </cell>
          <cell r="C394" t="str">
            <v>086</v>
          </cell>
          <cell r="D394" t="str">
            <v>547013</v>
          </cell>
          <cell r="E394" t="str">
            <v>FB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AE394">
            <v>0</v>
          </cell>
          <cell r="AG394" t="str">
            <v>Gas</v>
          </cell>
          <cell r="AJ394">
            <v>0</v>
          </cell>
        </row>
        <row r="395">
          <cell r="A395" t="str">
            <v>UEC</v>
          </cell>
          <cell r="B395" t="str">
            <v>62</v>
          </cell>
          <cell r="C395" t="str">
            <v>086</v>
          </cell>
          <cell r="D395" t="str">
            <v>547013</v>
          </cell>
          <cell r="E395" t="str">
            <v>FI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AE395">
            <v>0</v>
          </cell>
          <cell r="AG395" t="str">
            <v>Gas</v>
          </cell>
          <cell r="AJ395">
            <v>0</v>
          </cell>
        </row>
        <row r="396">
          <cell r="A396" t="str">
            <v>UEC</v>
          </cell>
          <cell r="B396" t="str">
            <v>62</v>
          </cell>
          <cell r="C396" t="str">
            <v>086</v>
          </cell>
          <cell r="D396" t="str">
            <v>547013</v>
          </cell>
          <cell r="E396" t="str">
            <v>FI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AE396">
            <v>0</v>
          </cell>
          <cell r="AG396" t="str">
            <v>Gas</v>
          </cell>
          <cell r="AJ396">
            <v>0</v>
          </cell>
        </row>
        <row r="397">
          <cell r="A397" t="str">
            <v>UEC</v>
          </cell>
          <cell r="B397" t="str">
            <v>62</v>
          </cell>
          <cell r="C397" t="str">
            <v>086</v>
          </cell>
          <cell r="D397" t="str">
            <v>547013</v>
          </cell>
          <cell r="E397" t="str">
            <v>FI</v>
          </cell>
          <cell r="G397">
            <v>13551.74</v>
          </cell>
          <cell r="H397">
            <v>6561.36</v>
          </cell>
          <cell r="I397">
            <v>4751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AE397">
            <v>4751</v>
          </cell>
          <cell r="AG397" t="str">
            <v>Gas</v>
          </cell>
          <cell r="AJ397">
            <v>24864.1</v>
          </cell>
        </row>
        <row r="398">
          <cell r="A398" t="str">
            <v>UEC</v>
          </cell>
          <cell r="B398" t="str">
            <v>62</v>
          </cell>
          <cell r="C398" t="str">
            <v>086</v>
          </cell>
          <cell r="D398" t="str">
            <v>547013</v>
          </cell>
          <cell r="E398" t="str">
            <v>FI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AE398">
            <v>0</v>
          </cell>
          <cell r="AG398" t="str">
            <v>Gas</v>
          </cell>
          <cell r="AJ398">
            <v>0</v>
          </cell>
        </row>
        <row r="399">
          <cell r="A399" t="str">
            <v>UEC</v>
          </cell>
          <cell r="B399" t="str">
            <v>62</v>
          </cell>
          <cell r="C399" t="str">
            <v>034</v>
          </cell>
          <cell r="D399" t="str">
            <v>549</v>
          </cell>
          <cell r="E399" t="str">
            <v>BV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AE399">
            <v>0</v>
          </cell>
          <cell r="AG399"/>
          <cell r="AJ399">
            <v>0</v>
          </cell>
        </row>
        <row r="400">
          <cell r="A400" t="str">
            <v>UEC</v>
          </cell>
          <cell r="B400" t="str">
            <v>63</v>
          </cell>
          <cell r="C400" t="str">
            <v>086</v>
          </cell>
          <cell r="D400" t="str">
            <v>INTGEN</v>
          </cell>
          <cell r="E400" t="str">
            <v>FI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AE400">
            <v>0</v>
          </cell>
          <cell r="AG400"/>
          <cell r="AJ400">
            <v>0</v>
          </cell>
        </row>
        <row r="401">
          <cell r="A401" t="str">
            <v>UEC</v>
          </cell>
          <cell r="B401" t="str">
            <v>63</v>
          </cell>
          <cell r="C401" t="str">
            <v>086</v>
          </cell>
          <cell r="D401" t="str">
            <v>501001</v>
          </cell>
          <cell r="E401" t="str">
            <v>FB</v>
          </cell>
          <cell r="G401">
            <v>155119.93</v>
          </cell>
          <cell r="H401">
            <v>169207.49</v>
          </cell>
          <cell r="I401">
            <v>114744.86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AE401">
            <v>114744.86</v>
          </cell>
          <cell r="AG401" t="str">
            <v>Coal</v>
          </cell>
          <cell r="AJ401">
            <v>439072.27999999997</v>
          </cell>
        </row>
        <row r="402">
          <cell r="A402" t="str">
            <v>UEC</v>
          </cell>
          <cell r="B402" t="str">
            <v>63</v>
          </cell>
          <cell r="C402" t="str">
            <v>086</v>
          </cell>
          <cell r="D402" t="str">
            <v>501001</v>
          </cell>
          <cell r="E402" t="str">
            <v>FB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AE402">
            <v>0</v>
          </cell>
          <cell r="AG402" t="str">
            <v>Coal</v>
          </cell>
          <cell r="AJ402">
            <v>0</v>
          </cell>
        </row>
        <row r="403">
          <cell r="A403" t="str">
            <v>UEC</v>
          </cell>
          <cell r="B403" t="str">
            <v>63</v>
          </cell>
          <cell r="C403" t="str">
            <v>086</v>
          </cell>
          <cell r="D403" t="str">
            <v>501001</v>
          </cell>
          <cell r="E403" t="str">
            <v>34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AE403">
            <v>0</v>
          </cell>
          <cell r="AG403" t="str">
            <v>Coal</v>
          </cell>
          <cell r="AJ403">
            <v>0</v>
          </cell>
        </row>
        <row r="404">
          <cell r="A404" t="str">
            <v>UEC</v>
          </cell>
          <cell r="B404" t="str">
            <v>63</v>
          </cell>
          <cell r="C404" t="str">
            <v>086</v>
          </cell>
          <cell r="D404" t="str">
            <v>501001</v>
          </cell>
          <cell r="E404" t="str">
            <v>FB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AE404">
            <v>0</v>
          </cell>
          <cell r="AG404" t="str">
            <v>Coal</v>
          </cell>
          <cell r="AJ404">
            <v>0</v>
          </cell>
        </row>
        <row r="405">
          <cell r="A405" t="str">
            <v>UEC</v>
          </cell>
          <cell r="B405" t="str">
            <v>63</v>
          </cell>
          <cell r="C405" t="str">
            <v>086</v>
          </cell>
          <cell r="D405" t="str">
            <v>501001</v>
          </cell>
          <cell r="E405" t="str">
            <v>FI</v>
          </cell>
          <cell r="G405">
            <v>44007.07</v>
          </cell>
          <cell r="H405">
            <v>62266.51</v>
          </cell>
          <cell r="I405">
            <v>129393.14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AE405">
            <v>129393.14</v>
          </cell>
          <cell r="AG405" t="str">
            <v>Coal</v>
          </cell>
          <cell r="AJ405">
            <v>235666.72</v>
          </cell>
        </row>
        <row r="406">
          <cell r="A406" t="str">
            <v>UEC</v>
          </cell>
          <cell r="B406" t="str">
            <v>63</v>
          </cell>
          <cell r="C406" t="str">
            <v>086</v>
          </cell>
          <cell r="D406" t="str">
            <v>501001</v>
          </cell>
          <cell r="E406" t="str">
            <v>FI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AE406">
            <v>0</v>
          </cell>
          <cell r="AG406" t="str">
            <v>Coal</v>
          </cell>
          <cell r="AJ406">
            <v>0</v>
          </cell>
        </row>
        <row r="407">
          <cell r="A407" t="str">
            <v>UEC</v>
          </cell>
          <cell r="B407" t="str">
            <v>63</v>
          </cell>
          <cell r="C407" t="str">
            <v>086</v>
          </cell>
          <cell r="D407" t="str">
            <v>501002</v>
          </cell>
          <cell r="E407" t="str">
            <v>FB</v>
          </cell>
          <cell r="G407">
            <v>74063.429999999993</v>
          </cell>
          <cell r="H407">
            <v>135.24</v>
          </cell>
          <cell r="I407">
            <v>546.61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AE407">
            <v>546.61</v>
          </cell>
          <cell r="AG407" t="str">
            <v>Oil</v>
          </cell>
          <cell r="AJ407">
            <v>74745.279999999999</v>
          </cell>
        </row>
        <row r="408">
          <cell r="A408" t="str">
            <v>UEC</v>
          </cell>
          <cell r="B408" t="str">
            <v>63</v>
          </cell>
          <cell r="C408" t="str">
            <v>086</v>
          </cell>
          <cell r="D408" t="str">
            <v>501011</v>
          </cell>
          <cell r="E408" t="str">
            <v>FI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AE408">
            <v>0</v>
          </cell>
          <cell r="AG408" t="str">
            <v>Coal</v>
          </cell>
          <cell r="AJ408">
            <v>0</v>
          </cell>
        </row>
        <row r="409">
          <cell r="A409" t="str">
            <v>UEC</v>
          </cell>
          <cell r="B409" t="str">
            <v>63</v>
          </cell>
          <cell r="C409" t="str">
            <v>086</v>
          </cell>
          <cell r="D409" t="str">
            <v>501011</v>
          </cell>
          <cell r="E409" t="str">
            <v>FI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AE409">
            <v>0</v>
          </cell>
          <cell r="AG409" t="str">
            <v>Coal</v>
          </cell>
          <cell r="AJ409">
            <v>0</v>
          </cell>
        </row>
        <row r="410">
          <cell r="A410" t="str">
            <v>UEC</v>
          </cell>
          <cell r="B410" t="str">
            <v>63</v>
          </cell>
          <cell r="C410" t="str">
            <v>086</v>
          </cell>
          <cell r="D410" t="str">
            <v>501012</v>
          </cell>
          <cell r="E410" t="str">
            <v>FI</v>
          </cell>
          <cell r="G410">
            <v>21011.58</v>
          </cell>
          <cell r="H410">
            <v>49.77</v>
          </cell>
          <cell r="I410">
            <v>616.39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AE410">
            <v>616.39</v>
          </cell>
          <cell r="AG410" t="str">
            <v>Oil</v>
          </cell>
          <cell r="AJ410">
            <v>21677.74</v>
          </cell>
        </row>
        <row r="411">
          <cell r="A411" t="str">
            <v>UEC</v>
          </cell>
          <cell r="B411" t="str">
            <v>63</v>
          </cell>
          <cell r="C411" t="str">
            <v>086</v>
          </cell>
          <cell r="D411" t="str">
            <v>501012</v>
          </cell>
          <cell r="E411" t="str">
            <v>FI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AE411">
            <v>0</v>
          </cell>
          <cell r="AG411" t="str">
            <v>Oil</v>
          </cell>
          <cell r="AJ411">
            <v>0</v>
          </cell>
        </row>
        <row r="412">
          <cell r="A412" t="str">
            <v>UEC</v>
          </cell>
          <cell r="B412" t="str">
            <v>63</v>
          </cell>
          <cell r="C412" t="str">
            <v>086</v>
          </cell>
          <cell r="D412" t="str">
            <v>501110</v>
          </cell>
          <cell r="E412" t="str">
            <v>FB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AE412">
            <v>0</v>
          </cell>
          <cell r="AG412" t="str">
            <v>Coal</v>
          </cell>
          <cell r="AJ412">
            <v>0</v>
          </cell>
        </row>
        <row r="413">
          <cell r="A413" t="str">
            <v>UEC</v>
          </cell>
          <cell r="B413" t="str">
            <v>63</v>
          </cell>
          <cell r="C413" t="str">
            <v>086</v>
          </cell>
          <cell r="D413" t="str">
            <v>501110</v>
          </cell>
          <cell r="E413" t="str">
            <v>FB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AE413">
            <v>0</v>
          </cell>
          <cell r="AG413" t="str">
            <v>Coal</v>
          </cell>
          <cell r="AJ413">
            <v>0</v>
          </cell>
        </row>
        <row r="414">
          <cell r="A414" t="str">
            <v>UEC</v>
          </cell>
          <cell r="B414" t="str">
            <v>63</v>
          </cell>
          <cell r="C414" t="str">
            <v>086</v>
          </cell>
          <cell r="D414" t="str">
            <v>501110</v>
          </cell>
          <cell r="E414" t="str">
            <v>FI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AE414">
            <v>0</v>
          </cell>
          <cell r="AG414" t="str">
            <v>Coal</v>
          </cell>
          <cell r="AJ414">
            <v>0</v>
          </cell>
        </row>
        <row r="415">
          <cell r="A415" t="str">
            <v>UEC</v>
          </cell>
          <cell r="B415" t="str">
            <v>63</v>
          </cell>
          <cell r="C415" t="str">
            <v>086</v>
          </cell>
          <cell r="D415" t="str">
            <v>501110</v>
          </cell>
          <cell r="E415" t="str">
            <v>FI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AE415">
            <v>0</v>
          </cell>
          <cell r="AG415" t="str">
            <v>Coal</v>
          </cell>
          <cell r="AJ415">
            <v>0</v>
          </cell>
        </row>
        <row r="416">
          <cell r="A416" t="str">
            <v>UEC</v>
          </cell>
          <cell r="B416" t="str">
            <v>63</v>
          </cell>
          <cell r="C416" t="str">
            <v>086</v>
          </cell>
          <cell r="D416" t="str">
            <v>509</v>
          </cell>
          <cell r="E416" t="str">
            <v>FB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AE416">
            <v>0</v>
          </cell>
          <cell r="AG416" t="str">
            <v>SO2</v>
          </cell>
          <cell r="AJ416">
            <v>0</v>
          </cell>
        </row>
        <row r="417">
          <cell r="A417" t="str">
            <v>UEC</v>
          </cell>
          <cell r="B417" t="str">
            <v>65</v>
          </cell>
          <cell r="C417" t="str">
            <v>086</v>
          </cell>
          <cell r="D417" t="str">
            <v>INTGEN</v>
          </cell>
          <cell r="E417" t="str">
            <v>FI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AE417">
            <v>0</v>
          </cell>
          <cell r="AG417"/>
          <cell r="AJ417">
            <v>0</v>
          </cell>
        </row>
        <row r="418">
          <cell r="A418" t="str">
            <v>UEC</v>
          </cell>
          <cell r="B418" t="str">
            <v>65</v>
          </cell>
          <cell r="C418" t="str">
            <v>034</v>
          </cell>
          <cell r="D418" t="str">
            <v>120010</v>
          </cell>
          <cell r="E418" t="str">
            <v>BF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AE418">
            <v>0</v>
          </cell>
          <cell r="AG418"/>
          <cell r="AJ418">
            <v>0</v>
          </cell>
        </row>
        <row r="419">
          <cell r="A419" t="str">
            <v>UEC</v>
          </cell>
          <cell r="B419" t="str">
            <v>65</v>
          </cell>
          <cell r="C419" t="str">
            <v>034</v>
          </cell>
          <cell r="D419" t="str">
            <v>120010</v>
          </cell>
          <cell r="E419" t="str">
            <v>EI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AE419">
            <v>0</v>
          </cell>
          <cell r="AG419"/>
          <cell r="AJ419">
            <v>0</v>
          </cell>
        </row>
        <row r="420">
          <cell r="A420" t="str">
            <v>UEC</v>
          </cell>
          <cell r="B420" t="str">
            <v>65</v>
          </cell>
          <cell r="C420" t="str">
            <v>034</v>
          </cell>
          <cell r="D420" t="str">
            <v>120010</v>
          </cell>
          <cell r="E420" t="str">
            <v>EX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AE420">
            <v>0</v>
          </cell>
          <cell r="AG420"/>
          <cell r="AJ420">
            <v>0</v>
          </cell>
        </row>
        <row r="421">
          <cell r="A421" t="str">
            <v>UEC</v>
          </cell>
          <cell r="B421" t="str">
            <v>65</v>
          </cell>
          <cell r="C421" t="str">
            <v>034</v>
          </cell>
          <cell r="D421" t="str">
            <v>120010</v>
          </cell>
          <cell r="E421" t="str">
            <v>34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AE421">
            <v>0</v>
          </cell>
          <cell r="AG421"/>
          <cell r="AJ421">
            <v>0</v>
          </cell>
        </row>
        <row r="422">
          <cell r="A422" t="str">
            <v>UEC</v>
          </cell>
          <cell r="B422" t="str">
            <v>65</v>
          </cell>
          <cell r="C422" t="str">
            <v>034</v>
          </cell>
          <cell r="D422" t="str">
            <v>120010</v>
          </cell>
          <cell r="E422" t="str">
            <v>FB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AE422">
            <v>0</v>
          </cell>
          <cell r="AG422"/>
          <cell r="AJ422">
            <v>0</v>
          </cell>
        </row>
        <row r="423">
          <cell r="A423" t="str">
            <v>UEC</v>
          </cell>
          <cell r="B423" t="str">
            <v>65</v>
          </cell>
          <cell r="C423" t="str">
            <v>034</v>
          </cell>
          <cell r="D423" t="str">
            <v>120010</v>
          </cell>
          <cell r="E423" t="str">
            <v>BF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AE423">
            <v>0</v>
          </cell>
          <cell r="AG423"/>
          <cell r="AJ423">
            <v>0</v>
          </cell>
        </row>
        <row r="424">
          <cell r="A424" t="str">
            <v>UEC</v>
          </cell>
          <cell r="B424" t="str">
            <v>65</v>
          </cell>
          <cell r="C424" t="str">
            <v>034</v>
          </cell>
          <cell r="D424" t="str">
            <v>120010</v>
          </cell>
          <cell r="E424" t="str">
            <v>EI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AE424">
            <v>0</v>
          </cell>
          <cell r="AG424"/>
          <cell r="AJ424">
            <v>0</v>
          </cell>
        </row>
        <row r="425">
          <cell r="A425" t="str">
            <v>UEC</v>
          </cell>
          <cell r="B425" t="str">
            <v>65</v>
          </cell>
          <cell r="C425" t="str">
            <v>034</v>
          </cell>
          <cell r="D425" t="str">
            <v>120010</v>
          </cell>
          <cell r="E425" t="str">
            <v>BF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AE425">
            <v>0</v>
          </cell>
          <cell r="AG425"/>
          <cell r="AJ425">
            <v>0</v>
          </cell>
        </row>
        <row r="426">
          <cell r="A426" t="str">
            <v>UEC</v>
          </cell>
          <cell r="B426" t="str">
            <v>65</v>
          </cell>
          <cell r="C426" t="str">
            <v>034</v>
          </cell>
          <cell r="D426" t="str">
            <v>120012</v>
          </cell>
          <cell r="E426" t="str">
            <v>BF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AE426">
            <v>0</v>
          </cell>
          <cell r="AG426"/>
          <cell r="AJ426">
            <v>0</v>
          </cell>
        </row>
        <row r="427">
          <cell r="A427" t="str">
            <v>UEC</v>
          </cell>
          <cell r="B427" t="str">
            <v>65</v>
          </cell>
          <cell r="C427" t="str">
            <v>034</v>
          </cell>
          <cell r="D427" t="str">
            <v>120012</v>
          </cell>
          <cell r="E427" t="str">
            <v>EI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AE427">
            <v>0</v>
          </cell>
          <cell r="AG427"/>
          <cell r="AJ427">
            <v>0</v>
          </cell>
        </row>
        <row r="428">
          <cell r="A428" t="str">
            <v>UEC</v>
          </cell>
          <cell r="B428" t="str">
            <v>65</v>
          </cell>
          <cell r="C428" t="str">
            <v>034</v>
          </cell>
          <cell r="D428" t="str">
            <v>120012</v>
          </cell>
          <cell r="E428" t="str">
            <v>BF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AE428">
            <v>0</v>
          </cell>
          <cell r="AG428"/>
          <cell r="AJ428">
            <v>0</v>
          </cell>
        </row>
        <row r="429">
          <cell r="A429" t="str">
            <v>UEC</v>
          </cell>
          <cell r="B429" t="str">
            <v>65</v>
          </cell>
          <cell r="C429" t="str">
            <v>034</v>
          </cell>
          <cell r="D429" t="str">
            <v>120012</v>
          </cell>
          <cell r="E429" t="str">
            <v>EI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AE429">
            <v>0</v>
          </cell>
          <cell r="AG429"/>
          <cell r="AJ429">
            <v>0</v>
          </cell>
        </row>
        <row r="430">
          <cell r="A430" t="str">
            <v>UEC</v>
          </cell>
          <cell r="B430" t="str">
            <v>65</v>
          </cell>
          <cell r="C430" t="str">
            <v>034</v>
          </cell>
          <cell r="D430" t="str">
            <v>120013</v>
          </cell>
          <cell r="E430" t="str">
            <v>BF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AE430">
            <v>0</v>
          </cell>
          <cell r="AG430" t="str">
            <v>Nuc</v>
          </cell>
          <cell r="AJ430">
            <v>0</v>
          </cell>
        </row>
        <row r="431">
          <cell r="A431" t="str">
            <v>UEC</v>
          </cell>
          <cell r="B431" t="str">
            <v>65</v>
          </cell>
          <cell r="C431" t="str">
            <v>034</v>
          </cell>
          <cell r="D431" t="str">
            <v>120013</v>
          </cell>
          <cell r="E431" t="str">
            <v>DC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AE431">
            <v>0</v>
          </cell>
          <cell r="AG431" t="str">
            <v>Nuc</v>
          </cell>
          <cell r="AJ431">
            <v>0</v>
          </cell>
        </row>
        <row r="432">
          <cell r="A432" t="str">
            <v>UEC</v>
          </cell>
          <cell r="B432" t="str">
            <v>65</v>
          </cell>
          <cell r="C432" t="str">
            <v>034</v>
          </cell>
          <cell r="D432" t="str">
            <v>120013</v>
          </cell>
          <cell r="E432" t="str">
            <v>EI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AE432">
            <v>0</v>
          </cell>
          <cell r="AG432" t="str">
            <v>Nuc</v>
          </cell>
          <cell r="AJ432">
            <v>0</v>
          </cell>
        </row>
        <row r="433">
          <cell r="A433" t="str">
            <v>UEC</v>
          </cell>
          <cell r="B433" t="str">
            <v>65</v>
          </cell>
          <cell r="C433" t="str">
            <v>034</v>
          </cell>
          <cell r="D433" t="str">
            <v>120013</v>
          </cell>
          <cell r="E433" t="str">
            <v>BF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AE433">
            <v>0</v>
          </cell>
          <cell r="AG433" t="str">
            <v>Nuc</v>
          </cell>
          <cell r="AJ433">
            <v>0</v>
          </cell>
        </row>
        <row r="434">
          <cell r="A434" t="str">
            <v>UEC</v>
          </cell>
          <cell r="B434" t="str">
            <v>65</v>
          </cell>
          <cell r="C434" t="str">
            <v>034</v>
          </cell>
          <cell r="D434" t="str">
            <v>120013</v>
          </cell>
          <cell r="E434" t="str">
            <v>EI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AE434">
            <v>0</v>
          </cell>
          <cell r="AG434" t="str">
            <v>Nuc</v>
          </cell>
          <cell r="AJ434">
            <v>0</v>
          </cell>
        </row>
        <row r="435">
          <cell r="A435" t="str">
            <v>UEC</v>
          </cell>
          <cell r="B435" t="str">
            <v>65</v>
          </cell>
          <cell r="C435" t="str">
            <v>034</v>
          </cell>
          <cell r="D435" t="str">
            <v>120013</v>
          </cell>
          <cell r="E435" t="str">
            <v>EX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AE435">
            <v>0</v>
          </cell>
          <cell r="AG435" t="str">
            <v>Nuc</v>
          </cell>
          <cell r="AJ435">
            <v>0</v>
          </cell>
        </row>
        <row r="436">
          <cell r="A436" t="str">
            <v>UEC</v>
          </cell>
          <cell r="B436" t="str">
            <v>65</v>
          </cell>
          <cell r="C436" t="str">
            <v>034</v>
          </cell>
          <cell r="D436" t="str">
            <v>120013</v>
          </cell>
          <cell r="E436" t="str">
            <v>80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AE436">
            <v>0</v>
          </cell>
          <cell r="AG436" t="str">
            <v>Nuc</v>
          </cell>
          <cell r="AJ436">
            <v>0</v>
          </cell>
        </row>
        <row r="437">
          <cell r="A437" t="str">
            <v>UEC</v>
          </cell>
          <cell r="B437" t="str">
            <v>65</v>
          </cell>
          <cell r="C437" t="str">
            <v>086</v>
          </cell>
          <cell r="D437" t="str">
            <v>120013</v>
          </cell>
          <cell r="E437" t="str">
            <v>EX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AE437">
            <v>0</v>
          </cell>
          <cell r="AG437" t="str">
            <v>Nuc</v>
          </cell>
          <cell r="AJ437">
            <v>0</v>
          </cell>
        </row>
        <row r="438">
          <cell r="A438" t="str">
            <v>UEC</v>
          </cell>
          <cell r="B438" t="str">
            <v>65</v>
          </cell>
          <cell r="C438" t="str">
            <v>034</v>
          </cell>
          <cell r="D438" t="str">
            <v>120020</v>
          </cell>
          <cell r="E438" t="str">
            <v>EI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AE438">
            <v>0</v>
          </cell>
          <cell r="AG438"/>
          <cell r="AJ438">
            <v>0</v>
          </cell>
        </row>
        <row r="439">
          <cell r="A439" t="str">
            <v>UEC</v>
          </cell>
          <cell r="B439" t="str">
            <v>65</v>
          </cell>
          <cell r="C439" t="str">
            <v>034</v>
          </cell>
          <cell r="D439" t="str">
            <v>120020</v>
          </cell>
          <cell r="E439" t="str">
            <v>EX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AE439">
            <v>0</v>
          </cell>
          <cell r="AG439"/>
          <cell r="AJ439">
            <v>0</v>
          </cell>
        </row>
        <row r="440">
          <cell r="A440" t="str">
            <v>UEC</v>
          </cell>
          <cell r="B440" t="str">
            <v>65</v>
          </cell>
          <cell r="C440" t="str">
            <v>034</v>
          </cell>
          <cell r="D440" t="str">
            <v>120020</v>
          </cell>
          <cell r="E440" t="str">
            <v>BF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AE440">
            <v>0</v>
          </cell>
          <cell r="AG440"/>
          <cell r="AJ440">
            <v>0</v>
          </cell>
        </row>
        <row r="441">
          <cell r="A441" t="str">
            <v>UEC</v>
          </cell>
          <cell r="B441" t="str">
            <v>65</v>
          </cell>
          <cell r="C441" t="str">
            <v>034</v>
          </cell>
          <cell r="D441" t="str">
            <v>120020</v>
          </cell>
          <cell r="E441" t="str">
            <v>EI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AE441">
            <v>0</v>
          </cell>
          <cell r="AG441"/>
          <cell r="AJ441">
            <v>0</v>
          </cell>
        </row>
        <row r="442">
          <cell r="A442" t="str">
            <v>UEC</v>
          </cell>
          <cell r="B442" t="str">
            <v>65</v>
          </cell>
          <cell r="C442" t="str">
            <v>034</v>
          </cell>
          <cell r="D442" t="str">
            <v>120022</v>
          </cell>
          <cell r="E442" t="str">
            <v>EI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AE442">
            <v>0</v>
          </cell>
          <cell r="AG442"/>
          <cell r="AJ442">
            <v>0</v>
          </cell>
        </row>
        <row r="443">
          <cell r="A443" t="str">
            <v>UEC</v>
          </cell>
          <cell r="B443" t="str">
            <v>65</v>
          </cell>
          <cell r="C443" t="str">
            <v>034</v>
          </cell>
          <cell r="D443" t="str">
            <v>120022</v>
          </cell>
          <cell r="E443" t="str">
            <v>EI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AE443">
            <v>0</v>
          </cell>
          <cell r="AG443"/>
          <cell r="AJ443">
            <v>0</v>
          </cell>
        </row>
        <row r="444">
          <cell r="A444" t="str">
            <v>UEC</v>
          </cell>
          <cell r="B444" t="str">
            <v>65</v>
          </cell>
          <cell r="C444" t="str">
            <v>034</v>
          </cell>
          <cell r="D444" t="str">
            <v>120023</v>
          </cell>
          <cell r="E444" t="str">
            <v>EI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AE444">
            <v>0</v>
          </cell>
          <cell r="AG444"/>
          <cell r="AJ444">
            <v>0</v>
          </cell>
        </row>
        <row r="445">
          <cell r="A445" t="str">
            <v>UEC</v>
          </cell>
          <cell r="B445" t="str">
            <v>65</v>
          </cell>
          <cell r="C445" t="str">
            <v>034</v>
          </cell>
          <cell r="D445" t="str">
            <v>120023</v>
          </cell>
          <cell r="E445" t="str">
            <v>EI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AE445">
            <v>0</v>
          </cell>
          <cell r="AG445"/>
          <cell r="AJ445">
            <v>0</v>
          </cell>
        </row>
        <row r="446">
          <cell r="A446" t="str">
            <v>UEC</v>
          </cell>
          <cell r="B446" t="str">
            <v>65</v>
          </cell>
          <cell r="C446" t="str">
            <v>034</v>
          </cell>
          <cell r="D446" t="str">
            <v>120030</v>
          </cell>
          <cell r="E446" t="str">
            <v>DC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AE446">
            <v>0</v>
          </cell>
          <cell r="AG446"/>
          <cell r="AJ446">
            <v>0</v>
          </cell>
        </row>
        <row r="447">
          <cell r="A447" t="str">
            <v>UEC</v>
          </cell>
          <cell r="B447" t="str">
            <v>65</v>
          </cell>
          <cell r="C447" t="str">
            <v>034</v>
          </cell>
          <cell r="D447" t="str">
            <v>120030</v>
          </cell>
          <cell r="E447" t="str">
            <v>EX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AE447">
            <v>0</v>
          </cell>
          <cell r="AG447"/>
          <cell r="AJ447">
            <v>0</v>
          </cell>
        </row>
        <row r="448">
          <cell r="A448" t="str">
            <v>UEC</v>
          </cell>
          <cell r="B448" t="str">
            <v>65</v>
          </cell>
          <cell r="C448" t="str">
            <v>034</v>
          </cell>
          <cell r="D448" t="str">
            <v>120030</v>
          </cell>
          <cell r="E448" t="str">
            <v>EI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AE448">
            <v>0</v>
          </cell>
          <cell r="AG448"/>
          <cell r="AJ448">
            <v>0</v>
          </cell>
        </row>
        <row r="449">
          <cell r="A449" t="str">
            <v>UEC</v>
          </cell>
          <cell r="B449" t="str">
            <v>65</v>
          </cell>
          <cell r="C449" t="str">
            <v>034</v>
          </cell>
          <cell r="D449" t="str">
            <v>120032</v>
          </cell>
          <cell r="E449" t="str">
            <v>DC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AE449">
            <v>0</v>
          </cell>
          <cell r="AG449"/>
          <cell r="AJ449">
            <v>0</v>
          </cell>
        </row>
        <row r="450">
          <cell r="A450" t="str">
            <v>UEC</v>
          </cell>
          <cell r="B450" t="str">
            <v>65</v>
          </cell>
          <cell r="C450" t="str">
            <v>034</v>
          </cell>
          <cell r="D450" t="str">
            <v>120032</v>
          </cell>
          <cell r="E450" t="str">
            <v>EI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AE450">
            <v>0</v>
          </cell>
          <cell r="AG450"/>
          <cell r="AJ450">
            <v>0</v>
          </cell>
        </row>
        <row r="451">
          <cell r="A451" t="str">
            <v>UEC</v>
          </cell>
          <cell r="B451" t="str">
            <v>65</v>
          </cell>
          <cell r="C451" t="str">
            <v>034</v>
          </cell>
          <cell r="D451" t="str">
            <v>120033</v>
          </cell>
          <cell r="E451" t="str">
            <v>DC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AE451">
            <v>0</v>
          </cell>
          <cell r="AG451"/>
          <cell r="AJ451">
            <v>0</v>
          </cell>
        </row>
        <row r="452">
          <cell r="A452" t="str">
            <v>UEC</v>
          </cell>
          <cell r="B452" t="str">
            <v>65</v>
          </cell>
          <cell r="C452" t="str">
            <v>034</v>
          </cell>
          <cell r="D452" t="str">
            <v>120033</v>
          </cell>
          <cell r="E452" t="str">
            <v>EI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AE452">
            <v>0</v>
          </cell>
          <cell r="AG452"/>
          <cell r="AJ452">
            <v>0</v>
          </cell>
        </row>
        <row r="453">
          <cell r="A453" t="str">
            <v>UEC</v>
          </cell>
          <cell r="B453" t="str">
            <v>65</v>
          </cell>
          <cell r="C453" t="str">
            <v>034</v>
          </cell>
          <cell r="D453" t="str">
            <v>120042</v>
          </cell>
          <cell r="E453" t="str">
            <v>DC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AE453">
            <v>0</v>
          </cell>
          <cell r="AG453"/>
          <cell r="AJ453">
            <v>0</v>
          </cell>
        </row>
        <row r="454">
          <cell r="A454" t="str">
            <v>UEC</v>
          </cell>
          <cell r="B454" t="str">
            <v>65</v>
          </cell>
          <cell r="C454" t="str">
            <v>034</v>
          </cell>
          <cell r="D454" t="str">
            <v>120042</v>
          </cell>
          <cell r="E454" t="str">
            <v>EI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AE454">
            <v>0</v>
          </cell>
          <cell r="AG454"/>
          <cell r="AJ454">
            <v>0</v>
          </cell>
        </row>
        <row r="455">
          <cell r="A455" t="str">
            <v>UEC</v>
          </cell>
          <cell r="B455" t="str">
            <v>65</v>
          </cell>
          <cell r="C455" t="str">
            <v>034</v>
          </cell>
          <cell r="D455" t="str">
            <v>120042</v>
          </cell>
          <cell r="E455" t="str">
            <v>EI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AE455">
            <v>0</v>
          </cell>
          <cell r="AG455"/>
          <cell r="AJ455">
            <v>0</v>
          </cell>
        </row>
        <row r="456">
          <cell r="A456" t="str">
            <v>UEC</v>
          </cell>
          <cell r="B456" t="str">
            <v>65</v>
          </cell>
          <cell r="C456" t="str">
            <v>034</v>
          </cell>
          <cell r="D456" t="str">
            <v>120052</v>
          </cell>
          <cell r="E456" t="str">
            <v>DC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AE456">
            <v>0</v>
          </cell>
          <cell r="AG456"/>
          <cell r="AJ456">
            <v>0</v>
          </cell>
        </row>
        <row r="457">
          <cell r="A457" t="str">
            <v>UEC</v>
          </cell>
          <cell r="B457" t="str">
            <v>65</v>
          </cell>
          <cell r="C457" t="str">
            <v>034</v>
          </cell>
          <cell r="D457" t="str">
            <v>120052</v>
          </cell>
          <cell r="E457" t="str">
            <v>EI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AE457">
            <v>0</v>
          </cell>
          <cell r="AG457"/>
          <cell r="AJ457">
            <v>0</v>
          </cell>
        </row>
        <row r="458">
          <cell r="A458" t="str">
            <v>UEC</v>
          </cell>
          <cell r="B458" t="str">
            <v>65</v>
          </cell>
          <cell r="C458" t="str">
            <v>034</v>
          </cell>
          <cell r="D458" t="str">
            <v>120052</v>
          </cell>
          <cell r="E458" t="str">
            <v>FB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AE458">
            <v>0</v>
          </cell>
          <cell r="AG458"/>
          <cell r="AJ458">
            <v>0</v>
          </cell>
        </row>
        <row r="459">
          <cell r="A459" t="str">
            <v>UEC</v>
          </cell>
          <cell r="B459" t="str">
            <v>65</v>
          </cell>
          <cell r="C459" t="str">
            <v>034</v>
          </cell>
          <cell r="D459" t="str">
            <v>120052</v>
          </cell>
          <cell r="E459" t="str">
            <v>EI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AE459">
            <v>0</v>
          </cell>
          <cell r="AG459"/>
          <cell r="AJ459">
            <v>0</v>
          </cell>
        </row>
        <row r="460">
          <cell r="A460" t="str">
            <v>UEC</v>
          </cell>
          <cell r="B460" t="str">
            <v>65</v>
          </cell>
          <cell r="C460" t="str">
            <v>034</v>
          </cell>
          <cell r="D460" t="str">
            <v>120052</v>
          </cell>
          <cell r="E460" t="str">
            <v>FB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AE460">
            <v>0</v>
          </cell>
          <cell r="AG460"/>
          <cell r="AJ460">
            <v>0</v>
          </cell>
        </row>
        <row r="461">
          <cell r="A461" t="str">
            <v>UEC</v>
          </cell>
          <cell r="B461" t="str">
            <v>65</v>
          </cell>
          <cell r="C461" t="str">
            <v>034</v>
          </cell>
          <cell r="D461" t="str">
            <v>120052</v>
          </cell>
          <cell r="E461" t="str">
            <v>DC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AE461">
            <v>0</v>
          </cell>
          <cell r="AG461"/>
          <cell r="AJ461">
            <v>0</v>
          </cell>
        </row>
        <row r="462">
          <cell r="A462" t="str">
            <v>UEC</v>
          </cell>
          <cell r="B462" t="str">
            <v>65</v>
          </cell>
          <cell r="C462" t="str">
            <v>034</v>
          </cell>
          <cell r="D462" t="str">
            <v>120052</v>
          </cell>
          <cell r="E462" t="str">
            <v>DC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AE462">
            <v>0</v>
          </cell>
          <cell r="AG462"/>
          <cell r="AJ462">
            <v>0</v>
          </cell>
        </row>
        <row r="463">
          <cell r="A463" t="str">
            <v>UEC</v>
          </cell>
          <cell r="B463" t="str">
            <v>65</v>
          </cell>
          <cell r="C463" t="str">
            <v>034</v>
          </cell>
          <cell r="D463" t="str">
            <v>120052</v>
          </cell>
          <cell r="E463" t="str">
            <v>EI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AE463">
            <v>0</v>
          </cell>
          <cell r="AG463"/>
          <cell r="AJ463">
            <v>0</v>
          </cell>
        </row>
        <row r="464">
          <cell r="A464" t="str">
            <v>UEC</v>
          </cell>
          <cell r="B464" t="str">
            <v>65</v>
          </cell>
          <cell r="C464" t="str">
            <v>034</v>
          </cell>
          <cell r="D464" t="str">
            <v>120053</v>
          </cell>
          <cell r="E464" t="str">
            <v>DC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AE464">
            <v>0</v>
          </cell>
          <cell r="AG464"/>
          <cell r="AJ464">
            <v>0</v>
          </cell>
        </row>
        <row r="465">
          <cell r="A465" t="str">
            <v>UEC</v>
          </cell>
          <cell r="B465" t="str">
            <v>65</v>
          </cell>
          <cell r="C465" t="str">
            <v>034</v>
          </cell>
          <cell r="D465" t="str">
            <v>120053</v>
          </cell>
          <cell r="E465" t="str">
            <v>EI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AE465">
            <v>0</v>
          </cell>
          <cell r="AG465"/>
          <cell r="AJ465">
            <v>0</v>
          </cell>
        </row>
        <row r="466">
          <cell r="A466" t="str">
            <v>UEC</v>
          </cell>
          <cell r="B466" t="str">
            <v>65</v>
          </cell>
          <cell r="C466" t="str">
            <v>034</v>
          </cell>
          <cell r="D466" t="str">
            <v>120053</v>
          </cell>
          <cell r="E466" t="str">
            <v>EI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AE466">
            <v>0</v>
          </cell>
          <cell r="AG466"/>
          <cell r="AJ466">
            <v>0</v>
          </cell>
        </row>
        <row r="467">
          <cell r="A467" t="str">
            <v>UEC</v>
          </cell>
          <cell r="B467" t="str">
            <v>65</v>
          </cell>
          <cell r="C467" t="str">
            <v>034</v>
          </cell>
          <cell r="D467" t="str">
            <v>120060</v>
          </cell>
          <cell r="E467" t="str">
            <v>BF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AE467">
            <v>0</v>
          </cell>
          <cell r="AG467"/>
          <cell r="AJ467">
            <v>0</v>
          </cell>
        </row>
        <row r="468">
          <cell r="A468" t="str">
            <v>UEC</v>
          </cell>
          <cell r="B468" t="str">
            <v>65</v>
          </cell>
          <cell r="C468" t="str">
            <v>034</v>
          </cell>
          <cell r="D468" t="str">
            <v>120060</v>
          </cell>
          <cell r="E468" t="str">
            <v>DC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AE468">
            <v>0</v>
          </cell>
          <cell r="AG468"/>
          <cell r="AJ468">
            <v>0</v>
          </cell>
        </row>
        <row r="469">
          <cell r="A469" t="str">
            <v>UEC</v>
          </cell>
          <cell r="B469" t="str">
            <v>65</v>
          </cell>
          <cell r="C469" t="str">
            <v>034</v>
          </cell>
          <cell r="D469" t="str">
            <v>120060</v>
          </cell>
          <cell r="E469" t="str">
            <v>EI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AE469">
            <v>0</v>
          </cell>
          <cell r="AG469"/>
          <cell r="AJ469">
            <v>0</v>
          </cell>
        </row>
        <row r="470">
          <cell r="A470" t="str">
            <v>UEC</v>
          </cell>
          <cell r="B470" t="str">
            <v>65</v>
          </cell>
          <cell r="C470" t="str">
            <v>034</v>
          </cell>
          <cell r="D470" t="str">
            <v>120060</v>
          </cell>
          <cell r="E470" t="str">
            <v>FB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AE470">
            <v>0</v>
          </cell>
          <cell r="AG470"/>
          <cell r="AJ470">
            <v>0</v>
          </cell>
        </row>
        <row r="471">
          <cell r="A471" t="str">
            <v>UEC</v>
          </cell>
          <cell r="B471" t="str">
            <v>65</v>
          </cell>
          <cell r="C471" t="str">
            <v>034</v>
          </cell>
          <cell r="D471" t="str">
            <v>120060</v>
          </cell>
          <cell r="E471" t="str">
            <v>BF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AE471">
            <v>0</v>
          </cell>
          <cell r="AG471"/>
          <cell r="AJ471">
            <v>0</v>
          </cell>
        </row>
        <row r="472">
          <cell r="A472" t="str">
            <v>UEC</v>
          </cell>
          <cell r="B472" t="str">
            <v>65</v>
          </cell>
          <cell r="C472" t="str">
            <v>034</v>
          </cell>
          <cell r="D472" t="str">
            <v>120060</v>
          </cell>
          <cell r="E472" t="str">
            <v>EI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AE472">
            <v>0</v>
          </cell>
          <cell r="AG472"/>
          <cell r="AJ472">
            <v>0</v>
          </cell>
        </row>
        <row r="473">
          <cell r="A473" t="str">
            <v>UEC</v>
          </cell>
          <cell r="B473" t="str">
            <v>65</v>
          </cell>
          <cell r="C473" t="str">
            <v>034</v>
          </cell>
          <cell r="D473" t="str">
            <v>120062</v>
          </cell>
          <cell r="E473" t="str">
            <v>BF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AE473">
            <v>0</v>
          </cell>
          <cell r="AG473"/>
          <cell r="AJ473">
            <v>0</v>
          </cell>
        </row>
        <row r="474">
          <cell r="A474" t="str">
            <v>UEC</v>
          </cell>
          <cell r="B474" t="str">
            <v>65</v>
          </cell>
          <cell r="C474" t="str">
            <v>034</v>
          </cell>
          <cell r="D474" t="str">
            <v>120062</v>
          </cell>
          <cell r="E474" t="str">
            <v>DC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AE474">
            <v>0</v>
          </cell>
          <cell r="AG474"/>
          <cell r="AJ474">
            <v>0</v>
          </cell>
        </row>
        <row r="475">
          <cell r="A475" t="str">
            <v>UEC</v>
          </cell>
          <cell r="B475" t="str">
            <v>65</v>
          </cell>
          <cell r="C475" t="str">
            <v>034</v>
          </cell>
          <cell r="D475" t="str">
            <v>120062</v>
          </cell>
          <cell r="E475" t="str">
            <v>EI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AE475">
            <v>0</v>
          </cell>
          <cell r="AG475"/>
          <cell r="AJ475">
            <v>0</v>
          </cell>
        </row>
        <row r="476">
          <cell r="A476" t="str">
            <v>UEC</v>
          </cell>
          <cell r="B476" t="str">
            <v>65</v>
          </cell>
          <cell r="C476" t="str">
            <v>034</v>
          </cell>
          <cell r="D476" t="str">
            <v>120062</v>
          </cell>
          <cell r="E476" t="str">
            <v>NF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AE476">
            <v>0</v>
          </cell>
          <cell r="AG476"/>
          <cell r="AJ476">
            <v>0</v>
          </cell>
        </row>
        <row r="477">
          <cell r="A477" t="str">
            <v>UEC</v>
          </cell>
          <cell r="B477" t="str">
            <v>65</v>
          </cell>
          <cell r="C477" t="str">
            <v>034</v>
          </cell>
          <cell r="D477" t="str">
            <v>120062</v>
          </cell>
          <cell r="E477" t="str">
            <v>FB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AE477">
            <v>0</v>
          </cell>
          <cell r="AG477"/>
          <cell r="AJ477">
            <v>0</v>
          </cell>
        </row>
        <row r="478">
          <cell r="A478" t="str">
            <v>UEC</v>
          </cell>
          <cell r="B478" t="str">
            <v>65</v>
          </cell>
          <cell r="C478" t="str">
            <v>034</v>
          </cell>
          <cell r="D478" t="str">
            <v>120062</v>
          </cell>
          <cell r="E478" t="str">
            <v>BF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AE478">
            <v>0</v>
          </cell>
          <cell r="AG478"/>
          <cell r="AJ478">
            <v>0</v>
          </cell>
        </row>
        <row r="479">
          <cell r="A479" t="str">
            <v>UEC</v>
          </cell>
          <cell r="B479" t="str">
            <v>65</v>
          </cell>
          <cell r="C479" t="str">
            <v>034</v>
          </cell>
          <cell r="D479" t="str">
            <v>120062</v>
          </cell>
          <cell r="E479" t="str">
            <v>EI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AE479">
            <v>0</v>
          </cell>
          <cell r="AG479"/>
          <cell r="AJ479">
            <v>0</v>
          </cell>
        </row>
        <row r="480">
          <cell r="A480" t="str">
            <v>UEC</v>
          </cell>
          <cell r="B480" t="str">
            <v>65</v>
          </cell>
          <cell r="C480" t="str">
            <v>034</v>
          </cell>
          <cell r="D480" t="str">
            <v>120063</v>
          </cell>
          <cell r="E480" t="str">
            <v>BF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AE480">
            <v>0</v>
          </cell>
          <cell r="AG480"/>
          <cell r="AJ480">
            <v>0</v>
          </cell>
        </row>
        <row r="481">
          <cell r="A481" t="str">
            <v>UEC</v>
          </cell>
          <cell r="B481" t="str">
            <v>65</v>
          </cell>
          <cell r="C481" t="str">
            <v>034</v>
          </cell>
          <cell r="D481" t="str">
            <v>120063</v>
          </cell>
          <cell r="E481" t="str">
            <v>DC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AE481">
            <v>0</v>
          </cell>
          <cell r="AG481"/>
          <cell r="AJ481">
            <v>0</v>
          </cell>
        </row>
        <row r="482">
          <cell r="A482" t="str">
            <v>UEC</v>
          </cell>
          <cell r="B482" t="str">
            <v>65</v>
          </cell>
          <cell r="C482" t="str">
            <v>034</v>
          </cell>
          <cell r="D482" t="str">
            <v>120063</v>
          </cell>
          <cell r="E482" t="str">
            <v>EI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AE482">
            <v>0</v>
          </cell>
          <cell r="AG482"/>
          <cell r="AJ482">
            <v>0</v>
          </cell>
        </row>
        <row r="483">
          <cell r="A483" t="str">
            <v>UEC</v>
          </cell>
          <cell r="B483" t="str">
            <v>65</v>
          </cell>
          <cell r="C483" t="str">
            <v>034</v>
          </cell>
          <cell r="D483" t="str">
            <v>120063</v>
          </cell>
          <cell r="E483" t="str">
            <v>FB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AE483">
            <v>0</v>
          </cell>
          <cell r="AG483"/>
          <cell r="AJ483">
            <v>0</v>
          </cell>
        </row>
        <row r="484">
          <cell r="A484" t="str">
            <v>UEC</v>
          </cell>
          <cell r="B484" t="str">
            <v>65</v>
          </cell>
          <cell r="C484" t="str">
            <v>034</v>
          </cell>
          <cell r="D484" t="str">
            <v>120063</v>
          </cell>
          <cell r="E484" t="str">
            <v>BF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AE484">
            <v>0</v>
          </cell>
          <cell r="AG484"/>
          <cell r="AJ484">
            <v>0</v>
          </cell>
        </row>
        <row r="485">
          <cell r="A485" t="str">
            <v>UEC</v>
          </cell>
          <cell r="B485" t="str">
            <v>65</v>
          </cell>
          <cell r="C485" t="str">
            <v>034</v>
          </cell>
          <cell r="D485" t="str">
            <v>120063</v>
          </cell>
          <cell r="E485" t="str">
            <v>EI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AE485">
            <v>0</v>
          </cell>
          <cell r="AG485"/>
          <cell r="AJ485">
            <v>0</v>
          </cell>
        </row>
        <row r="486">
          <cell r="A486" t="str">
            <v>UEC</v>
          </cell>
          <cell r="B486" t="str">
            <v>65</v>
          </cell>
          <cell r="C486" t="str">
            <v>034</v>
          </cell>
          <cell r="D486" t="str">
            <v>120063</v>
          </cell>
          <cell r="E486" t="str">
            <v>BF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AE486">
            <v>0</v>
          </cell>
          <cell r="AG486"/>
          <cell r="AJ486">
            <v>0</v>
          </cell>
        </row>
        <row r="487">
          <cell r="A487" t="str">
            <v>UEC</v>
          </cell>
          <cell r="B487" t="str">
            <v>65</v>
          </cell>
          <cell r="C487" t="str">
            <v>034</v>
          </cell>
          <cell r="D487" t="str">
            <v>120065</v>
          </cell>
          <cell r="E487" t="str">
            <v>FB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AE487">
            <v>0</v>
          </cell>
          <cell r="AG487"/>
          <cell r="AJ487">
            <v>0</v>
          </cell>
        </row>
        <row r="488">
          <cell r="A488" t="str">
            <v>UEC</v>
          </cell>
          <cell r="B488" t="str">
            <v>65</v>
          </cell>
          <cell r="C488" t="str">
            <v>034</v>
          </cell>
          <cell r="D488" t="str">
            <v>120065</v>
          </cell>
          <cell r="E488" t="str">
            <v>FB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AE488">
            <v>0</v>
          </cell>
          <cell r="AG488"/>
          <cell r="AJ488">
            <v>0</v>
          </cell>
        </row>
        <row r="489">
          <cell r="A489" t="str">
            <v>UEC</v>
          </cell>
          <cell r="B489" t="str">
            <v>65</v>
          </cell>
          <cell r="C489" t="str">
            <v>034</v>
          </cell>
          <cell r="D489" t="str">
            <v>120065</v>
          </cell>
          <cell r="E489" t="str">
            <v>DC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AE489">
            <v>0</v>
          </cell>
          <cell r="AG489"/>
          <cell r="AJ489">
            <v>0</v>
          </cell>
        </row>
        <row r="490">
          <cell r="A490" t="str">
            <v>UEC</v>
          </cell>
          <cell r="B490" t="str">
            <v>65</v>
          </cell>
          <cell r="C490" t="str">
            <v>034</v>
          </cell>
          <cell r="D490" t="str">
            <v>120065</v>
          </cell>
          <cell r="E490" t="str">
            <v>DC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AE490">
            <v>0</v>
          </cell>
          <cell r="AG490"/>
          <cell r="AJ490">
            <v>0</v>
          </cell>
        </row>
        <row r="491">
          <cell r="A491" t="str">
            <v>UEC</v>
          </cell>
          <cell r="B491" t="str">
            <v>65</v>
          </cell>
          <cell r="C491" t="str">
            <v>034</v>
          </cell>
          <cell r="D491" t="str">
            <v>120066</v>
          </cell>
          <cell r="E491" t="str">
            <v>EI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AE491">
            <v>0</v>
          </cell>
          <cell r="AG491"/>
          <cell r="AJ491">
            <v>0</v>
          </cell>
        </row>
        <row r="492">
          <cell r="A492" t="str">
            <v>UEC</v>
          </cell>
          <cell r="B492" t="str">
            <v>65</v>
          </cell>
          <cell r="C492" t="str">
            <v>034</v>
          </cell>
          <cell r="D492" t="str">
            <v>120066</v>
          </cell>
          <cell r="E492" t="str">
            <v>FB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AE492">
            <v>0</v>
          </cell>
          <cell r="AG492"/>
          <cell r="AJ492">
            <v>0</v>
          </cell>
        </row>
        <row r="493">
          <cell r="A493" t="str">
            <v>UEC</v>
          </cell>
          <cell r="B493" t="str">
            <v>65</v>
          </cell>
          <cell r="C493" t="str">
            <v>034</v>
          </cell>
          <cell r="D493" t="str">
            <v>120066</v>
          </cell>
          <cell r="E493" t="str">
            <v>EI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AE493">
            <v>0</v>
          </cell>
          <cell r="AG493"/>
          <cell r="AJ493">
            <v>0</v>
          </cell>
        </row>
        <row r="494">
          <cell r="A494" t="str">
            <v>UEC</v>
          </cell>
          <cell r="B494" t="str">
            <v>65</v>
          </cell>
          <cell r="C494" t="str">
            <v>034</v>
          </cell>
          <cell r="D494" t="str">
            <v>120067</v>
          </cell>
          <cell r="E494" t="str">
            <v>EI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AE494">
            <v>0</v>
          </cell>
          <cell r="AG494"/>
          <cell r="AJ494">
            <v>0</v>
          </cell>
        </row>
        <row r="495">
          <cell r="A495" t="str">
            <v>UEC</v>
          </cell>
          <cell r="B495" t="str">
            <v>65</v>
          </cell>
          <cell r="C495" t="str">
            <v>034</v>
          </cell>
          <cell r="D495" t="str">
            <v>120067</v>
          </cell>
          <cell r="E495" t="str">
            <v>FB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AE495">
            <v>0</v>
          </cell>
          <cell r="AG495"/>
          <cell r="AJ495">
            <v>0</v>
          </cell>
        </row>
        <row r="496">
          <cell r="A496" t="str">
            <v>UEC</v>
          </cell>
          <cell r="B496" t="str">
            <v>65</v>
          </cell>
          <cell r="C496" t="str">
            <v>034</v>
          </cell>
          <cell r="D496" t="str">
            <v>120067</v>
          </cell>
          <cell r="E496" t="str">
            <v>EI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AE496">
            <v>0</v>
          </cell>
          <cell r="AG496"/>
          <cell r="AJ496">
            <v>0</v>
          </cell>
        </row>
        <row r="497">
          <cell r="A497" t="str">
            <v>UEC</v>
          </cell>
          <cell r="B497" t="str">
            <v>65</v>
          </cell>
          <cell r="C497" t="str">
            <v>034</v>
          </cell>
          <cell r="D497" t="str">
            <v>120068</v>
          </cell>
          <cell r="E497" t="str">
            <v>EI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AE497">
            <v>0</v>
          </cell>
          <cell r="AG497"/>
          <cell r="AJ497">
            <v>0</v>
          </cell>
        </row>
        <row r="498">
          <cell r="A498" t="str">
            <v>UEC</v>
          </cell>
          <cell r="B498" t="str">
            <v>65</v>
          </cell>
          <cell r="C498" t="str">
            <v>034</v>
          </cell>
          <cell r="D498" t="str">
            <v>120068</v>
          </cell>
          <cell r="E498" t="str">
            <v>FB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AE498">
            <v>0</v>
          </cell>
          <cell r="AG498"/>
          <cell r="AJ498">
            <v>0</v>
          </cell>
        </row>
        <row r="499">
          <cell r="A499" t="str">
            <v>UEC</v>
          </cell>
          <cell r="B499" t="str">
            <v>65</v>
          </cell>
          <cell r="C499" t="str">
            <v>034</v>
          </cell>
          <cell r="D499" t="str">
            <v>120068</v>
          </cell>
          <cell r="E499" t="str">
            <v>EI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AE499">
            <v>0</v>
          </cell>
          <cell r="AG499"/>
          <cell r="AJ499">
            <v>0</v>
          </cell>
        </row>
        <row r="500">
          <cell r="A500" t="str">
            <v>UEC</v>
          </cell>
          <cell r="B500" t="str">
            <v>65</v>
          </cell>
          <cell r="C500" t="str">
            <v>034</v>
          </cell>
          <cell r="D500" t="str">
            <v>120069</v>
          </cell>
          <cell r="E500" t="str">
            <v>EI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AE500">
            <v>0</v>
          </cell>
          <cell r="AG500"/>
          <cell r="AJ500">
            <v>0</v>
          </cell>
        </row>
        <row r="501">
          <cell r="A501" t="str">
            <v>UEC</v>
          </cell>
          <cell r="B501" t="str">
            <v>65</v>
          </cell>
          <cell r="C501" t="str">
            <v>034</v>
          </cell>
          <cell r="D501" t="str">
            <v>120069</v>
          </cell>
          <cell r="E501" t="str">
            <v>FB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AE501">
            <v>0</v>
          </cell>
          <cell r="AG501"/>
          <cell r="AJ501">
            <v>0</v>
          </cell>
        </row>
        <row r="502">
          <cell r="A502" t="str">
            <v>UEC</v>
          </cell>
          <cell r="B502" t="str">
            <v>65</v>
          </cell>
          <cell r="C502" t="str">
            <v>034</v>
          </cell>
          <cell r="D502" t="str">
            <v>120069</v>
          </cell>
          <cell r="E502" t="str">
            <v>EI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AE502">
            <v>0</v>
          </cell>
          <cell r="AG502"/>
          <cell r="AJ502">
            <v>0</v>
          </cell>
        </row>
        <row r="503">
          <cell r="A503" t="str">
            <v>UEC</v>
          </cell>
          <cell r="B503" t="str">
            <v>65</v>
          </cell>
          <cell r="C503" t="str">
            <v>034</v>
          </cell>
          <cell r="D503" t="str">
            <v>120095</v>
          </cell>
          <cell r="E503" t="str">
            <v>EC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AE503">
            <v>0</v>
          </cell>
          <cell r="AG503"/>
          <cell r="AJ503">
            <v>0</v>
          </cell>
        </row>
        <row r="504">
          <cell r="A504" t="str">
            <v>UEC</v>
          </cell>
          <cell r="B504" t="str">
            <v>65</v>
          </cell>
          <cell r="C504" t="str">
            <v>034</v>
          </cell>
          <cell r="D504" t="str">
            <v>120095</v>
          </cell>
          <cell r="E504" t="str">
            <v>EX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AE504">
            <v>0</v>
          </cell>
          <cell r="AG504"/>
          <cell r="AJ504">
            <v>0</v>
          </cell>
        </row>
        <row r="505">
          <cell r="A505" t="str">
            <v>UEC</v>
          </cell>
          <cell r="B505" t="str">
            <v>65</v>
          </cell>
          <cell r="C505" t="str">
            <v>034</v>
          </cell>
          <cell r="D505" t="str">
            <v>120095</v>
          </cell>
          <cell r="E505" t="str">
            <v>34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AE505">
            <v>0</v>
          </cell>
          <cell r="AG505"/>
          <cell r="AJ505">
            <v>0</v>
          </cell>
        </row>
        <row r="506">
          <cell r="A506" t="str">
            <v>UEC</v>
          </cell>
          <cell r="B506" t="str">
            <v>65</v>
          </cell>
          <cell r="C506" t="str">
            <v>034</v>
          </cell>
          <cell r="D506" t="str">
            <v>120095</v>
          </cell>
          <cell r="E506" t="str">
            <v>BF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AE506">
            <v>0</v>
          </cell>
          <cell r="AG506"/>
          <cell r="AJ506">
            <v>0</v>
          </cell>
        </row>
        <row r="507">
          <cell r="A507" t="str">
            <v>UEC</v>
          </cell>
          <cell r="B507" t="str">
            <v>65</v>
          </cell>
          <cell r="C507" t="str">
            <v>034</v>
          </cell>
          <cell r="D507" t="str">
            <v>431002</v>
          </cell>
          <cell r="E507" t="str">
            <v>EI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AE507">
            <v>0</v>
          </cell>
          <cell r="AG507"/>
          <cell r="AJ507">
            <v>0</v>
          </cell>
        </row>
        <row r="508">
          <cell r="A508" t="str">
            <v>UEC</v>
          </cell>
          <cell r="B508" t="str">
            <v>65</v>
          </cell>
          <cell r="C508" t="str">
            <v>034</v>
          </cell>
          <cell r="D508" t="str">
            <v>518001</v>
          </cell>
          <cell r="E508" t="str">
            <v>FB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AE508">
            <v>0</v>
          </cell>
          <cell r="AG508" t="str">
            <v>Nuc</v>
          </cell>
          <cell r="AJ508">
            <v>0</v>
          </cell>
        </row>
        <row r="509">
          <cell r="A509" t="str">
            <v>UEC</v>
          </cell>
          <cell r="B509" t="str">
            <v>65</v>
          </cell>
          <cell r="C509" t="str">
            <v>034</v>
          </cell>
          <cell r="D509" t="str">
            <v>518001</v>
          </cell>
          <cell r="E509" t="str">
            <v>FI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AE509">
            <v>0</v>
          </cell>
          <cell r="AG509" t="str">
            <v>Nuc</v>
          </cell>
          <cell r="AJ509">
            <v>0</v>
          </cell>
        </row>
        <row r="510">
          <cell r="A510" t="str">
            <v>UEC</v>
          </cell>
          <cell r="B510" t="str">
            <v>65</v>
          </cell>
          <cell r="C510" t="str">
            <v>034</v>
          </cell>
          <cell r="D510" t="str">
            <v>518002</v>
          </cell>
          <cell r="E510" t="str">
            <v>EI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AE510">
            <v>0</v>
          </cell>
          <cell r="AG510" t="str">
            <v>Nuc</v>
          </cell>
          <cell r="AJ510">
            <v>0</v>
          </cell>
        </row>
        <row r="511">
          <cell r="A511" t="str">
            <v>UEC</v>
          </cell>
          <cell r="B511" t="str">
            <v>65</v>
          </cell>
          <cell r="C511" t="str">
            <v>034</v>
          </cell>
          <cell r="D511" t="str">
            <v>518002</v>
          </cell>
          <cell r="E511" t="str">
            <v>EI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AE511">
            <v>0</v>
          </cell>
          <cell r="AG511" t="str">
            <v>Nuc</v>
          </cell>
          <cell r="AJ511">
            <v>0</v>
          </cell>
        </row>
        <row r="512">
          <cell r="A512" t="str">
            <v>UEC</v>
          </cell>
          <cell r="B512" t="str">
            <v>65</v>
          </cell>
          <cell r="C512" t="str">
            <v>034</v>
          </cell>
          <cell r="D512" t="str">
            <v>518002</v>
          </cell>
          <cell r="E512" t="str">
            <v>FB</v>
          </cell>
          <cell r="G512">
            <v>9045992.6799999997</v>
          </cell>
          <cell r="H512">
            <v>8167968.3899999997</v>
          </cell>
          <cell r="I512">
            <v>9031495.9499999993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AE512">
            <v>9031495.9499999993</v>
          </cell>
          <cell r="AG512" t="str">
            <v>Nuc</v>
          </cell>
          <cell r="AJ512">
            <v>26245457.02</v>
          </cell>
        </row>
        <row r="513">
          <cell r="A513" t="str">
            <v>UEC</v>
          </cell>
          <cell r="B513" t="str">
            <v>65</v>
          </cell>
          <cell r="C513" t="str">
            <v>086</v>
          </cell>
          <cell r="D513" t="str">
            <v>518003</v>
          </cell>
          <cell r="E513" t="str">
            <v>FB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AE513">
            <v>0</v>
          </cell>
          <cell r="AG513" t="str">
            <v>Oil</v>
          </cell>
          <cell r="AJ513">
            <v>0</v>
          </cell>
        </row>
        <row r="514">
          <cell r="A514" t="str">
            <v>UEC</v>
          </cell>
          <cell r="B514" t="str">
            <v>65</v>
          </cell>
          <cell r="C514" t="str">
            <v>034</v>
          </cell>
          <cell r="D514" t="str">
            <v>518004</v>
          </cell>
          <cell r="E514" t="str">
            <v>FB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AE514">
            <v>0</v>
          </cell>
          <cell r="AG514" t="str">
            <v>Wcredit</v>
          </cell>
          <cell r="AJ514">
            <v>0</v>
          </cell>
        </row>
        <row r="515">
          <cell r="A515" t="str">
            <v>UEC</v>
          </cell>
          <cell r="B515" t="str">
            <v>65</v>
          </cell>
          <cell r="C515" t="str">
            <v>034</v>
          </cell>
          <cell r="D515" t="str">
            <v>518005</v>
          </cell>
          <cell r="E515" t="str">
            <v>FB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AE515">
            <v>0</v>
          </cell>
          <cell r="AG515" t="str">
            <v>Nuc</v>
          </cell>
          <cell r="AJ515">
            <v>0</v>
          </cell>
        </row>
        <row r="516">
          <cell r="A516" t="str">
            <v>UEC</v>
          </cell>
          <cell r="B516" t="str">
            <v>65</v>
          </cell>
          <cell r="C516" t="str">
            <v>034</v>
          </cell>
          <cell r="D516" t="str">
            <v>518006</v>
          </cell>
          <cell r="E516" t="str">
            <v>EI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AE516">
            <v>0</v>
          </cell>
          <cell r="AG516" t="str">
            <v>Nuc</v>
          </cell>
          <cell r="AJ516">
            <v>0</v>
          </cell>
        </row>
        <row r="517">
          <cell r="A517" t="str">
            <v>UEC</v>
          </cell>
          <cell r="B517" t="str">
            <v>65</v>
          </cell>
          <cell r="C517" t="str">
            <v>034</v>
          </cell>
          <cell r="D517" t="str">
            <v>518006</v>
          </cell>
          <cell r="E517" t="str">
            <v>FB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AE517">
            <v>0</v>
          </cell>
          <cell r="AG517" t="str">
            <v>Nuc</v>
          </cell>
          <cell r="AJ517">
            <v>0</v>
          </cell>
        </row>
        <row r="518">
          <cell r="A518" t="str">
            <v>UEC</v>
          </cell>
          <cell r="B518" t="str">
            <v>7A</v>
          </cell>
          <cell r="C518" t="str">
            <v>086</v>
          </cell>
          <cell r="D518" t="str">
            <v>INTGEN</v>
          </cell>
          <cell r="E518" t="str">
            <v>FI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AE518">
            <v>0</v>
          </cell>
          <cell r="AG518"/>
          <cell r="AJ518">
            <v>0</v>
          </cell>
        </row>
        <row r="519">
          <cell r="A519" t="str">
            <v>UEC</v>
          </cell>
          <cell r="B519" t="str">
            <v>7A</v>
          </cell>
          <cell r="C519" t="str">
            <v>086</v>
          </cell>
          <cell r="D519" t="str">
            <v>547003</v>
          </cell>
          <cell r="E519" t="str">
            <v>FB</v>
          </cell>
          <cell r="G519">
            <v>3383</v>
          </cell>
          <cell r="H519">
            <v>1143.83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AE519">
            <v>0</v>
          </cell>
          <cell r="AG519" t="str">
            <v>Gas</v>
          </cell>
          <cell r="AJ519">
            <v>4526.83</v>
          </cell>
        </row>
        <row r="520">
          <cell r="A520" t="str">
            <v>UEC</v>
          </cell>
          <cell r="B520" t="str">
            <v>7A</v>
          </cell>
          <cell r="C520" t="str">
            <v>086</v>
          </cell>
          <cell r="D520" t="str">
            <v>547003</v>
          </cell>
          <cell r="E520" t="str">
            <v>FB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AE520">
            <v>0</v>
          </cell>
          <cell r="AG520" t="str">
            <v>Gas</v>
          </cell>
          <cell r="AJ520">
            <v>0</v>
          </cell>
        </row>
        <row r="521">
          <cell r="A521" t="str">
            <v>UEC</v>
          </cell>
          <cell r="B521" t="str">
            <v>7A</v>
          </cell>
          <cell r="C521" t="str">
            <v>086</v>
          </cell>
          <cell r="D521" t="str">
            <v>547003</v>
          </cell>
          <cell r="E521" t="str">
            <v>FI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AE521">
            <v>0</v>
          </cell>
          <cell r="AG521" t="str">
            <v>Gas</v>
          </cell>
          <cell r="AJ521">
            <v>0</v>
          </cell>
        </row>
        <row r="522">
          <cell r="A522" t="str">
            <v>UEC</v>
          </cell>
          <cell r="B522" t="str">
            <v>7A</v>
          </cell>
          <cell r="C522" t="str">
            <v>086</v>
          </cell>
          <cell r="D522" t="str">
            <v>547003</v>
          </cell>
          <cell r="E522" t="str">
            <v>FB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AE522">
            <v>0</v>
          </cell>
          <cell r="AG522" t="str">
            <v>Gas</v>
          </cell>
          <cell r="AJ522">
            <v>0</v>
          </cell>
        </row>
        <row r="523">
          <cell r="A523" t="str">
            <v>UEC</v>
          </cell>
          <cell r="B523" t="str">
            <v>7A</v>
          </cell>
          <cell r="C523" t="str">
            <v>086</v>
          </cell>
          <cell r="D523" t="str">
            <v>547003</v>
          </cell>
          <cell r="E523" t="str">
            <v>FI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AE523">
            <v>0</v>
          </cell>
          <cell r="AG523" t="str">
            <v>Gas</v>
          </cell>
          <cell r="AJ523">
            <v>0</v>
          </cell>
        </row>
        <row r="524">
          <cell r="A524" t="str">
            <v>UEC</v>
          </cell>
          <cell r="B524" t="str">
            <v>7A</v>
          </cell>
          <cell r="C524" t="str">
            <v>086</v>
          </cell>
          <cell r="D524" t="str">
            <v>547003</v>
          </cell>
          <cell r="E524" t="str">
            <v>FI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AE524">
            <v>0</v>
          </cell>
          <cell r="AG524" t="str">
            <v>Gas</v>
          </cell>
          <cell r="AJ524">
            <v>0</v>
          </cell>
        </row>
        <row r="525">
          <cell r="A525" t="str">
            <v>UEC</v>
          </cell>
          <cell r="B525" t="str">
            <v>7A</v>
          </cell>
          <cell r="C525" t="str">
            <v>086</v>
          </cell>
          <cell r="D525" t="str">
            <v>547003</v>
          </cell>
          <cell r="E525" t="str">
            <v>FI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AE525">
            <v>0</v>
          </cell>
          <cell r="AG525" t="str">
            <v>Gas</v>
          </cell>
          <cell r="AJ525">
            <v>0</v>
          </cell>
        </row>
        <row r="526">
          <cell r="A526" t="str">
            <v>UEC</v>
          </cell>
          <cell r="B526" t="str">
            <v>7A</v>
          </cell>
          <cell r="C526" t="str">
            <v>086</v>
          </cell>
          <cell r="D526" t="str">
            <v>547013</v>
          </cell>
          <cell r="E526" t="str">
            <v>FI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AE526">
            <v>0</v>
          </cell>
          <cell r="AG526" t="str">
            <v>Gas</v>
          </cell>
          <cell r="AJ526">
            <v>0</v>
          </cell>
        </row>
        <row r="527">
          <cell r="A527" t="str">
            <v>UEC</v>
          </cell>
          <cell r="B527" t="str">
            <v>7A</v>
          </cell>
          <cell r="C527" t="str">
            <v>086</v>
          </cell>
          <cell r="D527" t="str">
            <v>547013</v>
          </cell>
          <cell r="E527" t="str">
            <v>FI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AE527">
            <v>0</v>
          </cell>
          <cell r="AG527" t="str">
            <v>Gas</v>
          </cell>
          <cell r="AJ527">
            <v>0</v>
          </cell>
        </row>
        <row r="528">
          <cell r="A528" t="str">
            <v>UEC</v>
          </cell>
          <cell r="B528" t="str">
            <v>7A</v>
          </cell>
          <cell r="C528" t="str">
            <v>086</v>
          </cell>
          <cell r="D528" t="str">
            <v>547013</v>
          </cell>
          <cell r="E528" t="str">
            <v>FI</v>
          </cell>
          <cell r="G528">
            <v>0</v>
          </cell>
          <cell r="H528">
            <v>21214.17</v>
          </cell>
          <cell r="I528">
            <v>37508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AE528">
            <v>37508</v>
          </cell>
          <cell r="AG528" t="str">
            <v>Gas</v>
          </cell>
          <cell r="AJ528">
            <v>58722.17</v>
          </cell>
        </row>
        <row r="529">
          <cell r="A529" t="str">
            <v>UEC</v>
          </cell>
          <cell r="B529" t="str">
            <v>7G</v>
          </cell>
          <cell r="C529" t="str">
            <v>086</v>
          </cell>
          <cell r="D529" t="str">
            <v>INTGEN</v>
          </cell>
          <cell r="E529" t="str">
            <v>FI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AE529">
            <v>0</v>
          </cell>
          <cell r="AG529"/>
          <cell r="AJ529">
            <v>0</v>
          </cell>
        </row>
        <row r="530">
          <cell r="A530" t="str">
            <v>UEC</v>
          </cell>
          <cell r="B530" t="str">
            <v>7G</v>
          </cell>
          <cell r="C530" t="str">
            <v>086</v>
          </cell>
          <cell r="D530" t="str">
            <v>547003</v>
          </cell>
          <cell r="E530" t="str">
            <v>FB</v>
          </cell>
          <cell r="G530">
            <v>28273.279999999999</v>
          </cell>
          <cell r="H530">
            <v>83.19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AE530">
            <v>0</v>
          </cell>
          <cell r="AG530" t="str">
            <v>Gas</v>
          </cell>
          <cell r="AJ530">
            <v>28356.469999999998</v>
          </cell>
        </row>
        <row r="531">
          <cell r="A531" t="str">
            <v>UEC</v>
          </cell>
          <cell r="B531" t="str">
            <v>7G</v>
          </cell>
          <cell r="C531" t="str">
            <v>086</v>
          </cell>
          <cell r="D531" t="str">
            <v>547003</v>
          </cell>
          <cell r="E531" t="str">
            <v>FB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AE531">
            <v>0</v>
          </cell>
          <cell r="AG531" t="str">
            <v>Gas</v>
          </cell>
          <cell r="AJ531">
            <v>0</v>
          </cell>
        </row>
        <row r="532">
          <cell r="A532" t="str">
            <v>UEC</v>
          </cell>
          <cell r="B532" t="str">
            <v>7G</v>
          </cell>
          <cell r="C532" t="str">
            <v>086</v>
          </cell>
          <cell r="D532" t="str">
            <v>547003</v>
          </cell>
          <cell r="E532" t="str">
            <v>FI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AE532">
            <v>0</v>
          </cell>
          <cell r="AG532" t="str">
            <v>Gas</v>
          </cell>
          <cell r="AJ532">
            <v>0</v>
          </cell>
        </row>
        <row r="533">
          <cell r="A533" t="str">
            <v>UEC</v>
          </cell>
          <cell r="B533" t="str">
            <v>7G</v>
          </cell>
          <cell r="C533" t="str">
            <v>086</v>
          </cell>
          <cell r="D533" t="str">
            <v>547003</v>
          </cell>
          <cell r="E533" t="str">
            <v>FB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AE533">
            <v>0</v>
          </cell>
          <cell r="AG533" t="str">
            <v>Gas</v>
          </cell>
          <cell r="AJ533">
            <v>0</v>
          </cell>
        </row>
        <row r="534">
          <cell r="A534" t="str">
            <v>UEC</v>
          </cell>
          <cell r="B534" t="str">
            <v>7G</v>
          </cell>
          <cell r="C534" t="str">
            <v>086</v>
          </cell>
          <cell r="D534" t="str">
            <v>547003</v>
          </cell>
          <cell r="E534" t="str">
            <v>FI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AE534">
            <v>0</v>
          </cell>
          <cell r="AG534" t="str">
            <v>Gas</v>
          </cell>
          <cell r="AJ534">
            <v>0</v>
          </cell>
        </row>
        <row r="535">
          <cell r="A535" t="str">
            <v>UEC</v>
          </cell>
          <cell r="B535" t="str">
            <v>7G</v>
          </cell>
          <cell r="C535" t="str">
            <v>086</v>
          </cell>
          <cell r="D535" t="str">
            <v>547003</v>
          </cell>
          <cell r="E535" t="str">
            <v>FI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AE535">
            <v>0</v>
          </cell>
          <cell r="AG535" t="str">
            <v>Gas</v>
          </cell>
          <cell r="AJ535">
            <v>0</v>
          </cell>
        </row>
        <row r="536">
          <cell r="A536" t="str">
            <v>UEC</v>
          </cell>
          <cell r="B536" t="str">
            <v>7G</v>
          </cell>
          <cell r="C536" t="str">
            <v>086</v>
          </cell>
          <cell r="D536" t="str">
            <v>547013</v>
          </cell>
          <cell r="E536" t="str">
            <v>FI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AE536">
            <v>0</v>
          </cell>
          <cell r="AG536" t="str">
            <v>Gas</v>
          </cell>
          <cell r="AJ536">
            <v>0</v>
          </cell>
        </row>
        <row r="537">
          <cell r="A537" t="str">
            <v>UEC</v>
          </cell>
          <cell r="B537" t="str">
            <v>7G</v>
          </cell>
          <cell r="C537" t="str">
            <v>086</v>
          </cell>
          <cell r="D537" t="str">
            <v>547013</v>
          </cell>
          <cell r="E537" t="str">
            <v>FI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AE537">
            <v>0</v>
          </cell>
          <cell r="AG537" t="str">
            <v>Gas</v>
          </cell>
          <cell r="AJ537">
            <v>0</v>
          </cell>
        </row>
        <row r="538">
          <cell r="A538" t="str">
            <v>UEC</v>
          </cell>
          <cell r="B538" t="str">
            <v>7G</v>
          </cell>
          <cell r="C538" t="str">
            <v>086</v>
          </cell>
          <cell r="D538" t="str">
            <v>547013</v>
          </cell>
          <cell r="E538" t="str">
            <v>FI</v>
          </cell>
          <cell r="G538">
            <v>63468.72</v>
          </cell>
          <cell r="H538">
            <v>24262.81</v>
          </cell>
          <cell r="I538">
            <v>11752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AE538">
            <v>11752</v>
          </cell>
          <cell r="AG538" t="str">
            <v>Gas</v>
          </cell>
          <cell r="AJ538">
            <v>99483.53</v>
          </cell>
        </row>
        <row r="539">
          <cell r="A539" t="str">
            <v>UEC</v>
          </cell>
          <cell r="B539" t="str">
            <v>7G</v>
          </cell>
          <cell r="C539" t="str">
            <v>086</v>
          </cell>
          <cell r="D539" t="str">
            <v>547013</v>
          </cell>
          <cell r="E539" t="str">
            <v>FI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AE539">
            <v>0</v>
          </cell>
          <cell r="AG539" t="str">
            <v>Gas</v>
          </cell>
          <cell r="AJ539">
            <v>0</v>
          </cell>
        </row>
        <row r="540">
          <cell r="A540" t="str">
            <v>UEC</v>
          </cell>
          <cell r="B540" t="str">
            <v>7K</v>
          </cell>
          <cell r="C540" t="str">
            <v>086</v>
          </cell>
          <cell r="D540" t="str">
            <v>INTGEN</v>
          </cell>
          <cell r="E540" t="str">
            <v>FI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AE540">
            <v>0</v>
          </cell>
          <cell r="AG540"/>
          <cell r="AJ540">
            <v>0</v>
          </cell>
        </row>
        <row r="541">
          <cell r="A541" t="str">
            <v>UEC</v>
          </cell>
          <cell r="B541" t="str">
            <v>7K</v>
          </cell>
          <cell r="C541" t="str">
            <v>186</v>
          </cell>
          <cell r="D541" t="str">
            <v>INTGEN</v>
          </cell>
          <cell r="E541" t="str">
            <v>FI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AE541">
            <v>0</v>
          </cell>
          <cell r="AG541"/>
          <cell r="AJ541">
            <v>0</v>
          </cell>
        </row>
        <row r="542">
          <cell r="A542" t="str">
            <v>UEC</v>
          </cell>
          <cell r="B542" t="str">
            <v>7K</v>
          </cell>
          <cell r="C542" t="str">
            <v>086</v>
          </cell>
          <cell r="D542" t="str">
            <v>547002</v>
          </cell>
          <cell r="E542" t="str">
            <v>FB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AE542">
            <v>0</v>
          </cell>
          <cell r="AG542" t="str">
            <v>Oil</v>
          </cell>
          <cell r="AJ542">
            <v>0</v>
          </cell>
        </row>
        <row r="543">
          <cell r="A543" t="str">
            <v>UEC</v>
          </cell>
          <cell r="B543" t="str">
            <v>7K</v>
          </cell>
          <cell r="C543" t="str">
            <v>086</v>
          </cell>
          <cell r="D543" t="str">
            <v>547003</v>
          </cell>
          <cell r="E543" t="str">
            <v>FB</v>
          </cell>
          <cell r="G543">
            <v>175</v>
          </cell>
          <cell r="H543">
            <v>149</v>
          </cell>
          <cell r="I543">
            <v>85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AE543">
            <v>85</v>
          </cell>
          <cell r="AG543" t="str">
            <v>Gas</v>
          </cell>
          <cell r="AJ543">
            <v>409</v>
          </cell>
        </row>
        <row r="544">
          <cell r="A544" t="str">
            <v>UEC</v>
          </cell>
          <cell r="B544" t="str">
            <v>7K</v>
          </cell>
          <cell r="C544" t="str">
            <v>086</v>
          </cell>
          <cell r="D544" t="str">
            <v>547003</v>
          </cell>
          <cell r="E544" t="str">
            <v>FB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AE544">
            <v>0</v>
          </cell>
          <cell r="AG544" t="str">
            <v>Gas</v>
          </cell>
          <cell r="AJ544">
            <v>0</v>
          </cell>
        </row>
        <row r="545">
          <cell r="A545" t="str">
            <v>UEC</v>
          </cell>
          <cell r="B545" t="str">
            <v>7K</v>
          </cell>
          <cell r="C545" t="str">
            <v>086</v>
          </cell>
          <cell r="D545" t="str">
            <v>547003</v>
          </cell>
          <cell r="E545" t="str">
            <v>FI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AE545">
            <v>0</v>
          </cell>
          <cell r="AG545" t="str">
            <v>Gas</v>
          </cell>
          <cell r="AJ545">
            <v>0</v>
          </cell>
        </row>
        <row r="546">
          <cell r="A546" t="str">
            <v>UEC</v>
          </cell>
          <cell r="B546" t="str">
            <v>7K</v>
          </cell>
          <cell r="C546" t="str">
            <v>086</v>
          </cell>
          <cell r="D546" t="str">
            <v>547003</v>
          </cell>
          <cell r="E546" t="str">
            <v>FB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AE546">
            <v>0</v>
          </cell>
          <cell r="AG546" t="str">
            <v>Gas</v>
          </cell>
          <cell r="AJ546">
            <v>0</v>
          </cell>
        </row>
        <row r="547">
          <cell r="A547" t="str">
            <v>UEC</v>
          </cell>
          <cell r="B547" t="str">
            <v>7K</v>
          </cell>
          <cell r="C547" t="str">
            <v>086</v>
          </cell>
          <cell r="D547" t="str">
            <v>547003</v>
          </cell>
          <cell r="E547" t="str">
            <v>FI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AE547">
            <v>0</v>
          </cell>
          <cell r="AG547" t="str">
            <v>Gas</v>
          </cell>
          <cell r="AJ547">
            <v>0</v>
          </cell>
        </row>
        <row r="548">
          <cell r="A548" t="str">
            <v>UEC</v>
          </cell>
          <cell r="B548" t="str">
            <v>7K</v>
          </cell>
          <cell r="C548" t="str">
            <v>086</v>
          </cell>
          <cell r="D548" t="str">
            <v>547003</v>
          </cell>
          <cell r="E548" t="str">
            <v>FI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AE548">
            <v>0</v>
          </cell>
          <cell r="AG548" t="str">
            <v>Gas</v>
          </cell>
          <cell r="AJ548">
            <v>0</v>
          </cell>
        </row>
        <row r="549">
          <cell r="A549" t="str">
            <v>UEC</v>
          </cell>
          <cell r="B549" t="str">
            <v>7K</v>
          </cell>
          <cell r="C549" t="str">
            <v>086</v>
          </cell>
          <cell r="D549" t="str">
            <v>547003</v>
          </cell>
          <cell r="E549" t="str">
            <v>FI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AE549">
            <v>0</v>
          </cell>
          <cell r="AG549" t="str">
            <v>Gas</v>
          </cell>
          <cell r="AJ549">
            <v>0</v>
          </cell>
        </row>
        <row r="550">
          <cell r="A550" t="str">
            <v>UEC</v>
          </cell>
          <cell r="B550" t="str">
            <v>7K</v>
          </cell>
          <cell r="C550" t="str">
            <v>086</v>
          </cell>
          <cell r="D550" t="str">
            <v>547013</v>
          </cell>
          <cell r="E550" t="str">
            <v>FI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AE550">
            <v>0</v>
          </cell>
          <cell r="AG550" t="str">
            <v>Gas</v>
          </cell>
          <cell r="AJ550">
            <v>0</v>
          </cell>
        </row>
        <row r="551">
          <cell r="A551" t="str">
            <v>UEC</v>
          </cell>
          <cell r="B551" t="str">
            <v>7K</v>
          </cell>
          <cell r="C551" t="str">
            <v>086</v>
          </cell>
          <cell r="D551" t="str">
            <v>547013</v>
          </cell>
          <cell r="E551" t="str">
            <v>FI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AE551">
            <v>0</v>
          </cell>
          <cell r="AG551" t="str">
            <v>Gas</v>
          </cell>
          <cell r="AJ551">
            <v>0</v>
          </cell>
        </row>
        <row r="552">
          <cell r="A552" t="str">
            <v>UEC</v>
          </cell>
          <cell r="B552" t="str">
            <v>7K</v>
          </cell>
          <cell r="C552" t="str">
            <v>086</v>
          </cell>
          <cell r="D552" t="str">
            <v>547013</v>
          </cell>
          <cell r="E552" t="str">
            <v>FI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AE552">
            <v>0</v>
          </cell>
          <cell r="AG552" t="str">
            <v>Gas</v>
          </cell>
          <cell r="AJ552">
            <v>0</v>
          </cell>
        </row>
        <row r="553">
          <cell r="A553" t="str">
            <v>UEC</v>
          </cell>
          <cell r="B553" t="str">
            <v>7K</v>
          </cell>
          <cell r="C553" t="str">
            <v>086</v>
          </cell>
          <cell r="D553" t="str">
            <v>547013</v>
          </cell>
          <cell r="E553" t="str">
            <v>FI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AE553">
            <v>0</v>
          </cell>
          <cell r="AG553" t="str">
            <v>Gas</v>
          </cell>
          <cell r="AJ553">
            <v>0</v>
          </cell>
        </row>
        <row r="554">
          <cell r="A554" t="str">
            <v>UEC</v>
          </cell>
          <cell r="B554" t="str">
            <v>7P</v>
          </cell>
          <cell r="C554" t="str">
            <v>086</v>
          </cell>
          <cell r="D554" t="str">
            <v>INTGEN</v>
          </cell>
          <cell r="E554" t="str">
            <v>FI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AE554">
            <v>0</v>
          </cell>
          <cell r="AG554"/>
          <cell r="AJ554">
            <v>0</v>
          </cell>
        </row>
        <row r="555">
          <cell r="A555" t="str">
            <v>UEC</v>
          </cell>
          <cell r="B555" t="str">
            <v>7P</v>
          </cell>
          <cell r="C555" t="str">
            <v>186</v>
          </cell>
          <cell r="D555" t="str">
            <v>INTGEN</v>
          </cell>
          <cell r="E555" t="str">
            <v>FI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AE555">
            <v>0</v>
          </cell>
          <cell r="AG555"/>
          <cell r="AJ555">
            <v>0</v>
          </cell>
        </row>
        <row r="556">
          <cell r="A556" t="str">
            <v>UEC</v>
          </cell>
          <cell r="B556" t="str">
            <v>7P</v>
          </cell>
          <cell r="C556" t="str">
            <v>086</v>
          </cell>
          <cell r="D556" t="str">
            <v>547003</v>
          </cell>
          <cell r="E556" t="str">
            <v>FB</v>
          </cell>
          <cell r="G556">
            <v>7869.61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AE556">
            <v>0</v>
          </cell>
          <cell r="AG556" t="str">
            <v>Gas</v>
          </cell>
          <cell r="AJ556">
            <v>7869.61</v>
          </cell>
        </row>
        <row r="557">
          <cell r="A557" t="str">
            <v>UEC</v>
          </cell>
          <cell r="B557" t="str">
            <v>7P</v>
          </cell>
          <cell r="C557" t="str">
            <v>086</v>
          </cell>
          <cell r="D557" t="str">
            <v>547003</v>
          </cell>
          <cell r="E557" t="str">
            <v>FB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AE557">
            <v>0</v>
          </cell>
          <cell r="AG557" t="str">
            <v>Gas</v>
          </cell>
          <cell r="AJ557">
            <v>0</v>
          </cell>
        </row>
        <row r="558">
          <cell r="A558" t="str">
            <v>UEC</v>
          </cell>
          <cell r="B558" t="str">
            <v>7P</v>
          </cell>
          <cell r="C558" t="str">
            <v>086</v>
          </cell>
          <cell r="D558" t="str">
            <v>547003</v>
          </cell>
          <cell r="E558" t="str">
            <v>FI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AE558">
            <v>0</v>
          </cell>
          <cell r="AG558" t="str">
            <v>Gas</v>
          </cell>
          <cell r="AJ558">
            <v>0</v>
          </cell>
        </row>
        <row r="559">
          <cell r="A559" t="str">
            <v>UEC</v>
          </cell>
          <cell r="B559" t="str">
            <v>7P</v>
          </cell>
          <cell r="C559" t="str">
            <v>086</v>
          </cell>
          <cell r="D559" t="str">
            <v>547003</v>
          </cell>
          <cell r="E559" t="str">
            <v>FB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AE559">
            <v>0</v>
          </cell>
          <cell r="AG559" t="str">
            <v>Gas</v>
          </cell>
          <cell r="AJ559">
            <v>0</v>
          </cell>
        </row>
        <row r="560">
          <cell r="A560" t="str">
            <v>UEC</v>
          </cell>
          <cell r="B560" t="str">
            <v>7P</v>
          </cell>
          <cell r="C560" t="str">
            <v>086</v>
          </cell>
          <cell r="D560" t="str">
            <v>547003</v>
          </cell>
          <cell r="E560" t="str">
            <v>FI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AE560">
            <v>0</v>
          </cell>
          <cell r="AG560" t="str">
            <v>Gas</v>
          </cell>
          <cell r="AJ560">
            <v>0</v>
          </cell>
        </row>
        <row r="561">
          <cell r="A561" t="str">
            <v>UEC</v>
          </cell>
          <cell r="B561" t="str">
            <v>7P</v>
          </cell>
          <cell r="C561" t="str">
            <v>086</v>
          </cell>
          <cell r="D561" t="str">
            <v>547003</v>
          </cell>
          <cell r="E561" t="str">
            <v>FI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AE561">
            <v>0</v>
          </cell>
          <cell r="AG561" t="str">
            <v>Gas</v>
          </cell>
          <cell r="AJ561">
            <v>0</v>
          </cell>
        </row>
        <row r="562">
          <cell r="A562" t="str">
            <v>UEC</v>
          </cell>
          <cell r="B562" t="str">
            <v>7P</v>
          </cell>
          <cell r="C562" t="str">
            <v>086</v>
          </cell>
          <cell r="D562" t="str">
            <v>547003</v>
          </cell>
          <cell r="E562" t="str">
            <v>FI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AE562">
            <v>0</v>
          </cell>
          <cell r="AG562" t="str">
            <v>Gas</v>
          </cell>
          <cell r="AJ562">
            <v>0</v>
          </cell>
        </row>
        <row r="563">
          <cell r="A563" t="str">
            <v>UEC</v>
          </cell>
          <cell r="B563" t="str">
            <v>7P</v>
          </cell>
          <cell r="C563" t="str">
            <v>086</v>
          </cell>
          <cell r="D563" t="str">
            <v>547013</v>
          </cell>
          <cell r="E563" t="str">
            <v>FI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AE563">
            <v>0</v>
          </cell>
          <cell r="AG563" t="str">
            <v>Gas</v>
          </cell>
          <cell r="AJ563">
            <v>0</v>
          </cell>
        </row>
        <row r="564">
          <cell r="A564" t="str">
            <v>UEC</v>
          </cell>
          <cell r="B564" t="str">
            <v>7P</v>
          </cell>
          <cell r="C564" t="str">
            <v>086</v>
          </cell>
          <cell r="D564" t="str">
            <v>547013</v>
          </cell>
          <cell r="E564" t="str">
            <v>FI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AE564">
            <v>0</v>
          </cell>
          <cell r="AG564" t="str">
            <v>Gas</v>
          </cell>
          <cell r="AJ564">
            <v>0</v>
          </cell>
        </row>
        <row r="565">
          <cell r="A565" t="str">
            <v>UEC</v>
          </cell>
          <cell r="B565" t="str">
            <v>7P</v>
          </cell>
          <cell r="C565" t="str">
            <v>086</v>
          </cell>
          <cell r="D565" t="str">
            <v>547013</v>
          </cell>
          <cell r="E565" t="str">
            <v>FI</v>
          </cell>
          <cell r="G565">
            <v>4599.3900000000003</v>
          </cell>
          <cell r="H565">
            <v>4877</v>
          </cell>
          <cell r="I565">
            <v>46264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AE565">
            <v>46264</v>
          </cell>
          <cell r="AG565" t="str">
            <v>Gas</v>
          </cell>
          <cell r="AJ565">
            <v>55740.39</v>
          </cell>
        </row>
        <row r="566">
          <cell r="A566" t="str">
            <v>UEC</v>
          </cell>
          <cell r="B566" t="str">
            <v>7P</v>
          </cell>
          <cell r="C566" t="str">
            <v>086</v>
          </cell>
          <cell r="D566" t="str">
            <v>547013</v>
          </cell>
          <cell r="E566" t="str">
            <v>FI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AE566">
            <v>0</v>
          </cell>
          <cell r="AG566" t="str">
            <v>Gas</v>
          </cell>
          <cell r="AJ566">
            <v>0</v>
          </cell>
        </row>
        <row r="567">
          <cell r="A567" t="str">
            <v>UEC</v>
          </cell>
          <cell r="B567" t="str">
            <v>7R</v>
          </cell>
          <cell r="C567" t="str">
            <v>086</v>
          </cell>
          <cell r="D567" t="str">
            <v>INTGEN</v>
          </cell>
          <cell r="E567" t="str">
            <v>FI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AE567">
            <v>0</v>
          </cell>
          <cell r="AG567"/>
          <cell r="AJ567">
            <v>0</v>
          </cell>
        </row>
        <row r="568">
          <cell r="A568" t="str">
            <v>UEC</v>
          </cell>
          <cell r="B568" t="str">
            <v>7R</v>
          </cell>
          <cell r="C568" t="str">
            <v>086</v>
          </cell>
          <cell r="D568" t="str">
            <v>547003</v>
          </cell>
          <cell r="E568" t="str">
            <v>FB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AE568">
            <v>0</v>
          </cell>
          <cell r="AG568" t="str">
            <v>Gas</v>
          </cell>
          <cell r="AJ568">
            <v>0</v>
          </cell>
        </row>
        <row r="569">
          <cell r="A569" t="str">
            <v>UEC</v>
          </cell>
          <cell r="B569" t="str">
            <v>7R</v>
          </cell>
          <cell r="C569" t="str">
            <v>086</v>
          </cell>
          <cell r="D569" t="str">
            <v>547003</v>
          </cell>
          <cell r="E569" t="str">
            <v>FB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AE569">
            <v>0</v>
          </cell>
          <cell r="AG569" t="str">
            <v>Gas</v>
          </cell>
          <cell r="AJ569">
            <v>0</v>
          </cell>
        </row>
        <row r="570">
          <cell r="A570" t="str">
            <v>UEC</v>
          </cell>
          <cell r="B570" t="str">
            <v>7R</v>
          </cell>
          <cell r="C570" t="str">
            <v>086</v>
          </cell>
          <cell r="D570" t="str">
            <v>547003</v>
          </cell>
          <cell r="E570" t="str">
            <v>FI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AE570">
            <v>0</v>
          </cell>
          <cell r="AG570" t="str">
            <v>Gas</v>
          </cell>
          <cell r="AJ570">
            <v>0</v>
          </cell>
        </row>
        <row r="571">
          <cell r="A571" t="str">
            <v>UEC</v>
          </cell>
          <cell r="B571" t="str">
            <v>7R</v>
          </cell>
          <cell r="C571" t="str">
            <v>086</v>
          </cell>
          <cell r="D571" t="str">
            <v>547003</v>
          </cell>
          <cell r="E571" t="str">
            <v>FI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AE571">
            <v>0</v>
          </cell>
          <cell r="AG571" t="str">
            <v>Gas</v>
          </cell>
          <cell r="AJ571">
            <v>0</v>
          </cell>
        </row>
        <row r="572">
          <cell r="A572" t="str">
            <v>UEC</v>
          </cell>
          <cell r="B572" t="str">
            <v>7R</v>
          </cell>
          <cell r="C572" t="str">
            <v>086</v>
          </cell>
          <cell r="D572" t="str">
            <v>547013</v>
          </cell>
          <cell r="E572" t="str">
            <v>FI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AE572">
            <v>0</v>
          </cell>
          <cell r="AG572" t="str">
            <v>Gas</v>
          </cell>
          <cell r="AJ572">
            <v>0</v>
          </cell>
        </row>
        <row r="573">
          <cell r="A573" t="str">
            <v>UEC</v>
          </cell>
          <cell r="B573" t="str">
            <v>7R</v>
          </cell>
          <cell r="C573" t="str">
            <v>086</v>
          </cell>
          <cell r="D573" t="str">
            <v>547013</v>
          </cell>
          <cell r="E573" t="str">
            <v>FI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AE573">
            <v>0</v>
          </cell>
          <cell r="AG573" t="str">
            <v>Gas</v>
          </cell>
          <cell r="AJ573">
            <v>0</v>
          </cell>
        </row>
        <row r="574">
          <cell r="A574" t="str">
            <v>UEC</v>
          </cell>
          <cell r="B574" t="str">
            <v>7R</v>
          </cell>
          <cell r="C574" t="str">
            <v>086</v>
          </cell>
          <cell r="D574" t="str">
            <v>547013</v>
          </cell>
          <cell r="E574" t="str">
            <v>FI</v>
          </cell>
          <cell r="G574">
            <v>11745</v>
          </cell>
          <cell r="H574">
            <v>4778</v>
          </cell>
          <cell r="I574">
            <v>1767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AE574">
            <v>1767</v>
          </cell>
          <cell r="AG574" t="str">
            <v>Gas</v>
          </cell>
          <cell r="AJ574">
            <v>18290</v>
          </cell>
        </row>
        <row r="575">
          <cell r="A575" t="str">
            <v>UEC</v>
          </cell>
          <cell r="B575" t="str">
            <v>7R</v>
          </cell>
          <cell r="C575" t="str">
            <v>086</v>
          </cell>
          <cell r="D575" t="str">
            <v>547013</v>
          </cell>
          <cell r="E575" t="str">
            <v>FI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AE575">
            <v>0</v>
          </cell>
          <cell r="AG575" t="str">
            <v>Gas</v>
          </cell>
          <cell r="AJ575">
            <v>0</v>
          </cell>
        </row>
        <row r="576">
          <cell r="A576" t="str">
            <v>UEC</v>
          </cell>
          <cell r="B576" t="str">
            <v>71</v>
          </cell>
          <cell r="C576" t="str">
            <v>086</v>
          </cell>
          <cell r="D576" t="str">
            <v>INTGEN</v>
          </cell>
          <cell r="E576" t="str">
            <v>FI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AE576">
            <v>0</v>
          </cell>
          <cell r="AG576"/>
          <cell r="AJ576">
            <v>0</v>
          </cell>
        </row>
        <row r="577">
          <cell r="A577" t="str">
            <v>UEC</v>
          </cell>
          <cell r="B577" t="str">
            <v>71</v>
          </cell>
          <cell r="C577" t="str">
            <v>086</v>
          </cell>
          <cell r="D577" t="str">
            <v>547002</v>
          </cell>
          <cell r="E577" t="str">
            <v>FB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AE577">
            <v>0</v>
          </cell>
          <cell r="AG577" t="str">
            <v>Oil</v>
          </cell>
          <cell r="AJ577">
            <v>0</v>
          </cell>
        </row>
        <row r="578">
          <cell r="A578" t="str">
            <v>UEC</v>
          </cell>
          <cell r="B578" t="str">
            <v>71</v>
          </cell>
          <cell r="C578" t="str">
            <v>086</v>
          </cell>
          <cell r="D578" t="str">
            <v>547012</v>
          </cell>
          <cell r="E578" t="str">
            <v>FI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AE578">
            <v>0</v>
          </cell>
          <cell r="AG578" t="str">
            <v>Oil</v>
          </cell>
          <cell r="AJ578">
            <v>0</v>
          </cell>
        </row>
        <row r="579">
          <cell r="A579" t="str">
            <v>UEC</v>
          </cell>
          <cell r="B579" t="str">
            <v>71</v>
          </cell>
          <cell r="C579" t="str">
            <v>086</v>
          </cell>
          <cell r="D579" t="str">
            <v>547012</v>
          </cell>
          <cell r="E579" t="str">
            <v>FI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AE579">
            <v>0</v>
          </cell>
          <cell r="AG579" t="str">
            <v>Oil</v>
          </cell>
          <cell r="AJ579">
            <v>0</v>
          </cell>
        </row>
        <row r="580">
          <cell r="A580" t="str">
            <v>UEC</v>
          </cell>
          <cell r="B580" t="str">
            <v>72</v>
          </cell>
          <cell r="C580" t="str">
            <v>086</v>
          </cell>
          <cell r="D580" t="str">
            <v>INTGEN</v>
          </cell>
          <cell r="E580" t="str">
            <v>FI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AE580">
            <v>0</v>
          </cell>
          <cell r="AG580"/>
          <cell r="AJ580">
            <v>0</v>
          </cell>
        </row>
        <row r="581">
          <cell r="A581" t="str">
            <v>UEC</v>
          </cell>
          <cell r="B581" t="str">
            <v>72</v>
          </cell>
          <cell r="C581" t="str">
            <v>086</v>
          </cell>
          <cell r="D581" t="str">
            <v>547002</v>
          </cell>
          <cell r="E581" t="str">
            <v>FB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AE581">
            <v>0</v>
          </cell>
          <cell r="AG581" t="str">
            <v>Oil</v>
          </cell>
          <cell r="AJ581">
            <v>0</v>
          </cell>
        </row>
        <row r="582">
          <cell r="A582" t="str">
            <v>UEC</v>
          </cell>
          <cell r="B582" t="str">
            <v>72</v>
          </cell>
          <cell r="C582" t="str">
            <v>086</v>
          </cell>
          <cell r="D582" t="str">
            <v>547003</v>
          </cell>
          <cell r="E582" t="str">
            <v>FB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AE582">
            <v>0</v>
          </cell>
          <cell r="AG582" t="str">
            <v>Gas</v>
          </cell>
          <cell r="AJ582">
            <v>0</v>
          </cell>
        </row>
        <row r="583">
          <cell r="A583" t="str">
            <v>UEC</v>
          </cell>
          <cell r="B583" t="str">
            <v>72</v>
          </cell>
          <cell r="C583" t="str">
            <v>086</v>
          </cell>
          <cell r="D583" t="str">
            <v>547003</v>
          </cell>
          <cell r="E583" t="str">
            <v>FB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AE583">
            <v>0</v>
          </cell>
          <cell r="AG583" t="str">
            <v>Gas</v>
          </cell>
          <cell r="AJ583">
            <v>0</v>
          </cell>
        </row>
        <row r="584">
          <cell r="A584" t="str">
            <v>UEC</v>
          </cell>
          <cell r="B584" t="str">
            <v>72</v>
          </cell>
          <cell r="C584" t="str">
            <v>086</v>
          </cell>
          <cell r="D584" t="str">
            <v>547012</v>
          </cell>
          <cell r="E584" t="str">
            <v>FI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AE584">
            <v>0</v>
          </cell>
          <cell r="AG584" t="str">
            <v>Oil</v>
          </cell>
          <cell r="AJ584">
            <v>0</v>
          </cell>
        </row>
        <row r="585">
          <cell r="A585" t="str">
            <v>UEC</v>
          </cell>
          <cell r="B585" t="str">
            <v>72</v>
          </cell>
          <cell r="C585" t="str">
            <v>086</v>
          </cell>
          <cell r="D585" t="str">
            <v>547012</v>
          </cell>
          <cell r="E585" t="str">
            <v>FI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AE585">
            <v>0</v>
          </cell>
          <cell r="AG585" t="str">
            <v>Oil</v>
          </cell>
          <cell r="AJ585">
            <v>0</v>
          </cell>
        </row>
        <row r="586">
          <cell r="A586" t="str">
            <v>UEC</v>
          </cell>
          <cell r="B586" t="str">
            <v>72</v>
          </cell>
          <cell r="C586" t="str">
            <v>086</v>
          </cell>
          <cell r="D586" t="str">
            <v>547013</v>
          </cell>
          <cell r="E586" t="str">
            <v>FI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AE586">
            <v>0</v>
          </cell>
          <cell r="AG586" t="str">
            <v>Gas</v>
          </cell>
          <cell r="AJ586">
            <v>0</v>
          </cell>
        </row>
        <row r="587">
          <cell r="A587" t="str">
            <v>UEC</v>
          </cell>
          <cell r="B587" t="str">
            <v>72</v>
          </cell>
          <cell r="C587" t="str">
            <v>086</v>
          </cell>
          <cell r="D587" t="str">
            <v>547013</v>
          </cell>
          <cell r="E587" t="str">
            <v>FI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AE587">
            <v>0</v>
          </cell>
          <cell r="AG587" t="str">
            <v>Gas</v>
          </cell>
          <cell r="AJ587">
            <v>0</v>
          </cell>
        </row>
        <row r="588">
          <cell r="A588" t="str">
            <v>UEC</v>
          </cell>
          <cell r="B588" t="str">
            <v>72</v>
          </cell>
          <cell r="C588" t="str">
            <v>086</v>
          </cell>
          <cell r="D588" t="str">
            <v>547013</v>
          </cell>
          <cell r="E588" t="str">
            <v>FI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AE588">
            <v>0</v>
          </cell>
          <cell r="AG588" t="str">
            <v>Gas</v>
          </cell>
          <cell r="AJ588">
            <v>0</v>
          </cell>
        </row>
        <row r="589">
          <cell r="A589" t="str">
            <v>UEC</v>
          </cell>
          <cell r="B589" t="str">
            <v>73</v>
          </cell>
          <cell r="C589" t="str">
            <v>086</v>
          </cell>
          <cell r="D589" t="str">
            <v>INTGEN</v>
          </cell>
          <cell r="E589" t="str">
            <v>FI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AE589">
            <v>0</v>
          </cell>
          <cell r="AG589"/>
          <cell r="AJ589">
            <v>0</v>
          </cell>
        </row>
        <row r="590">
          <cell r="A590" t="str">
            <v>UEC</v>
          </cell>
          <cell r="B590" t="str">
            <v>73</v>
          </cell>
          <cell r="C590" t="str">
            <v>086</v>
          </cell>
          <cell r="D590" t="str">
            <v>547002</v>
          </cell>
          <cell r="E590" t="str">
            <v>FB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AE590">
            <v>0</v>
          </cell>
          <cell r="AG590" t="str">
            <v>Oil</v>
          </cell>
          <cell r="AJ590">
            <v>0</v>
          </cell>
        </row>
        <row r="591">
          <cell r="A591" t="str">
            <v>UEC</v>
          </cell>
          <cell r="B591" t="str">
            <v>73</v>
          </cell>
          <cell r="C591" t="str">
            <v>086</v>
          </cell>
          <cell r="D591" t="str">
            <v>547012</v>
          </cell>
          <cell r="E591" t="str">
            <v>FI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AE591">
            <v>0</v>
          </cell>
          <cell r="AG591" t="str">
            <v>Oil</v>
          </cell>
          <cell r="AJ591">
            <v>0</v>
          </cell>
        </row>
        <row r="592">
          <cell r="A592" t="str">
            <v>UEC</v>
          </cell>
          <cell r="B592" t="str">
            <v>73</v>
          </cell>
          <cell r="C592" t="str">
            <v>086</v>
          </cell>
          <cell r="D592" t="str">
            <v>547012</v>
          </cell>
          <cell r="E592" t="str">
            <v>FI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AE592">
            <v>0</v>
          </cell>
          <cell r="AG592" t="str">
            <v>Oil</v>
          </cell>
          <cell r="AJ592">
            <v>0</v>
          </cell>
        </row>
        <row r="593">
          <cell r="A593" t="str">
            <v>UEC</v>
          </cell>
          <cell r="B593" t="str">
            <v>74</v>
          </cell>
          <cell r="C593" t="str">
            <v>086</v>
          </cell>
          <cell r="D593" t="str">
            <v>INTGEN</v>
          </cell>
          <cell r="E593" t="str">
            <v>FI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AE593">
            <v>0</v>
          </cell>
          <cell r="AG593"/>
          <cell r="AJ593">
            <v>0</v>
          </cell>
        </row>
        <row r="594">
          <cell r="A594" t="str">
            <v>UEC</v>
          </cell>
          <cell r="B594" t="str">
            <v>74</v>
          </cell>
          <cell r="C594" t="str">
            <v>086</v>
          </cell>
          <cell r="D594" t="str">
            <v>547003</v>
          </cell>
          <cell r="E594" t="str">
            <v>FB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AE594">
            <v>0</v>
          </cell>
          <cell r="AG594" t="str">
            <v>Gas</v>
          </cell>
          <cell r="AJ594">
            <v>0</v>
          </cell>
        </row>
        <row r="595">
          <cell r="A595" t="str">
            <v>UEC</v>
          </cell>
          <cell r="B595" t="str">
            <v>74</v>
          </cell>
          <cell r="C595" t="str">
            <v>086</v>
          </cell>
          <cell r="D595" t="str">
            <v>547013</v>
          </cell>
          <cell r="E595" t="str">
            <v>FI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AE595">
            <v>0</v>
          </cell>
          <cell r="AG595" t="str">
            <v>Gas</v>
          </cell>
          <cell r="AJ595">
            <v>0</v>
          </cell>
        </row>
        <row r="596">
          <cell r="A596" t="str">
            <v>UEC</v>
          </cell>
          <cell r="B596" t="str">
            <v>74</v>
          </cell>
          <cell r="C596" t="str">
            <v>086</v>
          </cell>
          <cell r="D596" t="str">
            <v>547013</v>
          </cell>
          <cell r="E596" t="str">
            <v>FI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AE596">
            <v>0</v>
          </cell>
          <cell r="AG596" t="str">
            <v>Gas</v>
          </cell>
          <cell r="AJ596">
            <v>0</v>
          </cell>
        </row>
        <row r="597">
          <cell r="A597" t="str">
            <v>UEC</v>
          </cell>
          <cell r="B597" t="str">
            <v>75</v>
          </cell>
          <cell r="C597" t="str">
            <v>086</v>
          </cell>
          <cell r="D597" t="str">
            <v>INTGEN</v>
          </cell>
          <cell r="E597" t="str">
            <v>FI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AE597">
            <v>0</v>
          </cell>
          <cell r="AG597"/>
          <cell r="AJ597">
            <v>0</v>
          </cell>
        </row>
        <row r="598">
          <cell r="A598" t="str">
            <v>UEC</v>
          </cell>
          <cell r="B598" t="str">
            <v>75</v>
          </cell>
          <cell r="C598" t="str">
            <v>086</v>
          </cell>
          <cell r="D598" t="str">
            <v>547002</v>
          </cell>
          <cell r="E598" t="str">
            <v>FB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AE598">
            <v>0</v>
          </cell>
          <cell r="AG598" t="str">
            <v>Oil</v>
          </cell>
          <cell r="AJ598">
            <v>0</v>
          </cell>
        </row>
        <row r="599">
          <cell r="A599" t="str">
            <v>UEC</v>
          </cell>
          <cell r="B599" t="str">
            <v>75</v>
          </cell>
          <cell r="C599" t="str">
            <v>086</v>
          </cell>
          <cell r="D599" t="str">
            <v>547012</v>
          </cell>
          <cell r="E599" t="str">
            <v>FI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AE599">
            <v>0</v>
          </cell>
          <cell r="AG599" t="str">
            <v>Oil</v>
          </cell>
          <cell r="AJ599">
            <v>0</v>
          </cell>
        </row>
        <row r="600">
          <cell r="A600" t="str">
            <v>UEC</v>
          </cell>
          <cell r="B600" t="str">
            <v>75</v>
          </cell>
          <cell r="C600" t="str">
            <v>086</v>
          </cell>
          <cell r="D600" t="str">
            <v>547012</v>
          </cell>
          <cell r="E600" t="str">
            <v>FI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AE600">
            <v>0</v>
          </cell>
          <cell r="AG600" t="str">
            <v>Oil</v>
          </cell>
          <cell r="AJ600">
            <v>0</v>
          </cell>
        </row>
        <row r="601">
          <cell r="A601" t="str">
            <v>UEC</v>
          </cell>
          <cell r="B601" t="str">
            <v>76</v>
          </cell>
          <cell r="C601" t="str">
            <v>086</v>
          </cell>
          <cell r="D601" t="str">
            <v>INTGEN</v>
          </cell>
          <cell r="E601" t="str">
            <v>FI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AE601">
            <v>0</v>
          </cell>
          <cell r="AG601"/>
          <cell r="AJ601">
            <v>0</v>
          </cell>
        </row>
        <row r="602">
          <cell r="A602" t="str">
            <v>UEC</v>
          </cell>
          <cell r="B602" t="str">
            <v>76</v>
          </cell>
          <cell r="C602" t="str">
            <v>086</v>
          </cell>
          <cell r="D602" t="str">
            <v>547002</v>
          </cell>
          <cell r="E602" t="str">
            <v>FB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AE602">
            <v>0</v>
          </cell>
          <cell r="AG602" t="str">
            <v>Oil</v>
          </cell>
          <cell r="AJ602">
            <v>0</v>
          </cell>
        </row>
        <row r="603">
          <cell r="A603" t="str">
            <v>UEC</v>
          </cell>
          <cell r="B603" t="str">
            <v>76</v>
          </cell>
          <cell r="C603" t="str">
            <v>086</v>
          </cell>
          <cell r="D603" t="str">
            <v>547012</v>
          </cell>
          <cell r="E603" t="str">
            <v>FI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AE603">
            <v>0</v>
          </cell>
          <cell r="AG603" t="str">
            <v>Oil</v>
          </cell>
          <cell r="AJ603">
            <v>0</v>
          </cell>
        </row>
        <row r="604">
          <cell r="A604" t="str">
            <v>UEC</v>
          </cell>
          <cell r="B604" t="str">
            <v>76</v>
          </cell>
          <cell r="C604" t="str">
            <v>086</v>
          </cell>
          <cell r="D604" t="str">
            <v>547012</v>
          </cell>
          <cell r="E604" t="str">
            <v>FI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AE604">
            <v>0</v>
          </cell>
          <cell r="AG604" t="str">
            <v>Oil</v>
          </cell>
          <cell r="AJ604">
            <v>0</v>
          </cell>
        </row>
        <row r="605">
          <cell r="A605" t="str">
            <v>UEC</v>
          </cell>
          <cell r="B605" t="str">
            <v>77</v>
          </cell>
          <cell r="C605" t="str">
            <v>086</v>
          </cell>
          <cell r="D605" t="str">
            <v>INTGEN</v>
          </cell>
          <cell r="E605" t="str">
            <v>FI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AE605">
            <v>0</v>
          </cell>
          <cell r="AG605"/>
          <cell r="AJ605">
            <v>0</v>
          </cell>
        </row>
        <row r="606">
          <cell r="A606" t="str">
            <v>UEC</v>
          </cell>
          <cell r="B606" t="str">
            <v>77</v>
          </cell>
          <cell r="C606" t="str">
            <v>086</v>
          </cell>
          <cell r="D606" t="str">
            <v>547002</v>
          </cell>
          <cell r="E606" t="str">
            <v>FB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AE606">
            <v>0</v>
          </cell>
          <cell r="AG606" t="str">
            <v>Oil</v>
          </cell>
          <cell r="AJ606">
            <v>0</v>
          </cell>
        </row>
        <row r="607">
          <cell r="A607" t="str">
            <v>UEC</v>
          </cell>
          <cell r="B607" t="str">
            <v>77</v>
          </cell>
          <cell r="C607" t="str">
            <v>086</v>
          </cell>
          <cell r="D607" t="str">
            <v>547012</v>
          </cell>
          <cell r="E607" t="str">
            <v>FI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AE607">
            <v>0</v>
          </cell>
          <cell r="AG607" t="str">
            <v>Oil</v>
          </cell>
          <cell r="AJ607">
            <v>0</v>
          </cell>
        </row>
        <row r="608">
          <cell r="A608" t="str">
            <v>UEC</v>
          </cell>
          <cell r="B608" t="str">
            <v>77</v>
          </cell>
          <cell r="C608" t="str">
            <v>086</v>
          </cell>
          <cell r="D608" t="str">
            <v>547012</v>
          </cell>
          <cell r="E608" t="str">
            <v>FI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AE608">
            <v>0</v>
          </cell>
          <cell r="AG608" t="str">
            <v>Oil</v>
          </cell>
          <cell r="AJ608">
            <v>0</v>
          </cell>
        </row>
        <row r="609">
          <cell r="A609" t="str">
            <v>UEC</v>
          </cell>
          <cell r="B609" t="str">
            <v>78</v>
          </cell>
          <cell r="C609" t="str">
            <v>086</v>
          </cell>
          <cell r="D609" t="str">
            <v>INTGEN</v>
          </cell>
          <cell r="E609" t="str">
            <v>FI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AE609">
            <v>0</v>
          </cell>
          <cell r="AG609"/>
          <cell r="AJ609">
            <v>0</v>
          </cell>
        </row>
        <row r="610">
          <cell r="A610" t="str">
            <v>UEC</v>
          </cell>
          <cell r="B610" t="str">
            <v>78</v>
          </cell>
          <cell r="C610" t="str">
            <v>086</v>
          </cell>
          <cell r="D610" t="str">
            <v>547003</v>
          </cell>
          <cell r="E610" t="str">
            <v>FB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AE610">
            <v>0</v>
          </cell>
          <cell r="AG610" t="str">
            <v>Gas</v>
          </cell>
          <cell r="AJ610">
            <v>0</v>
          </cell>
        </row>
        <row r="611">
          <cell r="A611" t="str">
            <v>UEC</v>
          </cell>
          <cell r="B611" t="str">
            <v>78</v>
          </cell>
          <cell r="C611" t="str">
            <v>086</v>
          </cell>
          <cell r="D611" t="str">
            <v>547003</v>
          </cell>
          <cell r="E611" t="str">
            <v>FB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AE611">
            <v>0</v>
          </cell>
          <cell r="AG611" t="str">
            <v>Gas</v>
          </cell>
          <cell r="AJ611">
            <v>0</v>
          </cell>
        </row>
        <row r="612">
          <cell r="A612" t="str">
            <v>UEC</v>
          </cell>
          <cell r="B612" t="str">
            <v>78</v>
          </cell>
          <cell r="C612" t="str">
            <v>086</v>
          </cell>
          <cell r="D612" t="str">
            <v>547013</v>
          </cell>
          <cell r="E612" t="str">
            <v>FI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AE612">
            <v>0</v>
          </cell>
          <cell r="AG612" t="str">
            <v>Gas</v>
          </cell>
          <cell r="AJ612">
            <v>0</v>
          </cell>
        </row>
        <row r="613">
          <cell r="A613" t="str">
            <v>UEC</v>
          </cell>
          <cell r="B613" t="str">
            <v>78</v>
          </cell>
          <cell r="C613" t="str">
            <v>086</v>
          </cell>
          <cell r="D613" t="str">
            <v>547013</v>
          </cell>
          <cell r="E613" t="str">
            <v>FI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AE613">
            <v>0</v>
          </cell>
          <cell r="AG613" t="str">
            <v>Gas</v>
          </cell>
          <cell r="AJ613">
            <v>0</v>
          </cell>
        </row>
        <row r="614">
          <cell r="A614" t="str">
            <v>UEC</v>
          </cell>
          <cell r="B614" t="str">
            <v>89</v>
          </cell>
          <cell r="C614" t="str">
            <v>186</v>
          </cell>
          <cell r="D614" t="str">
            <v>813</v>
          </cell>
          <cell r="E614" t="str">
            <v>XA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AE614">
            <v>0</v>
          </cell>
          <cell r="AG614"/>
          <cell r="AJ614">
            <v>0</v>
          </cell>
        </row>
        <row r="615">
          <cell r="A615" t="str">
            <v>UEC</v>
          </cell>
          <cell r="B615" t="str">
            <v>98</v>
          </cell>
          <cell r="C615" t="str">
            <v>086</v>
          </cell>
          <cell r="D615" t="str">
            <v>INTGEN</v>
          </cell>
          <cell r="E615" t="str">
            <v>FI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AE615">
            <v>0</v>
          </cell>
          <cell r="AG615"/>
          <cell r="AJ615">
            <v>0</v>
          </cell>
        </row>
        <row r="616">
          <cell r="A616" t="str">
            <v>UEC</v>
          </cell>
          <cell r="B616" t="str">
            <v>98</v>
          </cell>
          <cell r="C616" t="str">
            <v>086</v>
          </cell>
          <cell r="D616" t="str">
            <v>547002</v>
          </cell>
          <cell r="E616" t="str">
            <v>FB</v>
          </cell>
          <cell r="G616">
            <v>0</v>
          </cell>
          <cell r="H616">
            <v>23.27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AE616">
            <v>0</v>
          </cell>
          <cell r="AG616" t="str">
            <v>Oil</v>
          </cell>
          <cell r="AJ616">
            <v>23.27</v>
          </cell>
        </row>
        <row r="617">
          <cell r="A617" t="str">
            <v>UEC</v>
          </cell>
          <cell r="B617" t="str">
            <v>98</v>
          </cell>
          <cell r="C617" t="str">
            <v>086</v>
          </cell>
          <cell r="D617" t="str">
            <v>547002</v>
          </cell>
          <cell r="E617" t="str">
            <v>FI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AE617">
            <v>0</v>
          </cell>
          <cell r="AG617" t="str">
            <v>Oil</v>
          </cell>
          <cell r="AJ617">
            <v>0</v>
          </cell>
        </row>
        <row r="618">
          <cell r="A618" t="str">
            <v>UEC</v>
          </cell>
          <cell r="B618" t="str">
            <v>98</v>
          </cell>
          <cell r="C618" t="str">
            <v>086</v>
          </cell>
          <cell r="D618" t="str">
            <v>547003</v>
          </cell>
          <cell r="E618" t="str">
            <v>FB</v>
          </cell>
          <cell r="G618">
            <v>38843.18</v>
          </cell>
          <cell r="H618">
            <v>11022.34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AE618">
            <v>0</v>
          </cell>
          <cell r="AG618" t="str">
            <v>Gas</v>
          </cell>
          <cell r="AJ618">
            <v>49865.520000000004</v>
          </cell>
        </row>
        <row r="619">
          <cell r="A619" t="str">
            <v>UEC</v>
          </cell>
          <cell r="B619" t="str">
            <v>98</v>
          </cell>
          <cell r="C619" t="str">
            <v>086</v>
          </cell>
          <cell r="D619" t="str">
            <v>547003</v>
          </cell>
          <cell r="E619" t="str">
            <v>FB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AE619">
            <v>0</v>
          </cell>
          <cell r="AG619" t="str">
            <v>Gas</v>
          </cell>
          <cell r="AJ619">
            <v>0</v>
          </cell>
        </row>
        <row r="620">
          <cell r="A620" t="str">
            <v>UEC</v>
          </cell>
          <cell r="B620" t="str">
            <v>98</v>
          </cell>
          <cell r="C620" t="str">
            <v>086</v>
          </cell>
          <cell r="D620" t="str">
            <v>547003</v>
          </cell>
          <cell r="E620" t="str">
            <v>FI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AE620">
            <v>0</v>
          </cell>
          <cell r="AG620" t="str">
            <v>Gas</v>
          </cell>
          <cell r="AJ620">
            <v>0</v>
          </cell>
        </row>
        <row r="621">
          <cell r="A621" t="str">
            <v>UEC</v>
          </cell>
          <cell r="B621" t="str">
            <v>98</v>
          </cell>
          <cell r="C621" t="str">
            <v>086</v>
          </cell>
          <cell r="D621" t="str">
            <v>547003</v>
          </cell>
          <cell r="E621" t="str">
            <v>FB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AE621">
            <v>0</v>
          </cell>
          <cell r="AG621" t="str">
            <v>Gas</v>
          </cell>
          <cell r="AJ621">
            <v>0</v>
          </cell>
        </row>
        <row r="622">
          <cell r="A622" t="str">
            <v>UEC</v>
          </cell>
          <cell r="B622" t="str">
            <v>98</v>
          </cell>
          <cell r="C622" t="str">
            <v>086</v>
          </cell>
          <cell r="D622" t="str">
            <v>547012</v>
          </cell>
          <cell r="E622" t="str">
            <v>FI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AE622">
            <v>0</v>
          </cell>
          <cell r="AG622" t="str">
            <v>Oil</v>
          </cell>
          <cell r="AJ622">
            <v>0</v>
          </cell>
        </row>
        <row r="623">
          <cell r="A623" t="str">
            <v>UEC</v>
          </cell>
          <cell r="B623" t="str">
            <v>98</v>
          </cell>
          <cell r="C623" t="str">
            <v>086</v>
          </cell>
          <cell r="D623" t="str">
            <v>547012</v>
          </cell>
          <cell r="E623" t="str">
            <v>FI</v>
          </cell>
          <cell r="G623">
            <v>0</v>
          </cell>
          <cell r="H623">
            <v>141.74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AE623">
            <v>0</v>
          </cell>
          <cell r="AG623" t="str">
            <v>Oil</v>
          </cell>
          <cell r="AJ623">
            <v>141.74</v>
          </cell>
        </row>
        <row r="624">
          <cell r="A624" t="str">
            <v>UEC</v>
          </cell>
          <cell r="B624" t="str">
            <v>98</v>
          </cell>
          <cell r="C624" t="str">
            <v>086</v>
          </cell>
          <cell r="D624" t="str">
            <v>547013</v>
          </cell>
          <cell r="E624" t="str">
            <v>FI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AE624">
            <v>0</v>
          </cell>
          <cell r="AG624" t="str">
            <v>Gas</v>
          </cell>
          <cell r="AJ624">
            <v>0</v>
          </cell>
        </row>
        <row r="625">
          <cell r="A625" t="str">
            <v>UEC</v>
          </cell>
          <cell r="B625" t="str">
            <v>98</v>
          </cell>
          <cell r="C625" t="str">
            <v>086</v>
          </cell>
          <cell r="D625" t="str">
            <v>547013</v>
          </cell>
          <cell r="E625" t="str">
            <v>FI</v>
          </cell>
          <cell r="G625">
            <v>53704.82</v>
          </cell>
          <cell r="H625">
            <v>67117.66</v>
          </cell>
          <cell r="I625">
            <v>15741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AE625">
            <v>15741</v>
          </cell>
          <cell r="AG625" t="str">
            <v>Gas</v>
          </cell>
          <cell r="AJ625">
            <v>136563.48000000001</v>
          </cell>
        </row>
        <row r="626">
          <cell r="A626" t="str">
            <v>UEC</v>
          </cell>
          <cell r="B626" t="str">
            <v>98</v>
          </cell>
          <cell r="C626" t="str">
            <v>086</v>
          </cell>
          <cell r="D626" t="str">
            <v>547013</v>
          </cell>
          <cell r="E626" t="str">
            <v>FI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AE626">
            <v>0</v>
          </cell>
          <cell r="AG626" t="str">
            <v>Gas</v>
          </cell>
          <cell r="AJ626">
            <v>0</v>
          </cell>
        </row>
        <row r="627">
          <cell r="A627" t="str">
            <v>UEC</v>
          </cell>
          <cell r="B627" t="str">
            <v>98</v>
          </cell>
          <cell r="C627" t="str">
            <v>086</v>
          </cell>
          <cell r="D627" t="str">
            <v>547013</v>
          </cell>
          <cell r="E627" t="str">
            <v>FI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AE627">
            <v>0</v>
          </cell>
          <cell r="AG627" t="str">
            <v>Gas</v>
          </cell>
          <cell r="AJ627">
            <v>0</v>
          </cell>
        </row>
      </sheetData>
      <sheetData sheetId="11">
        <row r="1">
          <cell r="A1" t="str">
            <v>CORP</v>
          </cell>
          <cell r="B1" t="str">
            <v>BD</v>
          </cell>
          <cell r="C1" t="str">
            <v>RMC</v>
          </cell>
          <cell r="D1" t="str">
            <v>MAJMIN</v>
          </cell>
          <cell r="E1" t="str">
            <v>RT</v>
          </cell>
          <cell r="F1" t="str">
            <v>Jan-10</v>
          </cell>
          <cell r="G1" t="str">
            <v>Feb-10</v>
          </cell>
          <cell r="H1" t="str">
            <v>Mar-10</v>
          </cell>
          <cell r="I1" t="str">
            <v>Apr-10</v>
          </cell>
          <cell r="J1" t="str">
            <v>May-10</v>
          </cell>
          <cell r="K1" t="str">
            <v>Jun-10</v>
          </cell>
          <cell r="L1" t="str">
            <v>Jul-10</v>
          </cell>
          <cell r="M1" t="str">
            <v>Aug-10</v>
          </cell>
          <cell r="N1" t="str">
            <v>Sep-10</v>
          </cell>
          <cell r="O1" t="str">
            <v>Oct-10</v>
          </cell>
          <cell r="P1" t="str">
            <v>Nov-10</v>
          </cell>
          <cell r="Q1" t="str">
            <v>Dec-10</v>
          </cell>
          <cell r="R1" t="str">
            <v>Jan-09</v>
          </cell>
          <cell r="S1" t="str">
            <v>Feb-09</v>
          </cell>
          <cell r="T1" t="str">
            <v>Mar-09</v>
          </cell>
          <cell r="U1" t="str">
            <v>Apr-09</v>
          </cell>
          <cell r="V1" t="str">
            <v>May-09</v>
          </cell>
          <cell r="W1" t="str">
            <v>Jun-09</v>
          </cell>
          <cell r="X1" t="str">
            <v>Jul-09</v>
          </cell>
          <cell r="Y1" t="str">
            <v>Aug-09</v>
          </cell>
          <cell r="Z1" t="str">
            <v>Sep-09</v>
          </cell>
          <cell r="AA1" t="str">
            <v>Oct-09</v>
          </cell>
          <cell r="AB1" t="str">
            <v>Nov-09</v>
          </cell>
          <cell r="AC1" t="str">
            <v>Dec-09</v>
          </cell>
          <cell r="AD1">
            <v>12010</v>
          </cell>
          <cell r="AE1">
            <v>22009</v>
          </cell>
          <cell r="AF1" t="str">
            <v>FuelType</v>
          </cell>
          <cell r="AG1">
            <v>32010</v>
          </cell>
          <cell r="AH1">
            <v>42009</v>
          </cell>
          <cell r="AI1">
            <v>0</v>
          </cell>
        </row>
        <row r="2">
          <cell r="A2" t="str">
            <v>AMS</v>
          </cell>
          <cell r="B2" t="str">
            <v>11</v>
          </cell>
          <cell r="C2" t="str">
            <v>186</v>
          </cell>
          <cell r="D2" t="str">
            <v>557001</v>
          </cell>
          <cell r="E2" t="str">
            <v>XA</v>
          </cell>
          <cell r="AI2">
            <v>0</v>
          </cell>
        </row>
        <row r="3">
          <cell r="A3" t="str">
            <v>AMS</v>
          </cell>
          <cell r="B3" t="str">
            <v>11</v>
          </cell>
          <cell r="C3" t="str">
            <v>034</v>
          </cell>
          <cell r="D3" t="str">
            <v>586</v>
          </cell>
          <cell r="E3" t="str">
            <v>BX</v>
          </cell>
          <cell r="AI3">
            <v>0</v>
          </cell>
        </row>
        <row r="4">
          <cell r="A4" t="str">
            <v>AMS</v>
          </cell>
          <cell r="B4" t="str">
            <v>11</v>
          </cell>
          <cell r="C4" t="str">
            <v>086</v>
          </cell>
          <cell r="D4" t="str">
            <v>912</v>
          </cell>
          <cell r="E4" t="str">
            <v>80</v>
          </cell>
          <cell r="AI4">
            <v>0</v>
          </cell>
        </row>
        <row r="5">
          <cell r="A5" t="str">
            <v>AMS</v>
          </cell>
          <cell r="B5" t="str">
            <v>11</v>
          </cell>
          <cell r="C5" t="str">
            <v>086</v>
          </cell>
          <cell r="D5" t="str">
            <v>912</v>
          </cell>
          <cell r="E5" t="str">
            <v>80</v>
          </cell>
          <cell r="AI5">
            <v>0</v>
          </cell>
        </row>
        <row r="6">
          <cell r="A6" t="str">
            <v>AMS</v>
          </cell>
          <cell r="B6" t="str">
            <v>11</v>
          </cell>
          <cell r="C6" t="str">
            <v>086</v>
          </cell>
          <cell r="D6" t="str">
            <v>921002</v>
          </cell>
          <cell r="E6" t="str">
            <v>BX</v>
          </cell>
          <cell r="AI6">
            <v>0</v>
          </cell>
        </row>
        <row r="7">
          <cell r="A7" t="str">
            <v>ARG</v>
          </cell>
          <cell r="B7" t="str">
            <v>DC</v>
          </cell>
          <cell r="C7" t="str">
            <v>286</v>
          </cell>
          <cell r="D7" t="str">
            <v>501001</v>
          </cell>
          <cell r="E7" t="str">
            <v>BX</v>
          </cell>
          <cell r="AI7">
            <v>0</v>
          </cell>
        </row>
        <row r="8">
          <cell r="A8" t="str">
            <v>ARG</v>
          </cell>
          <cell r="B8" t="str">
            <v>DC</v>
          </cell>
          <cell r="C8" t="str">
            <v>286</v>
          </cell>
          <cell r="D8" t="str">
            <v>501001</v>
          </cell>
          <cell r="E8" t="str">
            <v>FB</v>
          </cell>
          <cell r="AI8">
            <v>6936366782.4400005</v>
          </cell>
        </row>
        <row r="9">
          <cell r="A9" t="str">
            <v>ARG</v>
          </cell>
          <cell r="B9" t="str">
            <v>DC</v>
          </cell>
          <cell r="C9" t="str">
            <v>286</v>
          </cell>
          <cell r="D9" t="str">
            <v>501001</v>
          </cell>
          <cell r="E9" t="str">
            <v>FB</v>
          </cell>
          <cell r="AI9">
            <v>0</v>
          </cell>
        </row>
        <row r="10">
          <cell r="A10" t="str">
            <v>ARG</v>
          </cell>
          <cell r="B10" t="str">
            <v>DC</v>
          </cell>
          <cell r="C10" t="str">
            <v>286</v>
          </cell>
          <cell r="D10" t="str">
            <v>501002</v>
          </cell>
          <cell r="E10" t="str">
            <v>FB</v>
          </cell>
          <cell r="AI10">
            <v>42853578.239999995</v>
          </cell>
        </row>
        <row r="11">
          <cell r="A11" t="str">
            <v>ARG</v>
          </cell>
          <cell r="B11" t="str">
            <v>DC</v>
          </cell>
          <cell r="C11" t="str">
            <v>286</v>
          </cell>
          <cell r="D11" t="str">
            <v>501101</v>
          </cell>
          <cell r="E11" t="str">
            <v>FB</v>
          </cell>
          <cell r="AI11">
            <v>0</v>
          </cell>
        </row>
        <row r="12">
          <cell r="A12" t="str">
            <v>ARG</v>
          </cell>
          <cell r="B12" t="str">
            <v>DC</v>
          </cell>
          <cell r="C12" t="str">
            <v>286</v>
          </cell>
          <cell r="D12" t="str">
            <v>501110</v>
          </cell>
          <cell r="E12" t="str">
            <v>FB</v>
          </cell>
          <cell r="AI12">
            <v>0</v>
          </cell>
        </row>
        <row r="13">
          <cell r="A13" t="str">
            <v>ARG</v>
          </cell>
          <cell r="B13" t="str">
            <v>DC</v>
          </cell>
          <cell r="C13" t="str">
            <v>186</v>
          </cell>
          <cell r="D13" t="str">
            <v>502</v>
          </cell>
          <cell r="E13" t="str">
            <v>BX</v>
          </cell>
          <cell r="AI13">
            <v>0</v>
          </cell>
        </row>
        <row r="14">
          <cell r="A14" t="str">
            <v>ARG</v>
          </cell>
          <cell r="B14" t="str">
            <v>DC</v>
          </cell>
          <cell r="C14" t="str">
            <v>186</v>
          </cell>
          <cell r="D14" t="str">
            <v>502</v>
          </cell>
          <cell r="E14" t="str">
            <v>34</v>
          </cell>
          <cell r="AI14">
            <v>0</v>
          </cell>
        </row>
        <row r="15">
          <cell r="A15" t="str">
            <v>ARG</v>
          </cell>
          <cell r="B15" t="str">
            <v>DC</v>
          </cell>
          <cell r="C15" t="str">
            <v>186</v>
          </cell>
          <cell r="D15" t="str">
            <v>502001</v>
          </cell>
          <cell r="E15" t="str">
            <v>BG</v>
          </cell>
          <cell r="AI15">
            <v>0</v>
          </cell>
        </row>
        <row r="16">
          <cell r="A16" t="str">
            <v>ARG</v>
          </cell>
          <cell r="B16" t="str">
            <v>DC</v>
          </cell>
          <cell r="C16" t="str">
            <v>186</v>
          </cell>
          <cell r="D16" t="str">
            <v>502001</v>
          </cell>
          <cell r="E16" t="str">
            <v>34</v>
          </cell>
          <cell r="AI16">
            <v>0</v>
          </cell>
        </row>
        <row r="17">
          <cell r="A17" t="str">
            <v>ARG</v>
          </cell>
          <cell r="B17" t="str">
            <v>DC</v>
          </cell>
          <cell r="C17" t="str">
            <v>186</v>
          </cell>
          <cell r="D17" t="str">
            <v>509</v>
          </cell>
          <cell r="E17" t="str">
            <v>FB</v>
          </cell>
          <cell r="AI17">
            <v>0</v>
          </cell>
        </row>
        <row r="18">
          <cell r="A18" t="str">
            <v>ARG</v>
          </cell>
          <cell r="B18" t="str">
            <v>DC</v>
          </cell>
          <cell r="C18" t="str">
            <v>286</v>
          </cell>
          <cell r="D18" t="str">
            <v>509</v>
          </cell>
          <cell r="E18" t="str">
            <v>FB</v>
          </cell>
          <cell r="AI18">
            <v>0</v>
          </cell>
        </row>
        <row r="19">
          <cell r="A19" t="str">
            <v>ARG</v>
          </cell>
          <cell r="B19" t="str">
            <v>DC</v>
          </cell>
          <cell r="C19" t="str">
            <v>286</v>
          </cell>
          <cell r="D19" t="str">
            <v>509</v>
          </cell>
          <cell r="E19" t="str">
            <v>FB</v>
          </cell>
          <cell r="AI19">
            <v>0</v>
          </cell>
        </row>
        <row r="20">
          <cell r="A20" t="str">
            <v>ARG</v>
          </cell>
          <cell r="B20" t="str">
            <v>ED</v>
          </cell>
          <cell r="C20" t="str">
            <v>286</v>
          </cell>
          <cell r="D20" t="str">
            <v>501001</v>
          </cell>
          <cell r="E20" t="str">
            <v>BX</v>
          </cell>
          <cell r="AI20">
            <v>0</v>
          </cell>
        </row>
        <row r="21">
          <cell r="A21" t="str">
            <v>ARG</v>
          </cell>
          <cell r="B21" t="str">
            <v>ED</v>
          </cell>
          <cell r="C21" t="str">
            <v>286</v>
          </cell>
          <cell r="D21" t="str">
            <v>501001</v>
          </cell>
          <cell r="E21" t="str">
            <v>FB</v>
          </cell>
          <cell r="AI21">
            <v>14014941381.170002</v>
          </cell>
        </row>
        <row r="22">
          <cell r="A22" t="str">
            <v>ARG</v>
          </cell>
          <cell r="B22" t="str">
            <v>ED</v>
          </cell>
          <cell r="C22" t="str">
            <v>286</v>
          </cell>
          <cell r="D22" t="str">
            <v>501001</v>
          </cell>
          <cell r="E22" t="str">
            <v>FB</v>
          </cell>
          <cell r="AI22">
            <v>0</v>
          </cell>
        </row>
        <row r="23">
          <cell r="A23" t="str">
            <v>ARG</v>
          </cell>
          <cell r="B23" t="str">
            <v>ED</v>
          </cell>
          <cell r="C23" t="str">
            <v>286</v>
          </cell>
          <cell r="D23" t="str">
            <v>501002</v>
          </cell>
          <cell r="E23" t="str">
            <v>FB</v>
          </cell>
          <cell r="AI23">
            <v>8401378.0299999993</v>
          </cell>
        </row>
        <row r="24">
          <cell r="A24" t="str">
            <v>ARG</v>
          </cell>
          <cell r="B24" t="str">
            <v>ED</v>
          </cell>
          <cell r="C24" t="str">
            <v>286</v>
          </cell>
          <cell r="D24" t="str">
            <v>501101</v>
          </cell>
          <cell r="E24" t="str">
            <v>FB</v>
          </cell>
          <cell r="AI24">
            <v>0</v>
          </cell>
        </row>
        <row r="25">
          <cell r="A25" t="str">
            <v>ARG</v>
          </cell>
          <cell r="B25" t="str">
            <v>ED</v>
          </cell>
          <cell r="C25" t="str">
            <v>286</v>
          </cell>
          <cell r="D25" t="str">
            <v>501110</v>
          </cell>
          <cell r="E25" t="str">
            <v>FB</v>
          </cell>
          <cell r="AI25">
            <v>0</v>
          </cell>
        </row>
        <row r="26">
          <cell r="A26" t="str">
            <v>ARG</v>
          </cell>
          <cell r="B26" t="str">
            <v>ED</v>
          </cell>
          <cell r="C26" t="str">
            <v>186</v>
          </cell>
          <cell r="D26" t="str">
            <v>502</v>
          </cell>
          <cell r="E26" t="str">
            <v>BX</v>
          </cell>
          <cell r="AI26">
            <v>0</v>
          </cell>
        </row>
        <row r="27">
          <cell r="A27" t="str">
            <v>ARG</v>
          </cell>
          <cell r="B27" t="str">
            <v>ED</v>
          </cell>
          <cell r="C27" t="str">
            <v>186</v>
          </cell>
          <cell r="D27" t="str">
            <v>502</v>
          </cell>
          <cell r="E27" t="str">
            <v>BX</v>
          </cell>
          <cell r="AI27">
            <v>0</v>
          </cell>
        </row>
        <row r="28">
          <cell r="A28" t="str">
            <v>ARG</v>
          </cell>
          <cell r="B28" t="str">
            <v>ED</v>
          </cell>
          <cell r="C28" t="str">
            <v>186</v>
          </cell>
          <cell r="D28" t="str">
            <v>502</v>
          </cell>
          <cell r="E28" t="str">
            <v>34</v>
          </cell>
          <cell r="AI28">
            <v>0</v>
          </cell>
        </row>
        <row r="29">
          <cell r="A29" t="str">
            <v>ARG</v>
          </cell>
          <cell r="B29" t="str">
            <v>ED</v>
          </cell>
          <cell r="C29" t="str">
            <v>186</v>
          </cell>
          <cell r="D29" t="str">
            <v>502001</v>
          </cell>
          <cell r="E29" t="str">
            <v>BX</v>
          </cell>
          <cell r="AI29">
            <v>0</v>
          </cell>
        </row>
        <row r="30">
          <cell r="A30" t="str">
            <v>ARG</v>
          </cell>
          <cell r="B30" t="str">
            <v>ED</v>
          </cell>
          <cell r="C30" t="str">
            <v>186</v>
          </cell>
          <cell r="D30" t="str">
            <v>502001</v>
          </cell>
          <cell r="E30" t="str">
            <v>BX</v>
          </cell>
          <cell r="AI30">
            <v>0</v>
          </cell>
        </row>
        <row r="31">
          <cell r="A31" t="str">
            <v>ARG</v>
          </cell>
          <cell r="B31" t="str">
            <v>ED</v>
          </cell>
          <cell r="C31" t="str">
            <v>186</v>
          </cell>
          <cell r="D31" t="str">
            <v>502001</v>
          </cell>
          <cell r="E31" t="str">
            <v>34</v>
          </cell>
          <cell r="AI31">
            <v>0</v>
          </cell>
        </row>
        <row r="32">
          <cell r="A32" t="str">
            <v>ARG</v>
          </cell>
          <cell r="B32" t="str">
            <v>ED</v>
          </cell>
          <cell r="C32" t="str">
            <v>186</v>
          </cell>
          <cell r="D32" t="str">
            <v>509</v>
          </cell>
          <cell r="E32" t="str">
            <v>FB</v>
          </cell>
          <cell r="AI32">
            <v>0</v>
          </cell>
        </row>
        <row r="33">
          <cell r="A33" t="str">
            <v>ARG</v>
          </cell>
          <cell r="B33" t="str">
            <v>ED</v>
          </cell>
          <cell r="C33" t="str">
            <v>286</v>
          </cell>
          <cell r="D33" t="str">
            <v>509</v>
          </cell>
          <cell r="E33" t="str">
            <v>FB</v>
          </cell>
          <cell r="AI33">
            <v>0</v>
          </cell>
        </row>
        <row r="34">
          <cell r="A34" t="str">
            <v>ARG</v>
          </cell>
          <cell r="B34" t="str">
            <v>ED</v>
          </cell>
          <cell r="C34" t="str">
            <v>286</v>
          </cell>
          <cell r="D34" t="str">
            <v>509</v>
          </cell>
          <cell r="E34" t="str">
            <v>FB</v>
          </cell>
          <cell r="AI34">
            <v>0</v>
          </cell>
        </row>
        <row r="35">
          <cell r="A35" t="str">
            <v>ARG</v>
          </cell>
          <cell r="B35" t="str">
            <v>ED</v>
          </cell>
          <cell r="C35" t="str">
            <v>186</v>
          </cell>
          <cell r="D35" t="str">
            <v>514</v>
          </cell>
          <cell r="E35" t="str">
            <v>BX</v>
          </cell>
          <cell r="AI35">
            <v>0</v>
          </cell>
        </row>
        <row r="36">
          <cell r="A36" t="str">
            <v>ARG</v>
          </cell>
          <cell r="B36" t="str">
            <v>ED</v>
          </cell>
          <cell r="C36" t="str">
            <v>186</v>
          </cell>
          <cell r="D36" t="str">
            <v>514</v>
          </cell>
          <cell r="E36" t="str">
            <v>34</v>
          </cell>
          <cell r="AI36">
            <v>0</v>
          </cell>
        </row>
        <row r="37">
          <cell r="A37" t="str">
            <v>ARG</v>
          </cell>
          <cell r="B37" t="str">
            <v>HK</v>
          </cell>
          <cell r="C37" t="str">
            <v>286</v>
          </cell>
          <cell r="D37" t="str">
            <v>547002</v>
          </cell>
          <cell r="E37" t="str">
            <v>FB</v>
          </cell>
          <cell r="AI37">
            <v>0</v>
          </cell>
        </row>
        <row r="38">
          <cell r="A38" t="str">
            <v>ARG</v>
          </cell>
          <cell r="B38" t="str">
            <v>RG</v>
          </cell>
          <cell r="C38" t="str">
            <v>286</v>
          </cell>
          <cell r="D38" t="str">
            <v>509</v>
          </cell>
          <cell r="E38" t="str">
            <v>FB</v>
          </cell>
          <cell r="AI38">
            <v>0</v>
          </cell>
        </row>
        <row r="39">
          <cell r="A39" t="str">
            <v>ARG</v>
          </cell>
          <cell r="B39" t="str">
            <v>SA</v>
          </cell>
          <cell r="C39" t="str">
            <v>286</v>
          </cell>
          <cell r="D39" t="str">
            <v>547CIL</v>
          </cell>
          <cell r="E39" t="str">
            <v>FB</v>
          </cell>
          <cell r="AI39">
            <v>0</v>
          </cell>
        </row>
        <row r="40">
          <cell r="A40" t="str">
            <v>ARG</v>
          </cell>
          <cell r="B40" t="str">
            <v>SA</v>
          </cell>
          <cell r="C40" t="str">
            <v>286</v>
          </cell>
          <cell r="D40" t="str">
            <v>547003</v>
          </cell>
          <cell r="E40" t="str">
            <v>FB</v>
          </cell>
          <cell r="AI40">
            <v>0</v>
          </cell>
        </row>
        <row r="41">
          <cell r="A41" t="str">
            <v>ARG</v>
          </cell>
          <cell r="B41" t="str">
            <v>TL</v>
          </cell>
          <cell r="C41" t="str">
            <v>286</v>
          </cell>
          <cell r="D41" t="str">
            <v>5010CO</v>
          </cell>
          <cell r="E41" t="str">
            <v>FB</v>
          </cell>
          <cell r="AI41">
            <v>0</v>
          </cell>
        </row>
        <row r="42">
          <cell r="A42" t="str">
            <v>ARG</v>
          </cell>
          <cell r="B42" t="str">
            <v>TZ</v>
          </cell>
          <cell r="C42" t="str">
            <v>286</v>
          </cell>
          <cell r="D42" t="str">
            <v>547002</v>
          </cell>
          <cell r="E42" t="str">
            <v>FB</v>
          </cell>
          <cell r="AI42">
            <v>0</v>
          </cell>
        </row>
        <row r="43">
          <cell r="A43" t="str">
            <v>CCP</v>
          </cell>
          <cell r="B43" t="str">
            <v>CC</v>
          </cell>
          <cell r="C43" t="str">
            <v>286</v>
          </cell>
          <cell r="D43" t="str">
            <v>501001</v>
          </cell>
          <cell r="E43" t="str">
            <v>FB</v>
          </cell>
          <cell r="AI43">
            <v>0</v>
          </cell>
        </row>
        <row r="44">
          <cell r="A44" t="str">
            <v>CIL</v>
          </cell>
          <cell r="B44" t="str">
            <v>CG</v>
          </cell>
          <cell r="C44" t="str">
            <v>286</v>
          </cell>
          <cell r="D44" t="str">
            <v>501</v>
          </cell>
          <cell r="E44" t="str">
            <v>LM</v>
          </cell>
          <cell r="AI44">
            <v>0</v>
          </cell>
        </row>
        <row r="45">
          <cell r="A45" t="str">
            <v>CIL</v>
          </cell>
          <cell r="B45" t="str">
            <v>CG</v>
          </cell>
          <cell r="C45" t="str">
            <v>286</v>
          </cell>
          <cell r="D45" t="str">
            <v>501001</v>
          </cell>
          <cell r="E45" t="str">
            <v>BX</v>
          </cell>
          <cell r="AI45">
            <v>0</v>
          </cell>
        </row>
        <row r="46">
          <cell r="A46" t="str">
            <v>CIL</v>
          </cell>
          <cell r="B46" t="str">
            <v>CG</v>
          </cell>
          <cell r="C46" t="str">
            <v>286</v>
          </cell>
          <cell r="D46" t="str">
            <v>501001</v>
          </cell>
          <cell r="E46" t="str">
            <v>FB</v>
          </cell>
          <cell r="AI46">
            <v>0</v>
          </cell>
        </row>
        <row r="47">
          <cell r="A47" t="str">
            <v>CIL</v>
          </cell>
          <cell r="B47" t="str">
            <v>CG</v>
          </cell>
          <cell r="C47" t="str">
            <v>286</v>
          </cell>
          <cell r="D47" t="str">
            <v>547002</v>
          </cell>
          <cell r="E47" t="str">
            <v>FB</v>
          </cell>
          <cell r="AI47">
            <v>0</v>
          </cell>
        </row>
        <row r="48">
          <cell r="A48" t="str">
            <v>CIL</v>
          </cell>
          <cell r="B48" t="str">
            <v>CG</v>
          </cell>
          <cell r="C48" t="str">
            <v>286</v>
          </cell>
          <cell r="D48" t="str">
            <v>547003</v>
          </cell>
          <cell r="E48" t="str">
            <v>FB</v>
          </cell>
          <cell r="AI48">
            <v>0</v>
          </cell>
        </row>
        <row r="49">
          <cell r="A49" t="str">
            <v>CIL</v>
          </cell>
          <cell r="B49" t="str">
            <v>CG</v>
          </cell>
          <cell r="C49" t="str">
            <v>647</v>
          </cell>
          <cell r="D49" t="str">
            <v>552</v>
          </cell>
          <cell r="E49" t="str">
            <v>EC</v>
          </cell>
          <cell r="AI49">
            <v>0</v>
          </cell>
        </row>
        <row r="50">
          <cell r="A50" t="str">
            <v>CIL</v>
          </cell>
          <cell r="B50" t="str">
            <v>CG</v>
          </cell>
          <cell r="C50" t="str">
            <v>647</v>
          </cell>
          <cell r="D50" t="str">
            <v>552</v>
          </cell>
          <cell r="E50" t="str">
            <v>EI</v>
          </cell>
          <cell r="AI50">
            <v>0</v>
          </cell>
        </row>
        <row r="51">
          <cell r="A51" t="str">
            <v>CIL</v>
          </cell>
          <cell r="B51" t="str">
            <v>CG</v>
          </cell>
          <cell r="C51" t="str">
            <v>647</v>
          </cell>
          <cell r="D51" t="str">
            <v>552</v>
          </cell>
          <cell r="E51" t="str">
            <v>34</v>
          </cell>
          <cell r="AI51">
            <v>0</v>
          </cell>
        </row>
        <row r="52">
          <cell r="A52" t="str">
            <v>CIL</v>
          </cell>
          <cell r="B52" t="str">
            <v>CL</v>
          </cell>
          <cell r="C52" t="str">
            <v>286</v>
          </cell>
          <cell r="D52" t="str">
            <v>417001</v>
          </cell>
          <cell r="E52" t="str">
            <v>FB</v>
          </cell>
          <cell r="AI52">
            <v>0</v>
          </cell>
        </row>
        <row r="53">
          <cell r="A53" t="str">
            <v>CIL</v>
          </cell>
          <cell r="B53" t="str">
            <v>CL</v>
          </cell>
          <cell r="C53" t="str">
            <v>286</v>
          </cell>
          <cell r="D53" t="str">
            <v>501300</v>
          </cell>
          <cell r="E53" t="str">
            <v>FB</v>
          </cell>
          <cell r="AI53">
            <v>0</v>
          </cell>
        </row>
        <row r="54">
          <cell r="A54" t="str">
            <v>CIL</v>
          </cell>
          <cell r="B54" t="str">
            <v>CL</v>
          </cell>
          <cell r="C54" t="str">
            <v>647</v>
          </cell>
          <cell r="D54" t="str">
            <v>561</v>
          </cell>
          <cell r="E54" t="str">
            <v>LM</v>
          </cell>
          <cell r="AI54">
            <v>0</v>
          </cell>
        </row>
        <row r="55">
          <cell r="A55" t="str">
            <v>CIL</v>
          </cell>
          <cell r="B55" t="str">
            <v>CL</v>
          </cell>
          <cell r="C55" t="str">
            <v>647</v>
          </cell>
          <cell r="D55" t="str">
            <v>561</v>
          </cell>
          <cell r="E55" t="str">
            <v>LO</v>
          </cell>
          <cell r="AI55">
            <v>0</v>
          </cell>
        </row>
        <row r="56">
          <cell r="A56" t="str">
            <v>CIL</v>
          </cell>
          <cell r="B56" t="str">
            <v>CL</v>
          </cell>
          <cell r="C56" t="str">
            <v>186</v>
          </cell>
          <cell r="D56" t="str">
            <v>813</v>
          </cell>
          <cell r="E56" t="str">
            <v>XA</v>
          </cell>
          <cell r="AI56">
            <v>0</v>
          </cell>
        </row>
        <row r="57">
          <cell r="A57" t="str">
            <v>CIL</v>
          </cell>
          <cell r="B57" t="str">
            <v>CL</v>
          </cell>
          <cell r="C57" t="str">
            <v>186</v>
          </cell>
          <cell r="D57" t="str">
            <v>816</v>
          </cell>
          <cell r="E57" t="str">
            <v>XA</v>
          </cell>
          <cell r="AI57">
            <v>0</v>
          </cell>
        </row>
        <row r="58">
          <cell r="A58" t="str">
            <v>CIL</v>
          </cell>
          <cell r="B58" t="str">
            <v>CL</v>
          </cell>
          <cell r="C58" t="str">
            <v>086</v>
          </cell>
          <cell r="D58" t="str">
            <v>912</v>
          </cell>
          <cell r="E58" t="str">
            <v>80</v>
          </cell>
          <cell r="AI58">
            <v>0</v>
          </cell>
        </row>
        <row r="59">
          <cell r="A59" t="str">
            <v>CIL</v>
          </cell>
          <cell r="B59" t="str">
            <v>CL</v>
          </cell>
          <cell r="C59" t="str">
            <v>086</v>
          </cell>
          <cell r="D59" t="str">
            <v>921002</v>
          </cell>
          <cell r="E59" t="str">
            <v>BX</v>
          </cell>
          <cell r="AI59">
            <v>0</v>
          </cell>
        </row>
        <row r="60">
          <cell r="A60" t="str">
            <v>CIL</v>
          </cell>
          <cell r="B60" t="str">
            <v>CT</v>
          </cell>
          <cell r="C60" t="str">
            <v>647</v>
          </cell>
          <cell r="D60" t="str">
            <v>561</v>
          </cell>
          <cell r="E60" t="str">
            <v>LM</v>
          </cell>
          <cell r="AI60">
            <v>0</v>
          </cell>
        </row>
        <row r="61">
          <cell r="A61" t="str">
            <v>CIL</v>
          </cell>
          <cell r="B61" t="str">
            <v>CT</v>
          </cell>
          <cell r="C61" t="str">
            <v>647</v>
          </cell>
          <cell r="D61" t="str">
            <v>561</v>
          </cell>
          <cell r="E61" t="str">
            <v>LO</v>
          </cell>
          <cell r="AI61">
            <v>0</v>
          </cell>
        </row>
        <row r="62">
          <cell r="A62" t="str">
            <v>CIL</v>
          </cell>
          <cell r="B62" t="str">
            <v>CT</v>
          </cell>
          <cell r="C62" t="str">
            <v>086</v>
          </cell>
          <cell r="D62" t="str">
            <v>921999</v>
          </cell>
          <cell r="E62" t="str">
            <v>80</v>
          </cell>
          <cell r="AI62">
            <v>0</v>
          </cell>
        </row>
        <row r="63">
          <cell r="A63" t="str">
            <v>CIL</v>
          </cell>
          <cell r="B63" t="str">
            <v>DC</v>
          </cell>
          <cell r="C63" t="str">
            <v>286</v>
          </cell>
          <cell r="D63" t="str">
            <v>501001</v>
          </cell>
          <cell r="E63" t="str">
            <v>FB</v>
          </cell>
          <cell r="AI63">
            <v>0</v>
          </cell>
        </row>
        <row r="64">
          <cell r="A64" t="str">
            <v>CIL</v>
          </cell>
          <cell r="B64" t="str">
            <v>DC</v>
          </cell>
          <cell r="C64" t="str">
            <v>286</v>
          </cell>
          <cell r="D64" t="str">
            <v>501002</v>
          </cell>
          <cell r="E64" t="str">
            <v>FB</v>
          </cell>
          <cell r="AI64">
            <v>0</v>
          </cell>
        </row>
        <row r="65">
          <cell r="A65" t="str">
            <v>CIL</v>
          </cell>
          <cell r="B65" t="str">
            <v>DC</v>
          </cell>
          <cell r="C65" t="str">
            <v>286</v>
          </cell>
          <cell r="D65" t="str">
            <v>501002</v>
          </cell>
          <cell r="E65" t="str">
            <v>35</v>
          </cell>
          <cell r="AI65">
            <v>0</v>
          </cell>
        </row>
        <row r="66">
          <cell r="A66" t="str">
            <v>CIL</v>
          </cell>
          <cell r="B66" t="str">
            <v>DC</v>
          </cell>
          <cell r="C66" t="str">
            <v>286</v>
          </cell>
          <cell r="D66" t="str">
            <v>501002</v>
          </cell>
          <cell r="E66" t="str">
            <v>40</v>
          </cell>
          <cell r="AI66">
            <v>0</v>
          </cell>
        </row>
        <row r="67">
          <cell r="A67" t="str">
            <v>CIL</v>
          </cell>
          <cell r="B67" t="str">
            <v>DC</v>
          </cell>
          <cell r="C67" t="str">
            <v>286</v>
          </cell>
          <cell r="D67" t="str">
            <v>501101</v>
          </cell>
          <cell r="E67" t="str">
            <v>FB</v>
          </cell>
          <cell r="AI67">
            <v>0</v>
          </cell>
        </row>
        <row r="68">
          <cell r="A68" t="str">
            <v>CIL</v>
          </cell>
          <cell r="B68" t="str">
            <v>ED</v>
          </cell>
          <cell r="C68" t="str">
            <v>286</v>
          </cell>
          <cell r="D68" t="str">
            <v>501001</v>
          </cell>
          <cell r="E68" t="str">
            <v>FB</v>
          </cell>
          <cell r="AI68">
            <v>0</v>
          </cell>
        </row>
        <row r="69">
          <cell r="A69" t="str">
            <v>CIL</v>
          </cell>
          <cell r="B69" t="str">
            <v>ED</v>
          </cell>
          <cell r="C69" t="str">
            <v>286</v>
          </cell>
          <cell r="D69" t="str">
            <v>501002</v>
          </cell>
          <cell r="E69" t="str">
            <v>FB</v>
          </cell>
          <cell r="AI69">
            <v>0</v>
          </cell>
        </row>
        <row r="70">
          <cell r="A70" t="str">
            <v>CIL</v>
          </cell>
          <cell r="B70" t="str">
            <v>ED</v>
          </cell>
          <cell r="C70" t="str">
            <v>286</v>
          </cell>
          <cell r="D70" t="str">
            <v>501101</v>
          </cell>
          <cell r="E70" t="str">
            <v>FB</v>
          </cell>
          <cell r="AI70">
            <v>0</v>
          </cell>
        </row>
        <row r="71">
          <cell r="A71" t="str">
            <v>CIL</v>
          </cell>
          <cell r="B71" t="str">
            <v>HA</v>
          </cell>
          <cell r="C71" t="str">
            <v>286</v>
          </cell>
          <cell r="D71" t="str">
            <v>547002</v>
          </cell>
          <cell r="E71" t="str">
            <v>FB</v>
          </cell>
          <cell r="AI71">
            <v>0</v>
          </cell>
        </row>
        <row r="72">
          <cell r="A72" t="str">
            <v>CIL</v>
          </cell>
          <cell r="B72" t="str">
            <v>HA</v>
          </cell>
          <cell r="C72" t="str">
            <v>286</v>
          </cell>
          <cell r="D72" t="str">
            <v>547003</v>
          </cell>
          <cell r="E72" t="str">
            <v>FB</v>
          </cell>
          <cell r="AI72">
            <v>0</v>
          </cell>
        </row>
        <row r="73">
          <cell r="A73" t="str">
            <v>CIL</v>
          </cell>
          <cell r="B73" t="str">
            <v>IT</v>
          </cell>
          <cell r="C73" t="str">
            <v>286</v>
          </cell>
          <cell r="D73" t="str">
            <v>501003</v>
          </cell>
          <cell r="E73" t="str">
            <v>FB</v>
          </cell>
          <cell r="AI73">
            <v>0</v>
          </cell>
        </row>
        <row r="74">
          <cell r="A74" t="str">
            <v>CIL</v>
          </cell>
          <cell r="B74" t="str">
            <v>KP</v>
          </cell>
          <cell r="C74" t="str">
            <v>286</v>
          </cell>
          <cell r="D74" t="str">
            <v>547002</v>
          </cell>
          <cell r="E74" t="str">
            <v>FB</v>
          </cell>
          <cell r="AI74">
            <v>0</v>
          </cell>
        </row>
        <row r="75">
          <cell r="A75" t="str">
            <v>CIL</v>
          </cell>
          <cell r="B75" t="str">
            <v>KP</v>
          </cell>
          <cell r="C75" t="str">
            <v>286</v>
          </cell>
          <cell r="D75" t="str">
            <v>547003</v>
          </cell>
          <cell r="E75" t="str">
            <v>FB</v>
          </cell>
          <cell r="AI75">
            <v>0</v>
          </cell>
        </row>
        <row r="76">
          <cell r="A76" t="str">
            <v>CIL</v>
          </cell>
          <cell r="B76" t="str">
            <v>MP</v>
          </cell>
          <cell r="C76" t="str">
            <v>286</v>
          </cell>
          <cell r="D76" t="str">
            <v>547002</v>
          </cell>
          <cell r="E76" t="str">
            <v>FB</v>
          </cell>
          <cell r="AI76">
            <v>0</v>
          </cell>
        </row>
        <row r="77">
          <cell r="A77" t="str">
            <v>CIL</v>
          </cell>
          <cell r="B77" t="str">
            <v>MP</v>
          </cell>
          <cell r="C77" t="str">
            <v>286</v>
          </cell>
          <cell r="D77" t="str">
            <v>547003</v>
          </cell>
          <cell r="E77" t="str">
            <v>FB</v>
          </cell>
          <cell r="AI77">
            <v>0</v>
          </cell>
        </row>
        <row r="78">
          <cell r="A78" t="str">
            <v>CIL</v>
          </cell>
          <cell r="B78" t="str">
            <v>MP</v>
          </cell>
          <cell r="C78" t="str">
            <v>647</v>
          </cell>
          <cell r="D78" t="str">
            <v>552</v>
          </cell>
          <cell r="E78" t="str">
            <v>EC</v>
          </cell>
          <cell r="AI78">
            <v>0</v>
          </cell>
        </row>
        <row r="79">
          <cell r="A79" t="str">
            <v>CIL</v>
          </cell>
          <cell r="B79" t="str">
            <v>MP</v>
          </cell>
          <cell r="C79" t="str">
            <v>647</v>
          </cell>
          <cell r="D79" t="str">
            <v>552</v>
          </cell>
          <cell r="E79" t="str">
            <v>EC</v>
          </cell>
          <cell r="AI79">
            <v>0</v>
          </cell>
        </row>
        <row r="80">
          <cell r="A80" t="str">
            <v>CIL</v>
          </cell>
          <cell r="B80" t="str">
            <v>MP</v>
          </cell>
          <cell r="C80" t="str">
            <v>647</v>
          </cell>
          <cell r="D80" t="str">
            <v>552</v>
          </cell>
          <cell r="E80" t="str">
            <v>34</v>
          </cell>
          <cell r="AI80">
            <v>0</v>
          </cell>
        </row>
        <row r="81">
          <cell r="A81" t="str">
            <v>CIL</v>
          </cell>
          <cell r="B81" t="str">
            <v>MS</v>
          </cell>
          <cell r="C81" t="str">
            <v>286</v>
          </cell>
          <cell r="D81" t="str">
            <v>547002</v>
          </cell>
          <cell r="E81" t="str">
            <v>FB</v>
          </cell>
          <cell r="AI81">
            <v>0</v>
          </cell>
        </row>
        <row r="82">
          <cell r="A82" t="str">
            <v>CIL</v>
          </cell>
          <cell r="B82" t="str">
            <v>MS</v>
          </cell>
          <cell r="C82" t="str">
            <v>286</v>
          </cell>
          <cell r="D82" t="str">
            <v>547003</v>
          </cell>
          <cell r="E82" t="str">
            <v>FB</v>
          </cell>
          <cell r="AI82">
            <v>0</v>
          </cell>
        </row>
        <row r="83">
          <cell r="A83" t="str">
            <v>CIL</v>
          </cell>
          <cell r="B83" t="str">
            <v>SA</v>
          </cell>
          <cell r="C83" t="str">
            <v>286</v>
          </cell>
          <cell r="D83" t="str">
            <v>547003</v>
          </cell>
          <cell r="E83" t="str">
            <v>FB</v>
          </cell>
          <cell r="AI83">
            <v>0</v>
          </cell>
        </row>
        <row r="84">
          <cell r="A84" t="str">
            <v>CIL</v>
          </cell>
          <cell r="B84" t="str">
            <v>TW</v>
          </cell>
          <cell r="C84" t="str">
            <v>286</v>
          </cell>
          <cell r="D84" t="str">
            <v>547002</v>
          </cell>
          <cell r="E84" t="str">
            <v>FB</v>
          </cell>
          <cell r="AI84">
            <v>0</v>
          </cell>
        </row>
        <row r="85">
          <cell r="A85" t="str">
            <v>CIP</v>
          </cell>
          <cell r="B85" t="str">
            <v>3D</v>
          </cell>
          <cell r="C85" t="str">
            <v>086</v>
          </cell>
          <cell r="D85" t="str">
            <v>912</v>
          </cell>
          <cell r="E85" t="str">
            <v>80</v>
          </cell>
          <cell r="AI85">
            <v>0</v>
          </cell>
        </row>
        <row r="86">
          <cell r="A86" t="str">
            <v>CIP</v>
          </cell>
          <cell r="B86" t="str">
            <v>40</v>
          </cell>
          <cell r="C86" t="str">
            <v>086</v>
          </cell>
          <cell r="D86" t="str">
            <v>921002</v>
          </cell>
          <cell r="E86" t="str">
            <v>BX</v>
          </cell>
          <cell r="AI86">
            <v>0</v>
          </cell>
        </row>
        <row r="87">
          <cell r="A87" t="str">
            <v>CIP</v>
          </cell>
          <cell r="B87" t="str">
            <v>41</v>
          </cell>
          <cell r="C87" t="str">
            <v>034</v>
          </cell>
          <cell r="D87" t="str">
            <v>588004</v>
          </cell>
          <cell r="E87" t="str">
            <v>80</v>
          </cell>
          <cell r="AI87">
            <v>0</v>
          </cell>
        </row>
        <row r="88">
          <cell r="A88" t="str">
            <v>CIP</v>
          </cell>
          <cell r="B88" t="str">
            <v>41</v>
          </cell>
          <cell r="C88" t="str">
            <v>034</v>
          </cell>
          <cell r="D88" t="str">
            <v>742</v>
          </cell>
          <cell r="E88" t="str">
            <v>35</v>
          </cell>
          <cell r="AI88">
            <v>0</v>
          </cell>
        </row>
        <row r="89">
          <cell r="A89" t="str">
            <v>CIP</v>
          </cell>
          <cell r="B89" t="str">
            <v>41</v>
          </cell>
          <cell r="C89" t="str">
            <v>034</v>
          </cell>
          <cell r="D89" t="str">
            <v>742</v>
          </cell>
          <cell r="E89" t="str">
            <v>40</v>
          </cell>
          <cell r="AI89">
            <v>0</v>
          </cell>
        </row>
        <row r="90">
          <cell r="A90" t="str">
            <v>CIP</v>
          </cell>
          <cell r="B90" t="str">
            <v>41</v>
          </cell>
          <cell r="C90" t="str">
            <v>186</v>
          </cell>
          <cell r="D90" t="str">
            <v>813</v>
          </cell>
          <cell r="E90" t="str">
            <v>EI</v>
          </cell>
          <cell r="AI90">
            <v>0</v>
          </cell>
        </row>
        <row r="91">
          <cell r="A91" t="str">
            <v>CIP</v>
          </cell>
          <cell r="B91" t="str">
            <v>41</v>
          </cell>
          <cell r="C91" t="str">
            <v>186</v>
          </cell>
          <cell r="D91" t="str">
            <v>813</v>
          </cell>
          <cell r="E91" t="str">
            <v>XA</v>
          </cell>
          <cell r="AI91">
            <v>0</v>
          </cell>
        </row>
        <row r="92">
          <cell r="A92" t="str">
            <v>CIP</v>
          </cell>
          <cell r="B92" t="str">
            <v>41</v>
          </cell>
          <cell r="C92" t="str">
            <v>086</v>
          </cell>
          <cell r="D92" t="str">
            <v>912</v>
          </cell>
          <cell r="E92" t="str">
            <v>80</v>
          </cell>
          <cell r="AI92">
            <v>0</v>
          </cell>
        </row>
        <row r="93">
          <cell r="A93" t="str">
            <v>EEI</v>
          </cell>
          <cell r="B93" t="str">
            <v>15</v>
          </cell>
          <cell r="C93" t="str">
            <v>186</v>
          </cell>
          <cell r="D93" t="str">
            <v>547AED</v>
          </cell>
          <cell r="E93" t="str">
            <v>FI</v>
          </cell>
          <cell r="AI93">
            <v>0</v>
          </cell>
        </row>
        <row r="94">
          <cell r="A94" t="str">
            <v>ELM</v>
          </cell>
          <cell r="B94" t="str">
            <v>CT</v>
          </cell>
          <cell r="C94" t="str">
            <v>086</v>
          </cell>
          <cell r="D94" t="str">
            <v>921999</v>
          </cell>
          <cell r="E94" t="str">
            <v>80</v>
          </cell>
          <cell r="AI94">
            <v>0</v>
          </cell>
        </row>
        <row r="95">
          <cell r="A95" t="str">
            <v>ELM</v>
          </cell>
          <cell r="B95" t="str">
            <v>11</v>
          </cell>
          <cell r="C95" t="str">
            <v>186</v>
          </cell>
          <cell r="D95" t="str">
            <v>557001</v>
          </cell>
          <cell r="E95" t="str">
            <v>XA</v>
          </cell>
          <cell r="AI95">
            <v>0</v>
          </cell>
        </row>
        <row r="96">
          <cell r="A96" t="str">
            <v>ELM</v>
          </cell>
          <cell r="B96" t="str">
            <v>11</v>
          </cell>
          <cell r="C96" t="str">
            <v>034</v>
          </cell>
          <cell r="D96" t="str">
            <v>586</v>
          </cell>
          <cell r="E96" t="str">
            <v>BX</v>
          </cell>
          <cell r="AI96">
            <v>0</v>
          </cell>
        </row>
        <row r="97">
          <cell r="A97" t="str">
            <v>ELM</v>
          </cell>
          <cell r="B97" t="str">
            <v>11</v>
          </cell>
          <cell r="C97" t="str">
            <v>086</v>
          </cell>
          <cell r="D97" t="str">
            <v>912</v>
          </cell>
          <cell r="E97" t="str">
            <v>80</v>
          </cell>
          <cell r="AI97">
            <v>0</v>
          </cell>
        </row>
        <row r="98">
          <cell r="A98" t="str">
            <v>ELM</v>
          </cell>
          <cell r="B98" t="str">
            <v>11</v>
          </cell>
          <cell r="C98" t="str">
            <v>086</v>
          </cell>
          <cell r="D98" t="str">
            <v>912</v>
          </cell>
          <cell r="E98" t="str">
            <v>80</v>
          </cell>
          <cell r="AI98">
            <v>0</v>
          </cell>
        </row>
        <row r="99">
          <cell r="A99" t="str">
            <v>ELM</v>
          </cell>
          <cell r="B99" t="str">
            <v>11</v>
          </cell>
          <cell r="C99" t="str">
            <v>086</v>
          </cell>
          <cell r="D99" t="str">
            <v>921002</v>
          </cell>
          <cell r="E99" t="str">
            <v>BX</v>
          </cell>
          <cell r="AI99">
            <v>0</v>
          </cell>
        </row>
        <row r="100">
          <cell r="A100" t="str">
            <v>GEN</v>
          </cell>
          <cell r="B100" t="str">
            <v>66</v>
          </cell>
          <cell r="C100" t="str">
            <v>186</v>
          </cell>
          <cell r="D100" t="str">
            <v>INTGEN</v>
          </cell>
          <cell r="E100" t="str">
            <v>FI</v>
          </cell>
          <cell r="AI100">
            <v>0</v>
          </cell>
        </row>
        <row r="101">
          <cell r="A101" t="str">
            <v>GEN</v>
          </cell>
          <cell r="B101" t="str">
            <v>66</v>
          </cell>
          <cell r="C101" t="str">
            <v>186</v>
          </cell>
          <cell r="D101" t="str">
            <v>547003</v>
          </cell>
          <cell r="E101" t="str">
            <v>FB</v>
          </cell>
          <cell r="AI101">
            <v>0</v>
          </cell>
        </row>
        <row r="102">
          <cell r="A102" t="str">
            <v>GEN</v>
          </cell>
          <cell r="B102" t="str">
            <v>66</v>
          </cell>
          <cell r="C102" t="str">
            <v>186</v>
          </cell>
          <cell r="D102" t="str">
            <v>547003</v>
          </cell>
          <cell r="E102" t="str">
            <v>FI</v>
          </cell>
          <cell r="AI102">
            <v>0</v>
          </cell>
        </row>
        <row r="103">
          <cell r="A103" t="str">
            <v>GEN</v>
          </cell>
          <cell r="B103" t="str">
            <v>66</v>
          </cell>
          <cell r="C103" t="str">
            <v>186</v>
          </cell>
          <cell r="D103" t="str">
            <v>547003</v>
          </cell>
          <cell r="E103" t="str">
            <v>FI</v>
          </cell>
          <cell r="AI103">
            <v>0</v>
          </cell>
        </row>
        <row r="104">
          <cell r="A104" t="str">
            <v>GEN</v>
          </cell>
          <cell r="B104" t="str">
            <v>68</v>
          </cell>
          <cell r="C104" t="str">
            <v>186</v>
          </cell>
          <cell r="D104" t="str">
            <v>INTGEN</v>
          </cell>
          <cell r="E104" t="str">
            <v>FI</v>
          </cell>
          <cell r="AI104">
            <v>0</v>
          </cell>
        </row>
        <row r="105">
          <cell r="A105" t="str">
            <v>GEN</v>
          </cell>
          <cell r="B105" t="str">
            <v>68</v>
          </cell>
          <cell r="C105" t="str">
            <v>186</v>
          </cell>
          <cell r="D105" t="str">
            <v>509</v>
          </cell>
          <cell r="E105" t="str">
            <v>FB</v>
          </cell>
          <cell r="AI105">
            <v>0</v>
          </cell>
        </row>
        <row r="106">
          <cell r="A106" t="str">
            <v>GEN</v>
          </cell>
          <cell r="B106" t="str">
            <v>68</v>
          </cell>
          <cell r="C106" t="str">
            <v>186</v>
          </cell>
          <cell r="D106" t="str">
            <v>547002</v>
          </cell>
          <cell r="E106" t="str">
            <v>FB</v>
          </cell>
          <cell r="AI106">
            <v>0</v>
          </cell>
        </row>
        <row r="107">
          <cell r="A107" t="str">
            <v>GEN</v>
          </cell>
          <cell r="B107" t="str">
            <v>68</v>
          </cell>
          <cell r="C107" t="str">
            <v>186</v>
          </cell>
          <cell r="D107" t="str">
            <v>547002</v>
          </cell>
          <cell r="E107" t="str">
            <v>FI</v>
          </cell>
          <cell r="AI107">
            <v>0</v>
          </cell>
        </row>
        <row r="108">
          <cell r="A108" t="str">
            <v>GEN</v>
          </cell>
          <cell r="B108" t="str">
            <v>68</v>
          </cell>
          <cell r="C108" t="str">
            <v>186</v>
          </cell>
          <cell r="D108" t="str">
            <v>547003</v>
          </cell>
          <cell r="E108" t="str">
            <v>BX</v>
          </cell>
          <cell r="AI108">
            <v>0</v>
          </cell>
        </row>
        <row r="109">
          <cell r="A109" t="str">
            <v>GEN</v>
          </cell>
          <cell r="B109" t="str">
            <v>68</v>
          </cell>
          <cell r="C109" t="str">
            <v>186</v>
          </cell>
          <cell r="D109" t="str">
            <v>547003</v>
          </cell>
          <cell r="E109" t="str">
            <v>FB</v>
          </cell>
          <cell r="AI109">
            <v>242994.5</v>
          </cell>
        </row>
        <row r="110">
          <cell r="A110" t="str">
            <v>GEN</v>
          </cell>
          <cell r="B110" t="str">
            <v>68</v>
          </cell>
          <cell r="C110" t="str">
            <v>186</v>
          </cell>
          <cell r="D110" t="str">
            <v>547003</v>
          </cell>
          <cell r="E110" t="str">
            <v>FI</v>
          </cell>
          <cell r="AI110">
            <v>0</v>
          </cell>
        </row>
        <row r="111">
          <cell r="A111" t="str">
            <v>GEN</v>
          </cell>
          <cell r="B111" t="str">
            <v>68</v>
          </cell>
          <cell r="C111" t="str">
            <v>186</v>
          </cell>
          <cell r="D111" t="str">
            <v>547003</v>
          </cell>
          <cell r="E111" t="str">
            <v>FI</v>
          </cell>
          <cell r="AI111">
            <v>0</v>
          </cell>
        </row>
        <row r="112">
          <cell r="A112" t="str">
            <v>GEN</v>
          </cell>
          <cell r="B112" t="str">
            <v>69</v>
          </cell>
          <cell r="C112" t="str">
            <v>186</v>
          </cell>
          <cell r="D112" t="str">
            <v>INTGEN</v>
          </cell>
          <cell r="E112" t="str">
            <v>FI</v>
          </cell>
          <cell r="AI112">
            <v>0</v>
          </cell>
        </row>
        <row r="113">
          <cell r="A113" t="str">
            <v>GEN</v>
          </cell>
          <cell r="B113" t="str">
            <v>69</v>
          </cell>
          <cell r="C113" t="str">
            <v>186</v>
          </cell>
          <cell r="D113" t="str">
            <v>547002</v>
          </cell>
          <cell r="E113" t="str">
            <v>FB</v>
          </cell>
          <cell r="AI113">
            <v>0</v>
          </cell>
        </row>
        <row r="114">
          <cell r="A114" t="str">
            <v>GEN</v>
          </cell>
          <cell r="B114" t="str">
            <v>69</v>
          </cell>
          <cell r="C114" t="str">
            <v>186</v>
          </cell>
          <cell r="D114" t="str">
            <v>547002</v>
          </cell>
          <cell r="E114" t="str">
            <v>FI</v>
          </cell>
          <cell r="AI114">
            <v>0</v>
          </cell>
        </row>
        <row r="115">
          <cell r="A115" t="str">
            <v>GEN</v>
          </cell>
          <cell r="B115" t="str">
            <v>69</v>
          </cell>
          <cell r="C115" t="str">
            <v>186</v>
          </cell>
          <cell r="D115" t="str">
            <v>547003</v>
          </cell>
          <cell r="E115" t="str">
            <v>FB</v>
          </cell>
          <cell r="AI115">
            <v>0</v>
          </cell>
        </row>
        <row r="116">
          <cell r="A116" t="str">
            <v>GEN</v>
          </cell>
          <cell r="B116" t="str">
            <v>69</v>
          </cell>
          <cell r="C116" t="str">
            <v>186</v>
          </cell>
          <cell r="D116" t="str">
            <v>547003</v>
          </cell>
          <cell r="E116" t="str">
            <v>FI</v>
          </cell>
          <cell r="AI116">
            <v>0</v>
          </cell>
        </row>
        <row r="117">
          <cell r="A117" t="str">
            <v>GEN</v>
          </cell>
          <cell r="B117" t="str">
            <v>69</v>
          </cell>
          <cell r="C117" t="str">
            <v>186</v>
          </cell>
          <cell r="D117" t="str">
            <v>547003</v>
          </cell>
          <cell r="E117" t="str">
            <v>FI</v>
          </cell>
          <cell r="AI117">
            <v>0</v>
          </cell>
        </row>
        <row r="118">
          <cell r="A118" t="str">
            <v>GEN</v>
          </cell>
          <cell r="B118" t="str">
            <v>79</v>
          </cell>
          <cell r="C118" t="str">
            <v>186</v>
          </cell>
          <cell r="D118" t="str">
            <v>509</v>
          </cell>
          <cell r="E118" t="str">
            <v>FB</v>
          </cell>
          <cell r="AI118">
            <v>0</v>
          </cell>
        </row>
        <row r="119">
          <cell r="A119" t="str">
            <v>GEN</v>
          </cell>
          <cell r="B119" t="str">
            <v>79</v>
          </cell>
          <cell r="C119" t="str">
            <v>186</v>
          </cell>
          <cell r="D119" t="str">
            <v>547003</v>
          </cell>
          <cell r="E119" t="str">
            <v>FB</v>
          </cell>
          <cell r="AI119">
            <v>1289026.3</v>
          </cell>
        </row>
        <row r="120">
          <cell r="A120" t="str">
            <v>GEN</v>
          </cell>
          <cell r="B120" t="str">
            <v>79</v>
          </cell>
          <cell r="C120" t="str">
            <v>186</v>
          </cell>
          <cell r="D120" t="str">
            <v>547003</v>
          </cell>
          <cell r="E120" t="str">
            <v>FI</v>
          </cell>
          <cell r="AI120">
            <v>0</v>
          </cell>
        </row>
        <row r="121">
          <cell r="A121" t="str">
            <v>GEN</v>
          </cell>
          <cell r="B121" t="str">
            <v>90</v>
          </cell>
          <cell r="C121" t="str">
            <v>086</v>
          </cell>
          <cell r="D121" t="str">
            <v>426001</v>
          </cell>
          <cell r="E121" t="str">
            <v>C2</v>
          </cell>
          <cell r="AI121">
            <v>0</v>
          </cell>
        </row>
        <row r="122">
          <cell r="A122" t="str">
            <v>GEN</v>
          </cell>
          <cell r="B122" t="str">
            <v>90</v>
          </cell>
          <cell r="C122" t="str">
            <v>186</v>
          </cell>
          <cell r="D122" t="str">
            <v>509153</v>
          </cell>
          <cell r="E122" t="str">
            <v>EI</v>
          </cell>
          <cell r="AI122">
            <v>0</v>
          </cell>
        </row>
        <row r="123">
          <cell r="A123" t="str">
            <v>GEN</v>
          </cell>
          <cell r="B123" t="str">
            <v>90</v>
          </cell>
          <cell r="C123" t="str">
            <v>186</v>
          </cell>
          <cell r="D123" t="str">
            <v>509153</v>
          </cell>
          <cell r="E123" t="str">
            <v>FB</v>
          </cell>
          <cell r="AI123">
            <v>0</v>
          </cell>
        </row>
        <row r="124">
          <cell r="A124" t="str">
            <v>GEN</v>
          </cell>
          <cell r="B124" t="str">
            <v>90</v>
          </cell>
          <cell r="C124" t="str">
            <v>186</v>
          </cell>
          <cell r="D124" t="str">
            <v>509153</v>
          </cell>
          <cell r="E124" t="str">
            <v>FB</v>
          </cell>
          <cell r="AI124">
            <v>0</v>
          </cell>
        </row>
        <row r="125">
          <cell r="A125" t="str">
            <v>GEN</v>
          </cell>
          <cell r="B125" t="str">
            <v>90</v>
          </cell>
          <cell r="C125" t="str">
            <v>186</v>
          </cell>
          <cell r="D125" t="str">
            <v>547AFS</v>
          </cell>
          <cell r="E125" t="str">
            <v>FB</v>
          </cell>
          <cell r="AI125">
            <v>0</v>
          </cell>
        </row>
        <row r="126">
          <cell r="A126" t="str">
            <v>GEN</v>
          </cell>
          <cell r="B126" t="str">
            <v>90</v>
          </cell>
          <cell r="C126" t="str">
            <v>186</v>
          </cell>
          <cell r="D126" t="str">
            <v>547CIP</v>
          </cell>
          <cell r="E126" t="str">
            <v>FB</v>
          </cell>
          <cell r="AI126">
            <v>0</v>
          </cell>
        </row>
        <row r="127">
          <cell r="A127" t="str">
            <v>GEN</v>
          </cell>
          <cell r="B127" t="str">
            <v>90</v>
          </cell>
          <cell r="C127" t="str">
            <v>186</v>
          </cell>
          <cell r="D127" t="str">
            <v>547UEC</v>
          </cell>
          <cell r="E127" t="str">
            <v>FB</v>
          </cell>
          <cell r="AI127">
            <v>0</v>
          </cell>
        </row>
        <row r="128">
          <cell r="A128" t="str">
            <v>GEN</v>
          </cell>
          <cell r="B128" t="str">
            <v>90</v>
          </cell>
          <cell r="C128" t="str">
            <v>186</v>
          </cell>
          <cell r="D128" t="str">
            <v>547003</v>
          </cell>
          <cell r="E128" t="str">
            <v>FB</v>
          </cell>
          <cell r="AI128">
            <v>0</v>
          </cell>
        </row>
        <row r="129">
          <cell r="A129" t="str">
            <v>GEN</v>
          </cell>
          <cell r="B129" t="str">
            <v>90</v>
          </cell>
          <cell r="C129" t="str">
            <v>186</v>
          </cell>
          <cell r="D129" t="str">
            <v>54701F</v>
          </cell>
          <cell r="E129" t="str">
            <v>FB</v>
          </cell>
          <cell r="AI129">
            <v>0</v>
          </cell>
        </row>
        <row r="130">
          <cell r="A130" t="str">
            <v>GEN</v>
          </cell>
          <cell r="B130" t="str">
            <v>90</v>
          </cell>
          <cell r="C130" t="str">
            <v>186</v>
          </cell>
          <cell r="D130" t="str">
            <v>547013</v>
          </cell>
          <cell r="E130" t="str">
            <v>FB</v>
          </cell>
          <cell r="AI130">
            <v>0</v>
          </cell>
        </row>
        <row r="131">
          <cell r="A131" t="str">
            <v>GEN</v>
          </cell>
          <cell r="B131" t="str">
            <v>90</v>
          </cell>
          <cell r="C131" t="str">
            <v>186</v>
          </cell>
          <cell r="D131" t="str">
            <v>547013</v>
          </cell>
          <cell r="E131" t="str">
            <v>FI</v>
          </cell>
          <cell r="AI131">
            <v>0</v>
          </cell>
        </row>
        <row r="132">
          <cell r="A132" t="str">
            <v>GEN</v>
          </cell>
          <cell r="B132" t="str">
            <v>90</v>
          </cell>
          <cell r="C132" t="str">
            <v>186</v>
          </cell>
          <cell r="D132" t="str">
            <v>557001</v>
          </cell>
          <cell r="E132" t="str">
            <v>FB</v>
          </cell>
          <cell r="AI132">
            <v>0</v>
          </cell>
        </row>
        <row r="133">
          <cell r="A133" t="str">
            <v>GEN</v>
          </cell>
          <cell r="B133" t="str">
            <v>90</v>
          </cell>
          <cell r="C133" t="str">
            <v>186</v>
          </cell>
          <cell r="D133" t="str">
            <v>557001</v>
          </cell>
          <cell r="E133" t="str">
            <v>FB</v>
          </cell>
          <cell r="AI133">
            <v>0</v>
          </cell>
        </row>
        <row r="134">
          <cell r="A134" t="str">
            <v>GEN</v>
          </cell>
          <cell r="B134" t="str">
            <v>90</v>
          </cell>
          <cell r="C134" t="str">
            <v>186</v>
          </cell>
          <cell r="D134" t="str">
            <v>557001</v>
          </cell>
          <cell r="E134" t="str">
            <v>XA</v>
          </cell>
          <cell r="AI134">
            <v>0</v>
          </cell>
        </row>
        <row r="135">
          <cell r="A135" t="str">
            <v>GEN</v>
          </cell>
          <cell r="B135" t="str">
            <v>90</v>
          </cell>
          <cell r="C135" t="str">
            <v>086</v>
          </cell>
          <cell r="D135" t="str">
            <v>921002</v>
          </cell>
          <cell r="E135" t="str">
            <v>BX</v>
          </cell>
          <cell r="AI135">
            <v>0</v>
          </cell>
        </row>
        <row r="136">
          <cell r="A136" t="str">
            <v>GEN</v>
          </cell>
          <cell r="B136" t="str">
            <v>91</v>
          </cell>
          <cell r="C136" t="str">
            <v>186</v>
          </cell>
          <cell r="D136" t="str">
            <v>INTGEN</v>
          </cell>
          <cell r="E136" t="str">
            <v>FI</v>
          </cell>
          <cell r="AI136">
            <v>0</v>
          </cell>
        </row>
        <row r="137">
          <cell r="A137" t="str">
            <v>GEN</v>
          </cell>
          <cell r="B137" t="str">
            <v>91</v>
          </cell>
          <cell r="C137" t="str">
            <v>186</v>
          </cell>
          <cell r="D137" t="str">
            <v>501001</v>
          </cell>
          <cell r="E137" t="str">
            <v>FB</v>
          </cell>
          <cell r="AI137">
            <v>0</v>
          </cell>
        </row>
        <row r="138">
          <cell r="A138" t="str">
            <v>GEN</v>
          </cell>
          <cell r="B138" t="str">
            <v>91</v>
          </cell>
          <cell r="C138" t="str">
            <v>186</v>
          </cell>
          <cell r="D138" t="str">
            <v>501101</v>
          </cell>
          <cell r="E138" t="str">
            <v>FB</v>
          </cell>
          <cell r="AI138">
            <v>11372306728.4</v>
          </cell>
        </row>
        <row r="139">
          <cell r="A139" t="str">
            <v>GEN</v>
          </cell>
          <cell r="B139" t="str">
            <v>91</v>
          </cell>
          <cell r="C139" t="str">
            <v>186</v>
          </cell>
          <cell r="D139" t="str">
            <v>501101</v>
          </cell>
          <cell r="E139" t="str">
            <v>FI</v>
          </cell>
          <cell r="AI139">
            <v>0</v>
          </cell>
        </row>
        <row r="140">
          <cell r="A140" t="str">
            <v>GEN</v>
          </cell>
          <cell r="B140" t="str">
            <v>91</v>
          </cell>
          <cell r="C140" t="str">
            <v>186</v>
          </cell>
          <cell r="D140" t="str">
            <v>501101</v>
          </cell>
          <cell r="E140" t="str">
            <v>FI</v>
          </cell>
          <cell r="AI140">
            <v>0</v>
          </cell>
        </row>
        <row r="141">
          <cell r="A141" t="str">
            <v>GEN</v>
          </cell>
          <cell r="B141" t="str">
            <v>91</v>
          </cell>
          <cell r="C141" t="str">
            <v>186</v>
          </cell>
          <cell r="D141" t="str">
            <v>501102</v>
          </cell>
          <cell r="E141" t="str">
            <v>FB</v>
          </cell>
          <cell r="AI141">
            <v>2968951.7</v>
          </cell>
        </row>
        <row r="142">
          <cell r="A142" t="str">
            <v>GEN</v>
          </cell>
          <cell r="B142" t="str">
            <v>91</v>
          </cell>
          <cell r="C142" t="str">
            <v>186</v>
          </cell>
          <cell r="D142" t="str">
            <v>501102</v>
          </cell>
          <cell r="E142" t="str">
            <v>FI</v>
          </cell>
          <cell r="AI142">
            <v>0</v>
          </cell>
        </row>
        <row r="143">
          <cell r="A143" t="str">
            <v>GEN</v>
          </cell>
          <cell r="B143" t="str">
            <v>91</v>
          </cell>
          <cell r="C143" t="str">
            <v>186</v>
          </cell>
          <cell r="D143" t="str">
            <v>501102</v>
          </cell>
          <cell r="E143" t="str">
            <v>FI</v>
          </cell>
          <cell r="AI143">
            <v>0</v>
          </cell>
        </row>
        <row r="144">
          <cell r="A144" t="str">
            <v>GEN</v>
          </cell>
          <cell r="B144" t="str">
            <v>91</v>
          </cell>
          <cell r="C144" t="str">
            <v>186</v>
          </cell>
          <cell r="D144" t="str">
            <v>501110</v>
          </cell>
          <cell r="E144" t="str">
            <v>FB</v>
          </cell>
          <cell r="AI144">
            <v>0</v>
          </cell>
        </row>
        <row r="145">
          <cell r="A145" t="str">
            <v>GEN</v>
          </cell>
          <cell r="B145" t="str">
            <v>91</v>
          </cell>
          <cell r="C145" t="str">
            <v>186</v>
          </cell>
          <cell r="D145" t="str">
            <v>501110</v>
          </cell>
          <cell r="E145" t="str">
            <v>FI</v>
          </cell>
          <cell r="AI145">
            <v>0</v>
          </cell>
        </row>
        <row r="146">
          <cell r="A146" t="str">
            <v>GEN</v>
          </cell>
          <cell r="B146" t="str">
            <v>91</v>
          </cell>
          <cell r="C146" t="str">
            <v>186</v>
          </cell>
          <cell r="D146" t="str">
            <v>501110</v>
          </cell>
          <cell r="E146" t="str">
            <v>FI</v>
          </cell>
          <cell r="AI146">
            <v>0</v>
          </cell>
        </row>
        <row r="147">
          <cell r="A147" t="str">
            <v>GEN</v>
          </cell>
          <cell r="B147" t="str">
            <v>91</v>
          </cell>
          <cell r="C147" t="str">
            <v>186</v>
          </cell>
          <cell r="D147" t="str">
            <v>501201</v>
          </cell>
          <cell r="E147" t="str">
            <v>FB</v>
          </cell>
          <cell r="AI147">
            <v>10629026845.5</v>
          </cell>
        </row>
        <row r="148">
          <cell r="A148" t="str">
            <v>GEN</v>
          </cell>
          <cell r="B148" t="str">
            <v>91</v>
          </cell>
          <cell r="C148" t="str">
            <v>186</v>
          </cell>
          <cell r="D148" t="str">
            <v>501201</v>
          </cell>
          <cell r="E148" t="str">
            <v>FI</v>
          </cell>
          <cell r="AI148">
            <v>0</v>
          </cell>
        </row>
        <row r="149">
          <cell r="A149" t="str">
            <v>GEN</v>
          </cell>
          <cell r="B149" t="str">
            <v>91</v>
          </cell>
          <cell r="C149" t="str">
            <v>186</v>
          </cell>
          <cell r="D149" t="str">
            <v>501201</v>
          </cell>
          <cell r="E149" t="str">
            <v>FI</v>
          </cell>
          <cell r="AI149">
            <v>0</v>
          </cell>
        </row>
        <row r="150">
          <cell r="A150" t="str">
            <v>GEN</v>
          </cell>
          <cell r="B150" t="str">
            <v>91</v>
          </cell>
          <cell r="C150" t="str">
            <v>186</v>
          </cell>
          <cell r="D150" t="str">
            <v>501202</v>
          </cell>
          <cell r="E150" t="str">
            <v>FB</v>
          </cell>
          <cell r="AI150">
            <v>4342389.5999999996</v>
          </cell>
        </row>
        <row r="151">
          <cell r="A151" t="str">
            <v>GEN</v>
          </cell>
          <cell r="B151" t="str">
            <v>91</v>
          </cell>
          <cell r="C151" t="str">
            <v>186</v>
          </cell>
          <cell r="D151" t="str">
            <v>501202</v>
          </cell>
          <cell r="E151" t="str">
            <v>FI</v>
          </cell>
          <cell r="AI151">
            <v>0</v>
          </cell>
        </row>
        <row r="152">
          <cell r="A152" t="str">
            <v>GEN</v>
          </cell>
          <cell r="B152" t="str">
            <v>91</v>
          </cell>
          <cell r="C152" t="str">
            <v>186</v>
          </cell>
          <cell r="D152" t="str">
            <v>501202</v>
          </cell>
          <cell r="E152" t="str">
            <v>FI</v>
          </cell>
          <cell r="AI152">
            <v>0</v>
          </cell>
        </row>
        <row r="153">
          <cell r="A153" t="str">
            <v>GEN</v>
          </cell>
          <cell r="B153" t="str">
            <v>91</v>
          </cell>
          <cell r="C153" t="str">
            <v>186</v>
          </cell>
          <cell r="D153" t="str">
            <v>501210</v>
          </cell>
          <cell r="E153" t="str">
            <v>FB</v>
          </cell>
          <cell r="AI153">
            <v>0</v>
          </cell>
        </row>
        <row r="154">
          <cell r="A154" t="str">
            <v>GEN</v>
          </cell>
          <cell r="B154" t="str">
            <v>91</v>
          </cell>
          <cell r="C154" t="str">
            <v>186</v>
          </cell>
          <cell r="D154" t="str">
            <v>501210</v>
          </cell>
          <cell r="E154" t="str">
            <v>FI</v>
          </cell>
          <cell r="AI154">
            <v>0</v>
          </cell>
        </row>
        <row r="155">
          <cell r="A155" t="str">
            <v>GEN</v>
          </cell>
          <cell r="B155" t="str">
            <v>91</v>
          </cell>
          <cell r="C155" t="str">
            <v>186</v>
          </cell>
          <cell r="D155" t="str">
            <v>501210</v>
          </cell>
          <cell r="E155" t="str">
            <v>FI</v>
          </cell>
          <cell r="AI155">
            <v>0</v>
          </cell>
        </row>
        <row r="156">
          <cell r="A156" t="str">
            <v>GEN</v>
          </cell>
          <cell r="B156" t="str">
            <v>91</v>
          </cell>
          <cell r="C156" t="str">
            <v>186</v>
          </cell>
          <cell r="D156" t="str">
            <v>509</v>
          </cell>
          <cell r="E156" t="str">
            <v>FB</v>
          </cell>
          <cell r="AI156">
            <v>0</v>
          </cell>
        </row>
        <row r="157">
          <cell r="A157" t="str">
            <v>GEN</v>
          </cell>
          <cell r="B157" t="str">
            <v>91</v>
          </cell>
          <cell r="C157" t="str">
            <v>186</v>
          </cell>
          <cell r="D157" t="str">
            <v>509</v>
          </cell>
          <cell r="E157" t="str">
            <v>FI</v>
          </cell>
          <cell r="AI157">
            <v>0</v>
          </cell>
        </row>
        <row r="158">
          <cell r="A158" t="str">
            <v>GEN</v>
          </cell>
          <cell r="B158" t="str">
            <v>92</v>
          </cell>
          <cell r="C158" t="str">
            <v>186</v>
          </cell>
          <cell r="D158" t="str">
            <v>INTGEN</v>
          </cell>
          <cell r="E158" t="str">
            <v>FI</v>
          </cell>
          <cell r="AI158">
            <v>0</v>
          </cell>
        </row>
        <row r="159">
          <cell r="A159" t="str">
            <v>GEN</v>
          </cell>
          <cell r="B159" t="str">
            <v>92</v>
          </cell>
          <cell r="C159" t="str">
            <v>186</v>
          </cell>
          <cell r="D159" t="str">
            <v>500</v>
          </cell>
          <cell r="E159" t="str">
            <v>BX</v>
          </cell>
          <cell r="AI159">
            <v>0</v>
          </cell>
        </row>
        <row r="160">
          <cell r="A160" t="str">
            <v>GEN</v>
          </cell>
          <cell r="B160" t="str">
            <v>92</v>
          </cell>
          <cell r="C160" t="str">
            <v>186</v>
          </cell>
          <cell r="D160" t="str">
            <v>500</v>
          </cell>
          <cell r="E160" t="str">
            <v>34</v>
          </cell>
          <cell r="AI160">
            <v>0</v>
          </cell>
        </row>
        <row r="161">
          <cell r="A161" t="str">
            <v>GEN</v>
          </cell>
          <cell r="B161" t="str">
            <v>92</v>
          </cell>
          <cell r="C161" t="str">
            <v>186</v>
          </cell>
          <cell r="D161" t="str">
            <v>501001</v>
          </cell>
          <cell r="E161" t="str">
            <v>FB</v>
          </cell>
          <cell r="AI161">
            <v>0</v>
          </cell>
        </row>
        <row r="162">
          <cell r="A162" t="str">
            <v>GEN</v>
          </cell>
          <cell r="B162" t="str">
            <v>92</v>
          </cell>
          <cell r="C162" t="str">
            <v>186</v>
          </cell>
          <cell r="D162" t="str">
            <v>501101</v>
          </cell>
          <cell r="E162" t="str">
            <v>BC</v>
          </cell>
          <cell r="AI162">
            <v>0</v>
          </cell>
        </row>
        <row r="163">
          <cell r="A163" t="str">
            <v>GEN</v>
          </cell>
          <cell r="B163" t="str">
            <v>92</v>
          </cell>
          <cell r="C163" t="str">
            <v>186</v>
          </cell>
          <cell r="D163" t="str">
            <v>501101</v>
          </cell>
          <cell r="E163" t="str">
            <v>BX</v>
          </cell>
          <cell r="AI163">
            <v>0</v>
          </cell>
        </row>
        <row r="164">
          <cell r="A164" t="str">
            <v>GEN</v>
          </cell>
          <cell r="B164" t="str">
            <v>92</v>
          </cell>
          <cell r="C164" t="str">
            <v>186</v>
          </cell>
          <cell r="D164" t="str">
            <v>501101</v>
          </cell>
          <cell r="E164" t="str">
            <v>BX</v>
          </cell>
          <cell r="AI164">
            <v>0</v>
          </cell>
        </row>
        <row r="165">
          <cell r="A165" t="str">
            <v>GEN</v>
          </cell>
          <cell r="B165" t="str">
            <v>92</v>
          </cell>
          <cell r="C165" t="str">
            <v>186</v>
          </cell>
          <cell r="D165" t="str">
            <v>501101</v>
          </cell>
          <cell r="E165" t="str">
            <v>EC</v>
          </cell>
          <cell r="AI165">
            <v>0</v>
          </cell>
        </row>
        <row r="166">
          <cell r="A166" t="str">
            <v>GEN</v>
          </cell>
          <cell r="B166" t="str">
            <v>92</v>
          </cell>
          <cell r="C166" t="str">
            <v>186</v>
          </cell>
          <cell r="D166" t="str">
            <v>501101</v>
          </cell>
          <cell r="E166" t="str">
            <v>EC</v>
          </cell>
          <cell r="AI166">
            <v>0</v>
          </cell>
        </row>
        <row r="167">
          <cell r="A167" t="str">
            <v>GEN</v>
          </cell>
          <cell r="B167" t="str">
            <v>92</v>
          </cell>
          <cell r="C167" t="str">
            <v>186</v>
          </cell>
          <cell r="D167" t="str">
            <v>501101</v>
          </cell>
          <cell r="E167" t="str">
            <v>EC</v>
          </cell>
          <cell r="AI167">
            <v>0</v>
          </cell>
        </row>
        <row r="168">
          <cell r="A168" t="str">
            <v>GEN</v>
          </cell>
          <cell r="B168" t="str">
            <v>92</v>
          </cell>
          <cell r="C168" t="str">
            <v>186</v>
          </cell>
          <cell r="D168" t="str">
            <v>501101</v>
          </cell>
          <cell r="E168" t="str">
            <v>EL</v>
          </cell>
          <cell r="AI168">
            <v>0</v>
          </cell>
        </row>
        <row r="169">
          <cell r="A169" t="str">
            <v>GEN</v>
          </cell>
          <cell r="B169" t="str">
            <v>92</v>
          </cell>
          <cell r="C169" t="str">
            <v>186</v>
          </cell>
          <cell r="D169" t="str">
            <v>501101</v>
          </cell>
          <cell r="E169" t="str">
            <v>FB</v>
          </cell>
          <cell r="AI169">
            <v>0</v>
          </cell>
        </row>
        <row r="170">
          <cell r="A170" t="str">
            <v>GEN</v>
          </cell>
          <cell r="B170" t="str">
            <v>92</v>
          </cell>
          <cell r="C170" t="str">
            <v>086</v>
          </cell>
          <cell r="D170" t="str">
            <v>501101</v>
          </cell>
          <cell r="E170" t="str">
            <v>FB</v>
          </cell>
          <cell r="AI170">
            <v>0</v>
          </cell>
        </row>
        <row r="171">
          <cell r="A171" t="str">
            <v>GEN</v>
          </cell>
          <cell r="B171" t="str">
            <v>92</v>
          </cell>
          <cell r="C171" t="str">
            <v>186</v>
          </cell>
          <cell r="D171" t="str">
            <v>501101</v>
          </cell>
          <cell r="E171" t="str">
            <v>FB</v>
          </cell>
          <cell r="AI171">
            <v>6482669368.3999996</v>
          </cell>
        </row>
        <row r="172">
          <cell r="A172" t="str">
            <v>GEN</v>
          </cell>
          <cell r="B172" t="str">
            <v>92</v>
          </cell>
          <cell r="C172" t="str">
            <v>186</v>
          </cell>
          <cell r="D172" t="str">
            <v>501101</v>
          </cell>
          <cell r="E172" t="str">
            <v>FI</v>
          </cell>
          <cell r="AI172">
            <v>0</v>
          </cell>
        </row>
        <row r="173">
          <cell r="A173" t="str">
            <v>GEN</v>
          </cell>
          <cell r="B173" t="str">
            <v>92</v>
          </cell>
          <cell r="C173" t="str">
            <v>186</v>
          </cell>
          <cell r="D173" t="str">
            <v>501101</v>
          </cell>
          <cell r="E173" t="str">
            <v>FI</v>
          </cell>
          <cell r="AI173">
            <v>0</v>
          </cell>
        </row>
        <row r="174">
          <cell r="A174" t="str">
            <v>GEN</v>
          </cell>
          <cell r="B174" t="str">
            <v>92</v>
          </cell>
          <cell r="C174" t="str">
            <v>186</v>
          </cell>
          <cell r="D174" t="str">
            <v>501102</v>
          </cell>
          <cell r="E174" t="str">
            <v>BX</v>
          </cell>
          <cell r="AI174">
            <v>0</v>
          </cell>
        </row>
        <row r="175">
          <cell r="A175" t="str">
            <v>GEN</v>
          </cell>
          <cell r="B175" t="str">
            <v>92</v>
          </cell>
          <cell r="C175" t="str">
            <v>186</v>
          </cell>
          <cell r="D175" t="str">
            <v>501102</v>
          </cell>
          <cell r="E175" t="str">
            <v>FB</v>
          </cell>
          <cell r="AI175">
            <v>35741007.100000001</v>
          </cell>
        </row>
        <row r="176">
          <cell r="A176" t="str">
            <v>GEN</v>
          </cell>
          <cell r="B176" t="str">
            <v>92</v>
          </cell>
          <cell r="C176" t="str">
            <v>186</v>
          </cell>
          <cell r="D176" t="str">
            <v>501102</v>
          </cell>
          <cell r="E176" t="str">
            <v>FI</v>
          </cell>
          <cell r="AI176">
            <v>0</v>
          </cell>
        </row>
        <row r="177">
          <cell r="A177" t="str">
            <v>GEN</v>
          </cell>
          <cell r="B177" t="str">
            <v>92</v>
          </cell>
          <cell r="C177" t="str">
            <v>186</v>
          </cell>
          <cell r="D177" t="str">
            <v>501102</v>
          </cell>
          <cell r="E177" t="str">
            <v>FI</v>
          </cell>
          <cell r="AI177">
            <v>0</v>
          </cell>
        </row>
        <row r="178">
          <cell r="A178" t="str">
            <v>GEN</v>
          </cell>
          <cell r="B178" t="str">
            <v>92</v>
          </cell>
          <cell r="C178" t="str">
            <v>186</v>
          </cell>
          <cell r="D178" t="str">
            <v>501108</v>
          </cell>
          <cell r="E178" t="str">
            <v>FB</v>
          </cell>
          <cell r="AI178">
            <v>0</v>
          </cell>
        </row>
        <row r="179">
          <cell r="A179" t="str">
            <v>GEN</v>
          </cell>
          <cell r="B179" t="str">
            <v>92</v>
          </cell>
          <cell r="C179" t="str">
            <v>186</v>
          </cell>
          <cell r="D179" t="str">
            <v>501109</v>
          </cell>
          <cell r="E179" t="str">
            <v>FB</v>
          </cell>
          <cell r="AI179">
            <v>0</v>
          </cell>
        </row>
        <row r="180">
          <cell r="A180" t="str">
            <v>GEN</v>
          </cell>
          <cell r="B180" t="str">
            <v>92</v>
          </cell>
          <cell r="C180" t="str">
            <v>186</v>
          </cell>
          <cell r="D180" t="str">
            <v>501109</v>
          </cell>
          <cell r="E180" t="str">
            <v>FI</v>
          </cell>
          <cell r="AI180">
            <v>0</v>
          </cell>
        </row>
        <row r="181">
          <cell r="A181" t="str">
            <v>GEN</v>
          </cell>
          <cell r="B181" t="str">
            <v>92</v>
          </cell>
          <cell r="C181" t="str">
            <v>186</v>
          </cell>
          <cell r="D181" t="str">
            <v>501109</v>
          </cell>
          <cell r="E181" t="str">
            <v>FI</v>
          </cell>
          <cell r="AI181">
            <v>0</v>
          </cell>
        </row>
        <row r="182">
          <cell r="A182" t="str">
            <v>GEN</v>
          </cell>
          <cell r="B182" t="str">
            <v>92</v>
          </cell>
          <cell r="C182" t="str">
            <v>186</v>
          </cell>
          <cell r="D182" t="str">
            <v>501110</v>
          </cell>
          <cell r="E182" t="str">
            <v>FB</v>
          </cell>
          <cell r="AI182">
            <v>0</v>
          </cell>
        </row>
        <row r="183">
          <cell r="A183" t="str">
            <v>GEN</v>
          </cell>
          <cell r="B183" t="str">
            <v>92</v>
          </cell>
          <cell r="C183" t="str">
            <v>186</v>
          </cell>
          <cell r="D183" t="str">
            <v>501110</v>
          </cell>
          <cell r="E183" t="str">
            <v>FI</v>
          </cell>
          <cell r="AI183">
            <v>0</v>
          </cell>
        </row>
        <row r="184">
          <cell r="A184" t="str">
            <v>GEN</v>
          </cell>
          <cell r="B184" t="str">
            <v>92</v>
          </cell>
          <cell r="C184" t="str">
            <v>186</v>
          </cell>
          <cell r="D184" t="str">
            <v>501110</v>
          </cell>
          <cell r="E184" t="str">
            <v>FI</v>
          </cell>
          <cell r="AI184">
            <v>0</v>
          </cell>
        </row>
        <row r="185">
          <cell r="A185" t="str">
            <v>GEN</v>
          </cell>
          <cell r="B185" t="str">
            <v>92</v>
          </cell>
          <cell r="C185" t="str">
            <v>186</v>
          </cell>
          <cell r="D185" t="str">
            <v>501111</v>
          </cell>
          <cell r="E185" t="str">
            <v>FB</v>
          </cell>
          <cell r="AI185">
            <v>0</v>
          </cell>
        </row>
        <row r="186">
          <cell r="A186" t="str">
            <v>GEN</v>
          </cell>
          <cell r="B186" t="str">
            <v>92</v>
          </cell>
          <cell r="C186" t="str">
            <v>186</v>
          </cell>
          <cell r="D186" t="str">
            <v>501201</v>
          </cell>
          <cell r="E186" t="str">
            <v>BC</v>
          </cell>
          <cell r="AI186">
            <v>0</v>
          </cell>
        </row>
        <row r="187">
          <cell r="A187" t="str">
            <v>GEN</v>
          </cell>
          <cell r="B187" t="str">
            <v>92</v>
          </cell>
          <cell r="C187" t="str">
            <v>186</v>
          </cell>
          <cell r="D187" t="str">
            <v>501201</v>
          </cell>
          <cell r="E187" t="str">
            <v>BX</v>
          </cell>
          <cell r="AI187">
            <v>0</v>
          </cell>
        </row>
        <row r="188">
          <cell r="A188" t="str">
            <v>GEN</v>
          </cell>
          <cell r="B188" t="str">
            <v>92</v>
          </cell>
          <cell r="C188" t="str">
            <v>186</v>
          </cell>
          <cell r="D188" t="str">
            <v>501201</v>
          </cell>
          <cell r="E188" t="str">
            <v>BX</v>
          </cell>
          <cell r="AI188">
            <v>0</v>
          </cell>
        </row>
        <row r="189">
          <cell r="A189" t="str">
            <v>GEN</v>
          </cell>
          <cell r="B189" t="str">
            <v>92</v>
          </cell>
          <cell r="C189" t="str">
            <v>186</v>
          </cell>
          <cell r="D189" t="str">
            <v>501201</v>
          </cell>
          <cell r="E189" t="str">
            <v>EC</v>
          </cell>
          <cell r="AI189">
            <v>0</v>
          </cell>
        </row>
        <row r="190">
          <cell r="A190" t="str">
            <v>GEN</v>
          </cell>
          <cell r="B190" t="str">
            <v>92</v>
          </cell>
          <cell r="C190" t="str">
            <v>186</v>
          </cell>
          <cell r="D190" t="str">
            <v>501201</v>
          </cell>
          <cell r="E190" t="str">
            <v>EC</v>
          </cell>
          <cell r="AI190">
            <v>0</v>
          </cell>
        </row>
        <row r="191">
          <cell r="A191" t="str">
            <v>GEN</v>
          </cell>
          <cell r="B191" t="str">
            <v>92</v>
          </cell>
          <cell r="C191" t="str">
            <v>186</v>
          </cell>
          <cell r="D191" t="str">
            <v>501201</v>
          </cell>
          <cell r="E191" t="str">
            <v>EC</v>
          </cell>
          <cell r="AI191">
            <v>0</v>
          </cell>
        </row>
        <row r="192">
          <cell r="A192" t="str">
            <v>GEN</v>
          </cell>
          <cell r="B192" t="str">
            <v>92</v>
          </cell>
          <cell r="C192" t="str">
            <v>186</v>
          </cell>
          <cell r="D192" t="str">
            <v>501201</v>
          </cell>
          <cell r="E192" t="str">
            <v>EL</v>
          </cell>
          <cell r="AI192">
            <v>0</v>
          </cell>
        </row>
        <row r="193">
          <cell r="A193" t="str">
            <v>GEN</v>
          </cell>
          <cell r="B193" t="str">
            <v>92</v>
          </cell>
          <cell r="C193" t="str">
            <v>186</v>
          </cell>
          <cell r="D193" t="str">
            <v>501201</v>
          </cell>
          <cell r="E193" t="str">
            <v>FB</v>
          </cell>
          <cell r="AI193">
            <v>0</v>
          </cell>
        </row>
        <row r="194">
          <cell r="A194" t="str">
            <v>GEN</v>
          </cell>
          <cell r="B194" t="str">
            <v>92</v>
          </cell>
          <cell r="C194" t="str">
            <v>186</v>
          </cell>
          <cell r="D194" t="str">
            <v>501201</v>
          </cell>
          <cell r="E194" t="str">
            <v>FB</v>
          </cell>
          <cell r="AI194">
            <v>2406005729.4000001</v>
          </cell>
        </row>
        <row r="195">
          <cell r="A195" t="str">
            <v>GEN</v>
          </cell>
          <cell r="B195" t="str">
            <v>92</v>
          </cell>
          <cell r="C195" t="str">
            <v>186</v>
          </cell>
          <cell r="D195" t="str">
            <v>501201</v>
          </cell>
          <cell r="E195" t="str">
            <v>FI</v>
          </cell>
          <cell r="AI195">
            <v>0</v>
          </cell>
        </row>
        <row r="196">
          <cell r="A196" t="str">
            <v>GEN</v>
          </cell>
          <cell r="B196" t="str">
            <v>92</v>
          </cell>
          <cell r="C196" t="str">
            <v>186</v>
          </cell>
          <cell r="D196" t="str">
            <v>501201</v>
          </cell>
          <cell r="E196" t="str">
            <v>FI</v>
          </cell>
          <cell r="AI196">
            <v>0</v>
          </cell>
        </row>
        <row r="197">
          <cell r="A197" t="str">
            <v>GEN</v>
          </cell>
          <cell r="B197" t="str">
            <v>92</v>
          </cell>
          <cell r="C197" t="str">
            <v>186</v>
          </cell>
          <cell r="D197" t="str">
            <v>501202</v>
          </cell>
          <cell r="E197" t="str">
            <v>BX</v>
          </cell>
          <cell r="AI197">
            <v>0</v>
          </cell>
        </row>
        <row r="198">
          <cell r="A198" t="str">
            <v>GEN</v>
          </cell>
          <cell r="B198" t="str">
            <v>92</v>
          </cell>
          <cell r="C198" t="str">
            <v>186</v>
          </cell>
          <cell r="D198" t="str">
            <v>501202</v>
          </cell>
          <cell r="E198" t="str">
            <v>FB</v>
          </cell>
          <cell r="AI198">
            <v>13646987.1</v>
          </cell>
        </row>
        <row r="199">
          <cell r="A199" t="str">
            <v>GEN</v>
          </cell>
          <cell r="B199" t="str">
            <v>92</v>
          </cell>
          <cell r="C199" t="str">
            <v>186</v>
          </cell>
          <cell r="D199" t="str">
            <v>501202</v>
          </cell>
          <cell r="E199" t="str">
            <v>FB</v>
          </cell>
          <cell r="AI199">
            <v>0</v>
          </cell>
        </row>
        <row r="200">
          <cell r="A200" t="str">
            <v>GEN</v>
          </cell>
          <cell r="B200" t="str">
            <v>92</v>
          </cell>
          <cell r="C200" t="str">
            <v>186</v>
          </cell>
          <cell r="D200" t="str">
            <v>501202</v>
          </cell>
          <cell r="E200" t="str">
            <v>FI</v>
          </cell>
          <cell r="AI200">
            <v>0</v>
          </cell>
        </row>
        <row r="201">
          <cell r="A201" t="str">
            <v>GEN</v>
          </cell>
          <cell r="B201" t="str">
            <v>92</v>
          </cell>
          <cell r="C201" t="str">
            <v>186</v>
          </cell>
          <cell r="D201" t="str">
            <v>501202</v>
          </cell>
          <cell r="E201" t="str">
            <v>FI</v>
          </cell>
          <cell r="AI201">
            <v>0</v>
          </cell>
        </row>
        <row r="202">
          <cell r="A202" t="str">
            <v>GEN</v>
          </cell>
          <cell r="B202" t="str">
            <v>92</v>
          </cell>
          <cell r="C202" t="str">
            <v>186</v>
          </cell>
          <cell r="D202" t="str">
            <v>501208</v>
          </cell>
          <cell r="E202" t="str">
            <v>FB</v>
          </cell>
          <cell r="AI202">
            <v>0</v>
          </cell>
        </row>
        <row r="203">
          <cell r="A203" t="str">
            <v>GEN</v>
          </cell>
          <cell r="B203" t="str">
            <v>92</v>
          </cell>
          <cell r="C203" t="str">
            <v>186</v>
          </cell>
          <cell r="D203" t="str">
            <v>501209</v>
          </cell>
          <cell r="E203" t="str">
            <v>FB</v>
          </cell>
          <cell r="AI203">
            <v>0</v>
          </cell>
        </row>
        <row r="204">
          <cell r="A204" t="str">
            <v>GEN</v>
          </cell>
          <cell r="B204" t="str">
            <v>92</v>
          </cell>
          <cell r="C204" t="str">
            <v>186</v>
          </cell>
          <cell r="D204" t="str">
            <v>501209</v>
          </cell>
          <cell r="E204" t="str">
            <v>FI</v>
          </cell>
          <cell r="AI204">
            <v>0</v>
          </cell>
        </row>
        <row r="205">
          <cell r="A205" t="str">
            <v>GEN</v>
          </cell>
          <cell r="B205" t="str">
            <v>92</v>
          </cell>
          <cell r="C205" t="str">
            <v>186</v>
          </cell>
          <cell r="D205" t="str">
            <v>501209</v>
          </cell>
          <cell r="E205" t="str">
            <v>FI</v>
          </cell>
          <cell r="AI205">
            <v>0</v>
          </cell>
        </row>
        <row r="206">
          <cell r="A206" t="str">
            <v>GEN</v>
          </cell>
          <cell r="B206" t="str">
            <v>92</v>
          </cell>
          <cell r="C206" t="str">
            <v>186</v>
          </cell>
          <cell r="D206" t="str">
            <v>501210</v>
          </cell>
          <cell r="E206" t="str">
            <v>FB</v>
          </cell>
          <cell r="AI206">
            <v>0</v>
          </cell>
        </row>
        <row r="207">
          <cell r="A207" t="str">
            <v>GEN</v>
          </cell>
          <cell r="B207" t="str">
            <v>92</v>
          </cell>
          <cell r="C207" t="str">
            <v>186</v>
          </cell>
          <cell r="D207" t="str">
            <v>501210</v>
          </cell>
          <cell r="E207" t="str">
            <v>FI</v>
          </cell>
          <cell r="AI207">
            <v>0</v>
          </cell>
        </row>
        <row r="208">
          <cell r="A208" t="str">
            <v>GEN</v>
          </cell>
          <cell r="B208" t="str">
            <v>92</v>
          </cell>
          <cell r="C208" t="str">
            <v>186</v>
          </cell>
          <cell r="D208" t="str">
            <v>501210</v>
          </cell>
          <cell r="E208" t="str">
            <v>FI</v>
          </cell>
          <cell r="AI208">
            <v>0</v>
          </cell>
        </row>
        <row r="209">
          <cell r="A209" t="str">
            <v>GEN</v>
          </cell>
          <cell r="B209" t="str">
            <v>92</v>
          </cell>
          <cell r="C209" t="str">
            <v>186</v>
          </cell>
          <cell r="D209" t="str">
            <v>501211</v>
          </cell>
          <cell r="E209" t="str">
            <v>FB</v>
          </cell>
          <cell r="AI209">
            <v>0</v>
          </cell>
        </row>
        <row r="210">
          <cell r="A210" t="str">
            <v>GEN</v>
          </cell>
          <cell r="B210" t="str">
            <v>92</v>
          </cell>
          <cell r="C210" t="str">
            <v>186</v>
          </cell>
          <cell r="D210" t="str">
            <v>502</v>
          </cell>
          <cell r="E210" t="str">
            <v>BX</v>
          </cell>
          <cell r="AI210">
            <v>0</v>
          </cell>
        </row>
        <row r="211">
          <cell r="A211" t="str">
            <v>GEN</v>
          </cell>
          <cell r="B211" t="str">
            <v>92</v>
          </cell>
          <cell r="C211" t="str">
            <v>286</v>
          </cell>
          <cell r="D211" t="str">
            <v>502</v>
          </cell>
          <cell r="E211" t="str">
            <v>BX</v>
          </cell>
          <cell r="AI211">
            <v>0</v>
          </cell>
        </row>
        <row r="212">
          <cell r="A212" t="str">
            <v>GEN</v>
          </cell>
          <cell r="B212" t="str">
            <v>92</v>
          </cell>
          <cell r="C212" t="str">
            <v>186</v>
          </cell>
          <cell r="D212" t="str">
            <v>502</v>
          </cell>
          <cell r="E212" t="str">
            <v>34</v>
          </cell>
          <cell r="AI212">
            <v>0</v>
          </cell>
        </row>
        <row r="213">
          <cell r="A213" t="str">
            <v>GEN</v>
          </cell>
          <cell r="B213" t="str">
            <v>92</v>
          </cell>
          <cell r="C213" t="str">
            <v>186</v>
          </cell>
          <cell r="D213" t="str">
            <v>502001</v>
          </cell>
          <cell r="E213" t="str">
            <v>BG</v>
          </cell>
          <cell r="AI213">
            <v>0</v>
          </cell>
        </row>
        <row r="214">
          <cell r="A214" t="str">
            <v>GEN</v>
          </cell>
          <cell r="B214" t="str">
            <v>92</v>
          </cell>
          <cell r="C214" t="str">
            <v>186</v>
          </cell>
          <cell r="D214" t="str">
            <v>502001</v>
          </cell>
          <cell r="E214" t="str">
            <v>34</v>
          </cell>
          <cell r="AI214">
            <v>0</v>
          </cell>
        </row>
        <row r="215">
          <cell r="A215" t="str">
            <v>GEN</v>
          </cell>
          <cell r="B215" t="str">
            <v>92</v>
          </cell>
          <cell r="C215" t="str">
            <v>186</v>
          </cell>
          <cell r="D215" t="str">
            <v>502003</v>
          </cell>
          <cell r="E215" t="str">
            <v>BG</v>
          </cell>
          <cell r="AI215">
            <v>0</v>
          </cell>
        </row>
        <row r="216">
          <cell r="A216" t="str">
            <v>GEN</v>
          </cell>
          <cell r="B216" t="str">
            <v>92</v>
          </cell>
          <cell r="C216" t="str">
            <v>186</v>
          </cell>
          <cell r="D216" t="str">
            <v>502003</v>
          </cell>
          <cell r="E216" t="str">
            <v>BX</v>
          </cell>
          <cell r="AI216">
            <v>0</v>
          </cell>
        </row>
        <row r="217">
          <cell r="A217" t="str">
            <v>GEN</v>
          </cell>
          <cell r="B217" t="str">
            <v>92</v>
          </cell>
          <cell r="C217" t="str">
            <v>186</v>
          </cell>
          <cell r="D217" t="str">
            <v>506</v>
          </cell>
          <cell r="E217" t="str">
            <v>BX</v>
          </cell>
          <cell r="AI217">
            <v>0</v>
          </cell>
        </row>
        <row r="218">
          <cell r="A218" t="str">
            <v>GEN</v>
          </cell>
          <cell r="B218" t="str">
            <v>92</v>
          </cell>
          <cell r="C218" t="str">
            <v>186</v>
          </cell>
          <cell r="D218" t="str">
            <v>509</v>
          </cell>
          <cell r="E218" t="str">
            <v>FB</v>
          </cell>
          <cell r="AI218">
            <v>0</v>
          </cell>
        </row>
        <row r="219">
          <cell r="A219" t="str">
            <v>GEN</v>
          </cell>
          <cell r="B219" t="str">
            <v>92</v>
          </cell>
          <cell r="C219" t="str">
            <v>186</v>
          </cell>
          <cell r="D219" t="str">
            <v>509</v>
          </cell>
          <cell r="E219" t="str">
            <v>FI</v>
          </cell>
          <cell r="AI219">
            <v>0</v>
          </cell>
        </row>
        <row r="220">
          <cell r="A220" t="str">
            <v>GEN</v>
          </cell>
          <cell r="B220" t="str">
            <v>93</v>
          </cell>
          <cell r="C220" t="str">
            <v>186</v>
          </cell>
          <cell r="D220" t="str">
            <v>INTGEN</v>
          </cell>
          <cell r="E220" t="str">
            <v>FI</v>
          </cell>
          <cell r="AI220">
            <v>0</v>
          </cell>
        </row>
        <row r="221">
          <cell r="A221" t="str">
            <v>GEN</v>
          </cell>
          <cell r="B221" t="str">
            <v>93</v>
          </cell>
          <cell r="C221" t="str">
            <v>186</v>
          </cell>
          <cell r="D221" t="str">
            <v>501001</v>
          </cell>
          <cell r="E221" t="str">
            <v>FB</v>
          </cell>
          <cell r="AI221">
            <v>0</v>
          </cell>
        </row>
        <row r="222">
          <cell r="A222" t="str">
            <v>GEN</v>
          </cell>
          <cell r="B222" t="str">
            <v>93</v>
          </cell>
          <cell r="C222" t="str">
            <v>186</v>
          </cell>
          <cell r="D222" t="str">
            <v>501301</v>
          </cell>
          <cell r="E222" t="str">
            <v>FB</v>
          </cell>
          <cell r="AI222">
            <v>3233972724.3999996</v>
          </cell>
        </row>
        <row r="223">
          <cell r="A223" t="str">
            <v>GEN</v>
          </cell>
          <cell r="B223" t="str">
            <v>93</v>
          </cell>
          <cell r="C223" t="str">
            <v>186</v>
          </cell>
          <cell r="D223" t="str">
            <v>501301</v>
          </cell>
          <cell r="E223" t="str">
            <v>FI</v>
          </cell>
          <cell r="AI223">
            <v>0</v>
          </cell>
        </row>
        <row r="224">
          <cell r="A224" t="str">
            <v>GEN</v>
          </cell>
          <cell r="B224" t="str">
            <v>93</v>
          </cell>
          <cell r="C224" t="str">
            <v>186</v>
          </cell>
          <cell r="D224" t="str">
            <v>501301</v>
          </cell>
          <cell r="E224" t="str">
            <v>FI</v>
          </cell>
          <cell r="AI224">
            <v>0</v>
          </cell>
        </row>
        <row r="225">
          <cell r="A225" t="str">
            <v>GEN</v>
          </cell>
          <cell r="B225" t="str">
            <v>93</v>
          </cell>
          <cell r="C225" t="str">
            <v>186</v>
          </cell>
          <cell r="D225" t="str">
            <v>501302</v>
          </cell>
          <cell r="E225" t="str">
            <v>FB</v>
          </cell>
          <cell r="AI225">
            <v>9589895.5</v>
          </cell>
        </row>
        <row r="226">
          <cell r="A226" t="str">
            <v>GEN</v>
          </cell>
          <cell r="B226" t="str">
            <v>93</v>
          </cell>
          <cell r="C226" t="str">
            <v>186</v>
          </cell>
          <cell r="D226" t="str">
            <v>501302</v>
          </cell>
          <cell r="E226" t="str">
            <v>FI</v>
          </cell>
          <cell r="AI226">
            <v>0</v>
          </cell>
        </row>
        <row r="227">
          <cell r="A227" t="str">
            <v>GEN</v>
          </cell>
          <cell r="B227" t="str">
            <v>93</v>
          </cell>
          <cell r="C227" t="str">
            <v>186</v>
          </cell>
          <cell r="D227" t="str">
            <v>501302</v>
          </cell>
          <cell r="E227" t="str">
            <v>FI</v>
          </cell>
          <cell r="AI227">
            <v>0</v>
          </cell>
        </row>
        <row r="228">
          <cell r="A228" t="str">
            <v>GEN</v>
          </cell>
          <cell r="B228" t="str">
            <v>93</v>
          </cell>
          <cell r="C228" t="str">
            <v>186</v>
          </cell>
          <cell r="D228" t="str">
            <v>501310</v>
          </cell>
          <cell r="E228" t="str">
            <v>FB</v>
          </cell>
          <cell r="AI228">
            <v>0</v>
          </cell>
        </row>
        <row r="229">
          <cell r="A229" t="str">
            <v>GEN</v>
          </cell>
          <cell r="B229" t="str">
            <v>93</v>
          </cell>
          <cell r="C229" t="str">
            <v>186</v>
          </cell>
          <cell r="D229" t="str">
            <v>501310</v>
          </cell>
          <cell r="E229" t="str">
            <v>FI</v>
          </cell>
          <cell r="AI229">
            <v>0</v>
          </cell>
        </row>
        <row r="230">
          <cell r="A230" t="str">
            <v>GEN</v>
          </cell>
          <cell r="B230" t="str">
            <v>93</v>
          </cell>
          <cell r="C230" t="str">
            <v>186</v>
          </cell>
          <cell r="D230" t="str">
            <v>501310</v>
          </cell>
          <cell r="E230" t="str">
            <v>FI</v>
          </cell>
          <cell r="AI230">
            <v>0</v>
          </cell>
        </row>
        <row r="231">
          <cell r="A231" t="str">
            <v>GEN</v>
          </cell>
          <cell r="B231" t="str">
            <v>93</v>
          </cell>
          <cell r="C231" t="str">
            <v>186</v>
          </cell>
          <cell r="D231" t="str">
            <v>501402</v>
          </cell>
          <cell r="E231" t="str">
            <v>FB</v>
          </cell>
          <cell r="AI231">
            <v>0</v>
          </cell>
        </row>
        <row r="232">
          <cell r="A232" t="str">
            <v>GEN</v>
          </cell>
          <cell r="B232" t="str">
            <v>93</v>
          </cell>
          <cell r="C232" t="str">
            <v>186</v>
          </cell>
          <cell r="D232" t="str">
            <v>501402</v>
          </cell>
          <cell r="E232" t="str">
            <v>FI</v>
          </cell>
          <cell r="AI232">
            <v>0</v>
          </cell>
        </row>
        <row r="233">
          <cell r="A233" t="str">
            <v>GEN</v>
          </cell>
          <cell r="B233" t="str">
            <v>93</v>
          </cell>
          <cell r="C233" t="str">
            <v>186</v>
          </cell>
          <cell r="D233" t="str">
            <v>501402</v>
          </cell>
          <cell r="E233" t="str">
            <v>FI</v>
          </cell>
          <cell r="AI233">
            <v>0</v>
          </cell>
        </row>
        <row r="234">
          <cell r="A234" t="str">
            <v>GEN</v>
          </cell>
          <cell r="B234" t="str">
            <v>93</v>
          </cell>
          <cell r="C234" t="str">
            <v>186</v>
          </cell>
          <cell r="D234" t="str">
            <v>501403</v>
          </cell>
          <cell r="E234" t="str">
            <v>FB</v>
          </cell>
          <cell r="AI234">
            <v>0</v>
          </cell>
        </row>
        <row r="235">
          <cell r="A235" t="str">
            <v>GEN</v>
          </cell>
          <cell r="B235" t="str">
            <v>93</v>
          </cell>
          <cell r="C235" t="str">
            <v>186</v>
          </cell>
          <cell r="D235" t="str">
            <v>501403</v>
          </cell>
          <cell r="E235" t="str">
            <v>FI</v>
          </cell>
          <cell r="AI235">
            <v>0</v>
          </cell>
        </row>
        <row r="236">
          <cell r="A236" t="str">
            <v>GEN</v>
          </cell>
          <cell r="B236" t="str">
            <v>93</v>
          </cell>
          <cell r="C236" t="str">
            <v>186</v>
          </cell>
          <cell r="D236" t="str">
            <v>501403</v>
          </cell>
          <cell r="E236" t="str">
            <v>FI</v>
          </cell>
          <cell r="AI236">
            <v>0</v>
          </cell>
        </row>
        <row r="237">
          <cell r="A237" t="str">
            <v>GEN</v>
          </cell>
          <cell r="B237" t="str">
            <v>93</v>
          </cell>
          <cell r="C237" t="str">
            <v>186</v>
          </cell>
          <cell r="D237" t="str">
            <v>501501</v>
          </cell>
          <cell r="E237" t="str">
            <v>FB</v>
          </cell>
          <cell r="AI237">
            <v>0</v>
          </cell>
        </row>
        <row r="238">
          <cell r="A238" t="str">
            <v>GEN</v>
          </cell>
          <cell r="B238" t="str">
            <v>93</v>
          </cell>
          <cell r="C238" t="str">
            <v>186</v>
          </cell>
          <cell r="D238" t="str">
            <v>501501</v>
          </cell>
          <cell r="E238" t="str">
            <v>FI</v>
          </cell>
          <cell r="AI238">
            <v>0</v>
          </cell>
        </row>
        <row r="239">
          <cell r="A239" t="str">
            <v>GEN</v>
          </cell>
          <cell r="B239" t="str">
            <v>93</v>
          </cell>
          <cell r="C239" t="str">
            <v>186</v>
          </cell>
          <cell r="D239" t="str">
            <v>501501</v>
          </cell>
          <cell r="E239" t="str">
            <v>FI</v>
          </cell>
          <cell r="AI239">
            <v>0</v>
          </cell>
        </row>
        <row r="240">
          <cell r="A240" t="str">
            <v>GEN</v>
          </cell>
          <cell r="B240" t="str">
            <v>93</v>
          </cell>
          <cell r="C240" t="str">
            <v>186</v>
          </cell>
          <cell r="D240" t="str">
            <v>501502</v>
          </cell>
          <cell r="E240" t="str">
            <v>FB</v>
          </cell>
          <cell r="AI240">
            <v>0</v>
          </cell>
        </row>
        <row r="241">
          <cell r="A241" t="str">
            <v>GEN</v>
          </cell>
          <cell r="B241" t="str">
            <v>93</v>
          </cell>
          <cell r="C241" t="str">
            <v>186</v>
          </cell>
          <cell r="D241" t="str">
            <v>501502</v>
          </cell>
          <cell r="E241" t="str">
            <v>FI</v>
          </cell>
          <cell r="AI241">
            <v>0</v>
          </cell>
        </row>
        <row r="242">
          <cell r="A242" t="str">
            <v>GEN</v>
          </cell>
          <cell r="B242" t="str">
            <v>93</v>
          </cell>
          <cell r="C242" t="str">
            <v>186</v>
          </cell>
          <cell r="D242" t="str">
            <v>501502</v>
          </cell>
          <cell r="E242" t="str">
            <v>FI</v>
          </cell>
          <cell r="AI242">
            <v>0</v>
          </cell>
        </row>
        <row r="243">
          <cell r="A243" t="str">
            <v>GEN</v>
          </cell>
          <cell r="B243" t="str">
            <v>93</v>
          </cell>
          <cell r="C243" t="str">
            <v>186</v>
          </cell>
          <cell r="D243" t="str">
            <v>501510</v>
          </cell>
          <cell r="E243" t="str">
            <v>FB</v>
          </cell>
          <cell r="AI243">
            <v>0</v>
          </cell>
        </row>
        <row r="244">
          <cell r="A244" t="str">
            <v>GEN</v>
          </cell>
          <cell r="B244" t="str">
            <v>93</v>
          </cell>
          <cell r="C244" t="str">
            <v>186</v>
          </cell>
          <cell r="D244" t="str">
            <v>501510</v>
          </cell>
          <cell r="E244" t="str">
            <v>FI</v>
          </cell>
          <cell r="AI244">
            <v>0</v>
          </cell>
        </row>
        <row r="245">
          <cell r="A245" t="str">
            <v>GEN</v>
          </cell>
          <cell r="B245" t="str">
            <v>93</v>
          </cell>
          <cell r="C245" t="str">
            <v>186</v>
          </cell>
          <cell r="D245" t="str">
            <v>501510</v>
          </cell>
          <cell r="E245" t="str">
            <v>FI</v>
          </cell>
          <cell r="AI245">
            <v>0</v>
          </cell>
        </row>
        <row r="246">
          <cell r="A246" t="str">
            <v>GEN</v>
          </cell>
          <cell r="B246" t="str">
            <v>93</v>
          </cell>
          <cell r="C246" t="str">
            <v>186</v>
          </cell>
          <cell r="D246" t="str">
            <v>509</v>
          </cell>
          <cell r="E246" t="str">
            <v>FB</v>
          </cell>
          <cell r="AI246">
            <v>0</v>
          </cell>
        </row>
        <row r="247">
          <cell r="A247" t="str">
            <v>GEN</v>
          </cell>
          <cell r="B247" t="str">
            <v>93</v>
          </cell>
          <cell r="C247" t="str">
            <v>186</v>
          </cell>
          <cell r="D247" t="str">
            <v>509</v>
          </cell>
          <cell r="E247" t="str">
            <v>FI</v>
          </cell>
          <cell r="AI247">
            <v>0</v>
          </cell>
        </row>
        <row r="248">
          <cell r="A248" t="str">
            <v>GEN</v>
          </cell>
          <cell r="B248" t="str">
            <v>94</v>
          </cell>
          <cell r="C248" t="str">
            <v>186</v>
          </cell>
          <cell r="D248" t="str">
            <v>INTGEN</v>
          </cell>
          <cell r="E248" t="str">
            <v>FI</v>
          </cell>
          <cell r="AI248">
            <v>0</v>
          </cell>
        </row>
        <row r="249">
          <cell r="A249" t="str">
            <v>GEN</v>
          </cell>
          <cell r="B249" t="str">
            <v>94</v>
          </cell>
          <cell r="C249" t="str">
            <v>186</v>
          </cell>
          <cell r="D249" t="str">
            <v>509</v>
          </cell>
          <cell r="E249" t="str">
            <v>FB</v>
          </cell>
          <cell r="AI249">
            <v>0</v>
          </cell>
        </row>
        <row r="250">
          <cell r="A250" t="str">
            <v>GEN</v>
          </cell>
          <cell r="B250" t="str">
            <v>94</v>
          </cell>
          <cell r="C250" t="str">
            <v>186</v>
          </cell>
          <cell r="D250" t="str">
            <v>509</v>
          </cell>
          <cell r="E250" t="str">
            <v>FI</v>
          </cell>
          <cell r="AI250">
            <v>0</v>
          </cell>
        </row>
        <row r="251">
          <cell r="A251" t="str">
            <v>GEN</v>
          </cell>
          <cell r="B251" t="str">
            <v>94</v>
          </cell>
          <cell r="C251" t="str">
            <v>186</v>
          </cell>
          <cell r="D251" t="str">
            <v>547003</v>
          </cell>
          <cell r="E251" t="str">
            <v>FB</v>
          </cell>
          <cell r="AI251">
            <v>179995.2</v>
          </cell>
        </row>
        <row r="252">
          <cell r="A252" t="str">
            <v>GEN</v>
          </cell>
          <cell r="B252" t="str">
            <v>94</v>
          </cell>
          <cell r="C252" t="str">
            <v>186</v>
          </cell>
          <cell r="D252" t="str">
            <v>547003</v>
          </cell>
          <cell r="E252" t="str">
            <v>FI</v>
          </cell>
          <cell r="AI252">
            <v>0</v>
          </cell>
        </row>
        <row r="253">
          <cell r="A253" t="str">
            <v>GEN</v>
          </cell>
          <cell r="B253" t="str">
            <v>94</v>
          </cell>
          <cell r="C253" t="str">
            <v>186</v>
          </cell>
          <cell r="D253" t="str">
            <v>547003</v>
          </cell>
          <cell r="E253" t="str">
            <v>FI</v>
          </cell>
          <cell r="AI253">
            <v>0</v>
          </cell>
        </row>
        <row r="254">
          <cell r="A254" t="str">
            <v>GEN</v>
          </cell>
          <cell r="B254" t="str">
            <v>95</v>
          </cell>
          <cell r="C254" t="str">
            <v>186</v>
          </cell>
          <cell r="D254" t="str">
            <v>INTGEN</v>
          </cell>
          <cell r="E254" t="str">
            <v>FI</v>
          </cell>
          <cell r="AI254">
            <v>0</v>
          </cell>
        </row>
        <row r="255">
          <cell r="A255" t="str">
            <v>GEN</v>
          </cell>
          <cell r="B255" t="str">
            <v>95</v>
          </cell>
          <cell r="C255" t="str">
            <v>186</v>
          </cell>
          <cell r="D255" t="str">
            <v>501001</v>
          </cell>
          <cell r="E255" t="str">
            <v>BX</v>
          </cell>
          <cell r="AI255">
            <v>0</v>
          </cell>
        </row>
        <row r="256">
          <cell r="A256" t="str">
            <v>GEN</v>
          </cell>
          <cell r="B256" t="str">
            <v>95</v>
          </cell>
          <cell r="C256" t="str">
            <v>186</v>
          </cell>
          <cell r="D256" t="str">
            <v>501008</v>
          </cell>
          <cell r="E256" t="str">
            <v>FB</v>
          </cell>
          <cell r="AI256">
            <v>0</v>
          </cell>
        </row>
        <row r="257">
          <cell r="A257" t="str">
            <v>GEN</v>
          </cell>
          <cell r="B257" t="str">
            <v>95</v>
          </cell>
          <cell r="C257" t="str">
            <v>186</v>
          </cell>
          <cell r="D257" t="str">
            <v>501301</v>
          </cell>
          <cell r="E257" t="str">
            <v>FB</v>
          </cell>
          <cell r="AI257">
            <v>892900425.39999998</v>
          </cell>
        </row>
        <row r="258">
          <cell r="A258" t="str">
            <v>GEN</v>
          </cell>
          <cell r="B258" t="str">
            <v>95</v>
          </cell>
          <cell r="C258" t="str">
            <v>186</v>
          </cell>
          <cell r="D258" t="str">
            <v>501301</v>
          </cell>
          <cell r="E258" t="str">
            <v>FI</v>
          </cell>
          <cell r="AI258">
            <v>0</v>
          </cell>
        </row>
        <row r="259">
          <cell r="A259" t="str">
            <v>GEN</v>
          </cell>
          <cell r="B259" t="str">
            <v>95</v>
          </cell>
          <cell r="C259" t="str">
            <v>186</v>
          </cell>
          <cell r="D259" t="str">
            <v>501301</v>
          </cell>
          <cell r="E259" t="str">
            <v>FI</v>
          </cell>
          <cell r="AI259">
            <v>0</v>
          </cell>
        </row>
        <row r="260">
          <cell r="A260" t="str">
            <v>GEN</v>
          </cell>
          <cell r="B260" t="str">
            <v>95</v>
          </cell>
          <cell r="C260" t="str">
            <v>186</v>
          </cell>
          <cell r="D260" t="str">
            <v>501302</v>
          </cell>
          <cell r="E260" t="str">
            <v>FB</v>
          </cell>
          <cell r="AI260">
            <v>2443389.1</v>
          </cell>
        </row>
        <row r="261">
          <cell r="A261" t="str">
            <v>GEN</v>
          </cell>
          <cell r="B261" t="str">
            <v>95</v>
          </cell>
          <cell r="C261" t="str">
            <v>186</v>
          </cell>
          <cell r="D261" t="str">
            <v>501302</v>
          </cell>
          <cell r="E261" t="str">
            <v>FI</v>
          </cell>
          <cell r="AI261">
            <v>0</v>
          </cell>
        </row>
        <row r="262">
          <cell r="A262" t="str">
            <v>GEN</v>
          </cell>
          <cell r="B262" t="str">
            <v>95</v>
          </cell>
          <cell r="C262" t="str">
            <v>186</v>
          </cell>
          <cell r="D262" t="str">
            <v>501302</v>
          </cell>
          <cell r="E262" t="str">
            <v>FI</v>
          </cell>
          <cell r="AI262">
            <v>0</v>
          </cell>
        </row>
        <row r="263">
          <cell r="A263" t="str">
            <v>GEN</v>
          </cell>
          <cell r="B263" t="str">
            <v>95</v>
          </cell>
          <cell r="C263" t="str">
            <v>186</v>
          </cell>
          <cell r="D263" t="str">
            <v>501310</v>
          </cell>
          <cell r="E263" t="str">
            <v>FB</v>
          </cell>
          <cell r="AI263">
            <v>0</v>
          </cell>
        </row>
        <row r="264">
          <cell r="A264" t="str">
            <v>GEN</v>
          </cell>
          <cell r="B264" t="str">
            <v>95</v>
          </cell>
          <cell r="C264" t="str">
            <v>186</v>
          </cell>
          <cell r="D264" t="str">
            <v>501310</v>
          </cell>
          <cell r="E264" t="str">
            <v>FI</v>
          </cell>
          <cell r="AI264">
            <v>0</v>
          </cell>
        </row>
        <row r="265">
          <cell r="A265" t="str">
            <v>GEN</v>
          </cell>
          <cell r="B265" t="str">
            <v>95</v>
          </cell>
          <cell r="C265" t="str">
            <v>186</v>
          </cell>
          <cell r="D265" t="str">
            <v>501310</v>
          </cell>
          <cell r="E265" t="str">
            <v>FI</v>
          </cell>
          <cell r="AI265">
            <v>0</v>
          </cell>
        </row>
        <row r="266">
          <cell r="A266" t="str">
            <v>GEN</v>
          </cell>
          <cell r="B266" t="str">
            <v>95</v>
          </cell>
          <cell r="C266" t="str">
            <v>186</v>
          </cell>
          <cell r="D266" t="str">
            <v>501401</v>
          </cell>
          <cell r="E266" t="str">
            <v>FB</v>
          </cell>
          <cell r="AI266">
            <v>917252012.69999993</v>
          </cell>
        </row>
        <row r="267">
          <cell r="A267" t="str">
            <v>GEN</v>
          </cell>
          <cell r="B267" t="str">
            <v>95</v>
          </cell>
          <cell r="C267" t="str">
            <v>186</v>
          </cell>
          <cell r="D267" t="str">
            <v>501401</v>
          </cell>
          <cell r="E267" t="str">
            <v>FI</v>
          </cell>
          <cell r="AI267">
            <v>0</v>
          </cell>
        </row>
        <row r="268">
          <cell r="A268" t="str">
            <v>GEN</v>
          </cell>
          <cell r="B268" t="str">
            <v>95</v>
          </cell>
          <cell r="C268" t="str">
            <v>186</v>
          </cell>
          <cell r="D268" t="str">
            <v>501401</v>
          </cell>
          <cell r="E268" t="str">
            <v>FI</v>
          </cell>
          <cell r="AI268">
            <v>0</v>
          </cell>
        </row>
        <row r="269">
          <cell r="A269" t="str">
            <v>GEN</v>
          </cell>
          <cell r="B269" t="str">
            <v>95</v>
          </cell>
          <cell r="C269" t="str">
            <v>186</v>
          </cell>
          <cell r="D269" t="str">
            <v>501402</v>
          </cell>
          <cell r="E269" t="str">
            <v>FB</v>
          </cell>
          <cell r="AI269">
            <v>2993854</v>
          </cell>
        </row>
        <row r="270">
          <cell r="A270" t="str">
            <v>GEN</v>
          </cell>
          <cell r="B270" t="str">
            <v>95</v>
          </cell>
          <cell r="C270" t="str">
            <v>186</v>
          </cell>
          <cell r="D270" t="str">
            <v>501402</v>
          </cell>
          <cell r="E270" t="str">
            <v>FI</v>
          </cell>
          <cell r="AI270">
            <v>0</v>
          </cell>
        </row>
        <row r="271">
          <cell r="A271" t="str">
            <v>GEN</v>
          </cell>
          <cell r="B271" t="str">
            <v>95</v>
          </cell>
          <cell r="C271" t="str">
            <v>186</v>
          </cell>
          <cell r="D271" t="str">
            <v>501402</v>
          </cell>
          <cell r="E271" t="str">
            <v>FI</v>
          </cell>
          <cell r="AI271">
            <v>0</v>
          </cell>
        </row>
        <row r="272">
          <cell r="A272" t="str">
            <v>GEN</v>
          </cell>
          <cell r="B272" t="str">
            <v>95</v>
          </cell>
          <cell r="C272" t="str">
            <v>186</v>
          </cell>
          <cell r="D272" t="str">
            <v>501410</v>
          </cell>
          <cell r="E272" t="str">
            <v>FB</v>
          </cell>
          <cell r="AI272">
            <v>0</v>
          </cell>
        </row>
        <row r="273">
          <cell r="A273" t="str">
            <v>GEN</v>
          </cell>
          <cell r="B273" t="str">
            <v>95</v>
          </cell>
          <cell r="C273" t="str">
            <v>186</v>
          </cell>
          <cell r="D273" t="str">
            <v>501410</v>
          </cell>
          <cell r="E273" t="str">
            <v>FI</v>
          </cell>
          <cell r="AI273">
            <v>0</v>
          </cell>
        </row>
        <row r="274">
          <cell r="A274" t="str">
            <v>GEN</v>
          </cell>
          <cell r="B274" t="str">
            <v>95</v>
          </cell>
          <cell r="C274" t="str">
            <v>186</v>
          </cell>
          <cell r="D274" t="str">
            <v>501410</v>
          </cell>
          <cell r="E274" t="str">
            <v>FI</v>
          </cell>
          <cell r="AI274">
            <v>0</v>
          </cell>
        </row>
        <row r="275">
          <cell r="A275" t="str">
            <v>GEN</v>
          </cell>
          <cell r="B275" t="str">
            <v>95</v>
          </cell>
          <cell r="C275" t="str">
            <v>186</v>
          </cell>
          <cell r="D275" t="str">
            <v>509</v>
          </cell>
          <cell r="E275" t="str">
            <v>FB</v>
          </cell>
          <cell r="AI275">
            <v>0</v>
          </cell>
        </row>
        <row r="276">
          <cell r="A276" t="str">
            <v>GEN</v>
          </cell>
          <cell r="B276" t="str">
            <v>95</v>
          </cell>
          <cell r="C276" t="str">
            <v>186</v>
          </cell>
          <cell r="D276" t="str">
            <v>509</v>
          </cell>
          <cell r="E276" t="str">
            <v>FI</v>
          </cell>
          <cell r="AI276">
            <v>0</v>
          </cell>
        </row>
        <row r="277">
          <cell r="A277" t="str">
            <v>GEN</v>
          </cell>
          <cell r="B277" t="str">
            <v>96</v>
          </cell>
          <cell r="C277" t="str">
            <v>186</v>
          </cell>
          <cell r="D277" t="str">
            <v>547002</v>
          </cell>
          <cell r="E277" t="str">
            <v>FB</v>
          </cell>
          <cell r="AI277">
            <v>0</v>
          </cell>
        </row>
        <row r="278">
          <cell r="A278" t="str">
            <v>GEN</v>
          </cell>
          <cell r="B278" t="str">
            <v>97</v>
          </cell>
          <cell r="C278" t="str">
            <v>186</v>
          </cell>
          <cell r="D278" t="str">
            <v>INTGEN</v>
          </cell>
          <cell r="E278" t="str">
            <v>FI</v>
          </cell>
          <cell r="AI278">
            <v>0</v>
          </cell>
        </row>
        <row r="279">
          <cell r="A279" t="str">
            <v>GEN</v>
          </cell>
          <cell r="B279" t="str">
            <v>97</v>
          </cell>
          <cell r="C279" t="str">
            <v>186</v>
          </cell>
          <cell r="D279" t="str">
            <v>547003</v>
          </cell>
          <cell r="E279" t="str">
            <v>FB</v>
          </cell>
          <cell r="AI279">
            <v>0</v>
          </cell>
        </row>
        <row r="280">
          <cell r="A280" t="str">
            <v>GEN</v>
          </cell>
          <cell r="B280" t="str">
            <v>97</v>
          </cell>
          <cell r="C280" t="str">
            <v>186</v>
          </cell>
          <cell r="D280" t="str">
            <v>547003</v>
          </cell>
          <cell r="E280" t="str">
            <v>FI</v>
          </cell>
          <cell r="AI280">
            <v>0</v>
          </cell>
        </row>
        <row r="281">
          <cell r="A281" t="str">
            <v>GEN</v>
          </cell>
          <cell r="B281" t="str">
            <v>97</v>
          </cell>
          <cell r="C281" t="str">
            <v>186</v>
          </cell>
          <cell r="D281" t="str">
            <v>547003</v>
          </cell>
          <cell r="E281" t="str">
            <v>FI</v>
          </cell>
          <cell r="AI281">
            <v>0</v>
          </cell>
        </row>
        <row r="282">
          <cell r="A282" t="str">
            <v>GEN</v>
          </cell>
          <cell r="B282" t="str">
            <v>99</v>
          </cell>
          <cell r="C282" t="str">
            <v>186</v>
          </cell>
          <cell r="D282" t="str">
            <v>547013</v>
          </cell>
          <cell r="E282" t="str">
            <v>FI</v>
          </cell>
          <cell r="AI282">
            <v>600996</v>
          </cell>
        </row>
        <row r="283">
          <cell r="A283" t="str">
            <v>GMC</v>
          </cell>
          <cell r="B283" t="str">
            <v>1G</v>
          </cell>
          <cell r="C283" t="str">
            <v>186</v>
          </cell>
          <cell r="D283" t="str">
            <v>916</v>
          </cell>
          <cell r="E283" t="str">
            <v>XA</v>
          </cell>
          <cell r="AI283">
            <v>0</v>
          </cell>
        </row>
        <row r="284">
          <cell r="A284" t="str">
            <v>GMC</v>
          </cell>
          <cell r="B284" t="str">
            <v>1N</v>
          </cell>
          <cell r="C284" t="str">
            <v>647</v>
          </cell>
          <cell r="D284" t="str">
            <v>547002</v>
          </cell>
          <cell r="E284" t="str">
            <v>FB</v>
          </cell>
          <cell r="AI284">
            <v>56992</v>
          </cell>
        </row>
        <row r="285">
          <cell r="A285" t="str">
            <v>GMC</v>
          </cell>
          <cell r="B285" t="str">
            <v>1N</v>
          </cell>
          <cell r="C285" t="str">
            <v>647</v>
          </cell>
          <cell r="D285" t="str">
            <v>552</v>
          </cell>
          <cell r="E285" t="str">
            <v>EC</v>
          </cell>
          <cell r="AI285">
            <v>0</v>
          </cell>
        </row>
        <row r="286">
          <cell r="A286" t="str">
            <v>GMC</v>
          </cell>
          <cell r="B286" t="str">
            <v>1N</v>
          </cell>
          <cell r="C286" t="str">
            <v>647</v>
          </cell>
          <cell r="D286" t="str">
            <v>552</v>
          </cell>
          <cell r="E286" t="str">
            <v>34</v>
          </cell>
          <cell r="AI286">
            <v>0</v>
          </cell>
        </row>
        <row r="287">
          <cell r="A287" t="str">
            <v>IPC</v>
          </cell>
          <cell r="B287" t="str">
            <v>BL</v>
          </cell>
          <cell r="C287" t="str">
            <v>086</v>
          </cell>
          <cell r="D287" t="str">
            <v>547002</v>
          </cell>
          <cell r="E287" t="str">
            <v>FB</v>
          </cell>
          <cell r="AI287">
            <v>0</v>
          </cell>
        </row>
        <row r="288">
          <cell r="A288" t="str">
            <v>IPC</v>
          </cell>
          <cell r="B288" t="str">
            <v>IP</v>
          </cell>
          <cell r="C288" t="str">
            <v>186</v>
          </cell>
          <cell r="D288" t="str">
            <v>813</v>
          </cell>
          <cell r="E288" t="str">
            <v>XA</v>
          </cell>
          <cell r="AI288">
            <v>0</v>
          </cell>
        </row>
        <row r="289">
          <cell r="A289" t="str">
            <v>IPC</v>
          </cell>
          <cell r="B289" t="str">
            <v>IP</v>
          </cell>
          <cell r="C289" t="str">
            <v>086</v>
          </cell>
          <cell r="D289" t="str">
            <v>912</v>
          </cell>
          <cell r="E289" t="str">
            <v>80</v>
          </cell>
          <cell r="AI289">
            <v>0</v>
          </cell>
        </row>
        <row r="290">
          <cell r="A290" t="str">
            <v>IPC</v>
          </cell>
          <cell r="B290" t="str">
            <v>TR</v>
          </cell>
          <cell r="C290" t="str">
            <v>086</v>
          </cell>
          <cell r="D290" t="str">
            <v>374001</v>
          </cell>
          <cell r="E290" t="str">
            <v>80</v>
          </cell>
          <cell r="AI290">
            <v>0</v>
          </cell>
        </row>
        <row r="291">
          <cell r="A291" t="str">
            <v>MEP</v>
          </cell>
          <cell r="B291" t="str">
            <v>ME</v>
          </cell>
          <cell r="C291" t="str">
            <v>186</v>
          </cell>
          <cell r="D291" t="str">
            <v>547AED</v>
          </cell>
          <cell r="E291" t="str">
            <v>FI</v>
          </cell>
          <cell r="AI291">
            <v>0</v>
          </cell>
        </row>
        <row r="292">
          <cell r="A292" t="str">
            <v>MV1</v>
          </cell>
          <cell r="B292" t="str">
            <v>V1</v>
          </cell>
          <cell r="C292" t="str">
            <v>086</v>
          </cell>
          <cell r="D292" t="str">
            <v>547AFS</v>
          </cell>
          <cell r="E292" t="str">
            <v>FB</v>
          </cell>
          <cell r="AI292">
            <v>0</v>
          </cell>
        </row>
        <row r="293">
          <cell r="A293" t="str">
            <v>MV1</v>
          </cell>
          <cell r="B293" t="str">
            <v>V1</v>
          </cell>
          <cell r="C293" t="str">
            <v>086</v>
          </cell>
          <cell r="D293" t="str">
            <v>547CIL</v>
          </cell>
          <cell r="E293" t="str">
            <v>BX</v>
          </cell>
          <cell r="AI293">
            <v>0</v>
          </cell>
        </row>
        <row r="294">
          <cell r="A294" t="str">
            <v>MV1</v>
          </cell>
          <cell r="B294" t="str">
            <v>V1</v>
          </cell>
          <cell r="C294" t="str">
            <v>086</v>
          </cell>
          <cell r="D294" t="str">
            <v>547CIL</v>
          </cell>
          <cell r="E294" t="str">
            <v>FB</v>
          </cell>
          <cell r="AI294">
            <v>0</v>
          </cell>
        </row>
        <row r="295">
          <cell r="A295" t="str">
            <v>MV1</v>
          </cell>
          <cell r="B295" t="str">
            <v>V1</v>
          </cell>
          <cell r="C295" t="str">
            <v>086</v>
          </cell>
          <cell r="D295" t="str">
            <v>547CSI</v>
          </cell>
          <cell r="E295" t="str">
            <v>FB</v>
          </cell>
          <cell r="AI295">
            <v>0</v>
          </cell>
        </row>
        <row r="296">
          <cell r="A296" t="str">
            <v>MV1</v>
          </cell>
          <cell r="B296" t="str">
            <v>V1</v>
          </cell>
          <cell r="C296" t="str">
            <v>086</v>
          </cell>
          <cell r="D296" t="str">
            <v>547GEN</v>
          </cell>
          <cell r="E296" t="str">
            <v>FB</v>
          </cell>
          <cell r="AI296">
            <v>0</v>
          </cell>
        </row>
        <row r="297">
          <cell r="A297" t="str">
            <v>MV1</v>
          </cell>
          <cell r="B297" t="str">
            <v>V1</v>
          </cell>
          <cell r="C297" t="str">
            <v>086</v>
          </cell>
          <cell r="D297" t="str">
            <v>547003</v>
          </cell>
          <cell r="E297" t="str">
            <v>FB</v>
          </cell>
          <cell r="AI297">
            <v>0</v>
          </cell>
        </row>
        <row r="298">
          <cell r="A298" t="str">
            <v>MV1</v>
          </cell>
          <cell r="B298" t="str">
            <v>V1</v>
          </cell>
          <cell r="C298" t="str">
            <v>086</v>
          </cell>
          <cell r="D298" t="str">
            <v>547004</v>
          </cell>
          <cell r="E298" t="str">
            <v>FB</v>
          </cell>
          <cell r="AI298">
            <v>807328000</v>
          </cell>
        </row>
        <row r="299">
          <cell r="A299" t="str">
            <v>MV1</v>
          </cell>
          <cell r="B299" t="str">
            <v>V1</v>
          </cell>
          <cell r="C299" t="str">
            <v>086</v>
          </cell>
          <cell r="D299" t="str">
            <v>547020</v>
          </cell>
          <cell r="E299" t="str">
            <v>FB</v>
          </cell>
          <cell r="AI299">
            <v>0</v>
          </cell>
        </row>
        <row r="300">
          <cell r="A300" t="str">
            <v>MV1</v>
          </cell>
          <cell r="B300" t="str">
            <v>V1</v>
          </cell>
          <cell r="C300" t="str">
            <v>647</v>
          </cell>
          <cell r="D300" t="str">
            <v>552</v>
          </cell>
          <cell r="E300" t="str">
            <v>EC</v>
          </cell>
          <cell r="AI300">
            <v>0</v>
          </cell>
        </row>
        <row r="301">
          <cell r="A301" t="str">
            <v>UEC</v>
          </cell>
          <cell r="B301" t="str">
            <v>AE</v>
          </cell>
          <cell r="C301" t="str">
            <v>186</v>
          </cell>
          <cell r="D301" t="str">
            <v>557001</v>
          </cell>
          <cell r="E301" t="str">
            <v>XA</v>
          </cell>
          <cell r="AI301">
            <v>0</v>
          </cell>
        </row>
        <row r="302">
          <cell r="A302" t="str">
            <v>UEC</v>
          </cell>
          <cell r="B302" t="str">
            <v>20</v>
          </cell>
          <cell r="C302" t="str">
            <v>086</v>
          </cell>
          <cell r="D302" t="str">
            <v>417002</v>
          </cell>
          <cell r="E302" t="str">
            <v>FI</v>
          </cell>
          <cell r="AI302">
            <v>0</v>
          </cell>
        </row>
        <row r="303">
          <cell r="A303" t="str">
            <v>UEC</v>
          </cell>
          <cell r="B303" t="str">
            <v>20</v>
          </cell>
          <cell r="C303" t="str">
            <v>086</v>
          </cell>
          <cell r="D303" t="str">
            <v>501417</v>
          </cell>
          <cell r="E303" t="str">
            <v>FI</v>
          </cell>
          <cell r="AI303">
            <v>0</v>
          </cell>
        </row>
        <row r="304">
          <cell r="A304" t="str">
            <v>UEC</v>
          </cell>
          <cell r="B304" t="str">
            <v>20</v>
          </cell>
          <cell r="C304" t="str">
            <v>086</v>
          </cell>
          <cell r="D304" t="str">
            <v>921002</v>
          </cell>
          <cell r="E304" t="str">
            <v>BX</v>
          </cell>
          <cell r="AI304">
            <v>0</v>
          </cell>
        </row>
        <row r="305">
          <cell r="A305" t="str">
            <v>UEC</v>
          </cell>
          <cell r="B305" t="str">
            <v>21</v>
          </cell>
          <cell r="C305" t="str">
            <v>034</v>
          </cell>
          <cell r="D305" t="str">
            <v>586</v>
          </cell>
          <cell r="E305" t="str">
            <v>BX</v>
          </cell>
          <cell r="AI305">
            <v>0</v>
          </cell>
        </row>
        <row r="306">
          <cell r="A306" t="str">
            <v>UEC</v>
          </cell>
          <cell r="B306" t="str">
            <v>21</v>
          </cell>
          <cell r="C306" t="str">
            <v>086</v>
          </cell>
          <cell r="D306" t="str">
            <v>586</v>
          </cell>
          <cell r="E306" t="str">
            <v>XA</v>
          </cell>
          <cell r="AI306">
            <v>0</v>
          </cell>
        </row>
        <row r="307">
          <cell r="A307" t="str">
            <v>UEC</v>
          </cell>
          <cell r="B307" t="str">
            <v>21</v>
          </cell>
          <cell r="C307" t="str">
            <v>034</v>
          </cell>
          <cell r="D307" t="str">
            <v>588004</v>
          </cell>
          <cell r="E307" t="str">
            <v>VX</v>
          </cell>
          <cell r="AI307">
            <v>0</v>
          </cell>
        </row>
        <row r="308">
          <cell r="A308" t="str">
            <v>UEC</v>
          </cell>
          <cell r="B308" t="str">
            <v>21</v>
          </cell>
          <cell r="C308" t="str">
            <v>086</v>
          </cell>
          <cell r="D308" t="str">
            <v>912</v>
          </cell>
          <cell r="E308" t="str">
            <v>80</v>
          </cell>
          <cell r="AI308">
            <v>0</v>
          </cell>
        </row>
        <row r="309">
          <cell r="A309" t="str">
            <v>UEC</v>
          </cell>
          <cell r="B309" t="str">
            <v>21</v>
          </cell>
          <cell r="C309" t="str">
            <v>086</v>
          </cell>
          <cell r="D309" t="str">
            <v>912</v>
          </cell>
          <cell r="E309" t="str">
            <v>80</v>
          </cell>
          <cell r="AI309">
            <v>0</v>
          </cell>
        </row>
        <row r="310">
          <cell r="A310" t="str">
            <v>UEC</v>
          </cell>
          <cell r="B310" t="str">
            <v>30</v>
          </cell>
          <cell r="C310" t="str">
            <v>086</v>
          </cell>
          <cell r="D310" t="str">
            <v>921002</v>
          </cell>
          <cell r="E310" t="str">
            <v>BX</v>
          </cell>
          <cell r="AI310">
            <v>0</v>
          </cell>
        </row>
        <row r="311">
          <cell r="A311" t="str">
            <v>UEC</v>
          </cell>
          <cell r="B311" t="str">
            <v>5A</v>
          </cell>
          <cell r="C311" t="str">
            <v>086</v>
          </cell>
          <cell r="D311" t="str">
            <v>456AFS</v>
          </cell>
          <cell r="E311" t="str">
            <v>FB</v>
          </cell>
          <cell r="AI311">
            <v>0</v>
          </cell>
        </row>
        <row r="312">
          <cell r="A312" t="str">
            <v>UEC</v>
          </cell>
          <cell r="B312" t="str">
            <v>5A</v>
          </cell>
          <cell r="C312" t="str">
            <v>086</v>
          </cell>
          <cell r="D312" t="str">
            <v>456MV1</v>
          </cell>
          <cell r="E312" t="str">
            <v>FB</v>
          </cell>
          <cell r="AI312">
            <v>0</v>
          </cell>
        </row>
        <row r="313">
          <cell r="A313" t="str">
            <v>UEC</v>
          </cell>
          <cell r="B313" t="str">
            <v>5A</v>
          </cell>
          <cell r="C313" t="str">
            <v>086</v>
          </cell>
          <cell r="D313" t="str">
            <v>456601</v>
          </cell>
          <cell r="E313" t="str">
            <v>FB</v>
          </cell>
          <cell r="AI313">
            <v>0</v>
          </cell>
        </row>
        <row r="314">
          <cell r="A314" t="str">
            <v>UEC</v>
          </cell>
          <cell r="B314" t="str">
            <v>5A</v>
          </cell>
          <cell r="C314" t="str">
            <v>086</v>
          </cell>
          <cell r="D314" t="str">
            <v>502600</v>
          </cell>
          <cell r="E314" t="str">
            <v>FB</v>
          </cell>
          <cell r="AI314">
            <v>0</v>
          </cell>
        </row>
        <row r="315">
          <cell r="A315" t="str">
            <v>UEC</v>
          </cell>
          <cell r="B315" t="str">
            <v>5A</v>
          </cell>
          <cell r="C315" t="str">
            <v>086</v>
          </cell>
          <cell r="D315" t="str">
            <v>547CIP</v>
          </cell>
          <cell r="E315" t="str">
            <v>FB</v>
          </cell>
          <cell r="AI315">
            <v>0</v>
          </cell>
        </row>
        <row r="316">
          <cell r="A316" t="str">
            <v>UEC</v>
          </cell>
          <cell r="B316" t="str">
            <v>5A</v>
          </cell>
          <cell r="C316" t="str">
            <v>086</v>
          </cell>
          <cell r="D316" t="str">
            <v>547GEN</v>
          </cell>
          <cell r="E316" t="str">
            <v>FB</v>
          </cell>
          <cell r="AI316">
            <v>0</v>
          </cell>
        </row>
        <row r="317">
          <cell r="A317" t="str">
            <v>UEC</v>
          </cell>
          <cell r="B317" t="str">
            <v>5A</v>
          </cell>
          <cell r="C317" t="str">
            <v>086</v>
          </cell>
          <cell r="D317" t="str">
            <v>547IPC</v>
          </cell>
          <cell r="E317" t="str">
            <v>FB</v>
          </cell>
          <cell r="AI317">
            <v>0</v>
          </cell>
        </row>
        <row r="318">
          <cell r="A318" t="str">
            <v>UEC</v>
          </cell>
          <cell r="B318" t="str">
            <v>5A</v>
          </cell>
          <cell r="C318" t="str">
            <v>086</v>
          </cell>
          <cell r="D318" t="str">
            <v>547MV1</v>
          </cell>
          <cell r="E318" t="str">
            <v>FB</v>
          </cell>
          <cell r="AI318">
            <v>0</v>
          </cell>
        </row>
        <row r="319">
          <cell r="A319" t="str">
            <v>UEC</v>
          </cell>
          <cell r="B319" t="str">
            <v>5A</v>
          </cell>
          <cell r="C319" t="str">
            <v>086</v>
          </cell>
          <cell r="D319" t="str">
            <v>5470CO</v>
          </cell>
          <cell r="E319" t="str">
            <v>FB</v>
          </cell>
          <cell r="AI319">
            <v>0</v>
          </cell>
        </row>
        <row r="320">
          <cell r="A320" t="str">
            <v>UEC</v>
          </cell>
          <cell r="B320" t="str">
            <v>5A</v>
          </cell>
          <cell r="C320" t="str">
            <v>086</v>
          </cell>
          <cell r="D320" t="str">
            <v>547003</v>
          </cell>
          <cell r="E320" t="str">
            <v>FB</v>
          </cell>
          <cell r="AI320">
            <v>0</v>
          </cell>
        </row>
        <row r="321">
          <cell r="A321" t="str">
            <v>UEC</v>
          </cell>
          <cell r="B321" t="str">
            <v>5A</v>
          </cell>
          <cell r="C321" t="str">
            <v>086</v>
          </cell>
          <cell r="D321" t="str">
            <v>54701F</v>
          </cell>
          <cell r="E321" t="str">
            <v>FB</v>
          </cell>
          <cell r="AI321">
            <v>0</v>
          </cell>
        </row>
        <row r="322">
          <cell r="A322" t="str">
            <v>UEC</v>
          </cell>
          <cell r="B322" t="str">
            <v>5A</v>
          </cell>
          <cell r="C322" t="str">
            <v>086</v>
          </cell>
          <cell r="D322" t="str">
            <v>547013</v>
          </cell>
          <cell r="E322" t="str">
            <v>FB</v>
          </cell>
          <cell r="AI322">
            <v>0</v>
          </cell>
        </row>
        <row r="323">
          <cell r="A323" t="str">
            <v>UEC</v>
          </cell>
          <cell r="B323" t="str">
            <v>5A</v>
          </cell>
          <cell r="C323" t="str">
            <v>186</v>
          </cell>
          <cell r="D323" t="str">
            <v>557001</v>
          </cell>
          <cell r="E323" t="str">
            <v>EX</v>
          </cell>
          <cell r="AI323">
            <v>0</v>
          </cell>
        </row>
        <row r="324">
          <cell r="A324" t="str">
            <v>UEC</v>
          </cell>
          <cell r="B324" t="str">
            <v>5A</v>
          </cell>
          <cell r="C324" t="str">
            <v>186</v>
          </cell>
          <cell r="D324" t="str">
            <v>557001</v>
          </cell>
          <cell r="E324" t="str">
            <v>XA</v>
          </cell>
          <cell r="AI324">
            <v>0</v>
          </cell>
        </row>
        <row r="325">
          <cell r="A325" t="str">
            <v>UEC</v>
          </cell>
          <cell r="B325" t="str">
            <v>50</v>
          </cell>
          <cell r="C325" t="str">
            <v>086</v>
          </cell>
          <cell r="D325" t="str">
            <v>INTGEN</v>
          </cell>
          <cell r="E325" t="str">
            <v>FI</v>
          </cell>
          <cell r="AI325">
            <v>0</v>
          </cell>
        </row>
        <row r="326">
          <cell r="A326" t="str">
            <v>UEC</v>
          </cell>
          <cell r="B326" t="str">
            <v>50</v>
          </cell>
          <cell r="C326" t="str">
            <v>086</v>
          </cell>
          <cell r="D326" t="str">
            <v>501001</v>
          </cell>
          <cell r="E326" t="str">
            <v>FB</v>
          </cell>
          <cell r="AI326">
            <v>9778449158.1599998</v>
          </cell>
        </row>
        <row r="327">
          <cell r="A327" t="str">
            <v>UEC</v>
          </cell>
          <cell r="B327" t="str">
            <v>50</v>
          </cell>
          <cell r="C327" t="str">
            <v>086</v>
          </cell>
          <cell r="D327" t="str">
            <v>501001</v>
          </cell>
          <cell r="E327" t="str">
            <v>FB</v>
          </cell>
          <cell r="AI327">
            <v>0</v>
          </cell>
        </row>
        <row r="328">
          <cell r="A328" t="str">
            <v>UEC</v>
          </cell>
          <cell r="B328" t="str">
            <v>50</v>
          </cell>
          <cell r="C328" t="str">
            <v>086</v>
          </cell>
          <cell r="D328" t="str">
            <v>501001</v>
          </cell>
          <cell r="E328" t="str">
            <v>FI</v>
          </cell>
          <cell r="AI328">
            <v>5765812087.6300001</v>
          </cell>
        </row>
        <row r="329">
          <cell r="A329" t="str">
            <v>UEC</v>
          </cell>
          <cell r="B329" t="str">
            <v>50</v>
          </cell>
          <cell r="C329" t="str">
            <v>086</v>
          </cell>
          <cell r="D329" t="str">
            <v>501001</v>
          </cell>
          <cell r="E329" t="str">
            <v>FI</v>
          </cell>
          <cell r="AI329">
            <v>0</v>
          </cell>
        </row>
        <row r="330">
          <cell r="A330" t="str">
            <v>UEC</v>
          </cell>
          <cell r="B330" t="str">
            <v>50</v>
          </cell>
          <cell r="C330" t="str">
            <v>086</v>
          </cell>
          <cell r="D330" t="str">
            <v>501003</v>
          </cell>
          <cell r="E330" t="str">
            <v>FB</v>
          </cell>
          <cell r="AI330">
            <v>18479134.920000002</v>
          </cell>
        </row>
        <row r="331">
          <cell r="A331" t="str">
            <v>UEC</v>
          </cell>
          <cell r="B331" t="str">
            <v>50</v>
          </cell>
          <cell r="C331" t="str">
            <v>086</v>
          </cell>
          <cell r="D331" t="str">
            <v>501003</v>
          </cell>
          <cell r="E331" t="str">
            <v>FB</v>
          </cell>
          <cell r="AI331">
            <v>0</v>
          </cell>
        </row>
        <row r="332">
          <cell r="A332" t="str">
            <v>UEC</v>
          </cell>
          <cell r="B332" t="str">
            <v>50</v>
          </cell>
          <cell r="C332" t="str">
            <v>086</v>
          </cell>
          <cell r="D332" t="str">
            <v>501003</v>
          </cell>
          <cell r="E332" t="str">
            <v>FI</v>
          </cell>
          <cell r="AI332">
            <v>-9.3132257461547852E-10</v>
          </cell>
        </row>
        <row r="333">
          <cell r="A333" t="str">
            <v>UEC</v>
          </cell>
          <cell r="B333" t="str">
            <v>50</v>
          </cell>
          <cell r="C333" t="str">
            <v>086</v>
          </cell>
          <cell r="D333" t="str">
            <v>501004</v>
          </cell>
          <cell r="E333" t="str">
            <v>FB</v>
          </cell>
          <cell r="AI333">
            <v>0</v>
          </cell>
        </row>
        <row r="334">
          <cell r="A334" t="str">
            <v>UEC</v>
          </cell>
          <cell r="B334" t="str">
            <v>50</v>
          </cell>
          <cell r="C334" t="str">
            <v>086</v>
          </cell>
          <cell r="D334" t="str">
            <v>501011</v>
          </cell>
          <cell r="E334" t="str">
            <v>FI</v>
          </cell>
          <cell r="AI334">
            <v>0</v>
          </cell>
        </row>
        <row r="335">
          <cell r="A335" t="str">
            <v>UEC</v>
          </cell>
          <cell r="B335" t="str">
            <v>50</v>
          </cell>
          <cell r="C335" t="str">
            <v>086</v>
          </cell>
          <cell r="D335" t="str">
            <v>501011</v>
          </cell>
          <cell r="E335" t="str">
            <v>FI</v>
          </cell>
          <cell r="AI335">
            <v>0</v>
          </cell>
        </row>
        <row r="336">
          <cell r="A336" t="str">
            <v>UEC</v>
          </cell>
          <cell r="B336" t="str">
            <v>50</v>
          </cell>
          <cell r="C336" t="str">
            <v>086</v>
          </cell>
          <cell r="D336" t="str">
            <v>501013</v>
          </cell>
          <cell r="E336" t="str">
            <v>FI</v>
          </cell>
          <cell r="AI336">
            <v>0</v>
          </cell>
        </row>
        <row r="337">
          <cell r="A337" t="str">
            <v>UEC</v>
          </cell>
          <cell r="B337" t="str">
            <v>50</v>
          </cell>
          <cell r="C337" t="str">
            <v>086</v>
          </cell>
          <cell r="D337" t="str">
            <v>501013</v>
          </cell>
          <cell r="E337" t="str">
            <v>FI</v>
          </cell>
          <cell r="AI337">
            <v>11718041.08</v>
          </cell>
        </row>
        <row r="338">
          <cell r="A338" t="str">
            <v>UEC</v>
          </cell>
          <cell r="B338" t="str">
            <v>50</v>
          </cell>
          <cell r="C338" t="str">
            <v>086</v>
          </cell>
          <cell r="D338" t="str">
            <v>501013</v>
          </cell>
          <cell r="E338" t="str">
            <v>FI</v>
          </cell>
          <cell r="AI338">
            <v>0</v>
          </cell>
        </row>
        <row r="339">
          <cell r="A339" t="str">
            <v>UEC</v>
          </cell>
          <cell r="B339" t="str">
            <v>50</v>
          </cell>
          <cell r="C339" t="str">
            <v>086</v>
          </cell>
          <cell r="D339" t="str">
            <v>501014</v>
          </cell>
          <cell r="E339" t="str">
            <v>FI</v>
          </cell>
          <cell r="AI339">
            <v>0</v>
          </cell>
        </row>
        <row r="340">
          <cell r="A340" t="str">
            <v>UEC</v>
          </cell>
          <cell r="B340" t="str">
            <v>50</v>
          </cell>
          <cell r="C340" t="str">
            <v>086</v>
          </cell>
          <cell r="D340" t="str">
            <v>501014</v>
          </cell>
          <cell r="E340" t="str">
            <v>FI</v>
          </cell>
          <cell r="AI340">
            <v>0</v>
          </cell>
        </row>
        <row r="341">
          <cell r="A341" t="str">
            <v>UEC</v>
          </cell>
          <cell r="B341" t="str">
            <v>50</v>
          </cell>
          <cell r="C341" t="str">
            <v>086</v>
          </cell>
          <cell r="D341" t="str">
            <v>501110</v>
          </cell>
          <cell r="E341" t="str">
            <v>FB</v>
          </cell>
          <cell r="AI341">
            <v>0</v>
          </cell>
        </row>
        <row r="342">
          <cell r="A342" t="str">
            <v>UEC</v>
          </cell>
          <cell r="B342" t="str">
            <v>50</v>
          </cell>
          <cell r="C342" t="str">
            <v>086</v>
          </cell>
          <cell r="D342" t="str">
            <v>501110</v>
          </cell>
          <cell r="E342" t="str">
            <v>FB</v>
          </cell>
          <cell r="AI342">
            <v>0</v>
          </cell>
        </row>
        <row r="343">
          <cell r="A343" t="str">
            <v>UEC</v>
          </cell>
          <cell r="B343" t="str">
            <v>50</v>
          </cell>
          <cell r="C343" t="str">
            <v>086</v>
          </cell>
          <cell r="D343" t="str">
            <v>501110</v>
          </cell>
          <cell r="E343" t="str">
            <v>FI</v>
          </cell>
          <cell r="AI343">
            <v>0</v>
          </cell>
        </row>
        <row r="344">
          <cell r="A344" t="str">
            <v>UEC</v>
          </cell>
          <cell r="B344" t="str">
            <v>50</v>
          </cell>
          <cell r="C344" t="str">
            <v>086</v>
          </cell>
          <cell r="D344" t="str">
            <v>501110</v>
          </cell>
          <cell r="E344" t="str">
            <v>FI</v>
          </cell>
          <cell r="AI344">
            <v>0</v>
          </cell>
        </row>
        <row r="345">
          <cell r="A345" t="str">
            <v>UEC</v>
          </cell>
          <cell r="B345" t="str">
            <v>50</v>
          </cell>
          <cell r="C345" t="str">
            <v>086</v>
          </cell>
          <cell r="D345" t="str">
            <v>509</v>
          </cell>
          <cell r="E345" t="str">
            <v>FB</v>
          </cell>
          <cell r="AI345">
            <v>0</v>
          </cell>
        </row>
        <row r="346">
          <cell r="A346" t="str">
            <v>UEC</v>
          </cell>
          <cell r="B346" t="str">
            <v>52</v>
          </cell>
          <cell r="C346" t="str">
            <v>086</v>
          </cell>
          <cell r="D346" t="str">
            <v>INTGEN</v>
          </cell>
          <cell r="E346" t="str">
            <v>FI</v>
          </cell>
          <cell r="AI346">
            <v>0</v>
          </cell>
        </row>
        <row r="347">
          <cell r="A347" t="str">
            <v>UEC</v>
          </cell>
          <cell r="B347" t="str">
            <v>53</v>
          </cell>
          <cell r="C347" t="str">
            <v>086</v>
          </cell>
          <cell r="D347" t="str">
            <v>INTGEN</v>
          </cell>
          <cell r="E347" t="str">
            <v>FI</v>
          </cell>
          <cell r="AI347">
            <v>0</v>
          </cell>
        </row>
        <row r="348">
          <cell r="A348" t="str">
            <v>UEC</v>
          </cell>
          <cell r="B348" t="str">
            <v>53</v>
          </cell>
          <cell r="C348" t="str">
            <v>086</v>
          </cell>
          <cell r="D348" t="str">
            <v>501001</v>
          </cell>
          <cell r="E348" t="str">
            <v>EC</v>
          </cell>
          <cell r="AI348">
            <v>0</v>
          </cell>
        </row>
        <row r="349">
          <cell r="A349" t="str">
            <v>UEC</v>
          </cell>
          <cell r="B349" t="str">
            <v>53</v>
          </cell>
          <cell r="C349" t="str">
            <v>086</v>
          </cell>
          <cell r="D349" t="str">
            <v>501001</v>
          </cell>
          <cell r="E349" t="str">
            <v>FB</v>
          </cell>
          <cell r="AI349">
            <v>13462179961.390001</v>
          </cell>
        </row>
        <row r="350">
          <cell r="A350" t="str">
            <v>UEC</v>
          </cell>
          <cell r="B350" t="str">
            <v>53</v>
          </cell>
          <cell r="C350" t="str">
            <v>086</v>
          </cell>
          <cell r="D350" t="str">
            <v>501001</v>
          </cell>
          <cell r="E350" t="str">
            <v>FB</v>
          </cell>
          <cell r="AI350">
            <v>0</v>
          </cell>
        </row>
        <row r="351">
          <cell r="A351" t="str">
            <v>UEC</v>
          </cell>
          <cell r="B351" t="str">
            <v>53</v>
          </cell>
          <cell r="C351" t="str">
            <v>086</v>
          </cell>
          <cell r="D351" t="str">
            <v>501001</v>
          </cell>
          <cell r="E351" t="str">
            <v>FI</v>
          </cell>
          <cell r="AI351">
            <v>3365615471.3900003</v>
          </cell>
        </row>
        <row r="352">
          <cell r="A352" t="str">
            <v>UEC</v>
          </cell>
          <cell r="B352" t="str">
            <v>53</v>
          </cell>
          <cell r="C352" t="str">
            <v>086</v>
          </cell>
          <cell r="D352" t="str">
            <v>501001</v>
          </cell>
          <cell r="E352" t="str">
            <v>FI</v>
          </cell>
          <cell r="AI352">
            <v>0</v>
          </cell>
        </row>
        <row r="353">
          <cell r="A353" t="str">
            <v>UEC</v>
          </cell>
          <cell r="B353" t="str">
            <v>53</v>
          </cell>
          <cell r="C353" t="str">
            <v>086</v>
          </cell>
          <cell r="D353" t="str">
            <v>501002</v>
          </cell>
          <cell r="E353" t="str">
            <v>FB</v>
          </cell>
          <cell r="AI353">
            <v>1562323.01</v>
          </cell>
        </row>
        <row r="354">
          <cell r="A354" t="str">
            <v>UEC</v>
          </cell>
          <cell r="B354" t="str">
            <v>53</v>
          </cell>
          <cell r="C354" t="str">
            <v>086</v>
          </cell>
          <cell r="D354" t="str">
            <v>501007</v>
          </cell>
          <cell r="E354" t="str">
            <v>FB</v>
          </cell>
          <cell r="AI354">
            <v>0</v>
          </cell>
        </row>
        <row r="355">
          <cell r="A355" t="str">
            <v>UEC</v>
          </cell>
          <cell r="B355" t="str">
            <v>53</v>
          </cell>
          <cell r="C355" t="str">
            <v>086</v>
          </cell>
          <cell r="D355" t="str">
            <v>501008</v>
          </cell>
          <cell r="E355" t="str">
            <v>FB</v>
          </cell>
          <cell r="AI355">
            <v>0</v>
          </cell>
        </row>
        <row r="356">
          <cell r="A356" t="str">
            <v>UEC</v>
          </cell>
          <cell r="B356" t="str">
            <v>53</v>
          </cell>
          <cell r="C356" t="str">
            <v>086</v>
          </cell>
          <cell r="D356" t="str">
            <v>501011</v>
          </cell>
          <cell r="E356" t="str">
            <v>FI</v>
          </cell>
          <cell r="AI356">
            <v>0</v>
          </cell>
        </row>
        <row r="357">
          <cell r="A357" t="str">
            <v>UEC</v>
          </cell>
          <cell r="B357" t="str">
            <v>53</v>
          </cell>
          <cell r="C357" t="str">
            <v>086</v>
          </cell>
          <cell r="D357" t="str">
            <v>501011</v>
          </cell>
          <cell r="E357" t="str">
            <v>FI</v>
          </cell>
          <cell r="AI357">
            <v>0</v>
          </cell>
        </row>
        <row r="358">
          <cell r="A358" t="str">
            <v>UEC</v>
          </cell>
          <cell r="B358" t="str">
            <v>53</v>
          </cell>
          <cell r="C358" t="str">
            <v>086</v>
          </cell>
          <cell r="D358" t="str">
            <v>501012</v>
          </cell>
          <cell r="E358" t="str">
            <v>FI</v>
          </cell>
          <cell r="AI358">
            <v>413768.66000000003</v>
          </cell>
        </row>
        <row r="359">
          <cell r="A359" t="str">
            <v>UEC</v>
          </cell>
          <cell r="B359" t="str">
            <v>53</v>
          </cell>
          <cell r="C359" t="str">
            <v>086</v>
          </cell>
          <cell r="D359" t="str">
            <v>501012</v>
          </cell>
          <cell r="E359" t="str">
            <v>FI</v>
          </cell>
          <cell r="AI359">
            <v>0</v>
          </cell>
        </row>
        <row r="360">
          <cell r="A360" t="str">
            <v>UEC</v>
          </cell>
          <cell r="B360" t="str">
            <v>53</v>
          </cell>
          <cell r="C360" t="str">
            <v>086</v>
          </cell>
          <cell r="D360" t="str">
            <v>501017</v>
          </cell>
          <cell r="E360" t="str">
            <v>FI</v>
          </cell>
          <cell r="AI360">
            <v>0</v>
          </cell>
        </row>
        <row r="361">
          <cell r="A361" t="str">
            <v>UEC</v>
          </cell>
          <cell r="B361" t="str">
            <v>53</v>
          </cell>
          <cell r="C361" t="str">
            <v>086</v>
          </cell>
          <cell r="D361" t="str">
            <v>501017</v>
          </cell>
          <cell r="E361" t="str">
            <v>FI</v>
          </cell>
          <cell r="AI361">
            <v>0</v>
          </cell>
        </row>
        <row r="362">
          <cell r="A362" t="str">
            <v>UEC</v>
          </cell>
          <cell r="B362" t="str">
            <v>53</v>
          </cell>
          <cell r="C362" t="str">
            <v>086</v>
          </cell>
          <cell r="D362" t="str">
            <v>501018</v>
          </cell>
          <cell r="E362" t="str">
            <v>FI</v>
          </cell>
          <cell r="AI362">
            <v>0</v>
          </cell>
        </row>
        <row r="363">
          <cell r="A363" t="str">
            <v>UEC</v>
          </cell>
          <cell r="B363" t="str">
            <v>53</v>
          </cell>
          <cell r="C363" t="str">
            <v>086</v>
          </cell>
          <cell r="D363" t="str">
            <v>501018</v>
          </cell>
          <cell r="E363" t="str">
            <v>FI</v>
          </cell>
          <cell r="AI363">
            <v>0</v>
          </cell>
        </row>
        <row r="364">
          <cell r="A364" t="str">
            <v>UEC</v>
          </cell>
          <cell r="B364" t="str">
            <v>53</v>
          </cell>
          <cell r="C364" t="str">
            <v>086</v>
          </cell>
          <cell r="D364" t="str">
            <v>501110</v>
          </cell>
          <cell r="E364" t="str">
            <v>FB</v>
          </cell>
          <cell r="AI364">
            <v>0</v>
          </cell>
        </row>
        <row r="365">
          <cell r="A365" t="str">
            <v>UEC</v>
          </cell>
          <cell r="B365" t="str">
            <v>53</v>
          </cell>
          <cell r="C365" t="str">
            <v>086</v>
          </cell>
          <cell r="D365" t="str">
            <v>501110</v>
          </cell>
          <cell r="E365" t="str">
            <v>FB</v>
          </cell>
          <cell r="AI365">
            <v>0</v>
          </cell>
        </row>
        <row r="366">
          <cell r="A366" t="str">
            <v>UEC</v>
          </cell>
          <cell r="B366" t="str">
            <v>53</v>
          </cell>
          <cell r="C366" t="str">
            <v>086</v>
          </cell>
          <cell r="D366" t="str">
            <v>501110</v>
          </cell>
          <cell r="E366" t="str">
            <v>FI</v>
          </cell>
          <cell r="AI366">
            <v>0</v>
          </cell>
        </row>
        <row r="367">
          <cell r="A367" t="str">
            <v>UEC</v>
          </cell>
          <cell r="B367" t="str">
            <v>53</v>
          </cell>
          <cell r="C367" t="str">
            <v>086</v>
          </cell>
          <cell r="D367" t="str">
            <v>501110</v>
          </cell>
          <cell r="E367" t="str">
            <v>FI</v>
          </cell>
          <cell r="AI367">
            <v>0</v>
          </cell>
        </row>
        <row r="368">
          <cell r="A368" t="str">
            <v>UEC</v>
          </cell>
          <cell r="B368" t="str">
            <v>53</v>
          </cell>
          <cell r="C368" t="str">
            <v>086</v>
          </cell>
          <cell r="D368" t="str">
            <v>502</v>
          </cell>
          <cell r="E368" t="str">
            <v>BX</v>
          </cell>
          <cell r="AI368">
            <v>0</v>
          </cell>
        </row>
        <row r="369">
          <cell r="A369" t="str">
            <v>UEC</v>
          </cell>
          <cell r="B369" t="str">
            <v>53</v>
          </cell>
          <cell r="C369" t="str">
            <v>086</v>
          </cell>
          <cell r="D369" t="str">
            <v>502</v>
          </cell>
          <cell r="E369" t="str">
            <v>34</v>
          </cell>
          <cell r="AI369">
            <v>0</v>
          </cell>
        </row>
        <row r="370">
          <cell r="A370" t="str">
            <v>UEC</v>
          </cell>
          <cell r="B370" t="str">
            <v>53</v>
          </cell>
          <cell r="C370" t="str">
            <v>086</v>
          </cell>
          <cell r="D370" t="str">
            <v>509</v>
          </cell>
          <cell r="E370" t="str">
            <v>FB</v>
          </cell>
          <cell r="AI370">
            <v>0</v>
          </cell>
        </row>
        <row r="371">
          <cell r="A371" t="str">
            <v>UEC</v>
          </cell>
          <cell r="B371" t="str">
            <v>54</v>
          </cell>
          <cell r="C371" t="str">
            <v>086</v>
          </cell>
          <cell r="D371" t="str">
            <v>INTGEN</v>
          </cell>
          <cell r="E371" t="str">
            <v>FI</v>
          </cell>
          <cell r="AI371">
            <v>0</v>
          </cell>
        </row>
        <row r="372">
          <cell r="A372" t="str">
            <v>UEC</v>
          </cell>
          <cell r="B372" t="str">
            <v>57</v>
          </cell>
          <cell r="C372" t="str">
            <v>086</v>
          </cell>
          <cell r="D372" t="str">
            <v>501002</v>
          </cell>
          <cell r="E372" t="str">
            <v>FB</v>
          </cell>
          <cell r="AI372">
            <v>0</v>
          </cell>
        </row>
        <row r="373">
          <cell r="A373" t="str">
            <v>UEC</v>
          </cell>
          <cell r="B373" t="str">
            <v>57</v>
          </cell>
          <cell r="C373" t="str">
            <v>086</v>
          </cell>
          <cell r="D373" t="str">
            <v>501003</v>
          </cell>
          <cell r="E373" t="str">
            <v>FB</v>
          </cell>
          <cell r="AI373">
            <v>0</v>
          </cell>
        </row>
        <row r="374">
          <cell r="A374" t="str">
            <v>UEC</v>
          </cell>
          <cell r="B374" t="str">
            <v>57</v>
          </cell>
          <cell r="C374" t="str">
            <v>086</v>
          </cell>
          <cell r="D374" t="str">
            <v>501012</v>
          </cell>
          <cell r="E374" t="str">
            <v>FI</v>
          </cell>
          <cell r="AI374">
            <v>0</v>
          </cell>
        </row>
        <row r="375">
          <cell r="A375" t="str">
            <v>UEC</v>
          </cell>
          <cell r="B375" t="str">
            <v>57</v>
          </cell>
          <cell r="C375" t="str">
            <v>086</v>
          </cell>
          <cell r="D375" t="str">
            <v>501012</v>
          </cell>
          <cell r="E375" t="str">
            <v>FI</v>
          </cell>
          <cell r="AI375">
            <v>0</v>
          </cell>
        </row>
        <row r="376">
          <cell r="A376" t="str">
            <v>UEC</v>
          </cell>
          <cell r="B376" t="str">
            <v>57</v>
          </cell>
          <cell r="C376" t="str">
            <v>086</v>
          </cell>
          <cell r="D376" t="str">
            <v>501013</v>
          </cell>
          <cell r="E376" t="str">
            <v>FI</v>
          </cell>
          <cell r="AI376">
            <v>0</v>
          </cell>
        </row>
        <row r="377">
          <cell r="A377" t="str">
            <v>UEC</v>
          </cell>
          <cell r="B377" t="str">
            <v>57</v>
          </cell>
          <cell r="C377" t="str">
            <v>086</v>
          </cell>
          <cell r="D377" t="str">
            <v>501013</v>
          </cell>
          <cell r="E377" t="str">
            <v>FI</v>
          </cell>
          <cell r="AI377">
            <v>0</v>
          </cell>
        </row>
        <row r="378">
          <cell r="A378" t="str">
            <v>UEC</v>
          </cell>
          <cell r="B378" t="str">
            <v>57</v>
          </cell>
          <cell r="C378" t="str">
            <v>086</v>
          </cell>
          <cell r="D378" t="str">
            <v>549</v>
          </cell>
          <cell r="E378" t="str">
            <v>FB</v>
          </cell>
          <cell r="AI378">
            <v>0</v>
          </cell>
        </row>
        <row r="379">
          <cell r="A379" t="str">
            <v>UEC</v>
          </cell>
          <cell r="B379" t="str">
            <v>58</v>
          </cell>
          <cell r="C379" t="str">
            <v>086</v>
          </cell>
          <cell r="D379" t="str">
            <v>INTGEN</v>
          </cell>
          <cell r="E379" t="str">
            <v>FI</v>
          </cell>
          <cell r="AI379">
            <v>0</v>
          </cell>
        </row>
        <row r="380">
          <cell r="A380" t="str">
            <v>UEC</v>
          </cell>
          <cell r="B380" t="str">
            <v>58</v>
          </cell>
          <cell r="C380" t="str">
            <v>086</v>
          </cell>
          <cell r="D380" t="str">
            <v>501001</v>
          </cell>
          <cell r="E380" t="str">
            <v>BX</v>
          </cell>
          <cell r="AI380">
            <v>0</v>
          </cell>
        </row>
        <row r="381">
          <cell r="A381" t="str">
            <v>UEC</v>
          </cell>
          <cell r="B381" t="str">
            <v>58</v>
          </cell>
          <cell r="C381" t="str">
            <v>086</v>
          </cell>
          <cell r="D381" t="str">
            <v>501001</v>
          </cell>
          <cell r="E381" t="str">
            <v>FB</v>
          </cell>
          <cell r="AI381">
            <v>44122982857.940002</v>
          </cell>
        </row>
        <row r="382">
          <cell r="A382" t="str">
            <v>UEC</v>
          </cell>
          <cell r="B382" t="str">
            <v>58</v>
          </cell>
          <cell r="C382" t="str">
            <v>086</v>
          </cell>
          <cell r="D382" t="str">
            <v>501001</v>
          </cell>
          <cell r="E382" t="str">
            <v>FB</v>
          </cell>
          <cell r="AI382">
            <v>0</v>
          </cell>
        </row>
        <row r="383">
          <cell r="A383" t="str">
            <v>UEC</v>
          </cell>
          <cell r="B383" t="str">
            <v>58</v>
          </cell>
          <cell r="C383" t="str">
            <v>086</v>
          </cell>
          <cell r="D383" t="str">
            <v>501001</v>
          </cell>
          <cell r="E383" t="str">
            <v>FB</v>
          </cell>
          <cell r="AI383">
            <v>0</v>
          </cell>
        </row>
        <row r="384">
          <cell r="A384" t="str">
            <v>UEC</v>
          </cell>
          <cell r="B384" t="str">
            <v>58</v>
          </cell>
          <cell r="C384" t="str">
            <v>086</v>
          </cell>
          <cell r="D384" t="str">
            <v>501001</v>
          </cell>
          <cell r="E384" t="str">
            <v>FI</v>
          </cell>
          <cell r="AI384">
            <v>4941693676.3099995</v>
          </cell>
        </row>
        <row r="385">
          <cell r="A385" t="str">
            <v>UEC</v>
          </cell>
          <cell r="B385" t="str">
            <v>58</v>
          </cell>
          <cell r="C385" t="str">
            <v>086</v>
          </cell>
          <cell r="D385" t="str">
            <v>501001</v>
          </cell>
          <cell r="E385" t="str">
            <v>FI</v>
          </cell>
          <cell r="AI385">
            <v>0</v>
          </cell>
        </row>
        <row r="386">
          <cell r="A386" t="str">
            <v>UEC</v>
          </cell>
          <cell r="B386" t="str">
            <v>58</v>
          </cell>
          <cell r="C386" t="str">
            <v>086</v>
          </cell>
          <cell r="D386" t="str">
            <v>501001</v>
          </cell>
          <cell r="E386" t="str">
            <v>34</v>
          </cell>
          <cell r="AI386">
            <v>0</v>
          </cell>
        </row>
        <row r="387">
          <cell r="A387" t="str">
            <v>UEC</v>
          </cell>
          <cell r="B387" t="str">
            <v>58</v>
          </cell>
          <cell r="C387" t="str">
            <v>086</v>
          </cell>
          <cell r="D387" t="str">
            <v>501002</v>
          </cell>
          <cell r="E387" t="str">
            <v>FB</v>
          </cell>
          <cell r="AI387">
            <v>12497833.949999999</v>
          </cell>
        </row>
        <row r="388">
          <cell r="A388" t="str">
            <v>UEC</v>
          </cell>
          <cell r="B388" t="str">
            <v>58</v>
          </cell>
          <cell r="C388" t="str">
            <v>086</v>
          </cell>
          <cell r="D388" t="str">
            <v>501005</v>
          </cell>
          <cell r="E388" t="str">
            <v>FB</v>
          </cell>
          <cell r="AI388">
            <v>0</v>
          </cell>
        </row>
        <row r="389">
          <cell r="A389" t="str">
            <v>UEC</v>
          </cell>
          <cell r="B389" t="str">
            <v>58</v>
          </cell>
          <cell r="C389" t="str">
            <v>086</v>
          </cell>
          <cell r="D389" t="str">
            <v>501011</v>
          </cell>
          <cell r="E389" t="str">
            <v>BX</v>
          </cell>
          <cell r="AI389">
            <v>0</v>
          </cell>
        </row>
        <row r="390">
          <cell r="A390" t="str">
            <v>UEC</v>
          </cell>
          <cell r="B390" t="str">
            <v>58</v>
          </cell>
          <cell r="C390" t="str">
            <v>086</v>
          </cell>
          <cell r="D390" t="str">
            <v>501011</v>
          </cell>
          <cell r="E390" t="str">
            <v>FI</v>
          </cell>
          <cell r="AI390">
            <v>0</v>
          </cell>
        </row>
        <row r="391">
          <cell r="A391" t="str">
            <v>UEC</v>
          </cell>
          <cell r="B391" t="str">
            <v>58</v>
          </cell>
          <cell r="C391" t="str">
            <v>086</v>
          </cell>
          <cell r="D391" t="str">
            <v>501011</v>
          </cell>
          <cell r="E391" t="str">
            <v>FI</v>
          </cell>
          <cell r="AI391">
            <v>0</v>
          </cell>
        </row>
        <row r="392">
          <cell r="A392" t="str">
            <v>UEC</v>
          </cell>
          <cell r="B392" t="str">
            <v>58</v>
          </cell>
          <cell r="C392" t="str">
            <v>086</v>
          </cell>
          <cell r="D392" t="str">
            <v>501012</v>
          </cell>
          <cell r="E392" t="str">
            <v>FI</v>
          </cell>
          <cell r="AI392">
            <v>881413.39</v>
          </cell>
        </row>
        <row r="393">
          <cell r="A393" t="str">
            <v>UEC</v>
          </cell>
          <cell r="B393" t="str">
            <v>58</v>
          </cell>
          <cell r="C393" t="str">
            <v>086</v>
          </cell>
          <cell r="D393" t="str">
            <v>501012</v>
          </cell>
          <cell r="E393" t="str">
            <v>FI</v>
          </cell>
          <cell r="AI393">
            <v>0</v>
          </cell>
        </row>
        <row r="394">
          <cell r="A394" t="str">
            <v>UEC</v>
          </cell>
          <cell r="B394" t="str">
            <v>58</v>
          </cell>
          <cell r="C394" t="str">
            <v>086</v>
          </cell>
          <cell r="D394" t="str">
            <v>501110</v>
          </cell>
          <cell r="E394" t="str">
            <v>FB</v>
          </cell>
          <cell r="AI394">
            <v>0</v>
          </cell>
        </row>
        <row r="395">
          <cell r="A395" t="str">
            <v>UEC</v>
          </cell>
          <cell r="B395" t="str">
            <v>58</v>
          </cell>
          <cell r="C395" t="str">
            <v>086</v>
          </cell>
          <cell r="D395" t="str">
            <v>501110</v>
          </cell>
          <cell r="E395" t="str">
            <v>FB</v>
          </cell>
          <cell r="AI395">
            <v>0</v>
          </cell>
        </row>
        <row r="396">
          <cell r="A396" t="str">
            <v>UEC</v>
          </cell>
          <cell r="B396" t="str">
            <v>58</v>
          </cell>
          <cell r="C396" t="str">
            <v>086</v>
          </cell>
          <cell r="D396" t="str">
            <v>501110</v>
          </cell>
          <cell r="E396" t="str">
            <v>FI</v>
          </cell>
          <cell r="AI396">
            <v>0</v>
          </cell>
        </row>
        <row r="397">
          <cell r="A397" t="str">
            <v>UEC</v>
          </cell>
          <cell r="B397" t="str">
            <v>58</v>
          </cell>
          <cell r="C397" t="str">
            <v>086</v>
          </cell>
          <cell r="D397" t="str">
            <v>501110</v>
          </cell>
          <cell r="E397" t="str">
            <v>FI</v>
          </cell>
          <cell r="AI397">
            <v>0</v>
          </cell>
        </row>
        <row r="398">
          <cell r="A398" t="str">
            <v>UEC</v>
          </cell>
          <cell r="B398" t="str">
            <v>58</v>
          </cell>
          <cell r="C398" t="str">
            <v>086</v>
          </cell>
          <cell r="D398" t="str">
            <v>509</v>
          </cell>
          <cell r="E398" t="str">
            <v>FB</v>
          </cell>
          <cell r="AI398">
            <v>0</v>
          </cell>
        </row>
        <row r="399">
          <cell r="A399" t="str">
            <v>UEC</v>
          </cell>
          <cell r="B399" t="str">
            <v>59</v>
          </cell>
          <cell r="C399" t="str">
            <v>086</v>
          </cell>
          <cell r="D399" t="str">
            <v>INTGEN</v>
          </cell>
          <cell r="E399" t="str">
            <v>FI</v>
          </cell>
          <cell r="AI399">
            <v>0</v>
          </cell>
        </row>
        <row r="400">
          <cell r="A400" t="str">
            <v>UEC</v>
          </cell>
          <cell r="B400" t="str">
            <v>62</v>
          </cell>
          <cell r="C400" t="str">
            <v>086</v>
          </cell>
          <cell r="D400" t="str">
            <v>INTGEN</v>
          </cell>
          <cell r="E400" t="str">
            <v>FI</v>
          </cell>
          <cell r="AI400">
            <v>0</v>
          </cell>
        </row>
        <row r="401">
          <cell r="A401" t="str">
            <v>UEC</v>
          </cell>
          <cell r="B401" t="str">
            <v>62</v>
          </cell>
          <cell r="C401" t="str">
            <v>086</v>
          </cell>
          <cell r="D401" t="str">
            <v>547002</v>
          </cell>
          <cell r="E401" t="str">
            <v>FB</v>
          </cell>
          <cell r="AI401">
            <v>0</v>
          </cell>
        </row>
        <row r="402">
          <cell r="A402" t="str">
            <v>UEC</v>
          </cell>
          <cell r="B402" t="str">
            <v>62</v>
          </cell>
          <cell r="C402" t="str">
            <v>086</v>
          </cell>
          <cell r="D402" t="str">
            <v>547003</v>
          </cell>
          <cell r="E402" t="str">
            <v>FB</v>
          </cell>
          <cell r="AI402">
            <v>7855075.96</v>
          </cell>
        </row>
        <row r="403">
          <cell r="A403" t="str">
            <v>UEC</v>
          </cell>
          <cell r="B403" t="str">
            <v>62</v>
          </cell>
          <cell r="C403" t="str">
            <v>086</v>
          </cell>
          <cell r="D403" t="str">
            <v>547003</v>
          </cell>
          <cell r="E403" t="str">
            <v>FB</v>
          </cell>
          <cell r="AI403">
            <v>0</v>
          </cell>
        </row>
        <row r="404">
          <cell r="A404" t="str">
            <v>UEC</v>
          </cell>
          <cell r="B404" t="str">
            <v>62</v>
          </cell>
          <cell r="C404" t="str">
            <v>086</v>
          </cell>
          <cell r="D404" t="str">
            <v>547003</v>
          </cell>
          <cell r="E404" t="str">
            <v>FB</v>
          </cell>
          <cell r="AI404">
            <v>0</v>
          </cell>
        </row>
        <row r="405">
          <cell r="A405" t="str">
            <v>UEC</v>
          </cell>
          <cell r="B405" t="str">
            <v>62</v>
          </cell>
          <cell r="C405" t="str">
            <v>086</v>
          </cell>
          <cell r="D405" t="str">
            <v>547003</v>
          </cell>
          <cell r="E405" t="str">
            <v>FI</v>
          </cell>
          <cell r="AI405">
            <v>0</v>
          </cell>
        </row>
        <row r="406">
          <cell r="A406" t="str">
            <v>UEC</v>
          </cell>
          <cell r="B406" t="str">
            <v>62</v>
          </cell>
          <cell r="C406" t="str">
            <v>086</v>
          </cell>
          <cell r="D406" t="str">
            <v>547012</v>
          </cell>
          <cell r="E406" t="str">
            <v>FI</v>
          </cell>
          <cell r="AI406">
            <v>0</v>
          </cell>
        </row>
        <row r="407">
          <cell r="A407" t="str">
            <v>UEC</v>
          </cell>
          <cell r="B407" t="str">
            <v>62</v>
          </cell>
          <cell r="C407" t="str">
            <v>086</v>
          </cell>
          <cell r="D407" t="str">
            <v>547012</v>
          </cell>
          <cell r="E407" t="str">
            <v>FI</v>
          </cell>
          <cell r="AI407">
            <v>0</v>
          </cell>
        </row>
        <row r="408">
          <cell r="A408" t="str">
            <v>UEC</v>
          </cell>
          <cell r="B408" t="str">
            <v>62</v>
          </cell>
          <cell r="C408" t="str">
            <v>086</v>
          </cell>
          <cell r="D408" t="str">
            <v>547013</v>
          </cell>
          <cell r="E408" t="str">
            <v>FB</v>
          </cell>
          <cell r="AI408">
            <v>0</v>
          </cell>
        </row>
        <row r="409">
          <cell r="A409" t="str">
            <v>UEC</v>
          </cell>
          <cell r="B409" t="str">
            <v>62</v>
          </cell>
          <cell r="C409" t="str">
            <v>086</v>
          </cell>
          <cell r="D409" t="str">
            <v>547013</v>
          </cell>
          <cell r="E409" t="str">
            <v>FI</v>
          </cell>
          <cell r="AI409">
            <v>0</v>
          </cell>
        </row>
        <row r="410">
          <cell r="A410" t="str">
            <v>UEC</v>
          </cell>
          <cell r="B410" t="str">
            <v>62</v>
          </cell>
          <cell r="C410" t="str">
            <v>086</v>
          </cell>
          <cell r="D410" t="str">
            <v>547013</v>
          </cell>
          <cell r="E410" t="str">
            <v>FI</v>
          </cell>
          <cell r="AI410">
            <v>0</v>
          </cell>
        </row>
        <row r="411">
          <cell r="A411" t="str">
            <v>UEC</v>
          </cell>
          <cell r="B411" t="str">
            <v>62</v>
          </cell>
          <cell r="C411" t="str">
            <v>086</v>
          </cell>
          <cell r="D411" t="str">
            <v>547013</v>
          </cell>
          <cell r="E411" t="str">
            <v>FI</v>
          </cell>
          <cell r="AI411">
            <v>25315410.039999999</v>
          </cell>
        </row>
        <row r="412">
          <cell r="A412" t="str">
            <v>UEC</v>
          </cell>
          <cell r="B412" t="str">
            <v>62</v>
          </cell>
          <cell r="C412" t="str">
            <v>086</v>
          </cell>
          <cell r="D412" t="str">
            <v>547013</v>
          </cell>
          <cell r="E412" t="str">
            <v>FI</v>
          </cell>
          <cell r="AI412">
            <v>0</v>
          </cell>
        </row>
        <row r="413">
          <cell r="A413" t="str">
            <v>UEC</v>
          </cell>
          <cell r="B413" t="str">
            <v>62</v>
          </cell>
          <cell r="C413" t="str">
            <v>034</v>
          </cell>
          <cell r="D413" t="str">
            <v>549</v>
          </cell>
          <cell r="E413" t="str">
            <v>BV</v>
          </cell>
          <cell r="AI413">
            <v>0</v>
          </cell>
        </row>
        <row r="414">
          <cell r="A414" t="str">
            <v>UEC</v>
          </cell>
          <cell r="B414" t="str">
            <v>63</v>
          </cell>
          <cell r="C414" t="str">
            <v>086</v>
          </cell>
          <cell r="D414" t="str">
            <v>INTGEN</v>
          </cell>
          <cell r="E414" t="str">
            <v>FI</v>
          </cell>
          <cell r="AI414">
            <v>0</v>
          </cell>
        </row>
        <row r="415">
          <cell r="A415" t="str">
            <v>UEC</v>
          </cell>
          <cell r="B415" t="str">
            <v>63</v>
          </cell>
          <cell r="C415" t="str">
            <v>086</v>
          </cell>
          <cell r="D415" t="str">
            <v>501001</v>
          </cell>
          <cell r="E415" t="str">
            <v>FB</v>
          </cell>
          <cell r="AI415">
            <v>7347289923.9300003</v>
          </cell>
        </row>
        <row r="416">
          <cell r="A416" t="str">
            <v>UEC</v>
          </cell>
          <cell r="B416" t="str">
            <v>63</v>
          </cell>
          <cell r="C416" t="str">
            <v>086</v>
          </cell>
          <cell r="D416" t="str">
            <v>501001</v>
          </cell>
          <cell r="E416" t="str">
            <v>FB</v>
          </cell>
          <cell r="AI416">
            <v>0</v>
          </cell>
        </row>
        <row r="417">
          <cell r="A417" t="str">
            <v>UEC</v>
          </cell>
          <cell r="B417" t="str">
            <v>63</v>
          </cell>
          <cell r="C417" t="str">
            <v>086</v>
          </cell>
          <cell r="D417" t="str">
            <v>501001</v>
          </cell>
          <cell r="E417" t="str">
            <v>FB</v>
          </cell>
          <cell r="AI417">
            <v>0</v>
          </cell>
        </row>
        <row r="418">
          <cell r="A418" t="str">
            <v>UEC</v>
          </cell>
          <cell r="B418" t="str">
            <v>63</v>
          </cell>
          <cell r="C418" t="str">
            <v>086</v>
          </cell>
          <cell r="D418" t="str">
            <v>501001</v>
          </cell>
          <cell r="E418" t="str">
            <v>FI</v>
          </cell>
          <cell r="AI418">
            <v>3944967946.2299995</v>
          </cell>
        </row>
        <row r="419">
          <cell r="A419" t="str">
            <v>UEC</v>
          </cell>
          <cell r="B419" t="str">
            <v>63</v>
          </cell>
          <cell r="C419" t="str">
            <v>086</v>
          </cell>
          <cell r="D419" t="str">
            <v>501001</v>
          </cell>
          <cell r="E419" t="str">
            <v>FI</v>
          </cell>
          <cell r="AI419">
            <v>0</v>
          </cell>
        </row>
        <row r="420">
          <cell r="A420" t="str">
            <v>UEC</v>
          </cell>
          <cell r="B420" t="str">
            <v>63</v>
          </cell>
          <cell r="C420" t="str">
            <v>086</v>
          </cell>
          <cell r="D420" t="str">
            <v>501001</v>
          </cell>
          <cell r="E420" t="str">
            <v>34</v>
          </cell>
          <cell r="AI420">
            <v>0</v>
          </cell>
        </row>
        <row r="421">
          <cell r="A421" t="str">
            <v>UEC</v>
          </cell>
          <cell r="B421" t="str">
            <v>63</v>
          </cell>
          <cell r="C421" t="str">
            <v>086</v>
          </cell>
          <cell r="D421" t="str">
            <v>501002</v>
          </cell>
          <cell r="E421" t="str">
            <v>FB</v>
          </cell>
          <cell r="AI421">
            <v>10240156.459999999</v>
          </cell>
        </row>
        <row r="422">
          <cell r="A422" t="str">
            <v>UEC</v>
          </cell>
          <cell r="B422" t="str">
            <v>63</v>
          </cell>
          <cell r="C422" t="str">
            <v>086</v>
          </cell>
          <cell r="D422" t="str">
            <v>501011</v>
          </cell>
          <cell r="E422" t="str">
            <v>FI</v>
          </cell>
          <cell r="AI422">
            <v>0</v>
          </cell>
        </row>
        <row r="423">
          <cell r="A423" t="str">
            <v>UEC</v>
          </cell>
          <cell r="B423" t="str">
            <v>63</v>
          </cell>
          <cell r="C423" t="str">
            <v>086</v>
          </cell>
          <cell r="D423" t="str">
            <v>501011</v>
          </cell>
          <cell r="E423" t="str">
            <v>FI</v>
          </cell>
          <cell r="AI423">
            <v>0</v>
          </cell>
        </row>
        <row r="424">
          <cell r="A424" t="str">
            <v>UEC</v>
          </cell>
          <cell r="B424" t="str">
            <v>63</v>
          </cell>
          <cell r="C424" t="str">
            <v>086</v>
          </cell>
          <cell r="D424" t="str">
            <v>501012</v>
          </cell>
          <cell r="E424" t="str">
            <v>FI</v>
          </cell>
          <cell r="AI424">
            <v>2969864.7899999996</v>
          </cell>
        </row>
        <row r="425">
          <cell r="A425" t="str">
            <v>UEC</v>
          </cell>
          <cell r="B425" t="str">
            <v>63</v>
          </cell>
          <cell r="C425" t="str">
            <v>086</v>
          </cell>
          <cell r="D425" t="str">
            <v>501012</v>
          </cell>
          <cell r="E425" t="str">
            <v>FI</v>
          </cell>
          <cell r="AI425">
            <v>0</v>
          </cell>
        </row>
        <row r="426">
          <cell r="A426" t="str">
            <v>UEC</v>
          </cell>
          <cell r="B426" t="str">
            <v>63</v>
          </cell>
          <cell r="C426" t="str">
            <v>086</v>
          </cell>
          <cell r="D426" t="str">
            <v>501110</v>
          </cell>
          <cell r="E426" t="str">
            <v>FB</v>
          </cell>
          <cell r="AI426">
            <v>0</v>
          </cell>
        </row>
        <row r="427">
          <cell r="A427" t="str">
            <v>UEC</v>
          </cell>
          <cell r="B427" t="str">
            <v>63</v>
          </cell>
          <cell r="C427" t="str">
            <v>086</v>
          </cell>
          <cell r="D427" t="str">
            <v>501110</v>
          </cell>
          <cell r="E427" t="str">
            <v>FB</v>
          </cell>
          <cell r="AI427">
            <v>0</v>
          </cell>
        </row>
        <row r="428">
          <cell r="A428" t="str">
            <v>UEC</v>
          </cell>
          <cell r="B428" t="str">
            <v>63</v>
          </cell>
          <cell r="C428" t="str">
            <v>086</v>
          </cell>
          <cell r="D428" t="str">
            <v>501110</v>
          </cell>
          <cell r="E428" t="str">
            <v>FI</v>
          </cell>
          <cell r="AI428">
            <v>0</v>
          </cell>
        </row>
        <row r="429">
          <cell r="A429" t="str">
            <v>UEC</v>
          </cell>
          <cell r="B429" t="str">
            <v>63</v>
          </cell>
          <cell r="C429" t="str">
            <v>086</v>
          </cell>
          <cell r="D429" t="str">
            <v>501110</v>
          </cell>
          <cell r="E429" t="str">
            <v>FI</v>
          </cell>
          <cell r="AI429">
            <v>0</v>
          </cell>
        </row>
        <row r="430">
          <cell r="A430" t="str">
            <v>UEC</v>
          </cell>
          <cell r="B430" t="str">
            <v>63</v>
          </cell>
          <cell r="C430" t="str">
            <v>086</v>
          </cell>
          <cell r="D430" t="str">
            <v>509</v>
          </cell>
          <cell r="E430" t="str">
            <v>FB</v>
          </cell>
          <cell r="AI430">
            <v>0</v>
          </cell>
        </row>
        <row r="431">
          <cell r="A431" t="str">
            <v>UEC</v>
          </cell>
          <cell r="B431" t="str">
            <v>65</v>
          </cell>
          <cell r="C431" t="str">
            <v>086</v>
          </cell>
          <cell r="D431" t="str">
            <v>INTGEN</v>
          </cell>
          <cell r="E431" t="str">
            <v>FI</v>
          </cell>
          <cell r="AI431">
            <v>0</v>
          </cell>
        </row>
        <row r="432">
          <cell r="A432" t="str">
            <v>UEC</v>
          </cell>
          <cell r="B432" t="str">
            <v>65</v>
          </cell>
          <cell r="C432" t="str">
            <v>034</v>
          </cell>
          <cell r="D432" t="str">
            <v>120010</v>
          </cell>
          <cell r="E432" t="str">
            <v>BF</v>
          </cell>
          <cell r="AI432">
            <v>0</v>
          </cell>
        </row>
        <row r="433">
          <cell r="A433" t="str">
            <v>UEC</v>
          </cell>
          <cell r="B433" t="str">
            <v>65</v>
          </cell>
          <cell r="C433" t="str">
            <v>034</v>
          </cell>
          <cell r="D433" t="str">
            <v>120010</v>
          </cell>
          <cell r="E433" t="str">
            <v>BF</v>
          </cell>
          <cell r="AI433">
            <v>0</v>
          </cell>
        </row>
        <row r="434">
          <cell r="A434" t="str">
            <v>UEC</v>
          </cell>
          <cell r="B434" t="str">
            <v>65</v>
          </cell>
          <cell r="C434" t="str">
            <v>034</v>
          </cell>
          <cell r="D434" t="str">
            <v>120010</v>
          </cell>
          <cell r="E434" t="str">
            <v>BF</v>
          </cell>
          <cell r="AI434">
            <v>0</v>
          </cell>
        </row>
        <row r="435">
          <cell r="A435" t="str">
            <v>UEC</v>
          </cell>
          <cell r="B435" t="str">
            <v>65</v>
          </cell>
          <cell r="C435" t="str">
            <v>034</v>
          </cell>
          <cell r="D435" t="str">
            <v>120010</v>
          </cell>
          <cell r="E435" t="str">
            <v>EI</v>
          </cell>
          <cell r="AI435">
            <v>0</v>
          </cell>
        </row>
        <row r="436">
          <cell r="A436" t="str">
            <v>UEC</v>
          </cell>
          <cell r="B436" t="str">
            <v>65</v>
          </cell>
          <cell r="C436" t="str">
            <v>034</v>
          </cell>
          <cell r="D436" t="str">
            <v>120010</v>
          </cell>
          <cell r="E436" t="str">
            <v>EI</v>
          </cell>
          <cell r="AI436">
            <v>0</v>
          </cell>
        </row>
        <row r="437">
          <cell r="A437" t="str">
            <v>UEC</v>
          </cell>
          <cell r="B437" t="str">
            <v>65</v>
          </cell>
          <cell r="C437" t="str">
            <v>034</v>
          </cell>
          <cell r="D437" t="str">
            <v>120010</v>
          </cell>
          <cell r="E437" t="str">
            <v>EX</v>
          </cell>
          <cell r="AI437">
            <v>0</v>
          </cell>
        </row>
        <row r="438">
          <cell r="A438" t="str">
            <v>UEC</v>
          </cell>
          <cell r="B438" t="str">
            <v>65</v>
          </cell>
          <cell r="C438" t="str">
            <v>034</v>
          </cell>
          <cell r="D438" t="str">
            <v>120010</v>
          </cell>
          <cell r="E438" t="str">
            <v>FB</v>
          </cell>
          <cell r="AI438">
            <v>0</v>
          </cell>
        </row>
        <row r="439">
          <cell r="A439" t="str">
            <v>UEC</v>
          </cell>
          <cell r="B439" t="str">
            <v>65</v>
          </cell>
          <cell r="C439" t="str">
            <v>034</v>
          </cell>
          <cell r="D439" t="str">
            <v>120010</v>
          </cell>
          <cell r="E439" t="str">
            <v>34</v>
          </cell>
          <cell r="AI439">
            <v>0</v>
          </cell>
        </row>
        <row r="440">
          <cell r="A440" t="str">
            <v>UEC</v>
          </cell>
          <cell r="B440" t="str">
            <v>65</v>
          </cell>
          <cell r="C440" t="str">
            <v>034</v>
          </cell>
          <cell r="D440" t="str">
            <v>120012</v>
          </cell>
          <cell r="E440" t="str">
            <v>BF</v>
          </cell>
          <cell r="AI440">
            <v>0</v>
          </cell>
        </row>
        <row r="441">
          <cell r="A441" t="str">
            <v>UEC</v>
          </cell>
          <cell r="B441" t="str">
            <v>65</v>
          </cell>
          <cell r="C441" t="str">
            <v>034</v>
          </cell>
          <cell r="D441" t="str">
            <v>120012</v>
          </cell>
          <cell r="E441" t="str">
            <v>BF</v>
          </cell>
          <cell r="AI441">
            <v>0</v>
          </cell>
        </row>
        <row r="442">
          <cell r="A442" t="str">
            <v>UEC</v>
          </cell>
          <cell r="B442" t="str">
            <v>65</v>
          </cell>
          <cell r="C442" t="str">
            <v>034</v>
          </cell>
          <cell r="D442" t="str">
            <v>120012</v>
          </cell>
          <cell r="E442" t="str">
            <v>EI</v>
          </cell>
          <cell r="AI442">
            <v>0</v>
          </cell>
        </row>
        <row r="443">
          <cell r="A443" t="str">
            <v>UEC</v>
          </cell>
          <cell r="B443" t="str">
            <v>65</v>
          </cell>
          <cell r="C443" t="str">
            <v>034</v>
          </cell>
          <cell r="D443" t="str">
            <v>120012</v>
          </cell>
          <cell r="E443" t="str">
            <v>EI</v>
          </cell>
          <cell r="AI443">
            <v>0</v>
          </cell>
        </row>
        <row r="444">
          <cell r="A444" t="str">
            <v>UEC</v>
          </cell>
          <cell r="B444" t="str">
            <v>65</v>
          </cell>
          <cell r="C444" t="str">
            <v>034</v>
          </cell>
          <cell r="D444" t="str">
            <v>120013</v>
          </cell>
          <cell r="E444" t="str">
            <v>BF</v>
          </cell>
          <cell r="AI444">
            <v>0</v>
          </cell>
        </row>
        <row r="445">
          <cell r="A445" t="str">
            <v>UEC</v>
          </cell>
          <cell r="B445" t="str">
            <v>65</v>
          </cell>
          <cell r="C445" t="str">
            <v>034</v>
          </cell>
          <cell r="D445" t="str">
            <v>120013</v>
          </cell>
          <cell r="E445" t="str">
            <v>BF</v>
          </cell>
          <cell r="AI445">
            <v>0</v>
          </cell>
        </row>
        <row r="446">
          <cell r="A446" t="str">
            <v>UEC</v>
          </cell>
          <cell r="B446" t="str">
            <v>65</v>
          </cell>
          <cell r="C446" t="str">
            <v>034</v>
          </cell>
          <cell r="D446" t="str">
            <v>120013</v>
          </cell>
          <cell r="E446" t="str">
            <v>DC</v>
          </cell>
          <cell r="AI446">
            <v>0</v>
          </cell>
        </row>
        <row r="447">
          <cell r="A447" t="str">
            <v>UEC</v>
          </cell>
          <cell r="B447" t="str">
            <v>65</v>
          </cell>
          <cell r="C447" t="str">
            <v>034</v>
          </cell>
          <cell r="D447" t="str">
            <v>120013</v>
          </cell>
          <cell r="E447" t="str">
            <v>EI</v>
          </cell>
          <cell r="AI447">
            <v>0</v>
          </cell>
        </row>
        <row r="448">
          <cell r="A448" t="str">
            <v>UEC</v>
          </cell>
          <cell r="B448" t="str">
            <v>65</v>
          </cell>
          <cell r="C448" t="str">
            <v>034</v>
          </cell>
          <cell r="D448" t="str">
            <v>120013</v>
          </cell>
          <cell r="E448" t="str">
            <v>EI</v>
          </cell>
          <cell r="AI448">
            <v>0</v>
          </cell>
        </row>
        <row r="449">
          <cell r="A449" t="str">
            <v>UEC</v>
          </cell>
          <cell r="B449" t="str">
            <v>65</v>
          </cell>
          <cell r="C449" t="str">
            <v>034</v>
          </cell>
          <cell r="D449" t="str">
            <v>120013</v>
          </cell>
          <cell r="E449" t="str">
            <v>EX</v>
          </cell>
          <cell r="AI449">
            <v>0</v>
          </cell>
        </row>
        <row r="450">
          <cell r="A450" t="str">
            <v>UEC</v>
          </cell>
          <cell r="B450" t="str">
            <v>65</v>
          </cell>
          <cell r="C450" t="str">
            <v>086</v>
          </cell>
          <cell r="D450" t="str">
            <v>120013</v>
          </cell>
          <cell r="E450" t="str">
            <v>EX</v>
          </cell>
          <cell r="AI450">
            <v>0</v>
          </cell>
        </row>
        <row r="451">
          <cell r="A451" t="str">
            <v>UEC</v>
          </cell>
          <cell r="B451" t="str">
            <v>65</v>
          </cell>
          <cell r="C451" t="str">
            <v>034</v>
          </cell>
          <cell r="D451" t="str">
            <v>120013</v>
          </cell>
          <cell r="E451" t="str">
            <v>80</v>
          </cell>
          <cell r="AI451">
            <v>0</v>
          </cell>
        </row>
        <row r="452">
          <cell r="A452" t="str">
            <v>UEC</v>
          </cell>
          <cell r="B452" t="str">
            <v>65</v>
          </cell>
          <cell r="C452" t="str">
            <v>034</v>
          </cell>
          <cell r="D452" t="str">
            <v>120020</v>
          </cell>
          <cell r="E452" t="str">
            <v>BF</v>
          </cell>
          <cell r="AI452">
            <v>0</v>
          </cell>
        </row>
        <row r="453">
          <cell r="A453" t="str">
            <v>UEC</v>
          </cell>
          <cell r="B453" t="str">
            <v>65</v>
          </cell>
          <cell r="C453" t="str">
            <v>034</v>
          </cell>
          <cell r="D453" t="str">
            <v>120020</v>
          </cell>
          <cell r="E453" t="str">
            <v>EI</v>
          </cell>
          <cell r="AI453">
            <v>0</v>
          </cell>
        </row>
        <row r="454">
          <cell r="A454" t="str">
            <v>UEC</v>
          </cell>
          <cell r="B454" t="str">
            <v>65</v>
          </cell>
          <cell r="C454" t="str">
            <v>034</v>
          </cell>
          <cell r="D454" t="str">
            <v>120020</v>
          </cell>
          <cell r="E454" t="str">
            <v>EI</v>
          </cell>
          <cell r="AI454">
            <v>0</v>
          </cell>
        </row>
        <row r="455">
          <cell r="A455" t="str">
            <v>UEC</v>
          </cell>
          <cell r="B455" t="str">
            <v>65</v>
          </cell>
          <cell r="C455" t="str">
            <v>034</v>
          </cell>
          <cell r="D455" t="str">
            <v>120020</v>
          </cell>
          <cell r="E455" t="str">
            <v>EX</v>
          </cell>
          <cell r="AI455">
            <v>0</v>
          </cell>
        </row>
        <row r="456">
          <cell r="A456" t="str">
            <v>UEC</v>
          </cell>
          <cell r="B456" t="str">
            <v>65</v>
          </cell>
          <cell r="C456" t="str">
            <v>034</v>
          </cell>
          <cell r="D456" t="str">
            <v>120022</v>
          </cell>
          <cell r="E456" t="str">
            <v>EI</v>
          </cell>
          <cell r="AI456">
            <v>0</v>
          </cell>
        </row>
        <row r="457">
          <cell r="A457" t="str">
            <v>UEC</v>
          </cell>
          <cell r="B457" t="str">
            <v>65</v>
          </cell>
          <cell r="C457" t="str">
            <v>034</v>
          </cell>
          <cell r="D457" t="str">
            <v>120022</v>
          </cell>
          <cell r="E457" t="str">
            <v>EI</v>
          </cell>
          <cell r="AI457">
            <v>0</v>
          </cell>
        </row>
        <row r="458">
          <cell r="A458" t="str">
            <v>UEC</v>
          </cell>
          <cell r="B458" t="str">
            <v>65</v>
          </cell>
          <cell r="C458" t="str">
            <v>034</v>
          </cell>
          <cell r="D458" t="str">
            <v>120023</v>
          </cell>
          <cell r="E458" t="str">
            <v>EI</v>
          </cell>
          <cell r="AI458">
            <v>0</v>
          </cell>
        </row>
        <row r="459">
          <cell r="A459" t="str">
            <v>UEC</v>
          </cell>
          <cell r="B459" t="str">
            <v>65</v>
          </cell>
          <cell r="C459" t="str">
            <v>034</v>
          </cell>
          <cell r="D459" t="str">
            <v>120023</v>
          </cell>
          <cell r="E459" t="str">
            <v>EI</v>
          </cell>
          <cell r="AI459">
            <v>0</v>
          </cell>
        </row>
        <row r="460">
          <cell r="A460" t="str">
            <v>UEC</v>
          </cell>
          <cell r="B460" t="str">
            <v>65</v>
          </cell>
          <cell r="C460" t="str">
            <v>034</v>
          </cell>
          <cell r="D460" t="str">
            <v>120030</v>
          </cell>
          <cell r="E460" t="str">
            <v>DC</v>
          </cell>
          <cell r="AI460">
            <v>0</v>
          </cell>
        </row>
        <row r="461">
          <cell r="A461" t="str">
            <v>UEC</v>
          </cell>
          <cell r="B461" t="str">
            <v>65</v>
          </cell>
          <cell r="C461" t="str">
            <v>034</v>
          </cell>
          <cell r="D461" t="str">
            <v>120030</v>
          </cell>
          <cell r="E461" t="str">
            <v>EI</v>
          </cell>
          <cell r="AI461">
            <v>0</v>
          </cell>
        </row>
        <row r="462">
          <cell r="A462" t="str">
            <v>UEC</v>
          </cell>
          <cell r="B462" t="str">
            <v>65</v>
          </cell>
          <cell r="C462" t="str">
            <v>034</v>
          </cell>
          <cell r="D462" t="str">
            <v>120030</v>
          </cell>
          <cell r="E462" t="str">
            <v>EX</v>
          </cell>
          <cell r="AI462">
            <v>0</v>
          </cell>
        </row>
        <row r="463">
          <cell r="A463" t="str">
            <v>UEC</v>
          </cell>
          <cell r="B463" t="str">
            <v>65</v>
          </cell>
          <cell r="C463" t="str">
            <v>034</v>
          </cell>
          <cell r="D463" t="str">
            <v>120032</v>
          </cell>
          <cell r="E463" t="str">
            <v>DC</v>
          </cell>
          <cell r="AI463">
            <v>0</v>
          </cell>
        </row>
        <row r="464">
          <cell r="A464" t="str">
            <v>UEC</v>
          </cell>
          <cell r="B464" t="str">
            <v>65</v>
          </cell>
          <cell r="C464" t="str">
            <v>034</v>
          </cell>
          <cell r="D464" t="str">
            <v>120032</v>
          </cell>
          <cell r="E464" t="str">
            <v>EI</v>
          </cell>
          <cell r="AI464">
            <v>0</v>
          </cell>
        </row>
        <row r="465">
          <cell r="A465" t="str">
            <v>UEC</v>
          </cell>
          <cell r="B465" t="str">
            <v>65</v>
          </cell>
          <cell r="C465" t="str">
            <v>034</v>
          </cell>
          <cell r="D465" t="str">
            <v>120033</v>
          </cell>
          <cell r="E465" t="str">
            <v>DC</v>
          </cell>
          <cell r="AI465">
            <v>0</v>
          </cell>
        </row>
        <row r="466">
          <cell r="A466" t="str">
            <v>UEC</v>
          </cell>
          <cell r="B466" t="str">
            <v>65</v>
          </cell>
          <cell r="C466" t="str">
            <v>034</v>
          </cell>
          <cell r="D466" t="str">
            <v>120033</v>
          </cell>
          <cell r="E466" t="str">
            <v>EI</v>
          </cell>
          <cell r="AI466">
            <v>0</v>
          </cell>
        </row>
        <row r="467">
          <cell r="A467" t="str">
            <v>UEC</v>
          </cell>
          <cell r="B467" t="str">
            <v>65</v>
          </cell>
          <cell r="C467" t="str">
            <v>034</v>
          </cell>
          <cell r="D467" t="str">
            <v>120042</v>
          </cell>
          <cell r="E467" t="str">
            <v>DC</v>
          </cell>
          <cell r="AI467">
            <v>0</v>
          </cell>
        </row>
        <row r="468">
          <cell r="A468" t="str">
            <v>UEC</v>
          </cell>
          <cell r="B468" t="str">
            <v>65</v>
          </cell>
          <cell r="C468" t="str">
            <v>034</v>
          </cell>
          <cell r="D468" t="str">
            <v>120042</v>
          </cell>
          <cell r="E468" t="str">
            <v>EI</v>
          </cell>
          <cell r="AI468">
            <v>0</v>
          </cell>
        </row>
        <row r="469">
          <cell r="A469" t="str">
            <v>UEC</v>
          </cell>
          <cell r="B469" t="str">
            <v>65</v>
          </cell>
          <cell r="C469" t="str">
            <v>034</v>
          </cell>
          <cell r="D469" t="str">
            <v>120042</v>
          </cell>
          <cell r="E469" t="str">
            <v>EI</v>
          </cell>
          <cell r="AI469">
            <v>0</v>
          </cell>
        </row>
        <row r="470">
          <cell r="A470" t="str">
            <v>UEC</v>
          </cell>
          <cell r="B470" t="str">
            <v>65</v>
          </cell>
          <cell r="C470" t="str">
            <v>034</v>
          </cell>
          <cell r="D470" t="str">
            <v>120052</v>
          </cell>
          <cell r="E470" t="str">
            <v>DC</v>
          </cell>
          <cell r="AI470">
            <v>0</v>
          </cell>
        </row>
        <row r="471">
          <cell r="A471" t="str">
            <v>UEC</v>
          </cell>
          <cell r="B471" t="str">
            <v>65</v>
          </cell>
          <cell r="C471" t="str">
            <v>034</v>
          </cell>
          <cell r="D471" t="str">
            <v>120052</v>
          </cell>
          <cell r="E471" t="str">
            <v>DC</v>
          </cell>
          <cell r="AI471">
            <v>0</v>
          </cell>
        </row>
        <row r="472">
          <cell r="A472" t="str">
            <v>UEC</v>
          </cell>
          <cell r="B472" t="str">
            <v>65</v>
          </cell>
          <cell r="C472" t="str">
            <v>034</v>
          </cell>
          <cell r="D472" t="str">
            <v>120052</v>
          </cell>
          <cell r="E472" t="str">
            <v>DC</v>
          </cell>
          <cell r="AI472">
            <v>0</v>
          </cell>
        </row>
        <row r="473">
          <cell r="A473" t="str">
            <v>UEC</v>
          </cell>
          <cell r="B473" t="str">
            <v>65</v>
          </cell>
          <cell r="C473" t="str">
            <v>034</v>
          </cell>
          <cell r="D473" t="str">
            <v>120052</v>
          </cell>
          <cell r="E473" t="str">
            <v>EI</v>
          </cell>
          <cell r="AI473">
            <v>0</v>
          </cell>
        </row>
        <row r="474">
          <cell r="A474" t="str">
            <v>UEC</v>
          </cell>
          <cell r="B474" t="str">
            <v>65</v>
          </cell>
          <cell r="C474" t="str">
            <v>034</v>
          </cell>
          <cell r="D474" t="str">
            <v>120052</v>
          </cell>
          <cell r="E474" t="str">
            <v>EI</v>
          </cell>
          <cell r="AI474">
            <v>0</v>
          </cell>
        </row>
        <row r="475">
          <cell r="A475" t="str">
            <v>UEC</v>
          </cell>
          <cell r="B475" t="str">
            <v>65</v>
          </cell>
          <cell r="C475" t="str">
            <v>034</v>
          </cell>
          <cell r="D475" t="str">
            <v>120052</v>
          </cell>
          <cell r="E475" t="str">
            <v>EI</v>
          </cell>
          <cell r="AI475">
            <v>0</v>
          </cell>
        </row>
        <row r="476">
          <cell r="A476" t="str">
            <v>UEC</v>
          </cell>
          <cell r="B476" t="str">
            <v>65</v>
          </cell>
          <cell r="C476" t="str">
            <v>034</v>
          </cell>
          <cell r="D476" t="str">
            <v>120052</v>
          </cell>
          <cell r="E476" t="str">
            <v>FB</v>
          </cell>
          <cell r="AI476">
            <v>0</v>
          </cell>
        </row>
        <row r="477">
          <cell r="A477" t="str">
            <v>UEC</v>
          </cell>
          <cell r="B477" t="str">
            <v>65</v>
          </cell>
          <cell r="C477" t="str">
            <v>034</v>
          </cell>
          <cell r="D477" t="str">
            <v>120052</v>
          </cell>
          <cell r="E477" t="str">
            <v>FB</v>
          </cell>
          <cell r="AI477">
            <v>0</v>
          </cell>
        </row>
        <row r="478">
          <cell r="A478" t="str">
            <v>UEC</v>
          </cell>
          <cell r="B478" t="str">
            <v>65</v>
          </cell>
          <cell r="C478" t="str">
            <v>034</v>
          </cell>
          <cell r="D478" t="str">
            <v>120053</v>
          </cell>
          <cell r="E478" t="str">
            <v>DC</v>
          </cell>
          <cell r="AI478">
            <v>0</v>
          </cell>
        </row>
        <row r="479">
          <cell r="A479" t="str">
            <v>UEC</v>
          </cell>
          <cell r="B479" t="str">
            <v>65</v>
          </cell>
          <cell r="C479" t="str">
            <v>034</v>
          </cell>
          <cell r="D479" t="str">
            <v>120053</v>
          </cell>
          <cell r="E479" t="str">
            <v>EI</v>
          </cell>
          <cell r="AI479">
            <v>0</v>
          </cell>
        </row>
        <row r="480">
          <cell r="A480" t="str">
            <v>UEC</v>
          </cell>
          <cell r="B480" t="str">
            <v>65</v>
          </cell>
          <cell r="C480" t="str">
            <v>034</v>
          </cell>
          <cell r="D480" t="str">
            <v>120053</v>
          </cell>
          <cell r="E480" t="str">
            <v>EI</v>
          </cell>
          <cell r="AI480">
            <v>0</v>
          </cell>
        </row>
        <row r="481">
          <cell r="A481" t="str">
            <v>UEC</v>
          </cell>
          <cell r="B481" t="str">
            <v>65</v>
          </cell>
          <cell r="C481" t="str">
            <v>034</v>
          </cell>
          <cell r="D481" t="str">
            <v>120060</v>
          </cell>
          <cell r="E481" t="str">
            <v>BF</v>
          </cell>
          <cell r="AI481">
            <v>0</v>
          </cell>
        </row>
        <row r="482">
          <cell r="A482" t="str">
            <v>UEC</v>
          </cell>
          <cell r="B482" t="str">
            <v>65</v>
          </cell>
          <cell r="C482" t="str">
            <v>034</v>
          </cell>
          <cell r="D482" t="str">
            <v>120060</v>
          </cell>
          <cell r="E482" t="str">
            <v>BF</v>
          </cell>
          <cell r="AI482">
            <v>0</v>
          </cell>
        </row>
        <row r="483">
          <cell r="A483" t="str">
            <v>UEC</v>
          </cell>
          <cell r="B483" t="str">
            <v>65</v>
          </cell>
          <cell r="C483" t="str">
            <v>034</v>
          </cell>
          <cell r="D483" t="str">
            <v>120060</v>
          </cell>
          <cell r="E483" t="str">
            <v>DC</v>
          </cell>
          <cell r="AI483">
            <v>0</v>
          </cell>
        </row>
        <row r="484">
          <cell r="A484" t="str">
            <v>UEC</v>
          </cell>
          <cell r="B484" t="str">
            <v>65</v>
          </cell>
          <cell r="C484" t="str">
            <v>034</v>
          </cell>
          <cell r="D484" t="str">
            <v>120060</v>
          </cell>
          <cell r="E484" t="str">
            <v>EI</v>
          </cell>
          <cell r="AI484">
            <v>0</v>
          </cell>
        </row>
        <row r="485">
          <cell r="A485" t="str">
            <v>UEC</v>
          </cell>
          <cell r="B485" t="str">
            <v>65</v>
          </cell>
          <cell r="C485" t="str">
            <v>034</v>
          </cell>
          <cell r="D485" t="str">
            <v>120060</v>
          </cell>
          <cell r="E485" t="str">
            <v>EI</v>
          </cell>
          <cell r="AI485">
            <v>0</v>
          </cell>
        </row>
        <row r="486">
          <cell r="A486" t="str">
            <v>UEC</v>
          </cell>
          <cell r="B486" t="str">
            <v>65</v>
          </cell>
          <cell r="C486" t="str">
            <v>034</v>
          </cell>
          <cell r="D486" t="str">
            <v>120060</v>
          </cell>
          <cell r="E486" t="str">
            <v>FB</v>
          </cell>
          <cell r="AI486">
            <v>0</v>
          </cell>
        </row>
        <row r="487">
          <cell r="A487" t="str">
            <v>UEC</v>
          </cell>
          <cell r="B487" t="str">
            <v>65</v>
          </cell>
          <cell r="C487" t="str">
            <v>034</v>
          </cell>
          <cell r="D487" t="str">
            <v>120062</v>
          </cell>
          <cell r="E487" t="str">
            <v>BF</v>
          </cell>
          <cell r="AI487">
            <v>0</v>
          </cell>
        </row>
        <row r="488">
          <cell r="A488" t="str">
            <v>UEC</v>
          </cell>
          <cell r="B488" t="str">
            <v>65</v>
          </cell>
          <cell r="C488" t="str">
            <v>034</v>
          </cell>
          <cell r="D488" t="str">
            <v>120062</v>
          </cell>
          <cell r="E488" t="str">
            <v>BF</v>
          </cell>
          <cell r="AI488">
            <v>0</v>
          </cell>
        </row>
        <row r="489">
          <cell r="A489" t="str">
            <v>UEC</v>
          </cell>
          <cell r="B489" t="str">
            <v>65</v>
          </cell>
          <cell r="C489" t="str">
            <v>034</v>
          </cell>
          <cell r="D489" t="str">
            <v>120062</v>
          </cell>
          <cell r="E489" t="str">
            <v>DC</v>
          </cell>
          <cell r="AI489">
            <v>0</v>
          </cell>
        </row>
        <row r="490">
          <cell r="A490" t="str">
            <v>UEC</v>
          </cell>
          <cell r="B490" t="str">
            <v>65</v>
          </cell>
          <cell r="C490" t="str">
            <v>034</v>
          </cell>
          <cell r="D490" t="str">
            <v>120062</v>
          </cell>
          <cell r="E490" t="str">
            <v>EI</v>
          </cell>
          <cell r="AI490">
            <v>0</v>
          </cell>
        </row>
        <row r="491">
          <cell r="A491" t="str">
            <v>UEC</v>
          </cell>
          <cell r="B491" t="str">
            <v>65</v>
          </cell>
          <cell r="C491" t="str">
            <v>034</v>
          </cell>
          <cell r="D491" t="str">
            <v>120062</v>
          </cell>
          <cell r="E491" t="str">
            <v>EI</v>
          </cell>
          <cell r="AI491">
            <v>0</v>
          </cell>
        </row>
        <row r="492">
          <cell r="A492" t="str">
            <v>UEC</v>
          </cell>
          <cell r="B492" t="str">
            <v>65</v>
          </cell>
          <cell r="C492" t="str">
            <v>034</v>
          </cell>
          <cell r="D492" t="str">
            <v>120062</v>
          </cell>
          <cell r="E492" t="str">
            <v>FB</v>
          </cell>
          <cell r="AI492">
            <v>0</v>
          </cell>
        </row>
        <row r="493">
          <cell r="A493" t="str">
            <v>UEC</v>
          </cell>
          <cell r="B493" t="str">
            <v>65</v>
          </cell>
          <cell r="C493" t="str">
            <v>034</v>
          </cell>
          <cell r="D493" t="str">
            <v>120062</v>
          </cell>
          <cell r="E493" t="str">
            <v>NF</v>
          </cell>
          <cell r="AI493">
            <v>0</v>
          </cell>
        </row>
        <row r="494">
          <cell r="A494" t="str">
            <v>UEC</v>
          </cell>
          <cell r="B494" t="str">
            <v>65</v>
          </cell>
          <cell r="C494" t="str">
            <v>034</v>
          </cell>
          <cell r="D494" t="str">
            <v>120063</v>
          </cell>
          <cell r="E494" t="str">
            <v>BF</v>
          </cell>
          <cell r="AI494">
            <v>0</v>
          </cell>
        </row>
        <row r="495">
          <cell r="A495" t="str">
            <v>UEC</v>
          </cell>
          <cell r="B495" t="str">
            <v>65</v>
          </cell>
          <cell r="C495" t="str">
            <v>034</v>
          </cell>
          <cell r="D495" t="str">
            <v>120063</v>
          </cell>
          <cell r="E495" t="str">
            <v>BF</v>
          </cell>
          <cell r="AI495">
            <v>0</v>
          </cell>
        </row>
        <row r="496">
          <cell r="A496" t="str">
            <v>UEC</v>
          </cell>
          <cell r="B496" t="str">
            <v>65</v>
          </cell>
          <cell r="C496" t="str">
            <v>034</v>
          </cell>
          <cell r="D496" t="str">
            <v>120063</v>
          </cell>
          <cell r="E496" t="str">
            <v>BF</v>
          </cell>
          <cell r="AI496">
            <v>0</v>
          </cell>
        </row>
        <row r="497">
          <cell r="A497" t="str">
            <v>UEC</v>
          </cell>
          <cell r="B497" t="str">
            <v>65</v>
          </cell>
          <cell r="C497" t="str">
            <v>034</v>
          </cell>
          <cell r="D497" t="str">
            <v>120063</v>
          </cell>
          <cell r="E497" t="str">
            <v>DC</v>
          </cell>
          <cell r="AI497">
            <v>0</v>
          </cell>
        </row>
        <row r="498">
          <cell r="A498" t="str">
            <v>UEC</v>
          </cell>
          <cell r="B498" t="str">
            <v>65</v>
          </cell>
          <cell r="C498" t="str">
            <v>034</v>
          </cell>
          <cell r="D498" t="str">
            <v>120063</v>
          </cell>
          <cell r="E498" t="str">
            <v>EI</v>
          </cell>
          <cell r="AI498">
            <v>0</v>
          </cell>
        </row>
        <row r="499">
          <cell r="A499" t="str">
            <v>UEC</v>
          </cell>
          <cell r="B499" t="str">
            <v>65</v>
          </cell>
          <cell r="C499" t="str">
            <v>034</v>
          </cell>
          <cell r="D499" t="str">
            <v>120063</v>
          </cell>
          <cell r="E499" t="str">
            <v>EI</v>
          </cell>
          <cell r="AI499">
            <v>0</v>
          </cell>
        </row>
        <row r="500">
          <cell r="A500" t="str">
            <v>UEC</v>
          </cell>
          <cell r="B500" t="str">
            <v>65</v>
          </cell>
          <cell r="C500" t="str">
            <v>034</v>
          </cell>
          <cell r="D500" t="str">
            <v>120063</v>
          </cell>
          <cell r="E500" t="str">
            <v>FB</v>
          </cell>
          <cell r="AI500">
            <v>0</v>
          </cell>
        </row>
        <row r="501">
          <cell r="A501" t="str">
            <v>UEC</v>
          </cell>
          <cell r="B501" t="str">
            <v>65</v>
          </cell>
          <cell r="C501" t="str">
            <v>034</v>
          </cell>
          <cell r="D501" t="str">
            <v>120065</v>
          </cell>
          <cell r="E501" t="str">
            <v>DC</v>
          </cell>
          <cell r="AI501">
            <v>0</v>
          </cell>
        </row>
        <row r="502">
          <cell r="A502" t="str">
            <v>UEC</v>
          </cell>
          <cell r="B502" t="str">
            <v>65</v>
          </cell>
          <cell r="C502" t="str">
            <v>034</v>
          </cell>
          <cell r="D502" t="str">
            <v>120065</v>
          </cell>
          <cell r="E502" t="str">
            <v>DC</v>
          </cell>
          <cell r="AI502">
            <v>0</v>
          </cell>
        </row>
        <row r="503">
          <cell r="A503" t="str">
            <v>UEC</v>
          </cell>
          <cell r="B503" t="str">
            <v>65</v>
          </cell>
          <cell r="C503" t="str">
            <v>034</v>
          </cell>
          <cell r="D503" t="str">
            <v>120065</v>
          </cell>
          <cell r="E503" t="str">
            <v>FB</v>
          </cell>
          <cell r="AI503">
            <v>0</v>
          </cell>
        </row>
        <row r="504">
          <cell r="A504" t="str">
            <v>UEC</v>
          </cell>
          <cell r="B504" t="str">
            <v>65</v>
          </cell>
          <cell r="C504" t="str">
            <v>034</v>
          </cell>
          <cell r="D504" t="str">
            <v>120065</v>
          </cell>
          <cell r="E504" t="str">
            <v>FB</v>
          </cell>
          <cell r="AI504">
            <v>0</v>
          </cell>
        </row>
        <row r="505">
          <cell r="A505" t="str">
            <v>UEC</v>
          </cell>
          <cell r="B505" t="str">
            <v>65</v>
          </cell>
          <cell r="C505" t="str">
            <v>034</v>
          </cell>
          <cell r="D505" t="str">
            <v>120066</v>
          </cell>
          <cell r="E505" t="str">
            <v>EI</v>
          </cell>
          <cell r="AI505">
            <v>0</v>
          </cell>
        </row>
        <row r="506">
          <cell r="A506" t="str">
            <v>UEC</v>
          </cell>
          <cell r="B506" t="str">
            <v>65</v>
          </cell>
          <cell r="C506" t="str">
            <v>034</v>
          </cell>
          <cell r="D506" t="str">
            <v>120066</v>
          </cell>
          <cell r="E506" t="str">
            <v>EI</v>
          </cell>
          <cell r="AI506">
            <v>0</v>
          </cell>
        </row>
        <row r="507">
          <cell r="A507" t="str">
            <v>UEC</v>
          </cell>
          <cell r="B507" t="str">
            <v>65</v>
          </cell>
          <cell r="C507" t="str">
            <v>034</v>
          </cell>
          <cell r="D507" t="str">
            <v>120066</v>
          </cell>
          <cell r="E507" t="str">
            <v>FB</v>
          </cell>
          <cell r="AI507">
            <v>0</v>
          </cell>
        </row>
        <row r="508">
          <cell r="A508" t="str">
            <v>UEC</v>
          </cell>
          <cell r="B508" t="str">
            <v>65</v>
          </cell>
          <cell r="C508" t="str">
            <v>034</v>
          </cell>
          <cell r="D508" t="str">
            <v>120067</v>
          </cell>
          <cell r="E508" t="str">
            <v>EI</v>
          </cell>
          <cell r="AI508">
            <v>0</v>
          </cell>
        </row>
        <row r="509">
          <cell r="A509" t="str">
            <v>UEC</v>
          </cell>
          <cell r="B509" t="str">
            <v>65</v>
          </cell>
          <cell r="C509" t="str">
            <v>034</v>
          </cell>
          <cell r="D509" t="str">
            <v>120067</v>
          </cell>
          <cell r="E509" t="str">
            <v>EI</v>
          </cell>
          <cell r="AI509">
            <v>0</v>
          </cell>
        </row>
        <row r="510">
          <cell r="A510" t="str">
            <v>UEC</v>
          </cell>
          <cell r="B510" t="str">
            <v>65</v>
          </cell>
          <cell r="C510" t="str">
            <v>034</v>
          </cell>
          <cell r="D510" t="str">
            <v>120067</v>
          </cell>
          <cell r="E510" t="str">
            <v>FB</v>
          </cell>
          <cell r="AI510">
            <v>0</v>
          </cell>
        </row>
        <row r="511">
          <cell r="A511" t="str">
            <v>UEC</v>
          </cell>
          <cell r="B511" t="str">
            <v>65</v>
          </cell>
          <cell r="C511" t="str">
            <v>034</v>
          </cell>
          <cell r="D511" t="str">
            <v>120068</v>
          </cell>
          <cell r="E511" t="str">
            <v>EI</v>
          </cell>
          <cell r="AI511">
            <v>0</v>
          </cell>
        </row>
        <row r="512">
          <cell r="A512" t="str">
            <v>UEC</v>
          </cell>
          <cell r="B512" t="str">
            <v>65</v>
          </cell>
          <cell r="C512" t="str">
            <v>034</v>
          </cell>
          <cell r="D512" t="str">
            <v>120068</v>
          </cell>
          <cell r="E512" t="str">
            <v>EI</v>
          </cell>
          <cell r="AI512">
            <v>0</v>
          </cell>
        </row>
        <row r="513">
          <cell r="A513" t="str">
            <v>UEC</v>
          </cell>
          <cell r="B513" t="str">
            <v>65</v>
          </cell>
          <cell r="C513" t="str">
            <v>034</v>
          </cell>
          <cell r="D513" t="str">
            <v>120068</v>
          </cell>
          <cell r="E513" t="str">
            <v>FB</v>
          </cell>
          <cell r="AI513">
            <v>0</v>
          </cell>
        </row>
        <row r="514">
          <cell r="A514" t="str">
            <v>UEC</v>
          </cell>
          <cell r="B514" t="str">
            <v>65</v>
          </cell>
          <cell r="C514" t="str">
            <v>034</v>
          </cell>
          <cell r="D514" t="str">
            <v>120069</v>
          </cell>
          <cell r="E514" t="str">
            <v>EI</v>
          </cell>
          <cell r="AI514">
            <v>0</v>
          </cell>
        </row>
        <row r="515">
          <cell r="A515" t="str">
            <v>UEC</v>
          </cell>
          <cell r="B515" t="str">
            <v>65</v>
          </cell>
          <cell r="C515" t="str">
            <v>034</v>
          </cell>
          <cell r="D515" t="str">
            <v>120069</v>
          </cell>
          <cell r="E515" t="str">
            <v>EI</v>
          </cell>
          <cell r="AI515">
            <v>0</v>
          </cell>
        </row>
        <row r="516">
          <cell r="A516" t="str">
            <v>UEC</v>
          </cell>
          <cell r="B516" t="str">
            <v>65</v>
          </cell>
          <cell r="C516" t="str">
            <v>034</v>
          </cell>
          <cell r="D516" t="str">
            <v>120069</v>
          </cell>
          <cell r="E516" t="str">
            <v>FB</v>
          </cell>
          <cell r="AI516">
            <v>0</v>
          </cell>
        </row>
        <row r="517">
          <cell r="A517" t="str">
            <v>UEC</v>
          </cell>
          <cell r="B517" t="str">
            <v>65</v>
          </cell>
          <cell r="C517" t="str">
            <v>034</v>
          </cell>
          <cell r="D517" t="str">
            <v>120095</v>
          </cell>
          <cell r="E517" t="str">
            <v>BF</v>
          </cell>
          <cell r="AI517">
            <v>0</v>
          </cell>
        </row>
        <row r="518">
          <cell r="A518" t="str">
            <v>UEC</v>
          </cell>
          <cell r="B518" t="str">
            <v>65</v>
          </cell>
          <cell r="C518" t="str">
            <v>034</v>
          </cell>
          <cell r="D518" t="str">
            <v>120095</v>
          </cell>
          <cell r="E518" t="str">
            <v>EC</v>
          </cell>
          <cell r="AI518">
            <v>0</v>
          </cell>
        </row>
        <row r="519">
          <cell r="A519" t="str">
            <v>UEC</v>
          </cell>
          <cell r="B519" t="str">
            <v>65</v>
          </cell>
          <cell r="C519" t="str">
            <v>034</v>
          </cell>
          <cell r="D519" t="str">
            <v>120095</v>
          </cell>
          <cell r="E519" t="str">
            <v>EX</v>
          </cell>
          <cell r="AI519">
            <v>0</v>
          </cell>
        </row>
        <row r="520">
          <cell r="A520" t="str">
            <v>UEC</v>
          </cell>
          <cell r="B520" t="str">
            <v>65</v>
          </cell>
          <cell r="C520" t="str">
            <v>034</v>
          </cell>
          <cell r="D520" t="str">
            <v>120095</v>
          </cell>
          <cell r="E520" t="str">
            <v>34</v>
          </cell>
          <cell r="AI520">
            <v>0</v>
          </cell>
        </row>
        <row r="521">
          <cell r="A521" t="str">
            <v>UEC</v>
          </cell>
          <cell r="B521" t="str">
            <v>65</v>
          </cell>
          <cell r="C521" t="str">
            <v>034</v>
          </cell>
          <cell r="D521" t="str">
            <v>431002</v>
          </cell>
          <cell r="E521" t="str">
            <v>EI</v>
          </cell>
          <cell r="AI521">
            <v>0</v>
          </cell>
        </row>
        <row r="522">
          <cell r="A522" t="str">
            <v>UEC</v>
          </cell>
          <cell r="B522" t="str">
            <v>65</v>
          </cell>
          <cell r="C522" t="str">
            <v>034</v>
          </cell>
          <cell r="D522" t="str">
            <v>518001</v>
          </cell>
          <cell r="E522" t="str">
            <v>FB</v>
          </cell>
          <cell r="AI522">
            <v>0</v>
          </cell>
        </row>
        <row r="523">
          <cell r="A523" t="str">
            <v>UEC</v>
          </cell>
          <cell r="B523" t="str">
            <v>65</v>
          </cell>
          <cell r="C523" t="str">
            <v>034</v>
          </cell>
          <cell r="D523" t="str">
            <v>518001</v>
          </cell>
          <cell r="E523" t="str">
            <v>FI</v>
          </cell>
          <cell r="AI523">
            <v>0</v>
          </cell>
        </row>
        <row r="524">
          <cell r="A524" t="str">
            <v>UEC</v>
          </cell>
          <cell r="B524" t="str">
            <v>65</v>
          </cell>
          <cell r="C524" t="str">
            <v>034</v>
          </cell>
          <cell r="D524" t="str">
            <v>518002</v>
          </cell>
          <cell r="E524" t="str">
            <v>EI</v>
          </cell>
          <cell r="AI524">
            <v>0</v>
          </cell>
        </row>
        <row r="525">
          <cell r="A525" t="str">
            <v>UEC</v>
          </cell>
          <cell r="B525" t="str">
            <v>65</v>
          </cell>
          <cell r="C525" t="str">
            <v>034</v>
          </cell>
          <cell r="D525" t="str">
            <v>518002</v>
          </cell>
          <cell r="E525" t="str">
            <v>EI</v>
          </cell>
          <cell r="AI525">
            <v>0</v>
          </cell>
        </row>
        <row r="526">
          <cell r="A526" t="str">
            <v>UEC</v>
          </cell>
          <cell r="B526" t="str">
            <v>65</v>
          </cell>
          <cell r="C526" t="str">
            <v>034</v>
          </cell>
          <cell r="D526" t="str">
            <v>518002</v>
          </cell>
          <cell r="E526" t="str">
            <v>FB</v>
          </cell>
          <cell r="AI526">
            <v>26245457020</v>
          </cell>
        </row>
        <row r="527">
          <cell r="A527" t="str">
            <v>UEC</v>
          </cell>
          <cell r="B527" t="str">
            <v>65</v>
          </cell>
          <cell r="C527" t="str">
            <v>086</v>
          </cell>
          <cell r="D527" t="str">
            <v>518003</v>
          </cell>
          <cell r="E527" t="str">
            <v>FB</v>
          </cell>
          <cell r="AI527">
            <v>0</v>
          </cell>
        </row>
        <row r="528">
          <cell r="A528" t="str">
            <v>UEC</v>
          </cell>
          <cell r="B528" t="str">
            <v>65</v>
          </cell>
          <cell r="C528" t="str">
            <v>034</v>
          </cell>
          <cell r="D528" t="str">
            <v>518004</v>
          </cell>
          <cell r="E528" t="str">
            <v>FB</v>
          </cell>
          <cell r="AI528">
            <v>0</v>
          </cell>
        </row>
        <row r="529">
          <cell r="A529" t="str">
            <v>UEC</v>
          </cell>
          <cell r="B529" t="str">
            <v>65</v>
          </cell>
          <cell r="C529" t="str">
            <v>034</v>
          </cell>
          <cell r="D529" t="str">
            <v>518005</v>
          </cell>
          <cell r="E529" t="str">
            <v>FB</v>
          </cell>
          <cell r="AI529">
            <v>0</v>
          </cell>
        </row>
        <row r="530">
          <cell r="A530" t="str">
            <v>UEC</v>
          </cell>
          <cell r="B530" t="str">
            <v>65</v>
          </cell>
          <cell r="C530" t="str">
            <v>034</v>
          </cell>
          <cell r="D530" t="str">
            <v>518006</v>
          </cell>
          <cell r="E530" t="str">
            <v>EI</v>
          </cell>
          <cell r="AI530">
            <v>0</v>
          </cell>
        </row>
        <row r="531">
          <cell r="A531" t="str">
            <v>UEC</v>
          </cell>
          <cell r="B531" t="str">
            <v>65</v>
          </cell>
          <cell r="C531" t="str">
            <v>034</v>
          </cell>
          <cell r="D531" t="str">
            <v>518006</v>
          </cell>
          <cell r="E531" t="str">
            <v>FB</v>
          </cell>
          <cell r="AI531">
            <v>0</v>
          </cell>
        </row>
        <row r="532">
          <cell r="A532" t="str">
            <v>UEC</v>
          </cell>
          <cell r="B532" t="str">
            <v>7A</v>
          </cell>
          <cell r="C532" t="str">
            <v>086</v>
          </cell>
          <cell r="D532" t="str">
            <v>INTGEN</v>
          </cell>
          <cell r="E532" t="str">
            <v>FI</v>
          </cell>
          <cell r="AI532">
            <v>0</v>
          </cell>
        </row>
        <row r="533">
          <cell r="A533" t="str">
            <v>UEC</v>
          </cell>
          <cell r="B533" t="str">
            <v>7A</v>
          </cell>
          <cell r="C533" t="str">
            <v>086</v>
          </cell>
          <cell r="D533" t="str">
            <v>547003</v>
          </cell>
          <cell r="E533" t="str">
            <v>FB</v>
          </cell>
          <cell r="AI533">
            <v>4540850.3100000005</v>
          </cell>
        </row>
        <row r="534">
          <cell r="A534" t="str">
            <v>UEC</v>
          </cell>
          <cell r="B534" t="str">
            <v>7A</v>
          </cell>
          <cell r="C534" t="str">
            <v>086</v>
          </cell>
          <cell r="D534" t="str">
            <v>547003</v>
          </cell>
          <cell r="E534" t="str">
            <v>FB</v>
          </cell>
          <cell r="AI534">
            <v>0</v>
          </cell>
        </row>
        <row r="535">
          <cell r="A535" t="str">
            <v>UEC</v>
          </cell>
          <cell r="B535" t="str">
            <v>7A</v>
          </cell>
          <cell r="C535" t="str">
            <v>086</v>
          </cell>
          <cell r="D535" t="str">
            <v>547003</v>
          </cell>
          <cell r="E535" t="str">
            <v>FB</v>
          </cell>
          <cell r="AI535">
            <v>0</v>
          </cell>
        </row>
        <row r="536">
          <cell r="A536" t="str">
            <v>UEC</v>
          </cell>
          <cell r="B536" t="str">
            <v>7A</v>
          </cell>
          <cell r="C536" t="str">
            <v>086</v>
          </cell>
          <cell r="D536" t="str">
            <v>547003</v>
          </cell>
          <cell r="E536" t="str">
            <v>FI</v>
          </cell>
          <cell r="AI536">
            <v>0</v>
          </cell>
        </row>
        <row r="537">
          <cell r="A537" t="str">
            <v>UEC</v>
          </cell>
          <cell r="B537" t="str">
            <v>7A</v>
          </cell>
          <cell r="C537" t="str">
            <v>086</v>
          </cell>
          <cell r="D537" t="str">
            <v>547003</v>
          </cell>
          <cell r="E537" t="str">
            <v>FI</v>
          </cell>
          <cell r="AI537">
            <v>0</v>
          </cell>
        </row>
        <row r="538">
          <cell r="A538" t="str">
            <v>UEC</v>
          </cell>
          <cell r="B538" t="str">
            <v>7A</v>
          </cell>
          <cell r="C538" t="str">
            <v>086</v>
          </cell>
          <cell r="D538" t="str">
            <v>547003</v>
          </cell>
          <cell r="E538" t="str">
            <v>FI</v>
          </cell>
          <cell r="AI538">
            <v>0</v>
          </cell>
        </row>
        <row r="539">
          <cell r="A539" t="str">
            <v>UEC</v>
          </cell>
          <cell r="B539" t="str">
            <v>7A</v>
          </cell>
          <cell r="C539" t="str">
            <v>086</v>
          </cell>
          <cell r="D539" t="str">
            <v>547003</v>
          </cell>
          <cell r="E539" t="str">
            <v>FI</v>
          </cell>
          <cell r="AI539">
            <v>0</v>
          </cell>
        </row>
        <row r="540">
          <cell r="A540" t="str">
            <v>UEC</v>
          </cell>
          <cell r="B540" t="str">
            <v>7A</v>
          </cell>
          <cell r="C540" t="str">
            <v>086</v>
          </cell>
          <cell r="D540" t="str">
            <v>547013</v>
          </cell>
          <cell r="E540" t="str">
            <v>FI</v>
          </cell>
          <cell r="AI540">
            <v>0</v>
          </cell>
        </row>
        <row r="541">
          <cell r="A541" t="str">
            <v>UEC</v>
          </cell>
          <cell r="B541" t="str">
            <v>7A</v>
          </cell>
          <cell r="C541" t="str">
            <v>086</v>
          </cell>
          <cell r="D541" t="str">
            <v>547013</v>
          </cell>
          <cell r="E541" t="str">
            <v>FI</v>
          </cell>
          <cell r="AI541">
            <v>0</v>
          </cell>
        </row>
        <row r="542">
          <cell r="A542" t="str">
            <v>UEC</v>
          </cell>
          <cell r="B542" t="str">
            <v>7A</v>
          </cell>
          <cell r="C542" t="str">
            <v>086</v>
          </cell>
          <cell r="D542" t="str">
            <v>547013</v>
          </cell>
          <cell r="E542" t="str">
            <v>FI</v>
          </cell>
          <cell r="AI542">
            <v>59052767.689999998</v>
          </cell>
        </row>
        <row r="543">
          <cell r="A543" t="str">
            <v>UEC</v>
          </cell>
          <cell r="B543" t="str">
            <v>7G</v>
          </cell>
          <cell r="C543" t="str">
            <v>086</v>
          </cell>
          <cell r="D543" t="str">
            <v>INTGEN</v>
          </cell>
          <cell r="E543" t="str">
            <v>FI</v>
          </cell>
          <cell r="AI543">
            <v>0</v>
          </cell>
        </row>
        <row r="544">
          <cell r="A544" t="str">
            <v>UEC</v>
          </cell>
          <cell r="B544" t="str">
            <v>7G</v>
          </cell>
          <cell r="C544" t="str">
            <v>086</v>
          </cell>
          <cell r="D544" t="str">
            <v>547003</v>
          </cell>
          <cell r="E544" t="str">
            <v>FB</v>
          </cell>
          <cell r="AI544">
            <v>28985852.129999999</v>
          </cell>
        </row>
        <row r="545">
          <cell r="A545" t="str">
            <v>UEC</v>
          </cell>
          <cell r="B545" t="str">
            <v>7G</v>
          </cell>
          <cell r="C545" t="str">
            <v>086</v>
          </cell>
          <cell r="D545" t="str">
            <v>547003</v>
          </cell>
          <cell r="E545" t="str">
            <v>FB</v>
          </cell>
          <cell r="AI545">
            <v>0</v>
          </cell>
        </row>
        <row r="546">
          <cell r="A546" t="str">
            <v>UEC</v>
          </cell>
          <cell r="B546" t="str">
            <v>7G</v>
          </cell>
          <cell r="C546" t="str">
            <v>086</v>
          </cell>
          <cell r="D546" t="str">
            <v>547003</v>
          </cell>
          <cell r="E546" t="str">
            <v>FB</v>
          </cell>
          <cell r="AI546">
            <v>0</v>
          </cell>
        </row>
        <row r="547">
          <cell r="A547" t="str">
            <v>UEC</v>
          </cell>
          <cell r="B547" t="str">
            <v>7G</v>
          </cell>
          <cell r="C547" t="str">
            <v>086</v>
          </cell>
          <cell r="D547" t="str">
            <v>547003</v>
          </cell>
          <cell r="E547" t="str">
            <v>FI</v>
          </cell>
          <cell r="AI547">
            <v>0</v>
          </cell>
        </row>
        <row r="548">
          <cell r="A548" t="str">
            <v>UEC</v>
          </cell>
          <cell r="B548" t="str">
            <v>7G</v>
          </cell>
          <cell r="C548" t="str">
            <v>086</v>
          </cell>
          <cell r="D548" t="str">
            <v>547003</v>
          </cell>
          <cell r="E548" t="str">
            <v>FI</v>
          </cell>
          <cell r="AI548">
            <v>0</v>
          </cell>
        </row>
        <row r="549">
          <cell r="A549" t="str">
            <v>UEC</v>
          </cell>
          <cell r="B549" t="str">
            <v>7G</v>
          </cell>
          <cell r="C549" t="str">
            <v>086</v>
          </cell>
          <cell r="D549" t="str">
            <v>547003</v>
          </cell>
          <cell r="E549" t="str">
            <v>FI</v>
          </cell>
          <cell r="AI549">
            <v>0</v>
          </cell>
        </row>
        <row r="550">
          <cell r="A550" t="str">
            <v>UEC</v>
          </cell>
          <cell r="B550" t="str">
            <v>7G</v>
          </cell>
          <cell r="C550" t="str">
            <v>086</v>
          </cell>
          <cell r="D550" t="str">
            <v>547013</v>
          </cell>
          <cell r="E550" t="str">
            <v>FI</v>
          </cell>
          <cell r="AI550">
            <v>0</v>
          </cell>
        </row>
        <row r="551">
          <cell r="A551" t="str">
            <v>UEC</v>
          </cell>
          <cell r="B551" t="str">
            <v>7G</v>
          </cell>
          <cell r="C551" t="str">
            <v>086</v>
          </cell>
          <cell r="D551" t="str">
            <v>547013</v>
          </cell>
          <cell r="E551" t="str">
            <v>FI</v>
          </cell>
          <cell r="AI551">
            <v>0</v>
          </cell>
        </row>
        <row r="552">
          <cell r="A552" t="str">
            <v>UEC</v>
          </cell>
          <cell r="B552" t="str">
            <v>7G</v>
          </cell>
          <cell r="C552" t="str">
            <v>086</v>
          </cell>
          <cell r="D552" t="str">
            <v>547013</v>
          </cell>
          <cell r="E552" t="str">
            <v>FI</v>
          </cell>
          <cell r="AI552">
            <v>101545207.87</v>
          </cell>
        </row>
        <row r="553">
          <cell r="A553" t="str">
            <v>UEC</v>
          </cell>
          <cell r="B553" t="str">
            <v>7G</v>
          </cell>
          <cell r="C553" t="str">
            <v>086</v>
          </cell>
          <cell r="D553" t="str">
            <v>547013</v>
          </cell>
          <cell r="E553" t="str">
            <v>FI</v>
          </cell>
          <cell r="AI553">
            <v>0</v>
          </cell>
        </row>
        <row r="554">
          <cell r="A554" t="str">
            <v>UEC</v>
          </cell>
          <cell r="B554" t="str">
            <v>7K</v>
          </cell>
          <cell r="C554" t="str">
            <v>086</v>
          </cell>
          <cell r="D554" t="str">
            <v>INTGEN</v>
          </cell>
          <cell r="E554" t="str">
            <v>FI</v>
          </cell>
          <cell r="AI554">
            <v>0</v>
          </cell>
        </row>
        <row r="555">
          <cell r="A555" t="str">
            <v>UEC</v>
          </cell>
          <cell r="B555" t="str">
            <v>7K</v>
          </cell>
          <cell r="C555" t="str">
            <v>186</v>
          </cell>
          <cell r="D555" t="str">
            <v>INTGEN</v>
          </cell>
          <cell r="E555" t="str">
            <v>FI</v>
          </cell>
          <cell r="AI555">
            <v>0</v>
          </cell>
        </row>
        <row r="556">
          <cell r="A556" t="str">
            <v>UEC</v>
          </cell>
          <cell r="B556" t="str">
            <v>7K</v>
          </cell>
          <cell r="C556" t="str">
            <v>086</v>
          </cell>
          <cell r="D556" t="str">
            <v>547002</v>
          </cell>
          <cell r="E556" t="str">
            <v>FB</v>
          </cell>
          <cell r="AI556">
            <v>0</v>
          </cell>
        </row>
        <row r="557">
          <cell r="A557" t="str">
            <v>UEC</v>
          </cell>
          <cell r="B557" t="str">
            <v>7K</v>
          </cell>
          <cell r="C557" t="str">
            <v>086</v>
          </cell>
          <cell r="D557" t="str">
            <v>547003</v>
          </cell>
          <cell r="E557" t="str">
            <v>FB</v>
          </cell>
          <cell r="AI557">
            <v>417004</v>
          </cell>
        </row>
        <row r="558">
          <cell r="A558" t="str">
            <v>UEC</v>
          </cell>
          <cell r="B558" t="str">
            <v>7K</v>
          </cell>
          <cell r="C558" t="str">
            <v>086</v>
          </cell>
          <cell r="D558" t="str">
            <v>547003</v>
          </cell>
          <cell r="E558" t="str">
            <v>FB</v>
          </cell>
          <cell r="AI558">
            <v>0</v>
          </cell>
        </row>
        <row r="559">
          <cell r="A559" t="str">
            <v>UEC</v>
          </cell>
          <cell r="B559" t="str">
            <v>7K</v>
          </cell>
          <cell r="C559" t="str">
            <v>086</v>
          </cell>
          <cell r="D559" t="str">
            <v>547003</v>
          </cell>
          <cell r="E559" t="str">
            <v>FB</v>
          </cell>
          <cell r="AI559">
            <v>0</v>
          </cell>
        </row>
        <row r="560">
          <cell r="A560" t="str">
            <v>UEC</v>
          </cell>
          <cell r="B560" t="str">
            <v>7K</v>
          </cell>
          <cell r="C560" t="str">
            <v>086</v>
          </cell>
          <cell r="D560" t="str">
            <v>547003</v>
          </cell>
          <cell r="E560" t="str">
            <v>FI</v>
          </cell>
          <cell r="AI560">
            <v>0</v>
          </cell>
        </row>
        <row r="561">
          <cell r="A561" t="str">
            <v>UEC</v>
          </cell>
          <cell r="B561" t="str">
            <v>7K</v>
          </cell>
          <cell r="C561" t="str">
            <v>086</v>
          </cell>
          <cell r="D561" t="str">
            <v>547003</v>
          </cell>
          <cell r="E561" t="str">
            <v>FI</v>
          </cell>
          <cell r="AI561">
            <v>0</v>
          </cell>
        </row>
        <row r="562">
          <cell r="A562" t="str">
            <v>UEC</v>
          </cell>
          <cell r="B562" t="str">
            <v>7K</v>
          </cell>
          <cell r="C562" t="str">
            <v>086</v>
          </cell>
          <cell r="D562" t="str">
            <v>547003</v>
          </cell>
          <cell r="E562" t="str">
            <v>FI</v>
          </cell>
          <cell r="AI562">
            <v>0</v>
          </cell>
        </row>
        <row r="563">
          <cell r="A563" t="str">
            <v>UEC</v>
          </cell>
          <cell r="B563" t="str">
            <v>7K</v>
          </cell>
          <cell r="C563" t="str">
            <v>086</v>
          </cell>
          <cell r="D563" t="str">
            <v>547003</v>
          </cell>
          <cell r="E563" t="str">
            <v>FI</v>
          </cell>
          <cell r="AI563">
            <v>0</v>
          </cell>
        </row>
        <row r="564">
          <cell r="A564" t="str">
            <v>UEC</v>
          </cell>
          <cell r="B564" t="str">
            <v>7K</v>
          </cell>
          <cell r="C564" t="str">
            <v>086</v>
          </cell>
          <cell r="D564" t="str">
            <v>547013</v>
          </cell>
          <cell r="E564" t="str">
            <v>FI</v>
          </cell>
          <cell r="AI564">
            <v>0</v>
          </cell>
        </row>
        <row r="565">
          <cell r="A565" t="str">
            <v>UEC</v>
          </cell>
          <cell r="B565" t="str">
            <v>7K</v>
          </cell>
          <cell r="C565" t="str">
            <v>086</v>
          </cell>
          <cell r="D565" t="str">
            <v>547013</v>
          </cell>
          <cell r="E565" t="str">
            <v>FI</v>
          </cell>
          <cell r="AI565">
            <v>0</v>
          </cell>
        </row>
        <row r="566">
          <cell r="A566" t="str">
            <v>UEC</v>
          </cell>
          <cell r="B566" t="str">
            <v>7K</v>
          </cell>
          <cell r="C566" t="str">
            <v>086</v>
          </cell>
          <cell r="D566" t="str">
            <v>547013</v>
          </cell>
          <cell r="E566" t="str">
            <v>FI</v>
          </cell>
          <cell r="AI566">
            <v>0</v>
          </cell>
        </row>
        <row r="567">
          <cell r="A567" t="str">
            <v>UEC</v>
          </cell>
          <cell r="B567" t="str">
            <v>7K</v>
          </cell>
          <cell r="C567" t="str">
            <v>086</v>
          </cell>
          <cell r="D567" t="str">
            <v>547013</v>
          </cell>
          <cell r="E567" t="str">
            <v>FI</v>
          </cell>
          <cell r="AI567">
            <v>0</v>
          </cell>
        </row>
        <row r="568">
          <cell r="A568" t="str">
            <v>UEC</v>
          </cell>
          <cell r="B568" t="str">
            <v>7P</v>
          </cell>
          <cell r="C568" t="str">
            <v>086</v>
          </cell>
          <cell r="D568" t="str">
            <v>INTGEN</v>
          </cell>
          <cell r="E568" t="str">
            <v>FI</v>
          </cell>
          <cell r="AI568">
            <v>0</v>
          </cell>
        </row>
        <row r="569">
          <cell r="A569" t="str">
            <v>UEC</v>
          </cell>
          <cell r="B569" t="str">
            <v>7P</v>
          </cell>
          <cell r="C569" t="str">
            <v>186</v>
          </cell>
          <cell r="D569" t="str">
            <v>INTGEN</v>
          </cell>
          <cell r="E569" t="str">
            <v>FI</v>
          </cell>
          <cell r="AI569">
            <v>0</v>
          </cell>
        </row>
        <row r="570">
          <cell r="A570" t="str">
            <v>UEC</v>
          </cell>
          <cell r="B570" t="str">
            <v>7P</v>
          </cell>
          <cell r="C570" t="str">
            <v>086</v>
          </cell>
          <cell r="D570" t="str">
            <v>547003</v>
          </cell>
          <cell r="E570" t="str">
            <v>FB</v>
          </cell>
          <cell r="AI570">
            <v>8063197.7999999998</v>
          </cell>
        </row>
        <row r="571">
          <cell r="A571" t="str">
            <v>UEC</v>
          </cell>
          <cell r="B571" t="str">
            <v>7P</v>
          </cell>
          <cell r="C571" t="str">
            <v>086</v>
          </cell>
          <cell r="D571" t="str">
            <v>547003</v>
          </cell>
          <cell r="E571" t="str">
            <v>FB</v>
          </cell>
          <cell r="AI571">
            <v>0</v>
          </cell>
        </row>
        <row r="572">
          <cell r="A572" t="str">
            <v>UEC</v>
          </cell>
          <cell r="B572" t="str">
            <v>7P</v>
          </cell>
          <cell r="C572" t="str">
            <v>086</v>
          </cell>
          <cell r="D572" t="str">
            <v>547003</v>
          </cell>
          <cell r="E572" t="str">
            <v>FB</v>
          </cell>
          <cell r="AI572">
            <v>0</v>
          </cell>
        </row>
        <row r="573">
          <cell r="A573" t="str">
            <v>UEC</v>
          </cell>
          <cell r="B573" t="str">
            <v>7P</v>
          </cell>
          <cell r="C573" t="str">
            <v>086</v>
          </cell>
          <cell r="D573" t="str">
            <v>547003</v>
          </cell>
          <cell r="E573" t="str">
            <v>FI</v>
          </cell>
          <cell r="AI573">
            <v>0</v>
          </cell>
        </row>
        <row r="574">
          <cell r="A574" t="str">
            <v>UEC</v>
          </cell>
          <cell r="B574" t="str">
            <v>7P</v>
          </cell>
          <cell r="C574" t="str">
            <v>086</v>
          </cell>
          <cell r="D574" t="str">
            <v>547003</v>
          </cell>
          <cell r="E574" t="str">
            <v>FI</v>
          </cell>
          <cell r="AI574">
            <v>0</v>
          </cell>
        </row>
        <row r="575">
          <cell r="A575" t="str">
            <v>UEC</v>
          </cell>
          <cell r="B575" t="str">
            <v>7P</v>
          </cell>
          <cell r="C575" t="str">
            <v>086</v>
          </cell>
          <cell r="D575" t="str">
            <v>547003</v>
          </cell>
          <cell r="E575" t="str">
            <v>FI</v>
          </cell>
          <cell r="AI575">
            <v>0</v>
          </cell>
        </row>
        <row r="576">
          <cell r="A576" t="str">
            <v>UEC</v>
          </cell>
          <cell r="B576" t="str">
            <v>7P</v>
          </cell>
          <cell r="C576" t="str">
            <v>086</v>
          </cell>
          <cell r="D576" t="str">
            <v>547003</v>
          </cell>
          <cell r="E576" t="str">
            <v>FI</v>
          </cell>
          <cell r="AI576">
            <v>0</v>
          </cell>
        </row>
        <row r="577">
          <cell r="A577" t="str">
            <v>UEC</v>
          </cell>
          <cell r="B577" t="str">
            <v>7P</v>
          </cell>
          <cell r="C577" t="str">
            <v>086</v>
          </cell>
          <cell r="D577" t="str">
            <v>547013</v>
          </cell>
          <cell r="E577" t="str">
            <v>FI</v>
          </cell>
          <cell r="AI577">
            <v>0</v>
          </cell>
        </row>
        <row r="578">
          <cell r="A578" t="str">
            <v>UEC</v>
          </cell>
          <cell r="B578" t="str">
            <v>7P</v>
          </cell>
          <cell r="C578" t="str">
            <v>086</v>
          </cell>
          <cell r="D578" t="str">
            <v>547013</v>
          </cell>
          <cell r="E578" t="str">
            <v>FI</v>
          </cell>
          <cell r="AI578">
            <v>0</v>
          </cell>
        </row>
        <row r="579">
          <cell r="A579" t="str">
            <v>UEC</v>
          </cell>
          <cell r="B579" t="str">
            <v>7P</v>
          </cell>
          <cell r="C579" t="str">
            <v>086</v>
          </cell>
          <cell r="D579" t="str">
            <v>547013</v>
          </cell>
          <cell r="E579" t="str">
            <v>FI</v>
          </cell>
          <cell r="AI579">
            <v>56597102.200000003</v>
          </cell>
        </row>
        <row r="580">
          <cell r="A580" t="str">
            <v>UEC</v>
          </cell>
          <cell r="B580" t="str">
            <v>7P</v>
          </cell>
          <cell r="C580" t="str">
            <v>086</v>
          </cell>
          <cell r="D580" t="str">
            <v>547013</v>
          </cell>
          <cell r="E580" t="str">
            <v>FI</v>
          </cell>
          <cell r="AI580">
            <v>0</v>
          </cell>
        </row>
        <row r="581">
          <cell r="A581" t="str">
            <v>UEC</v>
          </cell>
          <cell r="B581" t="str">
            <v>7R</v>
          </cell>
          <cell r="C581" t="str">
            <v>086</v>
          </cell>
          <cell r="D581" t="str">
            <v>INTGEN</v>
          </cell>
          <cell r="E581" t="str">
            <v>FI</v>
          </cell>
          <cell r="AI581">
            <v>0</v>
          </cell>
        </row>
        <row r="582">
          <cell r="A582" t="str">
            <v>UEC</v>
          </cell>
          <cell r="B582" t="str">
            <v>7R</v>
          </cell>
          <cell r="C582" t="str">
            <v>086</v>
          </cell>
          <cell r="D582" t="str">
            <v>547003</v>
          </cell>
          <cell r="E582" t="str">
            <v>FB</v>
          </cell>
          <cell r="AI582">
            <v>0</v>
          </cell>
        </row>
        <row r="583">
          <cell r="A583" t="str">
            <v>UEC</v>
          </cell>
          <cell r="B583" t="str">
            <v>7R</v>
          </cell>
          <cell r="C583" t="str">
            <v>086</v>
          </cell>
          <cell r="D583" t="str">
            <v>547003</v>
          </cell>
          <cell r="E583" t="str">
            <v>FB</v>
          </cell>
          <cell r="AI583">
            <v>0</v>
          </cell>
        </row>
        <row r="584">
          <cell r="A584" t="str">
            <v>UEC</v>
          </cell>
          <cell r="B584" t="str">
            <v>7R</v>
          </cell>
          <cell r="C584" t="str">
            <v>086</v>
          </cell>
          <cell r="D584" t="str">
            <v>547003</v>
          </cell>
          <cell r="E584" t="str">
            <v>FI</v>
          </cell>
          <cell r="AI584">
            <v>0</v>
          </cell>
        </row>
        <row r="585">
          <cell r="A585" t="str">
            <v>UEC</v>
          </cell>
          <cell r="B585" t="str">
            <v>7R</v>
          </cell>
          <cell r="C585" t="str">
            <v>086</v>
          </cell>
          <cell r="D585" t="str">
            <v>547003</v>
          </cell>
          <cell r="E585" t="str">
            <v>FI</v>
          </cell>
          <cell r="AI585">
            <v>0</v>
          </cell>
        </row>
        <row r="586">
          <cell r="A586" t="str">
            <v>UEC</v>
          </cell>
          <cell r="B586" t="str">
            <v>7R</v>
          </cell>
          <cell r="C586" t="str">
            <v>086</v>
          </cell>
          <cell r="D586" t="str">
            <v>547013</v>
          </cell>
          <cell r="E586" t="str">
            <v>FI</v>
          </cell>
          <cell r="AI586">
            <v>0</v>
          </cell>
        </row>
        <row r="587">
          <cell r="A587" t="str">
            <v>UEC</v>
          </cell>
          <cell r="B587" t="str">
            <v>7R</v>
          </cell>
          <cell r="C587" t="str">
            <v>086</v>
          </cell>
          <cell r="D587" t="str">
            <v>547013</v>
          </cell>
          <cell r="E587" t="str">
            <v>FI</v>
          </cell>
          <cell r="AI587">
            <v>0</v>
          </cell>
        </row>
        <row r="588">
          <cell r="A588" t="str">
            <v>UEC</v>
          </cell>
          <cell r="B588" t="str">
            <v>7R</v>
          </cell>
          <cell r="C588" t="str">
            <v>086</v>
          </cell>
          <cell r="D588" t="str">
            <v>547013</v>
          </cell>
          <cell r="E588" t="str">
            <v>FI</v>
          </cell>
          <cell r="AI588">
            <v>18605752</v>
          </cell>
        </row>
        <row r="589">
          <cell r="A589" t="str">
            <v>UEC</v>
          </cell>
          <cell r="B589" t="str">
            <v>7R</v>
          </cell>
          <cell r="C589" t="str">
            <v>086</v>
          </cell>
          <cell r="D589" t="str">
            <v>547013</v>
          </cell>
          <cell r="E589" t="str">
            <v>FI</v>
          </cell>
          <cell r="AI589">
            <v>0</v>
          </cell>
        </row>
        <row r="590">
          <cell r="A590" t="str">
            <v>UEC</v>
          </cell>
          <cell r="B590" t="str">
            <v>71</v>
          </cell>
          <cell r="C590" t="str">
            <v>086</v>
          </cell>
          <cell r="D590" t="str">
            <v>INTGEN</v>
          </cell>
          <cell r="E590" t="str">
            <v>FI</v>
          </cell>
          <cell r="AI590">
            <v>0</v>
          </cell>
        </row>
        <row r="591">
          <cell r="A591" t="str">
            <v>UEC</v>
          </cell>
          <cell r="B591" t="str">
            <v>71</v>
          </cell>
          <cell r="C591" t="str">
            <v>086</v>
          </cell>
          <cell r="D591" t="str">
            <v>547002</v>
          </cell>
          <cell r="E591" t="str">
            <v>FB</v>
          </cell>
          <cell r="AI591">
            <v>0</v>
          </cell>
        </row>
        <row r="592">
          <cell r="A592" t="str">
            <v>UEC</v>
          </cell>
          <cell r="B592" t="str">
            <v>71</v>
          </cell>
          <cell r="C592" t="str">
            <v>086</v>
          </cell>
          <cell r="D592" t="str">
            <v>547012</v>
          </cell>
          <cell r="E592" t="str">
            <v>FI</v>
          </cell>
          <cell r="AI592">
            <v>0</v>
          </cell>
        </row>
        <row r="593">
          <cell r="A593" t="str">
            <v>UEC</v>
          </cell>
          <cell r="B593" t="str">
            <v>71</v>
          </cell>
          <cell r="C593" t="str">
            <v>086</v>
          </cell>
          <cell r="D593" t="str">
            <v>547012</v>
          </cell>
          <cell r="E593" t="str">
            <v>FI</v>
          </cell>
          <cell r="AI593">
            <v>0</v>
          </cell>
        </row>
        <row r="594">
          <cell r="A594" t="str">
            <v>UEC</v>
          </cell>
          <cell r="B594" t="str">
            <v>72</v>
          </cell>
          <cell r="C594" t="str">
            <v>086</v>
          </cell>
          <cell r="D594" t="str">
            <v>INTGEN</v>
          </cell>
          <cell r="E594" t="str">
            <v>FI</v>
          </cell>
          <cell r="AI594">
            <v>0</v>
          </cell>
        </row>
        <row r="595">
          <cell r="A595" t="str">
            <v>UEC</v>
          </cell>
          <cell r="B595" t="str">
            <v>72</v>
          </cell>
          <cell r="C595" t="str">
            <v>086</v>
          </cell>
          <cell r="D595" t="str">
            <v>547002</v>
          </cell>
          <cell r="E595" t="str">
            <v>FB</v>
          </cell>
          <cell r="AI595">
            <v>0</v>
          </cell>
        </row>
        <row r="596">
          <cell r="A596" t="str">
            <v>UEC</v>
          </cell>
          <cell r="B596" t="str">
            <v>72</v>
          </cell>
          <cell r="C596" t="str">
            <v>086</v>
          </cell>
          <cell r="D596" t="str">
            <v>547003</v>
          </cell>
          <cell r="E596" t="str">
            <v>FB</v>
          </cell>
          <cell r="AI596">
            <v>0</v>
          </cell>
        </row>
        <row r="597">
          <cell r="A597" t="str">
            <v>UEC</v>
          </cell>
          <cell r="B597" t="str">
            <v>72</v>
          </cell>
          <cell r="C597" t="str">
            <v>086</v>
          </cell>
          <cell r="D597" t="str">
            <v>547003</v>
          </cell>
          <cell r="E597" t="str">
            <v>FB</v>
          </cell>
          <cell r="AI597">
            <v>0</v>
          </cell>
        </row>
        <row r="598">
          <cell r="A598" t="str">
            <v>UEC</v>
          </cell>
          <cell r="B598" t="str">
            <v>72</v>
          </cell>
          <cell r="C598" t="str">
            <v>086</v>
          </cell>
          <cell r="D598" t="str">
            <v>547012</v>
          </cell>
          <cell r="E598" t="str">
            <v>FI</v>
          </cell>
          <cell r="AI598">
            <v>0</v>
          </cell>
        </row>
        <row r="599">
          <cell r="A599" t="str">
            <v>UEC</v>
          </cell>
          <cell r="B599" t="str">
            <v>72</v>
          </cell>
          <cell r="C599" t="str">
            <v>086</v>
          </cell>
          <cell r="D599" t="str">
            <v>547012</v>
          </cell>
          <cell r="E599" t="str">
            <v>FI</v>
          </cell>
          <cell r="AI599">
            <v>0</v>
          </cell>
        </row>
        <row r="600">
          <cell r="A600" t="str">
            <v>UEC</v>
          </cell>
          <cell r="B600" t="str">
            <v>72</v>
          </cell>
          <cell r="C600" t="str">
            <v>086</v>
          </cell>
          <cell r="D600" t="str">
            <v>547013</v>
          </cell>
          <cell r="E600" t="str">
            <v>FI</v>
          </cell>
          <cell r="AI600">
            <v>0</v>
          </cell>
        </row>
        <row r="601">
          <cell r="A601" t="str">
            <v>UEC</v>
          </cell>
          <cell r="B601" t="str">
            <v>72</v>
          </cell>
          <cell r="C601" t="str">
            <v>086</v>
          </cell>
          <cell r="D601" t="str">
            <v>547013</v>
          </cell>
          <cell r="E601" t="str">
            <v>FI</v>
          </cell>
          <cell r="AI601">
            <v>0</v>
          </cell>
        </row>
        <row r="602">
          <cell r="A602" t="str">
            <v>UEC</v>
          </cell>
          <cell r="B602" t="str">
            <v>72</v>
          </cell>
          <cell r="C602" t="str">
            <v>086</v>
          </cell>
          <cell r="D602" t="str">
            <v>547013</v>
          </cell>
          <cell r="E602" t="str">
            <v>FI</v>
          </cell>
          <cell r="AI602">
            <v>0</v>
          </cell>
        </row>
        <row r="603">
          <cell r="A603" t="str">
            <v>UEC</v>
          </cell>
          <cell r="B603" t="str">
            <v>73</v>
          </cell>
          <cell r="C603" t="str">
            <v>086</v>
          </cell>
          <cell r="D603" t="str">
            <v>INTGEN</v>
          </cell>
          <cell r="E603" t="str">
            <v>FI</v>
          </cell>
          <cell r="AI603">
            <v>0</v>
          </cell>
        </row>
        <row r="604">
          <cell r="A604" t="str">
            <v>UEC</v>
          </cell>
          <cell r="B604" t="str">
            <v>73</v>
          </cell>
          <cell r="C604" t="str">
            <v>086</v>
          </cell>
          <cell r="D604" t="str">
            <v>547002</v>
          </cell>
          <cell r="E604" t="str">
            <v>FB</v>
          </cell>
          <cell r="AI604">
            <v>0</v>
          </cell>
        </row>
        <row r="605">
          <cell r="A605" t="str">
            <v>UEC</v>
          </cell>
          <cell r="B605" t="str">
            <v>73</v>
          </cell>
          <cell r="C605" t="str">
            <v>086</v>
          </cell>
          <cell r="D605" t="str">
            <v>547012</v>
          </cell>
          <cell r="E605" t="str">
            <v>FI</v>
          </cell>
          <cell r="AI605">
            <v>0</v>
          </cell>
        </row>
        <row r="606">
          <cell r="A606" t="str">
            <v>UEC</v>
          </cell>
          <cell r="B606" t="str">
            <v>73</v>
          </cell>
          <cell r="C606" t="str">
            <v>086</v>
          </cell>
          <cell r="D606" t="str">
            <v>547012</v>
          </cell>
          <cell r="E606" t="str">
            <v>FI</v>
          </cell>
          <cell r="AI606">
            <v>0</v>
          </cell>
        </row>
        <row r="607">
          <cell r="A607" t="str">
            <v>UEC</v>
          </cell>
          <cell r="B607" t="str">
            <v>74</v>
          </cell>
          <cell r="C607" t="str">
            <v>086</v>
          </cell>
          <cell r="D607" t="str">
            <v>INTGEN</v>
          </cell>
          <cell r="E607" t="str">
            <v>FI</v>
          </cell>
          <cell r="AI607">
            <v>0</v>
          </cell>
        </row>
        <row r="608">
          <cell r="A608" t="str">
            <v>UEC</v>
          </cell>
          <cell r="B608" t="str">
            <v>74</v>
          </cell>
          <cell r="C608" t="str">
            <v>086</v>
          </cell>
          <cell r="D608" t="str">
            <v>547003</v>
          </cell>
          <cell r="E608" t="str">
            <v>FB</v>
          </cell>
          <cell r="AI608">
            <v>0</v>
          </cell>
        </row>
        <row r="609">
          <cell r="A609" t="str">
            <v>UEC</v>
          </cell>
          <cell r="B609" t="str">
            <v>74</v>
          </cell>
          <cell r="C609" t="str">
            <v>086</v>
          </cell>
          <cell r="D609" t="str">
            <v>547013</v>
          </cell>
          <cell r="E609" t="str">
            <v>FI</v>
          </cell>
          <cell r="AI609">
            <v>0</v>
          </cell>
        </row>
        <row r="610">
          <cell r="A610" t="str">
            <v>UEC</v>
          </cell>
          <cell r="B610" t="str">
            <v>74</v>
          </cell>
          <cell r="C610" t="str">
            <v>086</v>
          </cell>
          <cell r="D610" t="str">
            <v>547013</v>
          </cell>
          <cell r="E610" t="str">
            <v>FI</v>
          </cell>
          <cell r="AI610">
            <v>0</v>
          </cell>
        </row>
        <row r="611">
          <cell r="A611" t="str">
            <v>UEC</v>
          </cell>
          <cell r="B611" t="str">
            <v>75</v>
          </cell>
          <cell r="C611" t="str">
            <v>086</v>
          </cell>
          <cell r="D611" t="str">
            <v>INTGEN</v>
          </cell>
          <cell r="E611" t="str">
            <v>FI</v>
          </cell>
          <cell r="AI611">
            <v>0</v>
          </cell>
        </row>
        <row r="612">
          <cell r="A612" t="str">
            <v>UEC</v>
          </cell>
          <cell r="B612" t="str">
            <v>75</v>
          </cell>
          <cell r="C612" t="str">
            <v>086</v>
          </cell>
          <cell r="D612" t="str">
            <v>547002</v>
          </cell>
          <cell r="E612" t="str">
            <v>FB</v>
          </cell>
          <cell r="AI612">
            <v>0</v>
          </cell>
        </row>
        <row r="613">
          <cell r="A613" t="str">
            <v>UEC</v>
          </cell>
          <cell r="B613" t="str">
            <v>75</v>
          </cell>
          <cell r="C613" t="str">
            <v>086</v>
          </cell>
          <cell r="D613" t="str">
            <v>547012</v>
          </cell>
          <cell r="E613" t="str">
            <v>FI</v>
          </cell>
          <cell r="AI613">
            <v>0</v>
          </cell>
        </row>
        <row r="614">
          <cell r="A614" t="str">
            <v>UEC</v>
          </cell>
          <cell r="B614" t="str">
            <v>75</v>
          </cell>
          <cell r="C614" t="str">
            <v>086</v>
          </cell>
          <cell r="D614" t="str">
            <v>547012</v>
          </cell>
          <cell r="E614" t="str">
            <v>FI</v>
          </cell>
          <cell r="AI614">
            <v>0</v>
          </cell>
        </row>
        <row r="615">
          <cell r="A615" t="str">
            <v>UEC</v>
          </cell>
          <cell r="B615" t="str">
            <v>76</v>
          </cell>
          <cell r="C615" t="str">
            <v>086</v>
          </cell>
          <cell r="D615" t="str">
            <v>INTGEN</v>
          </cell>
          <cell r="E615" t="str">
            <v>FI</v>
          </cell>
          <cell r="AI615">
            <v>0</v>
          </cell>
        </row>
        <row r="616">
          <cell r="A616" t="str">
            <v>UEC</v>
          </cell>
          <cell r="B616" t="str">
            <v>76</v>
          </cell>
          <cell r="C616" t="str">
            <v>086</v>
          </cell>
          <cell r="D616" t="str">
            <v>547002</v>
          </cell>
          <cell r="E616" t="str">
            <v>FB</v>
          </cell>
          <cell r="AI616">
            <v>0</v>
          </cell>
        </row>
        <row r="617">
          <cell r="A617" t="str">
            <v>UEC</v>
          </cell>
          <cell r="B617" t="str">
            <v>76</v>
          </cell>
          <cell r="C617" t="str">
            <v>086</v>
          </cell>
          <cell r="D617" t="str">
            <v>547012</v>
          </cell>
          <cell r="E617" t="str">
            <v>FI</v>
          </cell>
          <cell r="AI617">
            <v>0</v>
          </cell>
        </row>
        <row r="618">
          <cell r="A618" t="str">
            <v>UEC</v>
          </cell>
          <cell r="B618" t="str">
            <v>76</v>
          </cell>
          <cell r="C618" t="str">
            <v>086</v>
          </cell>
          <cell r="D618" t="str">
            <v>547012</v>
          </cell>
          <cell r="E618" t="str">
            <v>FI</v>
          </cell>
          <cell r="AI618">
            <v>0</v>
          </cell>
        </row>
        <row r="619">
          <cell r="A619" t="str">
            <v>UEC</v>
          </cell>
          <cell r="B619" t="str">
            <v>77</v>
          </cell>
          <cell r="C619" t="str">
            <v>086</v>
          </cell>
          <cell r="D619" t="str">
            <v>INTGEN</v>
          </cell>
          <cell r="E619" t="str">
            <v>FI</v>
          </cell>
          <cell r="AI619">
            <v>0</v>
          </cell>
        </row>
        <row r="620">
          <cell r="A620" t="str">
            <v>UEC</v>
          </cell>
          <cell r="B620" t="str">
            <v>77</v>
          </cell>
          <cell r="C620" t="str">
            <v>086</v>
          </cell>
          <cell r="D620" t="str">
            <v>547002</v>
          </cell>
          <cell r="E620" t="str">
            <v>FB</v>
          </cell>
          <cell r="AI620">
            <v>0</v>
          </cell>
        </row>
        <row r="621">
          <cell r="A621" t="str">
            <v>UEC</v>
          </cell>
          <cell r="B621" t="str">
            <v>77</v>
          </cell>
          <cell r="C621" t="str">
            <v>086</v>
          </cell>
          <cell r="D621" t="str">
            <v>547012</v>
          </cell>
          <cell r="E621" t="str">
            <v>FI</v>
          </cell>
          <cell r="AI621">
            <v>0</v>
          </cell>
        </row>
        <row r="622">
          <cell r="A622" t="str">
            <v>UEC</v>
          </cell>
          <cell r="B622" t="str">
            <v>77</v>
          </cell>
          <cell r="C622" t="str">
            <v>086</v>
          </cell>
          <cell r="D622" t="str">
            <v>547012</v>
          </cell>
          <cell r="E622" t="str">
            <v>FI</v>
          </cell>
          <cell r="AI622">
            <v>0</v>
          </cell>
        </row>
        <row r="623">
          <cell r="A623" t="str">
            <v>UEC</v>
          </cell>
          <cell r="B623" t="str">
            <v>78</v>
          </cell>
          <cell r="C623" t="str">
            <v>086</v>
          </cell>
          <cell r="D623" t="str">
            <v>INTGEN</v>
          </cell>
          <cell r="E623" t="str">
            <v>FI</v>
          </cell>
          <cell r="AI623">
            <v>0</v>
          </cell>
        </row>
        <row r="624">
          <cell r="A624" t="str">
            <v>UEC</v>
          </cell>
          <cell r="B624" t="str">
            <v>78</v>
          </cell>
          <cell r="C624" t="str">
            <v>086</v>
          </cell>
          <cell r="D624" t="str">
            <v>547003</v>
          </cell>
          <cell r="E624" t="str">
            <v>FB</v>
          </cell>
          <cell r="AI624">
            <v>0</v>
          </cell>
        </row>
        <row r="625">
          <cell r="A625" t="str">
            <v>UEC</v>
          </cell>
          <cell r="B625" t="str">
            <v>78</v>
          </cell>
          <cell r="C625" t="str">
            <v>086</v>
          </cell>
          <cell r="D625" t="str">
            <v>547003</v>
          </cell>
          <cell r="E625" t="str">
            <v>FB</v>
          </cell>
          <cell r="AI625">
            <v>0</v>
          </cell>
        </row>
        <row r="626">
          <cell r="A626" t="str">
            <v>UEC</v>
          </cell>
          <cell r="B626" t="str">
            <v>78</v>
          </cell>
          <cell r="C626" t="str">
            <v>086</v>
          </cell>
          <cell r="D626" t="str">
            <v>547013</v>
          </cell>
          <cell r="E626" t="str">
            <v>FI</v>
          </cell>
          <cell r="AI626">
            <v>0</v>
          </cell>
        </row>
        <row r="627">
          <cell r="A627" t="str">
            <v>UEC</v>
          </cell>
          <cell r="B627" t="str">
            <v>78</v>
          </cell>
          <cell r="C627" t="str">
            <v>086</v>
          </cell>
          <cell r="D627" t="str">
            <v>547013</v>
          </cell>
          <cell r="E627" t="str">
            <v>FI</v>
          </cell>
          <cell r="AI627">
            <v>0</v>
          </cell>
        </row>
        <row r="628">
          <cell r="A628" t="str">
            <v>UEC</v>
          </cell>
          <cell r="B628" t="str">
            <v>89</v>
          </cell>
          <cell r="C628" t="str">
            <v>186</v>
          </cell>
          <cell r="D628" t="str">
            <v>813</v>
          </cell>
          <cell r="E628" t="str">
            <v>XA</v>
          </cell>
          <cell r="AI628">
            <v>0</v>
          </cell>
        </row>
        <row r="629">
          <cell r="A629" t="str">
            <v>UEC</v>
          </cell>
          <cell r="B629" t="str">
            <v>98</v>
          </cell>
          <cell r="C629" t="str">
            <v>086</v>
          </cell>
          <cell r="D629" t="str">
            <v>INTGEN</v>
          </cell>
          <cell r="E629" t="str">
            <v>FI</v>
          </cell>
          <cell r="AI629">
            <v>0</v>
          </cell>
        </row>
        <row r="630">
          <cell r="A630" t="str">
            <v>UEC</v>
          </cell>
          <cell r="B630" t="str">
            <v>98</v>
          </cell>
          <cell r="C630" t="str">
            <v>086</v>
          </cell>
          <cell r="D630" t="str">
            <v>547002</v>
          </cell>
          <cell r="E630" t="str">
            <v>FB</v>
          </cell>
          <cell r="AI630">
            <v>3187.32</v>
          </cell>
        </row>
        <row r="631">
          <cell r="A631" t="str">
            <v>UEC</v>
          </cell>
          <cell r="B631" t="str">
            <v>98</v>
          </cell>
          <cell r="C631" t="str">
            <v>086</v>
          </cell>
          <cell r="D631" t="str">
            <v>547002</v>
          </cell>
          <cell r="E631" t="str">
            <v>FI</v>
          </cell>
          <cell r="AI631">
            <v>0</v>
          </cell>
        </row>
        <row r="632">
          <cell r="A632" t="str">
            <v>UEC</v>
          </cell>
          <cell r="B632" t="str">
            <v>98</v>
          </cell>
          <cell r="C632" t="str">
            <v>086</v>
          </cell>
          <cell r="D632" t="str">
            <v>547003</v>
          </cell>
          <cell r="E632" t="str">
            <v>FB</v>
          </cell>
          <cell r="AI632">
            <v>0</v>
          </cell>
        </row>
        <row r="633">
          <cell r="A633" t="str">
            <v>UEC</v>
          </cell>
          <cell r="B633" t="str">
            <v>98</v>
          </cell>
          <cell r="C633" t="str">
            <v>086</v>
          </cell>
          <cell r="D633" t="str">
            <v>547003</v>
          </cell>
          <cell r="E633" t="str">
            <v>FB</v>
          </cell>
          <cell r="AI633">
            <v>0</v>
          </cell>
        </row>
        <row r="634">
          <cell r="A634" t="str">
            <v>UEC</v>
          </cell>
          <cell r="B634" t="str">
            <v>98</v>
          </cell>
          <cell r="C634" t="str">
            <v>086</v>
          </cell>
          <cell r="D634" t="str">
            <v>547003</v>
          </cell>
          <cell r="E634" t="str">
            <v>FB</v>
          </cell>
          <cell r="AI634">
            <v>50091122.32</v>
          </cell>
        </row>
        <row r="635">
          <cell r="A635" t="str">
            <v>UEC</v>
          </cell>
          <cell r="B635" t="str">
            <v>98</v>
          </cell>
          <cell r="C635" t="str">
            <v>086</v>
          </cell>
          <cell r="D635" t="str">
            <v>547003</v>
          </cell>
          <cell r="E635" t="str">
            <v>FI</v>
          </cell>
          <cell r="AI635">
            <v>0</v>
          </cell>
        </row>
        <row r="636">
          <cell r="A636" t="str">
            <v>UEC</v>
          </cell>
          <cell r="B636" t="str">
            <v>98</v>
          </cell>
          <cell r="C636" t="str">
            <v>086</v>
          </cell>
          <cell r="D636" t="str">
            <v>547012</v>
          </cell>
          <cell r="E636" t="str">
            <v>FI</v>
          </cell>
          <cell r="AI636">
            <v>19417.759999999998</v>
          </cell>
        </row>
        <row r="637">
          <cell r="A637" t="str">
            <v>UEC</v>
          </cell>
          <cell r="B637" t="str">
            <v>98</v>
          </cell>
          <cell r="C637" t="str">
            <v>086</v>
          </cell>
          <cell r="D637" t="str">
            <v>547012</v>
          </cell>
          <cell r="E637" t="str">
            <v>FI</v>
          </cell>
          <cell r="AI637">
            <v>0</v>
          </cell>
        </row>
        <row r="638">
          <cell r="A638" t="str">
            <v>UEC</v>
          </cell>
          <cell r="B638" t="str">
            <v>98</v>
          </cell>
          <cell r="C638" t="str">
            <v>086</v>
          </cell>
          <cell r="D638" t="str">
            <v>547013</v>
          </cell>
          <cell r="E638" t="str">
            <v>FI</v>
          </cell>
          <cell r="AI638">
            <v>0</v>
          </cell>
        </row>
        <row r="639">
          <cell r="A639" t="str">
            <v>UEC</v>
          </cell>
          <cell r="B639" t="str">
            <v>98</v>
          </cell>
          <cell r="C639" t="str">
            <v>086</v>
          </cell>
          <cell r="D639" t="str">
            <v>547013</v>
          </cell>
          <cell r="E639" t="str">
            <v>FI</v>
          </cell>
          <cell r="AI639">
            <v>0</v>
          </cell>
        </row>
        <row r="640">
          <cell r="A640" t="str">
            <v>UEC</v>
          </cell>
          <cell r="B640" t="str">
            <v>98</v>
          </cell>
          <cell r="C640" t="str">
            <v>086</v>
          </cell>
          <cell r="D640" t="str">
            <v>547013</v>
          </cell>
          <cell r="E640" t="str">
            <v>FI</v>
          </cell>
          <cell r="AI640">
            <v>0</v>
          </cell>
        </row>
        <row r="641">
          <cell r="A641" t="str">
            <v>UEC</v>
          </cell>
          <cell r="B641" t="str">
            <v>98</v>
          </cell>
          <cell r="C641" t="str">
            <v>086</v>
          </cell>
          <cell r="D641" t="str">
            <v>547013</v>
          </cell>
          <cell r="E641" t="str">
            <v>FI</v>
          </cell>
          <cell r="AI641">
            <v>137126411.68000001</v>
          </cell>
        </row>
      </sheetData>
      <sheetData sheetId="12" refreshError="1"/>
      <sheetData sheetId="13"/>
      <sheetData sheetId="14">
        <row r="2">
          <cell r="A2" t="str">
            <v>1F</v>
          </cell>
          <cell r="B2" t="str">
            <v>151001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Coal</v>
          </cell>
          <cell r="R2">
            <v>0</v>
          </cell>
          <cell r="S2">
            <v>0</v>
          </cell>
        </row>
        <row r="3">
          <cell r="A3" t="str">
            <v>DC</v>
          </cell>
          <cell r="B3" t="str">
            <v>151001</v>
          </cell>
          <cell r="C3">
            <v>471408.16</v>
          </cell>
          <cell r="D3">
            <v>407160.49</v>
          </cell>
          <cell r="E3">
            <v>394145.62</v>
          </cell>
          <cell r="F3">
            <v>394145.62</v>
          </cell>
          <cell r="G3">
            <v>394145.62</v>
          </cell>
          <cell r="H3">
            <v>394145.62</v>
          </cell>
          <cell r="I3">
            <v>394145.62</v>
          </cell>
          <cell r="J3">
            <v>394145.62</v>
          </cell>
          <cell r="K3">
            <v>394145.62</v>
          </cell>
          <cell r="L3">
            <v>394145.62</v>
          </cell>
          <cell r="M3">
            <v>394145.62</v>
          </cell>
          <cell r="N3">
            <v>394145.62</v>
          </cell>
          <cell r="O3">
            <v>538656.07999999996</v>
          </cell>
          <cell r="P3">
            <v>394145.62</v>
          </cell>
          <cell r="Q3" t="str">
            <v>Coal</v>
          </cell>
          <cell r="R3">
            <v>407160.49</v>
          </cell>
        </row>
        <row r="4">
          <cell r="A4" t="str">
            <v>DC</v>
          </cell>
          <cell r="B4" t="str">
            <v>151003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Coal</v>
          </cell>
          <cell r="R4">
            <v>0</v>
          </cell>
        </row>
        <row r="5">
          <cell r="A5" t="str">
            <v>DC</v>
          </cell>
          <cell r="B5" t="str">
            <v>151007</v>
          </cell>
          <cell r="C5">
            <v>17651</v>
          </cell>
          <cell r="D5">
            <v>27909</v>
          </cell>
          <cell r="E5">
            <v>30219</v>
          </cell>
          <cell r="F5">
            <v>30219</v>
          </cell>
          <cell r="G5">
            <v>30219</v>
          </cell>
          <cell r="H5">
            <v>30219</v>
          </cell>
          <cell r="I5">
            <v>30219</v>
          </cell>
          <cell r="J5">
            <v>30219</v>
          </cell>
          <cell r="K5">
            <v>30219</v>
          </cell>
          <cell r="L5">
            <v>30219</v>
          </cell>
          <cell r="M5">
            <v>30219</v>
          </cell>
          <cell r="N5">
            <v>30219</v>
          </cell>
          <cell r="O5">
            <v>31196</v>
          </cell>
          <cell r="P5">
            <v>30219</v>
          </cell>
          <cell r="Q5" t="str">
            <v>Oil</v>
          </cell>
          <cell r="R5">
            <v>27909</v>
          </cell>
        </row>
        <row r="6">
          <cell r="A6" t="str">
            <v>DC</v>
          </cell>
          <cell r="B6" t="str">
            <v>151101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Coal</v>
          </cell>
          <cell r="R6">
            <v>0</v>
          </cell>
        </row>
        <row r="7">
          <cell r="A7" t="str">
            <v>DC</v>
          </cell>
          <cell r="B7" t="str">
            <v>151201</v>
          </cell>
          <cell r="C7">
            <v>15988.97</v>
          </cell>
          <cell r="D7">
            <v>15565.97</v>
          </cell>
          <cell r="E7">
            <v>16408.25</v>
          </cell>
          <cell r="F7">
            <v>16408.25</v>
          </cell>
          <cell r="G7">
            <v>16408.25</v>
          </cell>
          <cell r="H7">
            <v>16408.25</v>
          </cell>
          <cell r="I7">
            <v>16408.25</v>
          </cell>
          <cell r="J7">
            <v>16408.25</v>
          </cell>
          <cell r="K7">
            <v>16408.25</v>
          </cell>
          <cell r="L7">
            <v>16408.25</v>
          </cell>
          <cell r="M7">
            <v>16408.25</v>
          </cell>
          <cell r="N7">
            <v>16408.25</v>
          </cell>
          <cell r="O7">
            <v>16017.77</v>
          </cell>
          <cell r="P7">
            <v>16408.25</v>
          </cell>
          <cell r="Q7" t="str">
            <v>Coal</v>
          </cell>
          <cell r="R7">
            <v>15565.97</v>
          </cell>
        </row>
        <row r="8">
          <cell r="A8" t="str">
            <v>DC</v>
          </cell>
          <cell r="B8" t="str">
            <v>151203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>Coal</v>
          </cell>
          <cell r="R8">
            <v>0</v>
          </cell>
        </row>
        <row r="9">
          <cell r="A9" t="str">
            <v>ED</v>
          </cell>
          <cell r="B9" t="str">
            <v>151001</v>
          </cell>
          <cell r="C9">
            <v>498438.46</v>
          </cell>
          <cell r="D9">
            <v>465740.96</v>
          </cell>
          <cell r="E9">
            <v>451474.56</v>
          </cell>
          <cell r="F9">
            <v>451474.56</v>
          </cell>
          <cell r="G9">
            <v>451474.56</v>
          </cell>
          <cell r="H9">
            <v>451474.56</v>
          </cell>
          <cell r="I9">
            <v>451474.56</v>
          </cell>
          <cell r="J9">
            <v>451474.56</v>
          </cell>
          <cell r="K9">
            <v>451474.56</v>
          </cell>
          <cell r="L9">
            <v>451474.56</v>
          </cell>
          <cell r="M9">
            <v>451474.56</v>
          </cell>
          <cell r="N9">
            <v>451474.56</v>
          </cell>
          <cell r="O9">
            <v>546601.26</v>
          </cell>
          <cell r="P9">
            <v>451474.56</v>
          </cell>
          <cell r="Q9" t="str">
            <v>Coal</v>
          </cell>
          <cell r="R9">
            <v>465740.96</v>
          </cell>
        </row>
        <row r="10">
          <cell r="A10" t="str">
            <v>ED</v>
          </cell>
          <cell r="B10" t="str">
            <v>151003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 t="str">
            <v>Coal</v>
          </cell>
          <cell r="R10">
            <v>0</v>
          </cell>
        </row>
        <row r="11">
          <cell r="A11" t="str">
            <v>ED</v>
          </cell>
          <cell r="B11" t="str">
            <v>151004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PetCoke</v>
          </cell>
          <cell r="R11">
            <v>0</v>
          </cell>
        </row>
        <row r="12">
          <cell r="A12" t="str">
            <v>ED</v>
          </cell>
          <cell r="B12" t="str">
            <v>151007</v>
          </cell>
          <cell r="C12">
            <v>26796</v>
          </cell>
          <cell r="D12">
            <v>26044</v>
          </cell>
          <cell r="E12">
            <v>28513</v>
          </cell>
          <cell r="F12">
            <v>28513</v>
          </cell>
          <cell r="G12">
            <v>28513</v>
          </cell>
          <cell r="H12">
            <v>28513</v>
          </cell>
          <cell r="I12">
            <v>28513</v>
          </cell>
          <cell r="J12">
            <v>28513</v>
          </cell>
          <cell r="K12">
            <v>28513</v>
          </cell>
          <cell r="L12">
            <v>28513</v>
          </cell>
          <cell r="M12">
            <v>28513</v>
          </cell>
          <cell r="N12">
            <v>28513</v>
          </cell>
          <cell r="O12">
            <v>25938</v>
          </cell>
          <cell r="P12">
            <v>28513</v>
          </cell>
          <cell r="Q12" t="str">
            <v>Oil</v>
          </cell>
          <cell r="R12">
            <v>26044</v>
          </cell>
        </row>
        <row r="13">
          <cell r="A13" t="str">
            <v>ED</v>
          </cell>
          <cell r="B13" t="str">
            <v>151010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RailCar</v>
          </cell>
          <cell r="R13">
            <v>0</v>
          </cell>
        </row>
        <row r="14">
          <cell r="A14" t="str">
            <v>ED</v>
          </cell>
          <cell r="B14" t="str">
            <v>151101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Coal</v>
          </cell>
          <cell r="R14">
            <v>0</v>
          </cell>
        </row>
        <row r="15">
          <cell r="A15" t="str">
            <v>ED</v>
          </cell>
          <cell r="B15" t="str">
            <v>151201</v>
          </cell>
          <cell r="C15">
            <v>14881.66</v>
          </cell>
          <cell r="D15">
            <v>15589.46</v>
          </cell>
          <cell r="E15">
            <v>32926.839999999997</v>
          </cell>
          <cell r="F15">
            <v>32926.839999999997</v>
          </cell>
          <cell r="G15">
            <v>32926.839999999997</v>
          </cell>
          <cell r="H15">
            <v>32926.839999999997</v>
          </cell>
          <cell r="I15">
            <v>32926.839999999997</v>
          </cell>
          <cell r="J15">
            <v>32926.839999999997</v>
          </cell>
          <cell r="K15">
            <v>32926.839999999997</v>
          </cell>
          <cell r="L15">
            <v>32926.839999999997</v>
          </cell>
          <cell r="M15">
            <v>32926.839999999997</v>
          </cell>
          <cell r="N15">
            <v>32926.839999999997</v>
          </cell>
          <cell r="O15">
            <v>31173.26</v>
          </cell>
          <cell r="P15">
            <v>32926.839999999997</v>
          </cell>
          <cell r="Q15" t="str">
            <v>Coal</v>
          </cell>
          <cell r="R15">
            <v>15589.46</v>
          </cell>
        </row>
        <row r="16">
          <cell r="A16" t="str">
            <v>ED</v>
          </cell>
          <cell r="B16" t="str">
            <v>151203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Coal</v>
          </cell>
          <cell r="R16">
            <v>0</v>
          </cell>
        </row>
        <row r="17">
          <cell r="A17" t="str">
            <v>HK</v>
          </cell>
          <cell r="B17" t="str">
            <v>151007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Oil</v>
          </cell>
          <cell r="R17">
            <v>0</v>
          </cell>
        </row>
        <row r="18">
          <cell r="A18" t="str">
            <v>RG</v>
          </cell>
          <cell r="B18" t="str">
            <v>151010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RailCar</v>
          </cell>
          <cell r="R18">
            <v>0</v>
          </cell>
        </row>
        <row r="19">
          <cell r="A19" t="str">
            <v>TZ</v>
          </cell>
          <cell r="B19" t="str">
            <v>151007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Oil</v>
          </cell>
          <cell r="R19">
            <v>0</v>
          </cell>
        </row>
        <row r="20">
          <cell r="A20" t="str">
            <v>CG</v>
          </cell>
          <cell r="B20" t="str">
            <v>151007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Oil</v>
          </cell>
          <cell r="R20">
            <v>0</v>
          </cell>
        </row>
        <row r="21">
          <cell r="A21" t="str">
            <v>DC</v>
          </cell>
          <cell r="B21" t="str">
            <v>151001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>Coal</v>
          </cell>
          <cell r="R21">
            <v>0</v>
          </cell>
        </row>
        <row r="22">
          <cell r="A22" t="str">
            <v>DC</v>
          </cell>
          <cell r="B22" t="str">
            <v>151007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Oil</v>
          </cell>
          <cell r="R22">
            <v>0</v>
          </cell>
        </row>
        <row r="23">
          <cell r="A23" t="str">
            <v>DC</v>
          </cell>
          <cell r="B23" t="str">
            <v>151101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Coal</v>
          </cell>
          <cell r="R23">
            <v>0</v>
          </cell>
        </row>
        <row r="24">
          <cell r="A24" t="str">
            <v>ED</v>
          </cell>
          <cell r="B24" t="str">
            <v>151001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Coal</v>
          </cell>
          <cell r="R24">
            <v>0</v>
          </cell>
        </row>
        <row r="25">
          <cell r="A25" t="str">
            <v>ED</v>
          </cell>
          <cell r="B25" t="str">
            <v>151007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Oil</v>
          </cell>
          <cell r="R25">
            <v>0</v>
          </cell>
        </row>
        <row r="26">
          <cell r="A26" t="str">
            <v>ED</v>
          </cell>
          <cell r="B26" t="str">
            <v>151101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Coal</v>
          </cell>
          <cell r="R26">
            <v>0</v>
          </cell>
        </row>
        <row r="27">
          <cell r="A27" t="str">
            <v>ED</v>
          </cell>
          <cell r="B27" t="str">
            <v>151200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Coal</v>
          </cell>
          <cell r="R27">
            <v>0</v>
          </cell>
        </row>
        <row r="28">
          <cell r="A28" t="str">
            <v>ED</v>
          </cell>
          <cell r="B28" t="str">
            <v>151201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Coal</v>
          </cell>
          <cell r="R28">
            <v>0</v>
          </cell>
        </row>
        <row r="29">
          <cell r="A29" t="str">
            <v>HA</v>
          </cell>
          <cell r="B29" t="str">
            <v>151007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Oil</v>
          </cell>
          <cell r="R29">
            <v>0</v>
          </cell>
        </row>
        <row r="30">
          <cell r="A30" t="str">
            <v>KP</v>
          </cell>
          <cell r="B30" t="str">
            <v>151007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Oil</v>
          </cell>
          <cell r="R30">
            <v>0</v>
          </cell>
        </row>
        <row r="31">
          <cell r="A31" t="str">
            <v>MP</v>
          </cell>
          <cell r="B31" t="str">
            <v>151007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Oil</v>
          </cell>
          <cell r="R31">
            <v>0</v>
          </cell>
        </row>
        <row r="32">
          <cell r="A32" t="str">
            <v>MS</v>
          </cell>
          <cell r="B32" t="str">
            <v>151007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Oil</v>
          </cell>
          <cell r="R32">
            <v>0</v>
          </cell>
        </row>
        <row r="33">
          <cell r="A33" t="str">
            <v>TW</v>
          </cell>
          <cell r="B33" t="str">
            <v>151007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Oil</v>
          </cell>
          <cell r="R33">
            <v>0</v>
          </cell>
        </row>
        <row r="34">
          <cell r="A34" t="str">
            <v>91</v>
          </cell>
          <cell r="B34" t="str">
            <v>151020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>RailCar</v>
          </cell>
          <cell r="R34">
            <v>0</v>
          </cell>
        </row>
        <row r="35">
          <cell r="A35" t="str">
            <v>3D</v>
          </cell>
          <cell r="B35" t="str">
            <v>151009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315490.7</v>
          </cell>
          <cell r="P35">
            <v>0</v>
          </cell>
          <cell r="Q35" t="str">
            <v>Gas</v>
          </cell>
          <cell r="R35">
            <v>0</v>
          </cell>
        </row>
        <row r="36">
          <cell r="A36" t="str">
            <v>40</v>
          </cell>
          <cell r="B36" t="str">
            <v>151009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 t="str">
            <v>Gas</v>
          </cell>
          <cell r="R36">
            <v>0</v>
          </cell>
        </row>
        <row r="37">
          <cell r="A37" t="str">
            <v>41</v>
          </cell>
          <cell r="B37" t="str">
            <v>151009</v>
          </cell>
          <cell r="C37">
            <v>176430.5</v>
          </cell>
          <cell r="D37">
            <v>244651.5</v>
          </cell>
          <cell r="E37">
            <v>244651.5</v>
          </cell>
          <cell r="F37">
            <v>244651.5</v>
          </cell>
          <cell r="G37">
            <v>244651.5</v>
          </cell>
          <cell r="H37">
            <v>244651.5</v>
          </cell>
          <cell r="I37">
            <v>244651.5</v>
          </cell>
          <cell r="J37">
            <v>244651.5</v>
          </cell>
          <cell r="K37">
            <v>244651.5</v>
          </cell>
          <cell r="L37">
            <v>244651.5</v>
          </cell>
          <cell r="M37">
            <v>244651.5</v>
          </cell>
          <cell r="N37">
            <v>244651.5</v>
          </cell>
          <cell r="O37">
            <v>0</v>
          </cell>
          <cell r="P37">
            <v>244651.5</v>
          </cell>
          <cell r="Q37" t="str">
            <v>Gas</v>
          </cell>
          <cell r="R37">
            <v>244651.5</v>
          </cell>
        </row>
        <row r="38">
          <cell r="A38" t="str">
            <v>9F</v>
          </cell>
          <cell r="B38" t="str">
            <v>151009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Gas</v>
          </cell>
          <cell r="R38">
            <v>0</v>
          </cell>
        </row>
        <row r="39">
          <cell r="A39" t="str">
            <v>RR</v>
          </cell>
          <cell r="B39" t="str">
            <v>1511NW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Coal</v>
          </cell>
          <cell r="R39">
            <v>0</v>
          </cell>
        </row>
        <row r="40">
          <cell r="A40" t="str">
            <v>15</v>
          </cell>
          <cell r="B40" t="str">
            <v>151001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Coal</v>
          </cell>
          <cell r="R40">
            <v>0</v>
          </cell>
        </row>
        <row r="41">
          <cell r="A41" t="str">
            <v>15</v>
          </cell>
          <cell r="B41" t="str">
            <v>151007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Oil</v>
          </cell>
          <cell r="R41">
            <v>0</v>
          </cell>
        </row>
        <row r="42">
          <cell r="A42" t="str">
            <v>15</v>
          </cell>
          <cell r="B42" t="str">
            <v>151025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FlyAsh</v>
          </cell>
          <cell r="R42">
            <v>0</v>
          </cell>
        </row>
        <row r="43">
          <cell r="A43" t="str">
            <v>61</v>
          </cell>
          <cell r="B43" t="str">
            <v>151020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RailCar</v>
          </cell>
          <cell r="R43">
            <v>0</v>
          </cell>
        </row>
        <row r="44">
          <cell r="A44" t="str">
            <v>68</v>
          </cell>
          <cell r="B44" t="str">
            <v>151007</v>
          </cell>
          <cell r="C44">
            <v>226943</v>
          </cell>
          <cell r="D44">
            <v>226943</v>
          </cell>
          <cell r="E44">
            <v>226943</v>
          </cell>
          <cell r="F44">
            <v>226943</v>
          </cell>
          <cell r="G44">
            <v>226943</v>
          </cell>
          <cell r="H44">
            <v>226943</v>
          </cell>
          <cell r="I44">
            <v>226943</v>
          </cell>
          <cell r="J44">
            <v>226943</v>
          </cell>
          <cell r="K44">
            <v>226943</v>
          </cell>
          <cell r="L44">
            <v>226943</v>
          </cell>
          <cell r="M44">
            <v>226943</v>
          </cell>
          <cell r="N44">
            <v>226943</v>
          </cell>
          <cell r="O44">
            <v>226943</v>
          </cell>
          <cell r="P44">
            <v>226943</v>
          </cell>
          <cell r="Q44" t="str">
            <v>Oil</v>
          </cell>
          <cell r="R44">
            <v>226943</v>
          </cell>
        </row>
        <row r="45">
          <cell r="A45" t="str">
            <v>69</v>
          </cell>
          <cell r="B45" t="str">
            <v>151007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Oil</v>
          </cell>
          <cell r="R45">
            <v>0</v>
          </cell>
        </row>
        <row r="46">
          <cell r="A46" t="str">
            <v>90</v>
          </cell>
          <cell r="B46" t="str">
            <v>151001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Coal</v>
          </cell>
          <cell r="R46">
            <v>0</v>
          </cell>
        </row>
        <row r="47">
          <cell r="A47" t="str">
            <v>90</v>
          </cell>
          <cell r="B47" t="str">
            <v>151003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Coal</v>
          </cell>
          <cell r="R47">
            <v>0</v>
          </cell>
        </row>
        <row r="48">
          <cell r="A48" t="str">
            <v>90</v>
          </cell>
          <cell r="B48" t="str">
            <v>151007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Oil</v>
          </cell>
          <cell r="R48">
            <v>0</v>
          </cell>
        </row>
        <row r="49">
          <cell r="A49" t="str">
            <v>90</v>
          </cell>
          <cell r="B49" t="str">
            <v>151010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 t="str">
            <v>RailCar</v>
          </cell>
          <cell r="R49">
            <v>0</v>
          </cell>
        </row>
        <row r="50">
          <cell r="A50" t="str">
            <v>90</v>
          </cell>
          <cell r="B50" t="str">
            <v>151020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 t="str">
            <v>RailCar</v>
          </cell>
          <cell r="R50">
            <v>0</v>
          </cell>
        </row>
        <row r="51">
          <cell r="A51" t="str">
            <v>90</v>
          </cell>
          <cell r="B51" t="str">
            <v>151100</v>
          </cell>
          <cell r="C51">
            <v>1642911</v>
          </cell>
          <cell r="D51">
            <v>1240367</v>
          </cell>
          <cell r="E51">
            <v>1263361</v>
          </cell>
          <cell r="F51">
            <v>1263361</v>
          </cell>
          <cell r="G51">
            <v>1263361</v>
          </cell>
          <cell r="H51">
            <v>1263361</v>
          </cell>
          <cell r="I51">
            <v>1263361</v>
          </cell>
          <cell r="J51">
            <v>1263361</v>
          </cell>
          <cell r="K51">
            <v>1263361</v>
          </cell>
          <cell r="L51">
            <v>1263361</v>
          </cell>
          <cell r="M51">
            <v>1263361</v>
          </cell>
          <cell r="N51">
            <v>1263361</v>
          </cell>
          <cell r="O51">
            <v>2025446</v>
          </cell>
          <cell r="P51">
            <v>1263361</v>
          </cell>
          <cell r="Q51" t="str">
            <v>Gas</v>
          </cell>
          <cell r="R51">
            <v>1240367</v>
          </cell>
        </row>
        <row r="52">
          <cell r="A52" t="str">
            <v>91</v>
          </cell>
          <cell r="B52" t="str">
            <v>151001</v>
          </cell>
          <cell r="C52">
            <v>1205389.3899999999</v>
          </cell>
          <cell r="D52">
            <v>1117240.17</v>
          </cell>
          <cell r="E52">
            <v>1149940.8799999999</v>
          </cell>
          <cell r="F52">
            <v>1149940.8799999999</v>
          </cell>
          <cell r="G52">
            <v>1149940.8799999999</v>
          </cell>
          <cell r="H52">
            <v>1149940.8799999999</v>
          </cell>
          <cell r="I52">
            <v>1149940.8799999999</v>
          </cell>
          <cell r="J52">
            <v>1149940.8799999999</v>
          </cell>
          <cell r="K52">
            <v>1149940.8799999999</v>
          </cell>
          <cell r="L52">
            <v>1149940.8799999999</v>
          </cell>
          <cell r="M52">
            <v>1149940.8799999999</v>
          </cell>
          <cell r="N52">
            <v>1149940.8799999999</v>
          </cell>
          <cell r="O52">
            <v>1240569.31</v>
          </cell>
          <cell r="P52">
            <v>1149940.8799999999</v>
          </cell>
          <cell r="Q52" t="str">
            <v>Coal</v>
          </cell>
          <cell r="R52">
            <v>1117240.17</v>
          </cell>
        </row>
        <row r="53">
          <cell r="A53" t="str">
            <v>91</v>
          </cell>
          <cell r="B53" t="str">
            <v>151003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 t="str">
            <v>Coal</v>
          </cell>
          <cell r="R53">
            <v>0</v>
          </cell>
        </row>
        <row r="54">
          <cell r="A54" t="str">
            <v>91</v>
          </cell>
          <cell r="B54" t="str">
            <v>151007</v>
          </cell>
          <cell r="C54">
            <v>252654.2</v>
          </cell>
          <cell r="D54">
            <v>257833.2</v>
          </cell>
          <cell r="E54">
            <v>233612.2</v>
          </cell>
          <cell r="F54">
            <v>233612.2</v>
          </cell>
          <cell r="G54">
            <v>233612.2</v>
          </cell>
          <cell r="H54">
            <v>233612.2</v>
          </cell>
          <cell r="I54">
            <v>233612.2</v>
          </cell>
          <cell r="J54">
            <v>233612.2</v>
          </cell>
          <cell r="K54">
            <v>233612.2</v>
          </cell>
          <cell r="L54">
            <v>233612.2</v>
          </cell>
          <cell r="M54">
            <v>233612.2</v>
          </cell>
          <cell r="N54">
            <v>233612.2</v>
          </cell>
          <cell r="O54">
            <v>256531.20000000001</v>
          </cell>
          <cell r="P54">
            <v>233612.2</v>
          </cell>
          <cell r="Q54" t="str">
            <v>Oil</v>
          </cell>
          <cell r="R54">
            <v>257833.2</v>
          </cell>
        </row>
        <row r="55">
          <cell r="A55" t="str">
            <v>91</v>
          </cell>
          <cell r="B55" t="str">
            <v>151011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Coal</v>
          </cell>
          <cell r="R55">
            <v>0</v>
          </cell>
        </row>
        <row r="56">
          <cell r="A56" t="str">
            <v>91</v>
          </cell>
          <cell r="B56" t="str">
            <v>151016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 t="str">
            <v>Coal</v>
          </cell>
          <cell r="R56">
            <v>0</v>
          </cell>
        </row>
        <row r="57">
          <cell r="A57" t="str">
            <v>91</v>
          </cell>
          <cell r="B57" t="str">
            <v>151020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RailCar</v>
          </cell>
          <cell r="R57">
            <v>0</v>
          </cell>
        </row>
        <row r="58">
          <cell r="A58" t="str">
            <v>91</v>
          </cell>
          <cell r="B58" t="str">
            <v>151201</v>
          </cell>
          <cell r="C58">
            <v>68263.850000000006</v>
          </cell>
          <cell r="D58">
            <v>51410.55</v>
          </cell>
          <cell r="E58">
            <v>17250.25</v>
          </cell>
          <cell r="F58">
            <v>17250.25</v>
          </cell>
          <cell r="G58">
            <v>17250.25</v>
          </cell>
          <cell r="H58">
            <v>17250.25</v>
          </cell>
          <cell r="I58">
            <v>17250.25</v>
          </cell>
          <cell r="J58">
            <v>17250.25</v>
          </cell>
          <cell r="K58">
            <v>17250.25</v>
          </cell>
          <cell r="L58">
            <v>17250.25</v>
          </cell>
          <cell r="M58">
            <v>17250.25</v>
          </cell>
          <cell r="N58">
            <v>17250.25</v>
          </cell>
          <cell r="O58">
            <v>51535.199999999997</v>
          </cell>
          <cell r="P58">
            <v>17250.25</v>
          </cell>
          <cell r="Q58" t="str">
            <v>Coal</v>
          </cell>
          <cell r="R58">
            <v>51410.55</v>
          </cell>
        </row>
        <row r="59">
          <cell r="A59" t="str">
            <v>91</v>
          </cell>
          <cell r="B59" t="str">
            <v>151203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 t="str">
            <v>Coal</v>
          </cell>
          <cell r="R59">
            <v>0</v>
          </cell>
        </row>
        <row r="60">
          <cell r="A60" t="str">
            <v>92</v>
          </cell>
          <cell r="B60" t="str">
            <v>151001</v>
          </cell>
          <cell r="C60">
            <v>882496.12</v>
          </cell>
          <cell r="D60">
            <v>838716.19</v>
          </cell>
          <cell r="E60">
            <v>849838.47</v>
          </cell>
          <cell r="F60">
            <v>849838.47</v>
          </cell>
          <cell r="G60">
            <v>849838.47</v>
          </cell>
          <cell r="H60">
            <v>849838.47</v>
          </cell>
          <cell r="I60">
            <v>849838.47</v>
          </cell>
          <cell r="J60">
            <v>849838.47</v>
          </cell>
          <cell r="K60">
            <v>849838.47</v>
          </cell>
          <cell r="L60">
            <v>849838.47</v>
          </cell>
          <cell r="M60">
            <v>849838.47</v>
          </cell>
          <cell r="N60">
            <v>849838.47</v>
          </cell>
          <cell r="O60">
            <v>847879.45</v>
          </cell>
          <cell r="P60">
            <v>849838.47</v>
          </cell>
          <cell r="Q60" t="str">
            <v>Coal</v>
          </cell>
          <cell r="R60">
            <v>838716.19</v>
          </cell>
        </row>
        <row r="61">
          <cell r="A61" t="str">
            <v>92</v>
          </cell>
          <cell r="B61" t="str">
            <v>151003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Coal</v>
          </cell>
          <cell r="R61">
            <v>0</v>
          </cell>
        </row>
        <row r="62">
          <cell r="A62" t="str">
            <v>92</v>
          </cell>
          <cell r="B62" t="str">
            <v>151007</v>
          </cell>
          <cell r="C62">
            <v>118320</v>
          </cell>
          <cell r="D62">
            <v>123406</v>
          </cell>
          <cell r="E62">
            <v>126772</v>
          </cell>
          <cell r="F62">
            <v>126772</v>
          </cell>
          <cell r="G62">
            <v>126772</v>
          </cell>
          <cell r="H62">
            <v>126772</v>
          </cell>
          <cell r="I62">
            <v>126772</v>
          </cell>
          <cell r="J62">
            <v>126772</v>
          </cell>
          <cell r="K62">
            <v>126772</v>
          </cell>
          <cell r="L62">
            <v>126772</v>
          </cell>
          <cell r="M62">
            <v>126772</v>
          </cell>
          <cell r="N62">
            <v>126772</v>
          </cell>
          <cell r="O62">
            <v>123304</v>
          </cell>
          <cell r="P62">
            <v>126772</v>
          </cell>
          <cell r="Q62" t="str">
            <v>Oil</v>
          </cell>
          <cell r="R62">
            <v>123406</v>
          </cell>
        </row>
        <row r="63">
          <cell r="A63" t="str">
            <v>92</v>
          </cell>
          <cell r="B63" t="str">
            <v>151012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Coal</v>
          </cell>
          <cell r="R63">
            <v>0</v>
          </cell>
        </row>
        <row r="64">
          <cell r="A64" t="str">
            <v>92</v>
          </cell>
          <cell r="B64" t="str">
            <v>151017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Coal</v>
          </cell>
          <cell r="R64">
            <v>0</v>
          </cell>
        </row>
        <row r="65">
          <cell r="A65" t="str">
            <v>92</v>
          </cell>
          <cell r="B65" t="str">
            <v>151020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RailCar</v>
          </cell>
          <cell r="R65">
            <v>0</v>
          </cell>
        </row>
        <row r="66">
          <cell r="A66" t="str">
            <v>92</v>
          </cell>
          <cell r="B66" t="str">
            <v>151201</v>
          </cell>
          <cell r="C66">
            <v>13969.3</v>
          </cell>
          <cell r="D66">
            <v>27638.98</v>
          </cell>
          <cell r="E66">
            <v>13797.95</v>
          </cell>
          <cell r="F66">
            <v>13797.95</v>
          </cell>
          <cell r="G66">
            <v>13797.95</v>
          </cell>
          <cell r="H66">
            <v>13797.95</v>
          </cell>
          <cell r="I66">
            <v>13797.95</v>
          </cell>
          <cell r="J66">
            <v>13797.95</v>
          </cell>
          <cell r="K66">
            <v>13797.95</v>
          </cell>
          <cell r="L66">
            <v>13797.95</v>
          </cell>
          <cell r="M66">
            <v>13797.95</v>
          </cell>
          <cell r="N66">
            <v>13797.95</v>
          </cell>
          <cell r="O66">
            <v>27519.88</v>
          </cell>
          <cell r="P66">
            <v>13797.95</v>
          </cell>
          <cell r="Q66" t="str">
            <v>Coal</v>
          </cell>
          <cell r="R66">
            <v>27638.98</v>
          </cell>
        </row>
        <row r="67">
          <cell r="A67" t="str">
            <v>92</v>
          </cell>
          <cell r="B67" t="str">
            <v>151203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 t="str">
            <v>Coal</v>
          </cell>
          <cell r="R67">
            <v>0</v>
          </cell>
        </row>
        <row r="68">
          <cell r="A68" t="str">
            <v>93</v>
          </cell>
          <cell r="B68" t="str">
            <v>151001</v>
          </cell>
          <cell r="C68">
            <v>173156.84</v>
          </cell>
          <cell r="D68">
            <v>175591.84</v>
          </cell>
          <cell r="E68">
            <v>174266.83</v>
          </cell>
          <cell r="F68">
            <v>174266.83</v>
          </cell>
          <cell r="G68">
            <v>174266.83</v>
          </cell>
          <cell r="H68">
            <v>174266.83</v>
          </cell>
          <cell r="I68">
            <v>174266.83</v>
          </cell>
          <cell r="J68">
            <v>174266.83</v>
          </cell>
          <cell r="K68">
            <v>174266.83</v>
          </cell>
          <cell r="L68">
            <v>174266.83</v>
          </cell>
          <cell r="M68">
            <v>174266.83</v>
          </cell>
          <cell r="N68">
            <v>174266.83</v>
          </cell>
          <cell r="O68">
            <v>208157.71</v>
          </cell>
          <cell r="P68">
            <v>174266.83</v>
          </cell>
          <cell r="Q68" t="str">
            <v>Coal</v>
          </cell>
          <cell r="R68">
            <v>175591.84</v>
          </cell>
        </row>
        <row r="69">
          <cell r="A69" t="str">
            <v>93</v>
          </cell>
          <cell r="B69" t="str">
            <v>151003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 t="str">
            <v>Coal</v>
          </cell>
          <cell r="R69">
            <v>0</v>
          </cell>
        </row>
        <row r="70">
          <cell r="A70" t="str">
            <v>93</v>
          </cell>
          <cell r="B70" t="str">
            <v>151007</v>
          </cell>
          <cell r="C70">
            <v>94575.039999999994</v>
          </cell>
          <cell r="D70">
            <v>96370.04</v>
          </cell>
          <cell r="E70">
            <v>98679.039999999994</v>
          </cell>
          <cell r="F70">
            <v>98679.039999999994</v>
          </cell>
          <cell r="G70">
            <v>98679.039999999994</v>
          </cell>
          <cell r="H70">
            <v>98679.039999999994</v>
          </cell>
          <cell r="I70">
            <v>98679.039999999994</v>
          </cell>
          <cell r="J70">
            <v>98679.039999999994</v>
          </cell>
          <cell r="K70">
            <v>98679.039999999994</v>
          </cell>
          <cell r="L70">
            <v>98679.039999999994</v>
          </cell>
          <cell r="M70">
            <v>98679.039999999994</v>
          </cell>
          <cell r="N70">
            <v>98679.039999999994</v>
          </cell>
          <cell r="O70">
            <v>94532.04</v>
          </cell>
          <cell r="P70">
            <v>98679.039999999994</v>
          </cell>
          <cell r="Q70" t="str">
            <v>Oil</v>
          </cell>
          <cell r="R70">
            <v>96370.04</v>
          </cell>
        </row>
        <row r="71">
          <cell r="A71" t="str">
            <v>93</v>
          </cell>
          <cell r="B71" t="str">
            <v>151013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Coal</v>
          </cell>
          <cell r="R71">
            <v>0</v>
          </cell>
        </row>
        <row r="72">
          <cell r="A72" t="str">
            <v>93</v>
          </cell>
          <cell r="B72" t="str">
            <v>151018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Coal</v>
          </cell>
          <cell r="R72">
            <v>0</v>
          </cell>
        </row>
        <row r="73">
          <cell r="A73" t="str">
            <v>93</v>
          </cell>
          <cell r="B73" t="str">
            <v>151020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RailCar</v>
          </cell>
          <cell r="R73">
            <v>0</v>
          </cell>
        </row>
        <row r="74">
          <cell r="A74" t="str">
            <v>93</v>
          </cell>
          <cell r="B74" t="str">
            <v>151021</v>
          </cell>
          <cell r="C74">
            <v>968606</v>
          </cell>
          <cell r="D74">
            <v>968606</v>
          </cell>
          <cell r="E74">
            <v>968606</v>
          </cell>
          <cell r="F74">
            <v>968606</v>
          </cell>
          <cell r="G74">
            <v>968606</v>
          </cell>
          <cell r="H74">
            <v>968606</v>
          </cell>
          <cell r="I74">
            <v>968606</v>
          </cell>
          <cell r="J74">
            <v>968606</v>
          </cell>
          <cell r="K74">
            <v>968606</v>
          </cell>
          <cell r="L74">
            <v>968606</v>
          </cell>
          <cell r="M74">
            <v>968606</v>
          </cell>
          <cell r="N74">
            <v>968606</v>
          </cell>
          <cell r="O74">
            <v>968606</v>
          </cell>
          <cell r="P74">
            <v>968606</v>
          </cell>
          <cell r="Q74" t="str">
            <v>Oil</v>
          </cell>
          <cell r="R74">
            <v>968606</v>
          </cell>
        </row>
        <row r="75">
          <cell r="A75" t="str">
            <v>93</v>
          </cell>
          <cell r="B75" t="str">
            <v>151201</v>
          </cell>
          <cell r="C75">
            <v>30257.31</v>
          </cell>
          <cell r="D75">
            <v>40338.74</v>
          </cell>
          <cell r="E75">
            <v>32385.74</v>
          </cell>
          <cell r="F75">
            <v>32385.74</v>
          </cell>
          <cell r="G75">
            <v>32385.74</v>
          </cell>
          <cell r="H75">
            <v>32385.74</v>
          </cell>
          <cell r="I75">
            <v>32385.74</v>
          </cell>
          <cell r="J75">
            <v>32385.74</v>
          </cell>
          <cell r="K75">
            <v>32385.74</v>
          </cell>
          <cell r="L75">
            <v>32385.74</v>
          </cell>
          <cell r="M75">
            <v>32385.74</v>
          </cell>
          <cell r="N75">
            <v>32385.74</v>
          </cell>
          <cell r="O75">
            <v>22828.87</v>
          </cell>
          <cell r="P75">
            <v>32385.74</v>
          </cell>
          <cell r="Q75" t="str">
            <v>Coal</v>
          </cell>
          <cell r="R75">
            <v>40338.74</v>
          </cell>
        </row>
        <row r="76">
          <cell r="A76" t="str">
            <v>93</v>
          </cell>
          <cell r="B76" t="str">
            <v>151203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Coal</v>
          </cell>
          <cell r="R76">
            <v>0</v>
          </cell>
        </row>
        <row r="77">
          <cell r="A77" t="str">
            <v>95</v>
          </cell>
          <cell r="B77" t="str">
            <v>151001</v>
          </cell>
          <cell r="C77">
            <v>54421.04</v>
          </cell>
          <cell r="D77">
            <v>54932.71</v>
          </cell>
          <cell r="E77">
            <v>83175.08</v>
          </cell>
          <cell r="F77">
            <v>83175.08</v>
          </cell>
          <cell r="G77">
            <v>83175.08</v>
          </cell>
          <cell r="H77">
            <v>83175.08</v>
          </cell>
          <cell r="I77">
            <v>83175.08</v>
          </cell>
          <cell r="J77">
            <v>83175.08</v>
          </cell>
          <cell r="K77">
            <v>83175.08</v>
          </cell>
          <cell r="L77">
            <v>83175.08</v>
          </cell>
          <cell r="M77">
            <v>83175.08</v>
          </cell>
          <cell r="N77">
            <v>83175.08</v>
          </cell>
          <cell r="O77">
            <v>56191.72</v>
          </cell>
          <cell r="P77">
            <v>83175.08</v>
          </cell>
          <cell r="Q77" t="str">
            <v>Coal</v>
          </cell>
          <cell r="R77">
            <v>54932.71</v>
          </cell>
        </row>
        <row r="78">
          <cell r="A78" t="str">
            <v>95</v>
          </cell>
          <cell r="B78" t="str">
            <v>151003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Coal</v>
          </cell>
          <cell r="R78">
            <v>0</v>
          </cell>
        </row>
        <row r="79">
          <cell r="A79" t="str">
            <v>95</v>
          </cell>
          <cell r="B79" t="str">
            <v>151004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 t="str">
            <v>PetCoke</v>
          </cell>
          <cell r="R79">
            <v>0</v>
          </cell>
        </row>
        <row r="80">
          <cell r="A80" t="str">
            <v>95</v>
          </cell>
          <cell r="B80" t="str">
            <v>151007</v>
          </cell>
          <cell r="C80">
            <v>62225</v>
          </cell>
          <cell r="D80">
            <v>61827</v>
          </cell>
          <cell r="E80">
            <v>40812</v>
          </cell>
          <cell r="F80">
            <v>40812</v>
          </cell>
          <cell r="G80">
            <v>40812</v>
          </cell>
          <cell r="H80">
            <v>40812</v>
          </cell>
          <cell r="I80">
            <v>40812</v>
          </cell>
          <cell r="J80">
            <v>40812</v>
          </cell>
          <cell r="K80">
            <v>40812</v>
          </cell>
          <cell r="L80">
            <v>40812</v>
          </cell>
          <cell r="M80">
            <v>40812</v>
          </cell>
          <cell r="N80">
            <v>40812</v>
          </cell>
          <cell r="O80">
            <v>46879</v>
          </cell>
          <cell r="P80">
            <v>40812</v>
          </cell>
          <cell r="Q80" t="str">
            <v>Oil</v>
          </cell>
          <cell r="R80">
            <v>61827</v>
          </cell>
        </row>
        <row r="81">
          <cell r="A81" t="str">
            <v>95</v>
          </cell>
          <cell r="B81" t="str">
            <v>151013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Coal</v>
          </cell>
          <cell r="R81">
            <v>0</v>
          </cell>
        </row>
        <row r="82">
          <cell r="A82" t="str">
            <v>95</v>
          </cell>
          <cell r="B82" t="str">
            <v>151018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Coal</v>
          </cell>
          <cell r="R82">
            <v>0</v>
          </cell>
        </row>
        <row r="83">
          <cell r="A83" t="str">
            <v>96</v>
          </cell>
          <cell r="B83" t="str">
            <v>151003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 t="str">
            <v>Coal</v>
          </cell>
          <cell r="R83">
            <v>0</v>
          </cell>
        </row>
        <row r="84">
          <cell r="A84" t="str">
            <v>1N</v>
          </cell>
          <cell r="B84" t="str">
            <v>151007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Oil</v>
          </cell>
          <cell r="R84">
            <v>0</v>
          </cell>
        </row>
        <row r="85">
          <cell r="A85" t="str">
            <v>MH</v>
          </cell>
          <cell r="B85" t="str">
            <v>151025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 t="str">
            <v>FlyAsh</v>
          </cell>
          <cell r="R85">
            <v>0</v>
          </cell>
        </row>
        <row r="86">
          <cell r="A86" t="str">
            <v>20</v>
          </cell>
          <cell r="B86" t="str">
            <v>151001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Coal</v>
          </cell>
          <cell r="R86">
            <v>0</v>
          </cell>
        </row>
        <row r="87">
          <cell r="A87" t="str">
            <v>20</v>
          </cell>
          <cell r="B87" t="str">
            <v>151003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Coal</v>
          </cell>
          <cell r="R87">
            <v>0</v>
          </cell>
        </row>
        <row r="88">
          <cell r="A88" t="str">
            <v>20</v>
          </cell>
          <cell r="B88" t="str">
            <v>151010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RailCar</v>
          </cell>
          <cell r="R88">
            <v>0</v>
          </cell>
        </row>
        <row r="89">
          <cell r="A89" t="str">
            <v>20</v>
          </cell>
          <cell r="B89" t="str">
            <v>151100</v>
          </cell>
          <cell r="C89">
            <v>12553</v>
          </cell>
          <cell r="D89">
            <v>17784</v>
          </cell>
          <cell r="E89">
            <v>13399</v>
          </cell>
          <cell r="F89">
            <v>13399</v>
          </cell>
          <cell r="G89">
            <v>13399</v>
          </cell>
          <cell r="H89">
            <v>13399</v>
          </cell>
          <cell r="I89">
            <v>13399</v>
          </cell>
          <cell r="J89">
            <v>13399</v>
          </cell>
          <cell r="K89">
            <v>13399</v>
          </cell>
          <cell r="L89">
            <v>13399</v>
          </cell>
          <cell r="M89">
            <v>13399</v>
          </cell>
          <cell r="N89">
            <v>13399</v>
          </cell>
          <cell r="O89">
            <v>6256</v>
          </cell>
          <cell r="P89">
            <v>13399</v>
          </cell>
          <cell r="Q89" t="str">
            <v>Gas</v>
          </cell>
          <cell r="R89">
            <v>17784</v>
          </cell>
        </row>
        <row r="90">
          <cell r="A90" t="str">
            <v>21</v>
          </cell>
          <cell r="B90" t="str">
            <v>151010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RailCar</v>
          </cell>
          <cell r="R90">
            <v>0</v>
          </cell>
        </row>
        <row r="91">
          <cell r="A91" t="str">
            <v>5A</v>
          </cell>
          <cell r="B91" t="str">
            <v>151003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>Coal</v>
          </cell>
          <cell r="R91">
            <v>0</v>
          </cell>
        </row>
        <row r="92">
          <cell r="A92" t="str">
            <v>5A</v>
          </cell>
          <cell r="B92" t="str">
            <v>151100</v>
          </cell>
          <cell r="C92">
            <v>926633</v>
          </cell>
          <cell r="D92">
            <v>726551</v>
          </cell>
          <cell r="E92">
            <v>718385</v>
          </cell>
          <cell r="F92">
            <v>718385</v>
          </cell>
          <cell r="G92">
            <v>718385</v>
          </cell>
          <cell r="H92">
            <v>718385</v>
          </cell>
          <cell r="I92">
            <v>718385</v>
          </cell>
          <cell r="J92">
            <v>718385</v>
          </cell>
          <cell r="K92">
            <v>718385</v>
          </cell>
          <cell r="L92">
            <v>718385</v>
          </cell>
          <cell r="M92">
            <v>718385</v>
          </cell>
          <cell r="N92">
            <v>718385</v>
          </cell>
          <cell r="O92">
            <v>973156</v>
          </cell>
          <cell r="P92">
            <v>718385</v>
          </cell>
          <cell r="Q92" t="str">
            <v>Gas</v>
          </cell>
          <cell r="R92">
            <v>726551</v>
          </cell>
        </row>
        <row r="93">
          <cell r="A93" t="str">
            <v>50</v>
          </cell>
          <cell r="B93" t="str">
            <v>151001</v>
          </cell>
          <cell r="C93">
            <v>960233.4</v>
          </cell>
          <cell r="D93">
            <v>920494.42</v>
          </cell>
          <cell r="E93">
            <v>927998.94</v>
          </cell>
          <cell r="F93">
            <v>927998.94</v>
          </cell>
          <cell r="G93">
            <v>927998.94</v>
          </cell>
          <cell r="H93">
            <v>927998.94</v>
          </cell>
          <cell r="I93">
            <v>927998.94</v>
          </cell>
          <cell r="J93">
            <v>927998.94</v>
          </cell>
          <cell r="K93">
            <v>927998.94</v>
          </cell>
          <cell r="L93">
            <v>927998.94</v>
          </cell>
          <cell r="M93">
            <v>927998.94</v>
          </cell>
          <cell r="N93">
            <v>927998.94</v>
          </cell>
          <cell r="O93">
            <v>1002614.45</v>
          </cell>
          <cell r="P93">
            <v>927998.94</v>
          </cell>
          <cell r="Q93" t="str">
            <v>Coal</v>
          </cell>
          <cell r="R93">
            <v>920494.42</v>
          </cell>
        </row>
        <row r="94">
          <cell r="A94" t="str">
            <v>50</v>
          </cell>
          <cell r="B94" t="str">
            <v>151002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Coal</v>
          </cell>
          <cell r="R94">
            <v>0</v>
          </cell>
        </row>
        <row r="95">
          <cell r="A95" t="str">
            <v>50</v>
          </cell>
          <cell r="B95" t="str">
            <v>151003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Coal</v>
          </cell>
          <cell r="R95">
            <v>0</v>
          </cell>
        </row>
        <row r="96">
          <cell r="A96" t="str">
            <v>50</v>
          </cell>
          <cell r="B96" t="str">
            <v>151004</v>
          </cell>
          <cell r="C96">
            <v>0.1</v>
          </cell>
          <cell r="D96">
            <v>0.1</v>
          </cell>
          <cell r="E96">
            <v>0.1</v>
          </cell>
          <cell r="F96">
            <v>0.1</v>
          </cell>
          <cell r="G96">
            <v>0.1</v>
          </cell>
          <cell r="H96">
            <v>0.1</v>
          </cell>
          <cell r="I96">
            <v>0.1</v>
          </cell>
          <cell r="J96">
            <v>0.1</v>
          </cell>
          <cell r="K96">
            <v>0.1</v>
          </cell>
          <cell r="L96">
            <v>0.1</v>
          </cell>
          <cell r="M96">
            <v>0.1</v>
          </cell>
          <cell r="N96">
            <v>0.1</v>
          </cell>
          <cell r="O96">
            <v>0.1</v>
          </cell>
          <cell r="P96">
            <v>0.1</v>
          </cell>
          <cell r="Q96" t="str">
            <v>PetCoke</v>
          </cell>
          <cell r="R96">
            <v>0.1</v>
          </cell>
        </row>
        <row r="97">
          <cell r="A97" t="str">
            <v>50</v>
          </cell>
          <cell r="B97" t="str">
            <v>151006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Propane</v>
          </cell>
          <cell r="R97">
            <v>0</v>
          </cell>
        </row>
        <row r="98">
          <cell r="A98" t="str">
            <v>50</v>
          </cell>
          <cell r="B98" t="str">
            <v>151007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Oil</v>
          </cell>
          <cell r="R98">
            <v>0</v>
          </cell>
        </row>
        <row r="99">
          <cell r="A99" t="str">
            <v>50</v>
          </cell>
          <cell r="B99" t="str">
            <v>151201</v>
          </cell>
          <cell r="C99">
            <v>15252.45</v>
          </cell>
          <cell r="D99">
            <v>15501</v>
          </cell>
          <cell r="E99">
            <v>15456.9</v>
          </cell>
          <cell r="F99">
            <v>15456.9</v>
          </cell>
          <cell r="G99">
            <v>15456.9</v>
          </cell>
          <cell r="H99">
            <v>15456.9</v>
          </cell>
          <cell r="I99">
            <v>15456.9</v>
          </cell>
          <cell r="J99">
            <v>15456.9</v>
          </cell>
          <cell r="K99">
            <v>15456.9</v>
          </cell>
          <cell r="L99">
            <v>15456.9</v>
          </cell>
          <cell r="M99">
            <v>15456.9</v>
          </cell>
          <cell r="N99">
            <v>15456.9</v>
          </cell>
          <cell r="O99">
            <v>15762.9</v>
          </cell>
          <cell r="P99">
            <v>15456.9</v>
          </cell>
          <cell r="Q99" t="str">
            <v>Coal</v>
          </cell>
          <cell r="R99">
            <v>15501</v>
          </cell>
        </row>
        <row r="100">
          <cell r="A100" t="str">
            <v>50</v>
          </cell>
          <cell r="B100" t="str">
            <v>151203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Coal</v>
          </cell>
          <cell r="R100">
            <v>0</v>
          </cell>
        </row>
        <row r="101">
          <cell r="A101" t="str">
            <v>53</v>
          </cell>
          <cell r="B101" t="str">
            <v>151001</v>
          </cell>
          <cell r="C101">
            <v>581410.52</v>
          </cell>
          <cell r="D101">
            <v>566673.06000000006</v>
          </cell>
          <cell r="E101">
            <v>669645.77</v>
          </cell>
          <cell r="F101">
            <v>669645.77</v>
          </cell>
          <cell r="G101">
            <v>669645.77</v>
          </cell>
          <cell r="H101">
            <v>669645.77</v>
          </cell>
          <cell r="I101">
            <v>669645.77</v>
          </cell>
          <cell r="J101">
            <v>669645.77</v>
          </cell>
          <cell r="K101">
            <v>669645.77</v>
          </cell>
          <cell r="L101">
            <v>669645.77</v>
          </cell>
          <cell r="M101">
            <v>669645.77</v>
          </cell>
          <cell r="N101">
            <v>669645.77</v>
          </cell>
          <cell r="O101">
            <v>640770.73</v>
          </cell>
          <cell r="P101">
            <v>669645.77</v>
          </cell>
          <cell r="Q101" t="str">
            <v>Coal</v>
          </cell>
          <cell r="R101">
            <v>566673.06000000006</v>
          </cell>
        </row>
        <row r="102">
          <cell r="A102" t="str">
            <v>53</v>
          </cell>
          <cell r="B102" t="str">
            <v>151002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Coal</v>
          </cell>
          <cell r="R102">
            <v>0</v>
          </cell>
        </row>
        <row r="103">
          <cell r="A103" t="str">
            <v>53</v>
          </cell>
          <cell r="B103" t="str">
            <v>151003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 t="str">
            <v>Coal</v>
          </cell>
          <cell r="R103">
            <v>0</v>
          </cell>
        </row>
        <row r="104">
          <cell r="A104" t="str">
            <v>53</v>
          </cell>
          <cell r="B104" t="str">
            <v>151004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 t="str">
            <v>PetCoke</v>
          </cell>
          <cell r="R104">
            <v>0</v>
          </cell>
        </row>
        <row r="105">
          <cell r="A105" t="str">
            <v>53</v>
          </cell>
          <cell r="B105" t="str">
            <v>151007</v>
          </cell>
          <cell r="C105">
            <v>30770</v>
          </cell>
          <cell r="D105">
            <v>35433</v>
          </cell>
          <cell r="E105">
            <v>31622</v>
          </cell>
          <cell r="F105">
            <v>31622</v>
          </cell>
          <cell r="G105">
            <v>31622</v>
          </cell>
          <cell r="H105">
            <v>31622</v>
          </cell>
          <cell r="I105">
            <v>31622</v>
          </cell>
          <cell r="J105">
            <v>31622</v>
          </cell>
          <cell r="K105">
            <v>31622</v>
          </cell>
          <cell r="L105">
            <v>31622</v>
          </cell>
          <cell r="M105">
            <v>31622</v>
          </cell>
          <cell r="N105">
            <v>31622</v>
          </cell>
          <cell r="O105">
            <v>34646</v>
          </cell>
          <cell r="P105">
            <v>31622</v>
          </cell>
          <cell r="Q105" t="str">
            <v>Oil</v>
          </cell>
          <cell r="R105">
            <v>35433</v>
          </cell>
        </row>
        <row r="106">
          <cell r="A106" t="str">
            <v>53</v>
          </cell>
          <cell r="B106" t="str">
            <v>151008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 t="str">
            <v>TireChips</v>
          </cell>
          <cell r="R106">
            <v>0</v>
          </cell>
        </row>
        <row r="107">
          <cell r="A107" t="str">
            <v>53</v>
          </cell>
          <cell r="B107" t="str">
            <v>151201</v>
          </cell>
          <cell r="C107">
            <v>66227.649999999994</v>
          </cell>
          <cell r="D107">
            <v>60975.38</v>
          </cell>
          <cell r="E107">
            <v>47941.26</v>
          </cell>
          <cell r="F107">
            <v>47941.26</v>
          </cell>
          <cell r="G107">
            <v>47941.26</v>
          </cell>
          <cell r="H107">
            <v>47941.26</v>
          </cell>
          <cell r="I107">
            <v>47941.26</v>
          </cell>
          <cell r="J107">
            <v>47941.26</v>
          </cell>
          <cell r="K107">
            <v>47941.26</v>
          </cell>
          <cell r="L107">
            <v>47941.26</v>
          </cell>
          <cell r="M107">
            <v>47941.26</v>
          </cell>
          <cell r="N107">
            <v>47941.26</v>
          </cell>
          <cell r="O107">
            <v>30907.599999999999</v>
          </cell>
          <cell r="P107">
            <v>47941.26</v>
          </cell>
          <cell r="Q107" t="str">
            <v>Coal</v>
          </cell>
          <cell r="R107">
            <v>60975.38</v>
          </cell>
        </row>
        <row r="108">
          <cell r="A108" t="str">
            <v>53</v>
          </cell>
          <cell r="B108" t="str">
            <v>151203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 t="str">
            <v>Coal</v>
          </cell>
          <cell r="R108">
            <v>0</v>
          </cell>
        </row>
        <row r="109">
          <cell r="A109" t="str">
            <v>57</v>
          </cell>
          <cell r="B109" t="str">
            <v>151007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 t="str">
            <v>Oil</v>
          </cell>
          <cell r="R109">
            <v>0</v>
          </cell>
        </row>
        <row r="110">
          <cell r="A110" t="str">
            <v>58</v>
          </cell>
          <cell r="B110" t="str">
            <v>151001</v>
          </cell>
          <cell r="C110">
            <v>2132315.36</v>
          </cell>
          <cell r="D110">
            <v>2121599.9500000002</v>
          </cell>
          <cell r="E110">
            <v>2088101.48</v>
          </cell>
          <cell r="F110">
            <v>2088101.48</v>
          </cell>
          <cell r="G110">
            <v>2088101.48</v>
          </cell>
          <cell r="H110">
            <v>2088101.48</v>
          </cell>
          <cell r="I110">
            <v>2088101.48</v>
          </cell>
          <cell r="J110">
            <v>2088101.48</v>
          </cell>
          <cell r="K110">
            <v>2088101.48</v>
          </cell>
          <cell r="L110">
            <v>2088101.48</v>
          </cell>
          <cell r="M110">
            <v>2088101.48</v>
          </cell>
          <cell r="N110">
            <v>2088101.48</v>
          </cell>
          <cell r="O110">
            <v>2143573.33</v>
          </cell>
          <cell r="P110">
            <v>2088101.48</v>
          </cell>
          <cell r="Q110" t="str">
            <v>Coal</v>
          </cell>
          <cell r="R110">
            <v>2121599.9500000002</v>
          </cell>
        </row>
        <row r="111">
          <cell r="A111" t="str">
            <v>58</v>
          </cell>
          <cell r="B111" t="str">
            <v>151002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 t="str">
            <v>Coal</v>
          </cell>
          <cell r="R111">
            <v>0</v>
          </cell>
        </row>
        <row r="112">
          <cell r="A112" t="str">
            <v>58</v>
          </cell>
          <cell r="B112" t="str">
            <v>151003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Coal</v>
          </cell>
          <cell r="R112">
            <v>0</v>
          </cell>
        </row>
        <row r="113">
          <cell r="A113" t="str">
            <v>58</v>
          </cell>
          <cell r="B113" t="str">
            <v>151005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Waste Oil</v>
          </cell>
          <cell r="R113">
            <v>0</v>
          </cell>
        </row>
        <row r="114">
          <cell r="A114" t="str">
            <v>58</v>
          </cell>
          <cell r="B114" t="str">
            <v>151006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 t="str">
            <v>Propane</v>
          </cell>
          <cell r="R114">
            <v>0</v>
          </cell>
        </row>
        <row r="115">
          <cell r="A115" t="str">
            <v>58</v>
          </cell>
          <cell r="B115" t="str">
            <v>151007</v>
          </cell>
          <cell r="C115">
            <v>343760</v>
          </cell>
          <cell r="D115">
            <v>339650</v>
          </cell>
          <cell r="E115">
            <v>355604</v>
          </cell>
          <cell r="F115">
            <v>355604</v>
          </cell>
          <cell r="G115">
            <v>355604</v>
          </cell>
          <cell r="H115">
            <v>355604</v>
          </cell>
          <cell r="I115">
            <v>355604</v>
          </cell>
          <cell r="J115">
            <v>355604</v>
          </cell>
          <cell r="K115">
            <v>355604</v>
          </cell>
          <cell r="L115">
            <v>355604</v>
          </cell>
          <cell r="M115">
            <v>355604</v>
          </cell>
          <cell r="N115">
            <v>355604</v>
          </cell>
          <cell r="O115">
            <v>329009</v>
          </cell>
          <cell r="P115">
            <v>355604</v>
          </cell>
          <cell r="Q115" t="str">
            <v>Oil</v>
          </cell>
          <cell r="R115">
            <v>339650</v>
          </cell>
        </row>
        <row r="116">
          <cell r="A116" t="str">
            <v>58</v>
          </cell>
          <cell r="B116" t="str">
            <v>151008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TireChips</v>
          </cell>
          <cell r="R116">
            <v>0</v>
          </cell>
        </row>
        <row r="117">
          <cell r="A117" t="str">
            <v>58</v>
          </cell>
          <cell r="B117" t="str">
            <v>151201</v>
          </cell>
          <cell r="C117">
            <v>82483.570000000007</v>
          </cell>
          <cell r="D117">
            <v>98939.85</v>
          </cell>
          <cell r="E117">
            <v>117048.28</v>
          </cell>
          <cell r="F117">
            <v>117048.28</v>
          </cell>
          <cell r="G117">
            <v>117048.28</v>
          </cell>
          <cell r="H117">
            <v>117048.28</v>
          </cell>
          <cell r="I117">
            <v>117048.28</v>
          </cell>
          <cell r="J117">
            <v>117048.28</v>
          </cell>
          <cell r="K117">
            <v>117048.28</v>
          </cell>
          <cell r="L117">
            <v>117048.28</v>
          </cell>
          <cell r="M117">
            <v>117048.28</v>
          </cell>
          <cell r="N117">
            <v>117048.28</v>
          </cell>
          <cell r="O117">
            <v>99217.4</v>
          </cell>
          <cell r="P117">
            <v>117048.28</v>
          </cell>
          <cell r="Q117" t="str">
            <v>Coal</v>
          </cell>
          <cell r="R117">
            <v>98939.85</v>
          </cell>
        </row>
        <row r="118">
          <cell r="A118" t="str">
            <v>58</v>
          </cell>
          <cell r="B118" t="str">
            <v>151203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 t="str">
            <v>Coal</v>
          </cell>
          <cell r="R118">
            <v>0</v>
          </cell>
        </row>
        <row r="119">
          <cell r="A119" t="str">
            <v>62</v>
          </cell>
          <cell r="B119" t="str">
            <v>151007</v>
          </cell>
          <cell r="C119">
            <v>176124</v>
          </cell>
          <cell r="D119">
            <v>176124</v>
          </cell>
          <cell r="E119">
            <v>176124</v>
          </cell>
          <cell r="F119">
            <v>176124</v>
          </cell>
          <cell r="G119">
            <v>176124</v>
          </cell>
          <cell r="H119">
            <v>176124</v>
          </cell>
          <cell r="I119">
            <v>176124</v>
          </cell>
          <cell r="J119">
            <v>176124</v>
          </cell>
          <cell r="K119">
            <v>176124</v>
          </cell>
          <cell r="L119">
            <v>176124</v>
          </cell>
          <cell r="M119">
            <v>176124</v>
          </cell>
          <cell r="N119">
            <v>176124</v>
          </cell>
          <cell r="O119">
            <v>176124</v>
          </cell>
          <cell r="P119">
            <v>176124</v>
          </cell>
          <cell r="Q119" t="str">
            <v>Oil</v>
          </cell>
          <cell r="R119">
            <v>176124</v>
          </cell>
        </row>
        <row r="120">
          <cell r="A120" t="str">
            <v>63</v>
          </cell>
          <cell r="B120" t="str">
            <v>151001</v>
          </cell>
          <cell r="C120">
            <v>1110327.25</v>
          </cell>
          <cell r="D120">
            <v>1127467.02</v>
          </cell>
          <cell r="E120">
            <v>1165933.3700000001</v>
          </cell>
          <cell r="F120">
            <v>1165933.3700000001</v>
          </cell>
          <cell r="G120">
            <v>1165933.3700000001</v>
          </cell>
          <cell r="H120">
            <v>1165933.3700000001</v>
          </cell>
          <cell r="I120">
            <v>1165933.3700000001</v>
          </cell>
          <cell r="J120">
            <v>1165933.3700000001</v>
          </cell>
          <cell r="K120">
            <v>1165933.3700000001</v>
          </cell>
          <cell r="L120">
            <v>1165933.3700000001</v>
          </cell>
          <cell r="M120">
            <v>1165933.3700000001</v>
          </cell>
          <cell r="N120">
            <v>1165933.3700000001</v>
          </cell>
          <cell r="O120">
            <v>1049145.58</v>
          </cell>
          <cell r="P120">
            <v>1165933.3700000001</v>
          </cell>
          <cell r="Q120" t="str">
            <v>Coal</v>
          </cell>
          <cell r="R120">
            <v>1127467.02</v>
          </cell>
        </row>
        <row r="121">
          <cell r="A121" t="str">
            <v>63</v>
          </cell>
          <cell r="B121" t="str">
            <v>151002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Coal</v>
          </cell>
          <cell r="R121">
            <v>0</v>
          </cell>
        </row>
        <row r="122">
          <cell r="A122" t="str">
            <v>63</v>
          </cell>
          <cell r="B122" t="str">
            <v>151003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 t="str">
            <v>Coal</v>
          </cell>
          <cell r="R122">
            <v>0</v>
          </cell>
        </row>
        <row r="123">
          <cell r="A123" t="str">
            <v>63</v>
          </cell>
          <cell r="B123" t="str">
            <v>151007</v>
          </cell>
          <cell r="C123">
            <v>183308</v>
          </cell>
          <cell r="D123">
            <v>178978</v>
          </cell>
          <cell r="E123">
            <v>179154</v>
          </cell>
          <cell r="F123">
            <v>179154</v>
          </cell>
          <cell r="G123">
            <v>179154</v>
          </cell>
          <cell r="H123">
            <v>179154</v>
          </cell>
          <cell r="I123">
            <v>179154</v>
          </cell>
          <cell r="J123">
            <v>179154</v>
          </cell>
          <cell r="K123">
            <v>179154</v>
          </cell>
          <cell r="L123">
            <v>179154</v>
          </cell>
          <cell r="M123">
            <v>179154</v>
          </cell>
          <cell r="N123">
            <v>179154</v>
          </cell>
          <cell r="O123">
            <v>155941</v>
          </cell>
          <cell r="P123">
            <v>179154</v>
          </cell>
          <cell r="Q123" t="str">
            <v>Oil</v>
          </cell>
          <cell r="R123">
            <v>178978</v>
          </cell>
        </row>
        <row r="124">
          <cell r="A124" t="str">
            <v>63</v>
          </cell>
          <cell r="B124" t="str">
            <v>151201</v>
          </cell>
          <cell r="C124">
            <v>15794.14</v>
          </cell>
          <cell r="D124">
            <v>47453.46</v>
          </cell>
          <cell r="E124">
            <v>30974.31</v>
          </cell>
          <cell r="F124">
            <v>30974.31</v>
          </cell>
          <cell r="G124">
            <v>30974.31</v>
          </cell>
          <cell r="H124">
            <v>30974.31</v>
          </cell>
          <cell r="I124">
            <v>30974.31</v>
          </cell>
          <cell r="J124">
            <v>30974.31</v>
          </cell>
          <cell r="K124">
            <v>30974.31</v>
          </cell>
          <cell r="L124">
            <v>30974.31</v>
          </cell>
          <cell r="M124">
            <v>30974.31</v>
          </cell>
          <cell r="N124">
            <v>30974.31</v>
          </cell>
          <cell r="O124">
            <v>46487.61</v>
          </cell>
          <cell r="P124">
            <v>30974.31</v>
          </cell>
          <cell r="Q124" t="str">
            <v>Coal</v>
          </cell>
          <cell r="R124">
            <v>47453.46</v>
          </cell>
        </row>
        <row r="125">
          <cell r="A125" t="str">
            <v>63</v>
          </cell>
          <cell r="B125" t="str">
            <v>151203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 t="str">
            <v>Coal</v>
          </cell>
          <cell r="R125">
            <v>0</v>
          </cell>
        </row>
        <row r="126">
          <cell r="A126" t="str">
            <v>65</v>
          </cell>
          <cell r="B126" t="str">
            <v>151003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 t="str">
            <v>Coal</v>
          </cell>
          <cell r="R126">
            <v>0</v>
          </cell>
        </row>
        <row r="127">
          <cell r="A127" t="str">
            <v>7K</v>
          </cell>
          <cell r="B127" t="str">
            <v>151007</v>
          </cell>
          <cell r="C127">
            <v>953543</v>
          </cell>
          <cell r="D127">
            <v>953543</v>
          </cell>
          <cell r="E127">
            <v>953543</v>
          </cell>
          <cell r="F127">
            <v>953543</v>
          </cell>
          <cell r="G127">
            <v>953543</v>
          </cell>
          <cell r="H127">
            <v>953543</v>
          </cell>
          <cell r="I127">
            <v>953543</v>
          </cell>
          <cell r="J127">
            <v>953543</v>
          </cell>
          <cell r="K127">
            <v>953543</v>
          </cell>
          <cell r="L127">
            <v>953543</v>
          </cell>
          <cell r="M127">
            <v>953543</v>
          </cell>
          <cell r="N127">
            <v>953543</v>
          </cell>
          <cell r="O127">
            <v>953543</v>
          </cell>
          <cell r="P127">
            <v>953543</v>
          </cell>
          <cell r="Q127" t="str">
            <v>Oil</v>
          </cell>
          <cell r="R127">
            <v>953543</v>
          </cell>
        </row>
        <row r="128">
          <cell r="A128" t="str">
            <v>71</v>
          </cell>
          <cell r="B128" t="str">
            <v>151007</v>
          </cell>
          <cell r="C128">
            <v>143304</v>
          </cell>
          <cell r="D128">
            <v>143304</v>
          </cell>
          <cell r="E128">
            <v>143304</v>
          </cell>
          <cell r="F128">
            <v>143304</v>
          </cell>
          <cell r="G128">
            <v>143304</v>
          </cell>
          <cell r="H128">
            <v>143304</v>
          </cell>
          <cell r="I128">
            <v>143304</v>
          </cell>
          <cell r="J128">
            <v>143304</v>
          </cell>
          <cell r="K128">
            <v>143304</v>
          </cell>
          <cell r="L128">
            <v>143304</v>
          </cell>
          <cell r="M128">
            <v>143304</v>
          </cell>
          <cell r="N128">
            <v>143304</v>
          </cell>
          <cell r="O128">
            <v>135708</v>
          </cell>
          <cell r="P128">
            <v>143304</v>
          </cell>
          <cell r="Q128" t="str">
            <v>Oil</v>
          </cell>
          <cell r="R128">
            <v>143304</v>
          </cell>
        </row>
        <row r="129">
          <cell r="A129" t="str">
            <v>72</v>
          </cell>
          <cell r="B129" t="str">
            <v>151007</v>
          </cell>
          <cell r="C129">
            <v>418997</v>
          </cell>
          <cell r="D129">
            <v>418997</v>
          </cell>
          <cell r="E129">
            <v>418997</v>
          </cell>
          <cell r="F129">
            <v>418997</v>
          </cell>
          <cell r="G129">
            <v>418997</v>
          </cell>
          <cell r="H129">
            <v>418997</v>
          </cell>
          <cell r="I129">
            <v>418997</v>
          </cell>
          <cell r="J129">
            <v>418997</v>
          </cell>
          <cell r="K129">
            <v>418997</v>
          </cell>
          <cell r="L129">
            <v>418997</v>
          </cell>
          <cell r="M129">
            <v>418997</v>
          </cell>
          <cell r="N129">
            <v>418997</v>
          </cell>
          <cell r="O129">
            <v>418997</v>
          </cell>
          <cell r="P129">
            <v>418997</v>
          </cell>
          <cell r="Q129" t="str">
            <v>Oil</v>
          </cell>
          <cell r="R129">
            <v>418997</v>
          </cell>
        </row>
        <row r="130">
          <cell r="A130" t="str">
            <v>73</v>
          </cell>
          <cell r="B130" t="str">
            <v>151007</v>
          </cell>
          <cell r="C130">
            <v>213062</v>
          </cell>
          <cell r="D130">
            <v>213062</v>
          </cell>
          <cell r="E130">
            <v>213062</v>
          </cell>
          <cell r="F130">
            <v>213062</v>
          </cell>
          <cell r="G130">
            <v>213062</v>
          </cell>
          <cell r="H130">
            <v>213062</v>
          </cell>
          <cell r="I130">
            <v>213062</v>
          </cell>
          <cell r="J130">
            <v>213062</v>
          </cell>
          <cell r="K130">
            <v>213062</v>
          </cell>
          <cell r="L130">
            <v>213062</v>
          </cell>
          <cell r="M130">
            <v>213062</v>
          </cell>
          <cell r="N130">
            <v>213062</v>
          </cell>
          <cell r="O130">
            <v>213062</v>
          </cell>
          <cell r="P130">
            <v>213062</v>
          </cell>
          <cell r="Q130" t="str">
            <v>Oil</v>
          </cell>
          <cell r="R130">
            <v>213062</v>
          </cell>
        </row>
        <row r="131">
          <cell r="A131" t="str">
            <v>75</v>
          </cell>
          <cell r="B131" t="str">
            <v>151007</v>
          </cell>
          <cell r="C131">
            <v>186845</v>
          </cell>
          <cell r="D131">
            <v>186845</v>
          </cell>
          <cell r="E131">
            <v>186845</v>
          </cell>
          <cell r="F131">
            <v>186845</v>
          </cell>
          <cell r="G131">
            <v>186845</v>
          </cell>
          <cell r="H131">
            <v>186845</v>
          </cell>
          <cell r="I131">
            <v>186845</v>
          </cell>
          <cell r="J131">
            <v>186845</v>
          </cell>
          <cell r="K131">
            <v>186845</v>
          </cell>
          <cell r="L131">
            <v>186845</v>
          </cell>
          <cell r="M131">
            <v>186845</v>
          </cell>
          <cell r="N131">
            <v>186845</v>
          </cell>
          <cell r="O131">
            <v>186845</v>
          </cell>
          <cell r="P131">
            <v>186845</v>
          </cell>
          <cell r="Q131" t="str">
            <v>Oil</v>
          </cell>
          <cell r="R131">
            <v>186845</v>
          </cell>
        </row>
        <row r="132">
          <cell r="A132" t="str">
            <v>76</v>
          </cell>
          <cell r="B132" t="str">
            <v>151007</v>
          </cell>
          <cell r="C132">
            <v>202715</v>
          </cell>
          <cell r="D132">
            <v>202715</v>
          </cell>
          <cell r="E132">
            <v>202715</v>
          </cell>
          <cell r="F132">
            <v>202715</v>
          </cell>
          <cell r="G132">
            <v>202715</v>
          </cell>
          <cell r="H132">
            <v>202715</v>
          </cell>
          <cell r="I132">
            <v>202715</v>
          </cell>
          <cell r="J132">
            <v>202715</v>
          </cell>
          <cell r="K132">
            <v>202715</v>
          </cell>
          <cell r="L132">
            <v>202715</v>
          </cell>
          <cell r="M132">
            <v>202715</v>
          </cell>
          <cell r="N132">
            <v>202715</v>
          </cell>
          <cell r="O132">
            <v>202715</v>
          </cell>
          <cell r="P132">
            <v>202715</v>
          </cell>
          <cell r="Q132" t="str">
            <v>Oil</v>
          </cell>
          <cell r="R132">
            <v>202715</v>
          </cell>
        </row>
        <row r="133">
          <cell r="A133" t="str">
            <v>77</v>
          </cell>
          <cell r="B133" t="str">
            <v>151007</v>
          </cell>
          <cell r="C133">
            <v>201630</v>
          </cell>
          <cell r="D133">
            <v>201630</v>
          </cell>
          <cell r="E133">
            <v>201630</v>
          </cell>
          <cell r="F133">
            <v>201630</v>
          </cell>
          <cell r="G133">
            <v>201630</v>
          </cell>
          <cell r="H133">
            <v>201630</v>
          </cell>
          <cell r="I133">
            <v>201630</v>
          </cell>
          <cell r="J133">
            <v>201630</v>
          </cell>
          <cell r="K133">
            <v>201630</v>
          </cell>
          <cell r="L133">
            <v>201630</v>
          </cell>
          <cell r="M133">
            <v>201630</v>
          </cell>
          <cell r="N133">
            <v>201630</v>
          </cell>
          <cell r="O133">
            <v>201630</v>
          </cell>
          <cell r="P133">
            <v>201630</v>
          </cell>
          <cell r="Q133" t="str">
            <v>Oil</v>
          </cell>
          <cell r="R133">
            <v>201630</v>
          </cell>
        </row>
        <row r="134">
          <cell r="A134" t="str">
            <v>98</v>
          </cell>
          <cell r="B134" t="str">
            <v>151007</v>
          </cell>
          <cell r="C134">
            <v>767476</v>
          </cell>
          <cell r="D134">
            <v>767311</v>
          </cell>
          <cell r="E134">
            <v>767311</v>
          </cell>
          <cell r="F134">
            <v>767311</v>
          </cell>
          <cell r="G134">
            <v>767311</v>
          </cell>
          <cell r="H134">
            <v>767311</v>
          </cell>
          <cell r="I134">
            <v>767311</v>
          </cell>
          <cell r="J134">
            <v>767311</v>
          </cell>
          <cell r="K134">
            <v>767311</v>
          </cell>
          <cell r="L134">
            <v>767311</v>
          </cell>
          <cell r="M134">
            <v>767311</v>
          </cell>
          <cell r="N134">
            <v>767311</v>
          </cell>
          <cell r="O134">
            <v>767476</v>
          </cell>
          <cell r="P134">
            <v>767311</v>
          </cell>
          <cell r="Q134" t="str">
            <v>Oil</v>
          </cell>
          <cell r="R134">
            <v>767311</v>
          </cell>
        </row>
        <row r="135">
          <cell r="A135" t="str">
            <v>98</v>
          </cell>
          <cell r="B135" t="str">
            <v>151100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 t="str">
            <v>Gas</v>
          </cell>
          <cell r="R135">
            <v>0</v>
          </cell>
        </row>
        <row r="136">
          <cell r="A136" t="str">
            <v>81</v>
          </cell>
          <cell r="B136" t="str">
            <v>151009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 t="str">
            <v>Gas</v>
          </cell>
          <cell r="R136">
            <v>0</v>
          </cell>
        </row>
        <row r="137">
          <cell r="A137" t="str">
            <v>82</v>
          </cell>
          <cell r="B137" t="str">
            <v>151009</v>
          </cell>
          <cell r="C137">
            <v>196257.6</v>
          </cell>
          <cell r="D137">
            <v>196257.6</v>
          </cell>
          <cell r="E137">
            <v>196257.6</v>
          </cell>
          <cell r="F137">
            <v>196257.6</v>
          </cell>
          <cell r="G137">
            <v>196257.6</v>
          </cell>
          <cell r="H137">
            <v>196257.6</v>
          </cell>
          <cell r="I137">
            <v>196257.6</v>
          </cell>
          <cell r="J137">
            <v>196257.6</v>
          </cell>
          <cell r="K137">
            <v>196257.6</v>
          </cell>
          <cell r="L137">
            <v>196257.6</v>
          </cell>
          <cell r="M137">
            <v>196257.6</v>
          </cell>
          <cell r="N137">
            <v>196257.6</v>
          </cell>
          <cell r="O137">
            <v>236848.5</v>
          </cell>
          <cell r="P137">
            <v>196257.6</v>
          </cell>
          <cell r="Q137" t="str">
            <v>Gas</v>
          </cell>
          <cell r="R137">
            <v>196257.6</v>
          </cell>
        </row>
        <row r="138">
          <cell r="A138" t="str">
            <v>83</v>
          </cell>
          <cell r="B138" t="str">
            <v>151009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Gas</v>
          </cell>
          <cell r="R138">
            <v>0</v>
          </cell>
        </row>
        <row r="139">
          <cell r="A139" t="str">
            <v>85</v>
          </cell>
          <cell r="B139" t="str">
            <v>151009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Gas</v>
          </cell>
          <cell r="R139">
            <v>0</v>
          </cell>
        </row>
      </sheetData>
      <sheetData sheetId="15">
        <row r="2">
          <cell r="A2" t="str">
            <v>1F</v>
          </cell>
          <cell r="B2" t="str">
            <v>151001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Coal</v>
          </cell>
          <cell r="R2">
            <v>0</v>
          </cell>
        </row>
        <row r="3">
          <cell r="A3" t="str">
            <v>DC</v>
          </cell>
          <cell r="B3" t="str">
            <v>151001</v>
          </cell>
          <cell r="C3">
            <v>14183886.6</v>
          </cell>
          <cell r="D3">
            <v>12713644.98</v>
          </cell>
          <cell r="E3">
            <v>11881714.17</v>
          </cell>
          <cell r="F3">
            <v>11881714.17</v>
          </cell>
          <cell r="G3">
            <v>11881714.17</v>
          </cell>
          <cell r="H3">
            <v>11881714.17</v>
          </cell>
          <cell r="I3">
            <v>11881714.17</v>
          </cell>
          <cell r="J3">
            <v>11881714.17</v>
          </cell>
          <cell r="K3">
            <v>11881714.17</v>
          </cell>
          <cell r="L3">
            <v>11881714.17</v>
          </cell>
          <cell r="M3">
            <v>11881714.17</v>
          </cell>
          <cell r="N3">
            <v>11881714.17</v>
          </cell>
          <cell r="O3">
            <v>15763937.74</v>
          </cell>
          <cell r="P3">
            <v>11881714.17</v>
          </cell>
          <cell r="Q3" t="str">
            <v>Coal</v>
          </cell>
          <cell r="R3">
            <v>12713644.98</v>
          </cell>
        </row>
        <row r="4">
          <cell r="A4" t="str">
            <v>DC</v>
          </cell>
          <cell r="B4" t="str">
            <v>151003</v>
          </cell>
          <cell r="C4">
            <v>5695392.7199999997</v>
          </cell>
          <cell r="D4">
            <v>4744090.03</v>
          </cell>
          <cell r="E4">
            <v>4891636.4000000004</v>
          </cell>
          <cell r="F4">
            <v>4939407.55</v>
          </cell>
          <cell r="G4">
            <v>4939407.55</v>
          </cell>
          <cell r="H4">
            <v>4939407.55</v>
          </cell>
          <cell r="I4">
            <v>4939407.55</v>
          </cell>
          <cell r="J4">
            <v>4939407.55</v>
          </cell>
          <cell r="K4">
            <v>4939407.55</v>
          </cell>
          <cell r="L4">
            <v>4939407.55</v>
          </cell>
          <cell r="M4">
            <v>4939407.55</v>
          </cell>
          <cell r="N4">
            <v>4939407.55</v>
          </cell>
          <cell r="O4">
            <v>6671520.3899999997</v>
          </cell>
          <cell r="P4">
            <v>4891636.4000000004</v>
          </cell>
          <cell r="Q4" t="str">
            <v>Coal</v>
          </cell>
          <cell r="R4">
            <v>4744090.03</v>
          </cell>
        </row>
        <row r="5">
          <cell r="A5" t="str">
            <v>DC</v>
          </cell>
          <cell r="B5" t="str">
            <v>151007</v>
          </cell>
          <cell r="C5">
            <v>40047.58</v>
          </cell>
          <cell r="D5">
            <v>64006.16</v>
          </cell>
          <cell r="E5">
            <v>72622.77</v>
          </cell>
          <cell r="F5">
            <v>72622.77</v>
          </cell>
          <cell r="G5">
            <v>72622.77</v>
          </cell>
          <cell r="H5">
            <v>72622.77</v>
          </cell>
          <cell r="I5">
            <v>72622.77</v>
          </cell>
          <cell r="J5">
            <v>72622.77</v>
          </cell>
          <cell r="K5">
            <v>72622.77</v>
          </cell>
          <cell r="L5">
            <v>72622.77</v>
          </cell>
          <cell r="M5">
            <v>72622.77</v>
          </cell>
          <cell r="N5">
            <v>72622.77</v>
          </cell>
          <cell r="O5">
            <v>71972.179999999993</v>
          </cell>
          <cell r="P5">
            <v>72622.77</v>
          </cell>
          <cell r="Q5" t="str">
            <v>Oil</v>
          </cell>
          <cell r="R5">
            <v>64006.16</v>
          </cell>
        </row>
        <row r="6">
          <cell r="A6" t="str">
            <v>DC</v>
          </cell>
          <cell r="B6" t="str">
            <v>151101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Coal</v>
          </cell>
          <cell r="R6">
            <v>0</v>
          </cell>
        </row>
        <row r="7">
          <cell r="A7" t="str">
            <v>DC</v>
          </cell>
          <cell r="B7" t="str">
            <v>151201</v>
          </cell>
          <cell r="C7">
            <v>221687.13</v>
          </cell>
          <cell r="D7">
            <v>215853.37</v>
          </cell>
          <cell r="E7">
            <v>244072.72</v>
          </cell>
          <cell r="F7">
            <v>229715.5</v>
          </cell>
          <cell r="G7">
            <v>229715.5</v>
          </cell>
          <cell r="H7">
            <v>229715.5</v>
          </cell>
          <cell r="I7">
            <v>229715.5</v>
          </cell>
          <cell r="J7">
            <v>229715.5</v>
          </cell>
          <cell r="K7">
            <v>229715.5</v>
          </cell>
          <cell r="L7">
            <v>229715.5</v>
          </cell>
          <cell r="M7">
            <v>229715.5</v>
          </cell>
          <cell r="N7">
            <v>229715.5</v>
          </cell>
          <cell r="O7">
            <v>254432.34</v>
          </cell>
          <cell r="P7">
            <v>244072.72</v>
          </cell>
          <cell r="Q7" t="str">
            <v>Coal</v>
          </cell>
          <cell r="R7">
            <v>215853.37</v>
          </cell>
        </row>
        <row r="8">
          <cell r="A8" t="str">
            <v>DC</v>
          </cell>
          <cell r="B8" t="str">
            <v>151203</v>
          </cell>
          <cell r="C8">
            <v>355211.51</v>
          </cell>
          <cell r="D8">
            <v>345386.34</v>
          </cell>
          <cell r="E8">
            <v>364961.49</v>
          </cell>
          <cell r="F8">
            <v>364961.49</v>
          </cell>
          <cell r="G8">
            <v>364961.49</v>
          </cell>
          <cell r="H8">
            <v>364961.49</v>
          </cell>
          <cell r="I8">
            <v>364961.49</v>
          </cell>
          <cell r="J8">
            <v>364961.49</v>
          </cell>
          <cell r="K8">
            <v>364961.49</v>
          </cell>
          <cell r="L8">
            <v>364961.49</v>
          </cell>
          <cell r="M8">
            <v>364961.49</v>
          </cell>
          <cell r="N8">
            <v>364961.49</v>
          </cell>
          <cell r="O8">
            <v>298748.67</v>
          </cell>
          <cell r="P8">
            <v>364961.49</v>
          </cell>
          <cell r="Q8" t="str">
            <v>Coal</v>
          </cell>
          <cell r="R8">
            <v>345386.34</v>
          </cell>
        </row>
        <row r="9">
          <cell r="A9" t="str">
            <v>ED</v>
          </cell>
          <cell r="B9" t="str">
            <v>151001</v>
          </cell>
          <cell r="C9">
            <v>6747721.4000000004</v>
          </cell>
          <cell r="D9">
            <v>6445159.0199999996</v>
          </cell>
          <cell r="E9">
            <v>6409538.0800000001</v>
          </cell>
          <cell r="F9">
            <v>6409538.0800000001</v>
          </cell>
          <cell r="G9">
            <v>6409538.0800000001</v>
          </cell>
          <cell r="H9">
            <v>6409538.0800000001</v>
          </cell>
          <cell r="I9">
            <v>6409538.0800000001</v>
          </cell>
          <cell r="J9">
            <v>6409538.0800000001</v>
          </cell>
          <cell r="K9">
            <v>6409538.0800000001</v>
          </cell>
          <cell r="L9">
            <v>6409538.0800000001</v>
          </cell>
          <cell r="M9">
            <v>6409538.0800000001</v>
          </cell>
          <cell r="N9">
            <v>6409538.0800000001</v>
          </cell>
          <cell r="O9">
            <v>7224696.0899999999</v>
          </cell>
          <cell r="P9">
            <v>6409538.0800000001</v>
          </cell>
          <cell r="Q9" t="str">
            <v>Coal</v>
          </cell>
          <cell r="R9">
            <v>6445159.0199999996</v>
          </cell>
        </row>
        <row r="10">
          <cell r="A10" t="str">
            <v>ED</v>
          </cell>
          <cell r="B10" t="str">
            <v>151003</v>
          </cell>
          <cell r="C10">
            <v>7683175.7800000003</v>
          </cell>
          <cell r="D10">
            <v>7710322.1900000004</v>
          </cell>
          <cell r="E10">
            <v>7984602.3099999996</v>
          </cell>
          <cell r="F10">
            <v>8094117.5700000003</v>
          </cell>
          <cell r="G10">
            <v>8094117.5700000003</v>
          </cell>
          <cell r="H10">
            <v>8094117.5700000003</v>
          </cell>
          <cell r="I10">
            <v>8094117.5700000003</v>
          </cell>
          <cell r="J10">
            <v>8094117.5700000003</v>
          </cell>
          <cell r="K10">
            <v>8094117.5700000003</v>
          </cell>
          <cell r="L10">
            <v>8094117.5700000003</v>
          </cell>
          <cell r="M10">
            <v>8094117.5700000003</v>
          </cell>
          <cell r="N10">
            <v>8094117.5700000003</v>
          </cell>
          <cell r="O10">
            <v>7230533.71</v>
          </cell>
          <cell r="P10">
            <v>7984602.3099999996</v>
          </cell>
          <cell r="Q10" t="str">
            <v>Coal</v>
          </cell>
          <cell r="R10">
            <v>7710322.1900000004</v>
          </cell>
        </row>
        <row r="11">
          <cell r="A11" t="str">
            <v>ED</v>
          </cell>
          <cell r="B11" t="str">
            <v>151004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PetCoke</v>
          </cell>
          <cell r="R11">
            <v>0</v>
          </cell>
        </row>
        <row r="12">
          <cell r="A12" t="str">
            <v>ED</v>
          </cell>
          <cell r="B12" t="str">
            <v>151007</v>
          </cell>
          <cell r="C12">
            <v>63879.519999999997</v>
          </cell>
          <cell r="D12">
            <v>58306.5</v>
          </cell>
          <cell r="E12">
            <v>67268.56</v>
          </cell>
          <cell r="F12">
            <v>67268.56</v>
          </cell>
          <cell r="G12">
            <v>67268.56</v>
          </cell>
          <cell r="H12">
            <v>67268.56</v>
          </cell>
          <cell r="I12">
            <v>67268.56</v>
          </cell>
          <cell r="J12">
            <v>67268.56</v>
          </cell>
          <cell r="K12">
            <v>67268.56</v>
          </cell>
          <cell r="L12">
            <v>67268.56</v>
          </cell>
          <cell r="M12">
            <v>67268.56</v>
          </cell>
          <cell r="N12">
            <v>67268.56</v>
          </cell>
          <cell r="O12">
            <v>58751.94</v>
          </cell>
          <cell r="P12">
            <v>67268.56</v>
          </cell>
          <cell r="Q12" t="str">
            <v>Oil</v>
          </cell>
          <cell r="R12">
            <v>58306.5</v>
          </cell>
        </row>
        <row r="13">
          <cell r="A13" t="str">
            <v>ED</v>
          </cell>
          <cell r="B13" t="str">
            <v>151010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RailCar</v>
          </cell>
          <cell r="R13">
            <v>0</v>
          </cell>
        </row>
        <row r="14">
          <cell r="A14" t="str">
            <v>ED</v>
          </cell>
          <cell r="B14" t="str">
            <v>151101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Coal</v>
          </cell>
          <cell r="R14">
            <v>0</v>
          </cell>
        </row>
        <row r="15">
          <cell r="A15" t="str">
            <v>ED</v>
          </cell>
          <cell r="B15" t="str">
            <v>151201</v>
          </cell>
          <cell r="C15">
            <v>261917.03</v>
          </cell>
          <cell r="D15">
            <v>274374.31</v>
          </cell>
          <cell r="E15">
            <v>513344.4</v>
          </cell>
          <cell r="F15">
            <v>483147.67</v>
          </cell>
          <cell r="G15">
            <v>483147.67</v>
          </cell>
          <cell r="H15">
            <v>483147.67</v>
          </cell>
          <cell r="I15">
            <v>483147.67</v>
          </cell>
          <cell r="J15">
            <v>483147.67</v>
          </cell>
          <cell r="K15">
            <v>483147.67</v>
          </cell>
          <cell r="L15">
            <v>483147.67</v>
          </cell>
          <cell r="M15">
            <v>483147.67</v>
          </cell>
          <cell r="N15">
            <v>483147.67</v>
          </cell>
          <cell r="O15">
            <v>456972.6</v>
          </cell>
          <cell r="P15">
            <v>513344.4</v>
          </cell>
          <cell r="Q15" t="str">
            <v>Coal</v>
          </cell>
          <cell r="R15">
            <v>274374.31</v>
          </cell>
        </row>
        <row r="16">
          <cell r="A16" t="str">
            <v>ED</v>
          </cell>
          <cell r="B16" t="str">
            <v>151203</v>
          </cell>
          <cell r="C16">
            <v>281120.46000000002</v>
          </cell>
          <cell r="D16">
            <v>292248.46000000002</v>
          </cell>
          <cell r="E16">
            <v>622667.42000000004</v>
          </cell>
          <cell r="F16">
            <v>622667.42000000004</v>
          </cell>
          <cell r="G16">
            <v>622667.42000000004</v>
          </cell>
          <cell r="H16">
            <v>622667.42000000004</v>
          </cell>
          <cell r="I16">
            <v>622667.42000000004</v>
          </cell>
          <cell r="J16">
            <v>622667.42000000004</v>
          </cell>
          <cell r="K16">
            <v>622667.42000000004</v>
          </cell>
          <cell r="L16">
            <v>622667.42000000004</v>
          </cell>
          <cell r="M16">
            <v>622667.42000000004</v>
          </cell>
          <cell r="N16">
            <v>622667.42000000004</v>
          </cell>
          <cell r="O16">
            <v>365499.43</v>
          </cell>
          <cell r="P16">
            <v>622667.42000000004</v>
          </cell>
          <cell r="Q16" t="str">
            <v>Coal</v>
          </cell>
          <cell r="R16">
            <v>292248.46000000002</v>
          </cell>
        </row>
        <row r="17">
          <cell r="A17" t="str">
            <v>HK</v>
          </cell>
          <cell r="B17" t="str">
            <v>151007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Oil</v>
          </cell>
          <cell r="R17">
            <v>0</v>
          </cell>
        </row>
        <row r="18">
          <cell r="A18" t="str">
            <v>RG</v>
          </cell>
          <cell r="B18" t="str">
            <v>151010</v>
          </cell>
          <cell r="C18">
            <v>0</v>
          </cell>
          <cell r="D18">
            <v>0</v>
          </cell>
          <cell r="E18">
            <v>0</v>
          </cell>
          <cell r="F18">
            <v>-118298</v>
          </cell>
          <cell r="G18">
            <v>-118298</v>
          </cell>
          <cell r="H18">
            <v>-118298</v>
          </cell>
          <cell r="I18">
            <v>-118298</v>
          </cell>
          <cell r="J18">
            <v>-118298</v>
          </cell>
          <cell r="K18">
            <v>-118298</v>
          </cell>
          <cell r="L18">
            <v>-118298</v>
          </cell>
          <cell r="M18">
            <v>-118298</v>
          </cell>
          <cell r="N18">
            <v>-118298</v>
          </cell>
          <cell r="O18">
            <v>0</v>
          </cell>
          <cell r="P18">
            <v>0</v>
          </cell>
          <cell r="Q18" t="str">
            <v>RailCar</v>
          </cell>
          <cell r="R18">
            <v>0</v>
          </cell>
        </row>
        <row r="19">
          <cell r="A19" t="str">
            <v>TZ</v>
          </cell>
          <cell r="B19" t="str">
            <v>151007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Oil</v>
          </cell>
          <cell r="R19">
            <v>0</v>
          </cell>
        </row>
        <row r="20">
          <cell r="A20" t="str">
            <v>CG</v>
          </cell>
          <cell r="B20" t="str">
            <v>151007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Oil</v>
          </cell>
          <cell r="R20">
            <v>0</v>
          </cell>
        </row>
        <row r="21">
          <cell r="A21" t="str">
            <v>DC</v>
          </cell>
          <cell r="B21" t="str">
            <v>151001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>Coal</v>
          </cell>
          <cell r="R21">
            <v>0</v>
          </cell>
        </row>
        <row r="22">
          <cell r="A22" t="str">
            <v>DC</v>
          </cell>
          <cell r="B22" t="str">
            <v>151007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Oil</v>
          </cell>
          <cell r="R22">
            <v>0</v>
          </cell>
        </row>
        <row r="23">
          <cell r="A23" t="str">
            <v>DC</v>
          </cell>
          <cell r="B23" t="str">
            <v>151101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Coal</v>
          </cell>
          <cell r="R23">
            <v>0</v>
          </cell>
        </row>
        <row r="24">
          <cell r="A24" t="str">
            <v>ED</v>
          </cell>
          <cell r="B24" t="str">
            <v>151001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Coal</v>
          </cell>
          <cell r="R24">
            <v>0</v>
          </cell>
        </row>
        <row r="25">
          <cell r="A25" t="str">
            <v>ED</v>
          </cell>
          <cell r="B25" t="str">
            <v>151007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Oil</v>
          </cell>
          <cell r="R25">
            <v>0</v>
          </cell>
        </row>
        <row r="26">
          <cell r="A26" t="str">
            <v>ED</v>
          </cell>
          <cell r="B26" t="str">
            <v>151101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Coal</v>
          </cell>
          <cell r="R26">
            <v>0</v>
          </cell>
        </row>
        <row r="27">
          <cell r="A27" t="str">
            <v>ED</v>
          </cell>
          <cell r="B27" t="str">
            <v>151200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Coal</v>
          </cell>
          <cell r="R27">
            <v>0</v>
          </cell>
        </row>
        <row r="28">
          <cell r="A28" t="str">
            <v>ED</v>
          </cell>
          <cell r="B28" t="str">
            <v>151201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Coal</v>
          </cell>
          <cell r="R28">
            <v>0</v>
          </cell>
        </row>
        <row r="29">
          <cell r="A29" t="str">
            <v>HA</v>
          </cell>
          <cell r="B29" t="str">
            <v>151007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Oil</v>
          </cell>
          <cell r="R29">
            <v>0</v>
          </cell>
        </row>
        <row r="30">
          <cell r="A30" t="str">
            <v>KP</v>
          </cell>
          <cell r="B30" t="str">
            <v>151007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Oil</v>
          </cell>
          <cell r="R30">
            <v>0</v>
          </cell>
        </row>
        <row r="31">
          <cell r="A31" t="str">
            <v>MP</v>
          </cell>
          <cell r="B31" t="str">
            <v>151007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Oil</v>
          </cell>
          <cell r="R31">
            <v>0</v>
          </cell>
        </row>
        <row r="32">
          <cell r="A32" t="str">
            <v>MS</v>
          </cell>
          <cell r="B32" t="str">
            <v>151007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Oil</v>
          </cell>
          <cell r="R32">
            <v>0</v>
          </cell>
        </row>
        <row r="33">
          <cell r="A33" t="str">
            <v>TW</v>
          </cell>
          <cell r="B33" t="str">
            <v>151007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Oil</v>
          </cell>
          <cell r="R33">
            <v>0</v>
          </cell>
        </row>
        <row r="34">
          <cell r="A34" t="str">
            <v>91</v>
          </cell>
          <cell r="B34" t="str">
            <v>151020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>RailCar</v>
          </cell>
          <cell r="R34">
            <v>0</v>
          </cell>
        </row>
        <row r="35">
          <cell r="A35" t="str">
            <v>3D</v>
          </cell>
          <cell r="B35" t="str">
            <v>151009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316931.61</v>
          </cell>
          <cell r="P35">
            <v>0</v>
          </cell>
          <cell r="Q35" t="str">
            <v>Gas</v>
          </cell>
          <cell r="R35">
            <v>0</v>
          </cell>
        </row>
        <row r="36">
          <cell r="A36" t="str">
            <v>40</v>
          </cell>
          <cell r="B36" t="str">
            <v>151009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 t="str">
            <v>Gas</v>
          </cell>
          <cell r="R36">
            <v>0</v>
          </cell>
        </row>
        <row r="37">
          <cell r="A37" t="str">
            <v>41</v>
          </cell>
          <cell r="B37" t="str">
            <v>151009</v>
          </cell>
          <cell r="C37">
            <v>177236.29</v>
          </cell>
          <cell r="D37">
            <v>276361.40000000002</v>
          </cell>
          <cell r="E37">
            <v>276361.40000000002</v>
          </cell>
          <cell r="F37">
            <v>276361.40000000002</v>
          </cell>
          <cell r="G37">
            <v>276361.40000000002</v>
          </cell>
          <cell r="H37">
            <v>276361.40000000002</v>
          </cell>
          <cell r="I37">
            <v>276361.40000000002</v>
          </cell>
          <cell r="J37">
            <v>276361.40000000002</v>
          </cell>
          <cell r="K37">
            <v>276361.40000000002</v>
          </cell>
          <cell r="L37">
            <v>276361.40000000002</v>
          </cell>
          <cell r="M37">
            <v>276361.40000000002</v>
          </cell>
          <cell r="N37">
            <v>276361.40000000002</v>
          </cell>
          <cell r="O37">
            <v>0</v>
          </cell>
          <cell r="P37">
            <v>276361.40000000002</v>
          </cell>
          <cell r="Q37" t="str">
            <v>Gas</v>
          </cell>
          <cell r="R37">
            <v>276361.40000000002</v>
          </cell>
        </row>
        <row r="38">
          <cell r="A38" t="str">
            <v>9F</v>
          </cell>
          <cell r="B38" t="str">
            <v>151009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Gas</v>
          </cell>
          <cell r="R38">
            <v>0</v>
          </cell>
        </row>
        <row r="39">
          <cell r="A39" t="str">
            <v>RR</v>
          </cell>
          <cell r="B39" t="str">
            <v>1511NW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Coal</v>
          </cell>
          <cell r="R39">
            <v>0</v>
          </cell>
        </row>
        <row r="40">
          <cell r="A40" t="str">
            <v>15</v>
          </cell>
          <cell r="B40" t="str">
            <v>151001</v>
          </cell>
          <cell r="C40">
            <v>21932071.350000001</v>
          </cell>
          <cell r="D40">
            <v>21934259.350000001</v>
          </cell>
          <cell r="E40">
            <v>22324577.550000001</v>
          </cell>
          <cell r="F40">
            <v>22324577.550000001</v>
          </cell>
          <cell r="G40">
            <v>22324577.550000001</v>
          </cell>
          <cell r="H40">
            <v>22324577.550000001</v>
          </cell>
          <cell r="I40">
            <v>22324577.550000001</v>
          </cell>
          <cell r="J40">
            <v>22324577.550000001</v>
          </cell>
          <cell r="K40">
            <v>22324577.550000001</v>
          </cell>
          <cell r="L40">
            <v>22324577.550000001</v>
          </cell>
          <cell r="M40">
            <v>22324577.550000001</v>
          </cell>
          <cell r="N40">
            <v>22324577.550000001</v>
          </cell>
          <cell r="O40">
            <v>24109669.190000001</v>
          </cell>
          <cell r="P40">
            <v>22324577.550000001</v>
          </cell>
          <cell r="Q40" t="str">
            <v>Coal</v>
          </cell>
          <cell r="R40">
            <v>21934259.350000001</v>
          </cell>
        </row>
        <row r="41">
          <cell r="A41" t="str">
            <v>15</v>
          </cell>
          <cell r="B41" t="str">
            <v>151007</v>
          </cell>
          <cell r="C41">
            <v>18390.759999999998</v>
          </cell>
          <cell r="D41">
            <v>19616.48</v>
          </cell>
          <cell r="E41">
            <v>11643.79</v>
          </cell>
          <cell r="F41">
            <v>11643.79</v>
          </cell>
          <cell r="G41">
            <v>11643.79</v>
          </cell>
          <cell r="H41">
            <v>11643.79</v>
          </cell>
          <cell r="I41">
            <v>11643.79</v>
          </cell>
          <cell r="J41">
            <v>11643.79</v>
          </cell>
          <cell r="K41">
            <v>11643.79</v>
          </cell>
          <cell r="L41">
            <v>11643.79</v>
          </cell>
          <cell r="M41">
            <v>11643.79</v>
          </cell>
          <cell r="N41">
            <v>11643.79</v>
          </cell>
          <cell r="O41">
            <v>23417</v>
          </cell>
          <cell r="P41">
            <v>11643.79</v>
          </cell>
          <cell r="Q41" t="str">
            <v>Oil</v>
          </cell>
          <cell r="R41">
            <v>19616.48</v>
          </cell>
        </row>
        <row r="42">
          <cell r="A42" t="str">
            <v>15</v>
          </cell>
          <cell r="B42" t="str">
            <v>151025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FlyAsh</v>
          </cell>
          <cell r="R42">
            <v>0</v>
          </cell>
        </row>
        <row r="43">
          <cell r="A43" t="str">
            <v>61</v>
          </cell>
          <cell r="B43" t="str">
            <v>151020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RailCar</v>
          </cell>
          <cell r="R43">
            <v>0</v>
          </cell>
        </row>
        <row r="44">
          <cell r="A44" t="str">
            <v>68</v>
          </cell>
          <cell r="B44" t="str">
            <v>151007</v>
          </cell>
          <cell r="C44">
            <v>329848.06</v>
          </cell>
          <cell r="D44">
            <v>329848.06</v>
          </cell>
          <cell r="E44">
            <v>329848.06</v>
          </cell>
          <cell r="F44">
            <v>329848.06</v>
          </cell>
          <cell r="G44">
            <v>329848.06</v>
          </cell>
          <cell r="H44">
            <v>329848.06</v>
          </cell>
          <cell r="I44">
            <v>329848.06</v>
          </cell>
          <cell r="J44">
            <v>329848.06</v>
          </cell>
          <cell r="K44">
            <v>329848.06</v>
          </cell>
          <cell r="L44">
            <v>329848.06</v>
          </cell>
          <cell r="M44">
            <v>329848.06</v>
          </cell>
          <cell r="N44">
            <v>329848.06</v>
          </cell>
          <cell r="O44">
            <v>329848.06</v>
          </cell>
          <cell r="P44">
            <v>329848.06</v>
          </cell>
          <cell r="Q44" t="str">
            <v>Oil</v>
          </cell>
          <cell r="R44">
            <v>329848.06</v>
          </cell>
        </row>
        <row r="45">
          <cell r="A45" t="str">
            <v>69</v>
          </cell>
          <cell r="B45" t="str">
            <v>151007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Oil</v>
          </cell>
          <cell r="R45">
            <v>0</v>
          </cell>
        </row>
        <row r="46">
          <cell r="A46" t="str">
            <v>90</v>
          </cell>
          <cell r="B46" t="str">
            <v>151001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Coal</v>
          </cell>
          <cell r="R46">
            <v>0</v>
          </cell>
        </row>
        <row r="47">
          <cell r="A47" t="str">
            <v>90</v>
          </cell>
          <cell r="B47" t="str">
            <v>151003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Coal</v>
          </cell>
          <cell r="R47">
            <v>0</v>
          </cell>
        </row>
        <row r="48">
          <cell r="A48" t="str">
            <v>90</v>
          </cell>
          <cell r="B48" t="str">
            <v>151007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Oil</v>
          </cell>
          <cell r="R48">
            <v>0</v>
          </cell>
        </row>
        <row r="49">
          <cell r="A49" t="str">
            <v>90</v>
          </cell>
          <cell r="B49" t="str">
            <v>151010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 t="str">
            <v>RailCar</v>
          </cell>
          <cell r="R49">
            <v>0</v>
          </cell>
        </row>
        <row r="50">
          <cell r="A50" t="str">
            <v>90</v>
          </cell>
          <cell r="B50" t="str">
            <v>151020</v>
          </cell>
          <cell r="C50">
            <v>0</v>
          </cell>
          <cell r="D50">
            <v>0</v>
          </cell>
          <cell r="E50">
            <v>0</v>
          </cell>
          <cell r="F50">
            <v>80000</v>
          </cell>
          <cell r="G50">
            <v>80000</v>
          </cell>
          <cell r="H50">
            <v>80000</v>
          </cell>
          <cell r="I50">
            <v>80000</v>
          </cell>
          <cell r="J50">
            <v>80000</v>
          </cell>
          <cell r="K50">
            <v>80000</v>
          </cell>
          <cell r="L50">
            <v>80000</v>
          </cell>
          <cell r="M50">
            <v>80000</v>
          </cell>
          <cell r="N50">
            <v>80000</v>
          </cell>
          <cell r="O50">
            <v>0</v>
          </cell>
          <cell r="P50">
            <v>0</v>
          </cell>
          <cell r="Q50" t="str">
            <v>RailCar</v>
          </cell>
          <cell r="R50">
            <v>0</v>
          </cell>
        </row>
        <row r="51">
          <cell r="A51" t="str">
            <v>90</v>
          </cell>
          <cell r="B51" t="str">
            <v>151100</v>
          </cell>
          <cell r="C51">
            <v>9202581.0099999998</v>
          </cell>
          <cell r="D51">
            <v>6947776.1100000003</v>
          </cell>
          <cell r="E51">
            <v>7059797.2999999998</v>
          </cell>
          <cell r="F51">
            <v>7059797.2999999998</v>
          </cell>
          <cell r="G51">
            <v>7059797.2999999998</v>
          </cell>
          <cell r="H51">
            <v>7059797.2999999998</v>
          </cell>
          <cell r="I51">
            <v>7059797.2999999998</v>
          </cell>
          <cell r="J51">
            <v>7059797.2999999998</v>
          </cell>
          <cell r="K51">
            <v>7059797.2999999998</v>
          </cell>
          <cell r="L51">
            <v>7059797.2999999998</v>
          </cell>
          <cell r="M51">
            <v>7059797.2999999998</v>
          </cell>
          <cell r="N51">
            <v>7059797.2999999998</v>
          </cell>
          <cell r="O51">
            <v>11344376.48</v>
          </cell>
          <cell r="P51">
            <v>7059797.2999999998</v>
          </cell>
          <cell r="Q51" t="str">
            <v>Gas</v>
          </cell>
          <cell r="R51">
            <v>6947776.1100000003</v>
          </cell>
        </row>
        <row r="52">
          <cell r="A52" t="str">
            <v>91</v>
          </cell>
          <cell r="B52" t="str">
            <v>151001</v>
          </cell>
          <cell r="C52">
            <v>16068177.390000001</v>
          </cell>
          <cell r="D52">
            <v>15138096.630000001</v>
          </cell>
          <cell r="E52">
            <v>15808205.27</v>
          </cell>
          <cell r="F52">
            <v>15808205.27</v>
          </cell>
          <cell r="G52">
            <v>15808205.27</v>
          </cell>
          <cell r="H52">
            <v>15808205.27</v>
          </cell>
          <cell r="I52">
            <v>15808205.27</v>
          </cell>
          <cell r="J52">
            <v>15808205.27</v>
          </cell>
          <cell r="K52">
            <v>15808205.27</v>
          </cell>
          <cell r="L52">
            <v>15808205.27</v>
          </cell>
          <cell r="M52">
            <v>15808205.27</v>
          </cell>
          <cell r="N52">
            <v>15808205.27</v>
          </cell>
          <cell r="O52">
            <v>16233814.140000001</v>
          </cell>
          <cell r="P52">
            <v>15808205.27</v>
          </cell>
          <cell r="Q52" t="str">
            <v>Coal</v>
          </cell>
          <cell r="R52">
            <v>15138096.630000001</v>
          </cell>
        </row>
        <row r="53">
          <cell r="A53" t="str">
            <v>91</v>
          </cell>
          <cell r="B53" t="str">
            <v>151003</v>
          </cell>
          <cell r="C53">
            <v>22812488.98</v>
          </cell>
          <cell r="D53">
            <v>22812917.75</v>
          </cell>
          <cell r="E53">
            <v>24955450.43</v>
          </cell>
          <cell r="F53">
            <v>25156336.48</v>
          </cell>
          <cell r="G53">
            <v>25156336.48</v>
          </cell>
          <cell r="H53">
            <v>25156336.48</v>
          </cell>
          <cell r="I53">
            <v>25156336.48</v>
          </cell>
          <cell r="J53">
            <v>25156336.48</v>
          </cell>
          <cell r="K53">
            <v>25156336.48</v>
          </cell>
          <cell r="L53">
            <v>25156336.48</v>
          </cell>
          <cell r="M53">
            <v>25156336.48</v>
          </cell>
          <cell r="N53">
            <v>25156336.48</v>
          </cell>
          <cell r="O53">
            <v>21399809.629999999</v>
          </cell>
          <cell r="P53">
            <v>24955450.43</v>
          </cell>
          <cell r="Q53" t="str">
            <v>Coal</v>
          </cell>
          <cell r="R53">
            <v>22812917.75</v>
          </cell>
        </row>
        <row r="54">
          <cell r="A54" t="str">
            <v>91</v>
          </cell>
          <cell r="B54" t="str">
            <v>151007</v>
          </cell>
          <cell r="C54">
            <v>537084.24</v>
          </cell>
          <cell r="D54">
            <v>549421.02</v>
          </cell>
          <cell r="E54">
            <v>497808.05</v>
          </cell>
          <cell r="F54">
            <v>497808.05</v>
          </cell>
          <cell r="G54">
            <v>497808.05</v>
          </cell>
          <cell r="H54">
            <v>497808.05</v>
          </cell>
          <cell r="I54">
            <v>497808.05</v>
          </cell>
          <cell r="J54">
            <v>497808.05</v>
          </cell>
          <cell r="K54">
            <v>497808.05</v>
          </cell>
          <cell r="L54">
            <v>497808.05</v>
          </cell>
          <cell r="M54">
            <v>497808.05</v>
          </cell>
          <cell r="N54">
            <v>497808.05</v>
          </cell>
          <cell r="O54">
            <v>540480.61</v>
          </cell>
          <cell r="P54">
            <v>497808.05</v>
          </cell>
          <cell r="Q54" t="str">
            <v>Oil</v>
          </cell>
          <cell r="R54">
            <v>549421.02</v>
          </cell>
        </row>
        <row r="55">
          <cell r="A55" t="str">
            <v>91</v>
          </cell>
          <cell r="B55" t="str">
            <v>151011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Coal</v>
          </cell>
          <cell r="R55">
            <v>0</v>
          </cell>
        </row>
        <row r="56">
          <cell r="A56" t="str">
            <v>91</v>
          </cell>
          <cell r="B56" t="str">
            <v>151016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 t="str">
            <v>Coal</v>
          </cell>
          <cell r="R56">
            <v>0</v>
          </cell>
        </row>
        <row r="57">
          <cell r="A57" t="str">
            <v>91</v>
          </cell>
          <cell r="B57" t="str">
            <v>151020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RailCar</v>
          </cell>
          <cell r="R57">
            <v>0</v>
          </cell>
        </row>
        <row r="58">
          <cell r="A58" t="str">
            <v>91</v>
          </cell>
          <cell r="B58" t="str">
            <v>151201</v>
          </cell>
          <cell r="C58">
            <v>839785.15</v>
          </cell>
          <cell r="D58">
            <v>605905.32999999996</v>
          </cell>
          <cell r="E58">
            <v>215633.53</v>
          </cell>
          <cell r="F58">
            <v>202949.2</v>
          </cell>
          <cell r="G58">
            <v>202949.2</v>
          </cell>
          <cell r="H58">
            <v>202949.2</v>
          </cell>
          <cell r="I58">
            <v>202949.2</v>
          </cell>
          <cell r="J58">
            <v>202949.2</v>
          </cell>
          <cell r="K58">
            <v>202949.2</v>
          </cell>
          <cell r="L58">
            <v>202949.2</v>
          </cell>
          <cell r="M58">
            <v>202949.2</v>
          </cell>
          <cell r="N58">
            <v>202949.2</v>
          </cell>
          <cell r="O58">
            <v>573570.68000000005</v>
          </cell>
          <cell r="P58">
            <v>215633.53</v>
          </cell>
          <cell r="Q58" t="str">
            <v>Coal</v>
          </cell>
          <cell r="R58">
            <v>605905.32999999996</v>
          </cell>
        </row>
        <row r="59">
          <cell r="A59" t="str">
            <v>91</v>
          </cell>
          <cell r="B59" t="str">
            <v>151203</v>
          </cell>
          <cell r="C59">
            <v>1561864.45</v>
          </cell>
          <cell r="D59">
            <v>1169340.3400000001</v>
          </cell>
          <cell r="E59">
            <v>406104.29</v>
          </cell>
          <cell r="F59">
            <v>406104.29</v>
          </cell>
          <cell r="G59">
            <v>406104.29</v>
          </cell>
          <cell r="H59">
            <v>406104.29</v>
          </cell>
          <cell r="I59">
            <v>406104.29</v>
          </cell>
          <cell r="J59">
            <v>406104.29</v>
          </cell>
          <cell r="K59">
            <v>406104.29</v>
          </cell>
          <cell r="L59">
            <v>406104.29</v>
          </cell>
          <cell r="M59">
            <v>406104.29</v>
          </cell>
          <cell r="N59">
            <v>406104.29</v>
          </cell>
          <cell r="O59">
            <v>770697.98</v>
          </cell>
          <cell r="P59">
            <v>406104.29</v>
          </cell>
          <cell r="Q59" t="str">
            <v>Coal</v>
          </cell>
          <cell r="R59">
            <v>1169340.3400000001</v>
          </cell>
        </row>
        <row r="60">
          <cell r="A60" t="str">
            <v>92</v>
          </cell>
          <cell r="B60" t="str">
            <v>151001</v>
          </cell>
          <cell r="C60">
            <v>14480845.439999999</v>
          </cell>
          <cell r="D60">
            <v>13984462.92</v>
          </cell>
          <cell r="E60">
            <v>14581339.85</v>
          </cell>
          <cell r="F60">
            <v>14581339.85</v>
          </cell>
          <cell r="G60">
            <v>14581339.85</v>
          </cell>
          <cell r="H60">
            <v>14581339.85</v>
          </cell>
          <cell r="I60">
            <v>14581339.85</v>
          </cell>
          <cell r="J60">
            <v>14581339.85</v>
          </cell>
          <cell r="K60">
            <v>14581339.85</v>
          </cell>
          <cell r="L60">
            <v>14581339.85</v>
          </cell>
          <cell r="M60">
            <v>14581339.85</v>
          </cell>
          <cell r="N60">
            <v>14581339.85</v>
          </cell>
          <cell r="O60">
            <v>13851367.289999999</v>
          </cell>
          <cell r="P60">
            <v>14581339.85</v>
          </cell>
          <cell r="Q60" t="str">
            <v>Coal</v>
          </cell>
          <cell r="R60">
            <v>13984462.92</v>
          </cell>
        </row>
        <row r="61">
          <cell r="A61" t="str">
            <v>92</v>
          </cell>
          <cell r="B61" t="str">
            <v>151003</v>
          </cell>
          <cell r="C61">
            <v>20585275.309999999</v>
          </cell>
          <cell r="D61">
            <v>19710134.52</v>
          </cell>
          <cell r="E61">
            <v>19791273.960000001</v>
          </cell>
          <cell r="F61">
            <v>19896631.5</v>
          </cell>
          <cell r="G61">
            <v>19896631.5</v>
          </cell>
          <cell r="H61">
            <v>19896631.5</v>
          </cell>
          <cell r="I61">
            <v>19896631.5</v>
          </cell>
          <cell r="J61">
            <v>19896631.5</v>
          </cell>
          <cell r="K61">
            <v>19896631.5</v>
          </cell>
          <cell r="L61">
            <v>19896631.5</v>
          </cell>
          <cell r="M61">
            <v>19896631.5</v>
          </cell>
          <cell r="N61">
            <v>19896631.5</v>
          </cell>
          <cell r="O61">
            <v>19702733.57</v>
          </cell>
          <cell r="P61">
            <v>19791273.960000001</v>
          </cell>
          <cell r="Q61" t="str">
            <v>Coal</v>
          </cell>
          <cell r="R61">
            <v>19710134.52</v>
          </cell>
        </row>
        <row r="62">
          <cell r="A62" t="str">
            <v>92</v>
          </cell>
          <cell r="B62" t="str">
            <v>151007</v>
          </cell>
          <cell r="C62">
            <v>269393.28000000003</v>
          </cell>
          <cell r="D62">
            <v>281292.18</v>
          </cell>
          <cell r="E62">
            <v>299415.15999999997</v>
          </cell>
          <cell r="F62">
            <v>299415.15999999997</v>
          </cell>
          <cell r="G62">
            <v>299415.15999999997</v>
          </cell>
          <cell r="H62">
            <v>299415.15999999997</v>
          </cell>
          <cell r="I62">
            <v>299415.15999999997</v>
          </cell>
          <cell r="J62">
            <v>299415.15999999997</v>
          </cell>
          <cell r="K62">
            <v>299415.15999999997</v>
          </cell>
          <cell r="L62">
            <v>299415.15999999997</v>
          </cell>
          <cell r="M62">
            <v>299415.15999999997</v>
          </cell>
          <cell r="N62">
            <v>299415.15999999997</v>
          </cell>
          <cell r="O62">
            <v>275124.61</v>
          </cell>
          <cell r="P62">
            <v>299415.15999999997</v>
          </cell>
          <cell r="Q62" t="str">
            <v>Oil</v>
          </cell>
          <cell r="R62">
            <v>281292.18</v>
          </cell>
        </row>
        <row r="63">
          <cell r="A63" t="str">
            <v>92</v>
          </cell>
          <cell r="B63" t="str">
            <v>151012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Coal</v>
          </cell>
          <cell r="R63">
            <v>0</v>
          </cell>
        </row>
        <row r="64">
          <cell r="A64" t="str">
            <v>92</v>
          </cell>
          <cell r="B64" t="str">
            <v>151017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Coal</v>
          </cell>
          <cell r="R64">
            <v>0</v>
          </cell>
        </row>
        <row r="65">
          <cell r="A65" t="str">
            <v>92</v>
          </cell>
          <cell r="B65" t="str">
            <v>151020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RailCar</v>
          </cell>
          <cell r="R65">
            <v>0</v>
          </cell>
        </row>
        <row r="66">
          <cell r="A66" t="str">
            <v>92</v>
          </cell>
          <cell r="B66" t="str">
            <v>151201</v>
          </cell>
          <cell r="C66">
            <v>210070.33</v>
          </cell>
          <cell r="D66">
            <v>348806.91</v>
          </cell>
          <cell r="E66">
            <v>223568.49</v>
          </cell>
          <cell r="F66">
            <v>210417.32</v>
          </cell>
          <cell r="G66">
            <v>210417.32</v>
          </cell>
          <cell r="H66">
            <v>210417.32</v>
          </cell>
          <cell r="I66">
            <v>210417.32</v>
          </cell>
          <cell r="J66">
            <v>210417.32</v>
          </cell>
          <cell r="K66">
            <v>210417.32</v>
          </cell>
          <cell r="L66">
            <v>210417.32</v>
          </cell>
          <cell r="M66">
            <v>210417.32</v>
          </cell>
          <cell r="N66">
            <v>210417.32</v>
          </cell>
          <cell r="O66">
            <v>333383.36</v>
          </cell>
          <cell r="P66">
            <v>223568.49</v>
          </cell>
          <cell r="Q66" t="str">
            <v>Coal</v>
          </cell>
          <cell r="R66">
            <v>348806.91</v>
          </cell>
        </row>
        <row r="67">
          <cell r="A67" t="str">
            <v>92</v>
          </cell>
          <cell r="B67" t="str">
            <v>151203</v>
          </cell>
          <cell r="C67">
            <v>337845.58</v>
          </cell>
          <cell r="D67">
            <v>666050.96</v>
          </cell>
          <cell r="E67">
            <v>333833.34999999998</v>
          </cell>
          <cell r="F67">
            <v>333833.34999999998</v>
          </cell>
          <cell r="G67">
            <v>333833.34999999998</v>
          </cell>
          <cell r="H67">
            <v>333833.34999999998</v>
          </cell>
          <cell r="I67">
            <v>333833.34999999998</v>
          </cell>
          <cell r="J67">
            <v>333833.34999999998</v>
          </cell>
          <cell r="K67">
            <v>333833.34999999998</v>
          </cell>
          <cell r="L67">
            <v>333833.34999999998</v>
          </cell>
          <cell r="M67">
            <v>333833.34999999998</v>
          </cell>
          <cell r="N67">
            <v>333833.34999999998</v>
          </cell>
          <cell r="O67">
            <v>632409.41</v>
          </cell>
          <cell r="P67">
            <v>333833.34999999998</v>
          </cell>
          <cell r="Q67" t="str">
            <v>Coal</v>
          </cell>
          <cell r="R67">
            <v>666050.96</v>
          </cell>
        </row>
        <row r="68">
          <cell r="A68" t="str">
            <v>93</v>
          </cell>
          <cell r="B68" t="str">
            <v>151001</v>
          </cell>
          <cell r="C68">
            <v>2673958.5</v>
          </cell>
          <cell r="D68">
            <v>2770452.43</v>
          </cell>
          <cell r="E68">
            <v>2819041.13</v>
          </cell>
          <cell r="F68">
            <v>2819041.13</v>
          </cell>
          <cell r="G68">
            <v>2819041.13</v>
          </cell>
          <cell r="H68">
            <v>2819041.13</v>
          </cell>
          <cell r="I68">
            <v>2819041.13</v>
          </cell>
          <cell r="J68">
            <v>2819041.13</v>
          </cell>
          <cell r="K68">
            <v>2819041.13</v>
          </cell>
          <cell r="L68">
            <v>2819041.13</v>
          </cell>
          <cell r="M68">
            <v>2819041.13</v>
          </cell>
          <cell r="N68">
            <v>2819041.13</v>
          </cell>
          <cell r="O68">
            <v>3083453.96</v>
          </cell>
          <cell r="P68">
            <v>2819041.13</v>
          </cell>
          <cell r="Q68" t="str">
            <v>Coal</v>
          </cell>
          <cell r="R68">
            <v>2770452.43</v>
          </cell>
        </row>
        <row r="69">
          <cell r="A69" t="str">
            <v>93</v>
          </cell>
          <cell r="B69" t="str">
            <v>151003</v>
          </cell>
          <cell r="C69">
            <v>3653935.04</v>
          </cell>
          <cell r="D69">
            <v>3911381.61</v>
          </cell>
          <cell r="E69">
            <v>4001077.46</v>
          </cell>
          <cell r="F69">
            <v>4022418.36</v>
          </cell>
          <cell r="G69">
            <v>4022418.36</v>
          </cell>
          <cell r="H69">
            <v>4022418.36</v>
          </cell>
          <cell r="I69">
            <v>4022418.36</v>
          </cell>
          <cell r="J69">
            <v>4022418.36</v>
          </cell>
          <cell r="K69">
            <v>4022418.36</v>
          </cell>
          <cell r="L69">
            <v>4022418.36</v>
          </cell>
          <cell r="M69">
            <v>4022418.36</v>
          </cell>
          <cell r="N69">
            <v>4022418.36</v>
          </cell>
          <cell r="O69">
            <v>4284320.82</v>
          </cell>
          <cell r="P69">
            <v>4001077.46</v>
          </cell>
          <cell r="Q69" t="str">
            <v>Coal</v>
          </cell>
          <cell r="R69">
            <v>3911381.61</v>
          </cell>
        </row>
        <row r="70">
          <cell r="A70" t="str">
            <v>93</v>
          </cell>
          <cell r="B70" t="str">
            <v>151007</v>
          </cell>
          <cell r="C70">
            <v>209543.34</v>
          </cell>
          <cell r="D70">
            <v>213823.69</v>
          </cell>
          <cell r="E70">
            <v>221309.61</v>
          </cell>
          <cell r="F70">
            <v>221309.61</v>
          </cell>
          <cell r="G70">
            <v>221309.61</v>
          </cell>
          <cell r="H70">
            <v>221309.61</v>
          </cell>
          <cell r="I70">
            <v>221309.61</v>
          </cell>
          <cell r="J70">
            <v>221309.61</v>
          </cell>
          <cell r="K70">
            <v>221309.61</v>
          </cell>
          <cell r="L70">
            <v>221309.61</v>
          </cell>
          <cell r="M70">
            <v>221309.61</v>
          </cell>
          <cell r="N70">
            <v>221309.61</v>
          </cell>
          <cell r="O70">
            <v>208799.43</v>
          </cell>
          <cell r="P70">
            <v>221309.61</v>
          </cell>
          <cell r="Q70" t="str">
            <v>Oil</v>
          </cell>
          <cell r="R70">
            <v>213823.69</v>
          </cell>
        </row>
        <row r="71">
          <cell r="A71" t="str">
            <v>93</v>
          </cell>
          <cell r="B71" t="str">
            <v>151013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Coal</v>
          </cell>
          <cell r="R71">
            <v>0</v>
          </cell>
        </row>
        <row r="72">
          <cell r="A72" t="str">
            <v>93</v>
          </cell>
          <cell r="B72" t="str">
            <v>151018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Coal</v>
          </cell>
          <cell r="R72">
            <v>0</v>
          </cell>
        </row>
        <row r="73">
          <cell r="A73" t="str">
            <v>93</v>
          </cell>
          <cell r="B73" t="str">
            <v>151020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RailCar</v>
          </cell>
          <cell r="R73">
            <v>0</v>
          </cell>
        </row>
        <row r="74">
          <cell r="A74" t="str">
            <v>93</v>
          </cell>
          <cell r="B74" t="str">
            <v>151021</v>
          </cell>
          <cell r="C74">
            <v>1010075.71</v>
          </cell>
          <cell r="D74">
            <v>1010075.71</v>
          </cell>
          <cell r="E74">
            <v>1010075.71</v>
          </cell>
          <cell r="F74">
            <v>1010075.71</v>
          </cell>
          <cell r="G74">
            <v>1010075.71</v>
          </cell>
          <cell r="H74">
            <v>1010075.71</v>
          </cell>
          <cell r="I74">
            <v>1010075.71</v>
          </cell>
          <cell r="J74">
            <v>1010075.71</v>
          </cell>
          <cell r="K74">
            <v>1010075.71</v>
          </cell>
          <cell r="L74">
            <v>1010075.71</v>
          </cell>
          <cell r="M74">
            <v>1010075.71</v>
          </cell>
          <cell r="N74">
            <v>1010075.71</v>
          </cell>
          <cell r="O74">
            <v>1010075.71</v>
          </cell>
          <cell r="P74">
            <v>1010075.71</v>
          </cell>
          <cell r="Q74" t="str">
            <v>Oil</v>
          </cell>
          <cell r="R74">
            <v>1010075.71</v>
          </cell>
        </row>
        <row r="75">
          <cell r="A75" t="str">
            <v>93</v>
          </cell>
          <cell r="B75" t="str">
            <v>151201</v>
          </cell>
          <cell r="C75">
            <v>439157.74</v>
          </cell>
          <cell r="D75">
            <v>602338.92000000004</v>
          </cell>
          <cell r="E75">
            <v>507679.71</v>
          </cell>
          <cell r="F75">
            <v>491835.06</v>
          </cell>
          <cell r="G75">
            <v>491835.06</v>
          </cell>
          <cell r="H75">
            <v>491835.06</v>
          </cell>
          <cell r="I75">
            <v>491835.06</v>
          </cell>
          <cell r="J75">
            <v>491835.06</v>
          </cell>
          <cell r="K75">
            <v>491835.06</v>
          </cell>
          <cell r="L75">
            <v>491835.06</v>
          </cell>
          <cell r="M75">
            <v>491835.06</v>
          </cell>
          <cell r="N75">
            <v>491835.06</v>
          </cell>
          <cell r="O75">
            <v>302228.71000000002</v>
          </cell>
          <cell r="P75">
            <v>507679.71</v>
          </cell>
          <cell r="Q75" t="str">
            <v>Coal</v>
          </cell>
          <cell r="R75">
            <v>602338.92000000004</v>
          </cell>
        </row>
        <row r="76">
          <cell r="A76" t="str">
            <v>93</v>
          </cell>
          <cell r="B76" t="str">
            <v>151203</v>
          </cell>
          <cell r="C76">
            <v>631518.19999999995</v>
          </cell>
          <cell r="D76">
            <v>889859.3</v>
          </cell>
          <cell r="E76">
            <v>672201.88</v>
          </cell>
          <cell r="F76">
            <v>672201.88</v>
          </cell>
          <cell r="G76">
            <v>672201.88</v>
          </cell>
          <cell r="H76">
            <v>672201.88</v>
          </cell>
          <cell r="I76">
            <v>672201.88</v>
          </cell>
          <cell r="J76">
            <v>672201.88</v>
          </cell>
          <cell r="K76">
            <v>672201.88</v>
          </cell>
          <cell r="L76">
            <v>672201.88</v>
          </cell>
          <cell r="M76">
            <v>672201.88</v>
          </cell>
          <cell r="N76">
            <v>672201.88</v>
          </cell>
          <cell r="O76">
            <v>309604.40999999997</v>
          </cell>
          <cell r="P76">
            <v>672201.88</v>
          </cell>
          <cell r="Q76" t="str">
            <v>Coal</v>
          </cell>
          <cell r="R76">
            <v>889859.3</v>
          </cell>
        </row>
        <row r="77">
          <cell r="A77" t="str">
            <v>95</v>
          </cell>
          <cell r="B77" t="str">
            <v>151001</v>
          </cell>
          <cell r="C77">
            <v>714435.65</v>
          </cell>
          <cell r="D77">
            <v>732563.92</v>
          </cell>
          <cell r="E77">
            <v>1123258.6499999999</v>
          </cell>
          <cell r="F77">
            <v>1123258.6499999999</v>
          </cell>
          <cell r="G77">
            <v>1123258.6499999999</v>
          </cell>
          <cell r="H77">
            <v>1123258.6499999999</v>
          </cell>
          <cell r="I77">
            <v>1123258.6499999999</v>
          </cell>
          <cell r="J77">
            <v>1123258.6499999999</v>
          </cell>
          <cell r="K77">
            <v>1123258.6499999999</v>
          </cell>
          <cell r="L77">
            <v>1123258.6499999999</v>
          </cell>
          <cell r="M77">
            <v>1123258.6499999999</v>
          </cell>
          <cell r="N77">
            <v>1123258.6499999999</v>
          </cell>
          <cell r="O77">
            <v>728566.41</v>
          </cell>
          <cell r="P77">
            <v>1123258.6499999999</v>
          </cell>
          <cell r="Q77" t="str">
            <v>Coal</v>
          </cell>
          <cell r="R77">
            <v>732563.92</v>
          </cell>
        </row>
        <row r="78">
          <cell r="A78" t="str">
            <v>95</v>
          </cell>
          <cell r="B78" t="str">
            <v>151003</v>
          </cell>
          <cell r="C78">
            <v>1405179.39</v>
          </cell>
          <cell r="D78">
            <v>1479465.97</v>
          </cell>
          <cell r="E78">
            <v>2331178.3199999998</v>
          </cell>
          <cell r="F78">
            <v>2351751.85</v>
          </cell>
          <cell r="G78">
            <v>2351751.85</v>
          </cell>
          <cell r="H78">
            <v>2351751.85</v>
          </cell>
          <cell r="I78">
            <v>2351751.85</v>
          </cell>
          <cell r="J78">
            <v>2351751.85</v>
          </cell>
          <cell r="K78">
            <v>2351751.85</v>
          </cell>
          <cell r="L78">
            <v>2351751.85</v>
          </cell>
          <cell r="M78">
            <v>2351751.85</v>
          </cell>
          <cell r="N78">
            <v>2351751.85</v>
          </cell>
          <cell r="O78">
            <v>1402896.94</v>
          </cell>
          <cell r="P78">
            <v>2331178.3199999998</v>
          </cell>
          <cell r="Q78" t="str">
            <v>Coal</v>
          </cell>
          <cell r="R78">
            <v>1479465.97</v>
          </cell>
        </row>
        <row r="79">
          <cell r="A79" t="str">
            <v>95</v>
          </cell>
          <cell r="B79" t="str">
            <v>151004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 t="str">
            <v>PetCoke</v>
          </cell>
          <cell r="R79">
            <v>0</v>
          </cell>
        </row>
        <row r="80">
          <cell r="A80" t="str">
            <v>95</v>
          </cell>
          <cell r="B80" t="str">
            <v>151007</v>
          </cell>
          <cell r="C80">
            <v>144124.06</v>
          </cell>
          <cell r="D80">
            <v>143327.32999999999</v>
          </cell>
          <cell r="E80">
            <v>94913.66</v>
          </cell>
          <cell r="F80">
            <v>94913.66</v>
          </cell>
          <cell r="G80">
            <v>94913.66</v>
          </cell>
          <cell r="H80">
            <v>94913.66</v>
          </cell>
          <cell r="I80">
            <v>94913.66</v>
          </cell>
          <cell r="J80">
            <v>94913.66</v>
          </cell>
          <cell r="K80">
            <v>94913.66</v>
          </cell>
          <cell r="L80">
            <v>94913.66</v>
          </cell>
          <cell r="M80">
            <v>94913.66</v>
          </cell>
          <cell r="N80">
            <v>94913.66</v>
          </cell>
          <cell r="O80">
            <v>100023.6</v>
          </cell>
          <cell r="P80">
            <v>94913.66</v>
          </cell>
          <cell r="Q80" t="str">
            <v>Oil</v>
          </cell>
          <cell r="R80">
            <v>143327.32999999999</v>
          </cell>
        </row>
        <row r="81">
          <cell r="A81" t="str">
            <v>95</v>
          </cell>
          <cell r="B81" t="str">
            <v>151013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Coal</v>
          </cell>
          <cell r="R81">
            <v>0</v>
          </cell>
        </row>
        <row r="82">
          <cell r="A82" t="str">
            <v>95</v>
          </cell>
          <cell r="B82" t="str">
            <v>151018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Coal</v>
          </cell>
          <cell r="R82">
            <v>0</v>
          </cell>
        </row>
        <row r="83">
          <cell r="A83" t="str">
            <v>96</v>
          </cell>
          <cell r="B83" t="str">
            <v>151003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 t="str">
            <v>Coal</v>
          </cell>
          <cell r="R83">
            <v>0</v>
          </cell>
        </row>
        <row r="84">
          <cell r="A84" t="str">
            <v>1N</v>
          </cell>
          <cell r="B84" t="str">
            <v>151007</v>
          </cell>
          <cell r="C84">
            <v>39670.199999999997</v>
          </cell>
          <cell r="D84">
            <v>39587.39</v>
          </cell>
          <cell r="E84">
            <v>39209.17</v>
          </cell>
          <cell r="F84">
            <v>39209.17</v>
          </cell>
          <cell r="G84">
            <v>39209.17</v>
          </cell>
          <cell r="H84">
            <v>39209.17</v>
          </cell>
          <cell r="I84">
            <v>39209.17</v>
          </cell>
          <cell r="J84">
            <v>39209.17</v>
          </cell>
          <cell r="K84">
            <v>39209.17</v>
          </cell>
          <cell r="L84">
            <v>39209.17</v>
          </cell>
          <cell r="M84">
            <v>39209.17</v>
          </cell>
          <cell r="N84">
            <v>39209.17</v>
          </cell>
          <cell r="O84">
            <v>39563.68</v>
          </cell>
          <cell r="P84">
            <v>39209.17</v>
          </cell>
          <cell r="Q84" t="str">
            <v>Oil</v>
          </cell>
          <cell r="R84">
            <v>39587.39</v>
          </cell>
        </row>
        <row r="85">
          <cell r="A85" t="str">
            <v>MH</v>
          </cell>
          <cell r="B85" t="str">
            <v>151025</v>
          </cell>
          <cell r="C85">
            <v>1424.24</v>
          </cell>
          <cell r="D85">
            <v>1432.4</v>
          </cell>
          <cell r="E85">
            <v>534.25</v>
          </cell>
          <cell r="F85">
            <v>534.25</v>
          </cell>
          <cell r="G85">
            <v>534.25</v>
          </cell>
          <cell r="H85">
            <v>534.25</v>
          </cell>
          <cell r="I85">
            <v>534.25</v>
          </cell>
          <cell r="J85">
            <v>534.25</v>
          </cell>
          <cell r="K85">
            <v>534.25</v>
          </cell>
          <cell r="L85">
            <v>534.25</v>
          </cell>
          <cell r="M85">
            <v>534.25</v>
          </cell>
          <cell r="N85">
            <v>534.25</v>
          </cell>
          <cell r="O85">
            <v>566.91999999999996</v>
          </cell>
          <cell r="P85">
            <v>534.25</v>
          </cell>
          <cell r="Q85" t="str">
            <v>FlyAsh</v>
          </cell>
          <cell r="R85">
            <v>1432.4</v>
          </cell>
        </row>
        <row r="86">
          <cell r="A86" t="str">
            <v>20</v>
          </cell>
          <cell r="B86" t="str">
            <v>151001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Coal</v>
          </cell>
          <cell r="R86">
            <v>0</v>
          </cell>
        </row>
        <row r="87">
          <cell r="A87" t="str">
            <v>20</v>
          </cell>
          <cell r="B87" t="str">
            <v>151003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Coal</v>
          </cell>
          <cell r="R87">
            <v>0</v>
          </cell>
        </row>
        <row r="88">
          <cell r="A88" t="str">
            <v>20</v>
          </cell>
          <cell r="B88" t="str">
            <v>151010</v>
          </cell>
          <cell r="C88">
            <v>0.02</v>
          </cell>
          <cell r="D88">
            <v>131668.44</v>
          </cell>
          <cell r="E88">
            <v>0.02</v>
          </cell>
          <cell r="F88">
            <v>121017.97</v>
          </cell>
          <cell r="G88">
            <v>121017.97</v>
          </cell>
          <cell r="H88">
            <v>121017.97</v>
          </cell>
          <cell r="I88">
            <v>121017.97</v>
          </cell>
          <cell r="J88">
            <v>121017.97</v>
          </cell>
          <cell r="K88">
            <v>121017.97</v>
          </cell>
          <cell r="L88">
            <v>121017.97</v>
          </cell>
          <cell r="M88">
            <v>121017.97</v>
          </cell>
          <cell r="N88">
            <v>121017.97</v>
          </cell>
          <cell r="O88">
            <v>0.02</v>
          </cell>
          <cell r="P88">
            <v>0.02</v>
          </cell>
          <cell r="Q88" t="str">
            <v>RailCar</v>
          </cell>
          <cell r="R88">
            <v>131668.44</v>
          </cell>
        </row>
        <row r="89">
          <cell r="A89" t="str">
            <v>20</v>
          </cell>
          <cell r="B89" t="str">
            <v>151100</v>
          </cell>
          <cell r="C89">
            <v>74705</v>
          </cell>
          <cell r="D89">
            <v>96677</v>
          </cell>
          <cell r="E89">
            <v>60098</v>
          </cell>
          <cell r="F89">
            <v>60098</v>
          </cell>
          <cell r="G89">
            <v>60098</v>
          </cell>
          <cell r="H89">
            <v>60098</v>
          </cell>
          <cell r="I89">
            <v>60098</v>
          </cell>
          <cell r="J89">
            <v>60098</v>
          </cell>
          <cell r="K89">
            <v>60098</v>
          </cell>
          <cell r="L89">
            <v>60098</v>
          </cell>
          <cell r="M89">
            <v>60098</v>
          </cell>
          <cell r="N89">
            <v>60098</v>
          </cell>
          <cell r="O89">
            <v>35492</v>
          </cell>
          <cell r="P89">
            <v>60098</v>
          </cell>
          <cell r="Q89" t="str">
            <v>Gas</v>
          </cell>
          <cell r="R89">
            <v>96677</v>
          </cell>
        </row>
        <row r="90">
          <cell r="A90" t="str">
            <v>21</v>
          </cell>
          <cell r="B90" t="str">
            <v>151010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RailCar</v>
          </cell>
          <cell r="R90">
            <v>0</v>
          </cell>
        </row>
        <row r="91">
          <cell r="A91" t="str">
            <v>5A</v>
          </cell>
          <cell r="B91" t="str">
            <v>151003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>Coal</v>
          </cell>
          <cell r="R91">
            <v>0</v>
          </cell>
        </row>
        <row r="92">
          <cell r="A92" t="str">
            <v>5A</v>
          </cell>
          <cell r="B92" t="str">
            <v>151100</v>
          </cell>
          <cell r="C92">
            <v>6039613.0999999996</v>
          </cell>
          <cell r="D92">
            <v>4732996.2300000004</v>
          </cell>
          <cell r="E92">
            <v>4646841.76</v>
          </cell>
          <cell r="F92">
            <v>4646841.76</v>
          </cell>
          <cell r="G92">
            <v>4646841.76</v>
          </cell>
          <cell r="H92">
            <v>4646841.76</v>
          </cell>
          <cell r="I92">
            <v>4646841.76</v>
          </cell>
          <cell r="J92">
            <v>4646841.76</v>
          </cell>
          <cell r="K92">
            <v>4646841.76</v>
          </cell>
          <cell r="L92">
            <v>4646841.76</v>
          </cell>
          <cell r="M92">
            <v>4646841.76</v>
          </cell>
          <cell r="N92">
            <v>4646841.76</v>
          </cell>
          <cell r="O92">
            <v>6354193.9699999997</v>
          </cell>
          <cell r="P92">
            <v>4646841.76</v>
          </cell>
          <cell r="Q92" t="str">
            <v>Gas</v>
          </cell>
          <cell r="R92">
            <v>4732996.2300000004</v>
          </cell>
        </row>
        <row r="93">
          <cell r="A93" t="str">
            <v>50</v>
          </cell>
          <cell r="B93" t="str">
            <v>151001</v>
          </cell>
          <cell r="C93">
            <v>11122630.68</v>
          </cell>
          <cell r="D93">
            <v>10697499.869999999</v>
          </cell>
          <cell r="E93">
            <v>10941765.75</v>
          </cell>
          <cell r="F93">
            <v>10941765.75</v>
          </cell>
          <cell r="G93">
            <v>10941765.75</v>
          </cell>
          <cell r="H93">
            <v>10941765.75</v>
          </cell>
          <cell r="I93">
            <v>10941765.75</v>
          </cell>
          <cell r="J93">
            <v>10941765.75</v>
          </cell>
          <cell r="K93">
            <v>10941765.75</v>
          </cell>
          <cell r="L93">
            <v>10941765.75</v>
          </cell>
          <cell r="M93">
            <v>10941765.75</v>
          </cell>
          <cell r="N93">
            <v>10941765.75</v>
          </cell>
          <cell r="O93">
            <v>11504552.75</v>
          </cell>
          <cell r="P93">
            <v>10941765.75</v>
          </cell>
          <cell r="Q93" t="str">
            <v>Coal</v>
          </cell>
          <cell r="R93">
            <v>10697499.869999999</v>
          </cell>
        </row>
        <row r="94">
          <cell r="A94" t="str">
            <v>50</v>
          </cell>
          <cell r="B94" t="str">
            <v>151002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Coal</v>
          </cell>
          <cell r="R94">
            <v>0</v>
          </cell>
        </row>
        <row r="95">
          <cell r="A95" t="str">
            <v>50</v>
          </cell>
          <cell r="B95" t="str">
            <v>151003</v>
          </cell>
          <cell r="C95">
            <v>14611713.42</v>
          </cell>
          <cell r="D95">
            <v>14367486.789999999</v>
          </cell>
          <cell r="E95">
            <v>14778180.68</v>
          </cell>
          <cell r="F95">
            <v>14921941.859999999</v>
          </cell>
          <cell r="G95">
            <v>14921941.859999999</v>
          </cell>
          <cell r="H95">
            <v>14921941.859999999</v>
          </cell>
          <cell r="I95">
            <v>14921941.859999999</v>
          </cell>
          <cell r="J95">
            <v>14921941.859999999</v>
          </cell>
          <cell r="K95">
            <v>14921941.859999999</v>
          </cell>
          <cell r="L95">
            <v>14921941.859999999</v>
          </cell>
          <cell r="M95">
            <v>14921941.859999999</v>
          </cell>
          <cell r="N95">
            <v>14921941.859999999</v>
          </cell>
          <cell r="O95">
            <v>14583971.59</v>
          </cell>
          <cell r="P95">
            <v>14778180.68</v>
          </cell>
          <cell r="Q95" t="str">
            <v>Coal</v>
          </cell>
          <cell r="R95">
            <v>14367486.789999999</v>
          </cell>
        </row>
        <row r="96">
          <cell r="A96" t="str">
            <v>50</v>
          </cell>
          <cell r="B96" t="str">
            <v>151004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PetCoke</v>
          </cell>
          <cell r="R96">
            <v>0</v>
          </cell>
        </row>
        <row r="97">
          <cell r="A97" t="str">
            <v>50</v>
          </cell>
          <cell r="B97" t="str">
            <v>151006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Propane</v>
          </cell>
          <cell r="R97">
            <v>0</v>
          </cell>
        </row>
        <row r="98">
          <cell r="A98" t="str">
            <v>50</v>
          </cell>
          <cell r="B98" t="str">
            <v>151007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Oil</v>
          </cell>
          <cell r="R98">
            <v>0</v>
          </cell>
        </row>
        <row r="99">
          <cell r="A99" t="str">
            <v>50</v>
          </cell>
          <cell r="B99" t="str">
            <v>151201</v>
          </cell>
          <cell r="C99">
            <v>209721.2</v>
          </cell>
          <cell r="D99">
            <v>182369.28</v>
          </cell>
          <cell r="E99">
            <v>181850.44</v>
          </cell>
          <cell r="F99">
            <v>181850.44</v>
          </cell>
          <cell r="G99">
            <v>181850.44</v>
          </cell>
          <cell r="H99">
            <v>181850.44</v>
          </cell>
          <cell r="I99">
            <v>181850.44</v>
          </cell>
          <cell r="J99">
            <v>181850.44</v>
          </cell>
          <cell r="K99">
            <v>181850.44</v>
          </cell>
          <cell r="L99">
            <v>181850.44</v>
          </cell>
          <cell r="M99">
            <v>181850.44</v>
          </cell>
          <cell r="N99">
            <v>181850.44</v>
          </cell>
          <cell r="O99">
            <v>200976.99</v>
          </cell>
          <cell r="P99">
            <v>181850.44</v>
          </cell>
          <cell r="Q99" t="str">
            <v>Coal</v>
          </cell>
          <cell r="R99">
            <v>182369.28</v>
          </cell>
        </row>
        <row r="100">
          <cell r="A100" t="str">
            <v>50</v>
          </cell>
          <cell r="B100" t="str">
            <v>151203</v>
          </cell>
          <cell r="C100">
            <v>276737.89</v>
          </cell>
          <cell r="D100">
            <v>278961.08</v>
          </cell>
          <cell r="E100">
            <v>280767.78000000003</v>
          </cell>
          <cell r="F100">
            <v>280767.78000000003</v>
          </cell>
          <cell r="G100">
            <v>280767.78000000003</v>
          </cell>
          <cell r="H100">
            <v>280767.78000000003</v>
          </cell>
          <cell r="I100">
            <v>280767.78000000003</v>
          </cell>
          <cell r="J100">
            <v>280767.78000000003</v>
          </cell>
          <cell r="K100">
            <v>280767.78000000003</v>
          </cell>
          <cell r="L100">
            <v>280767.78000000003</v>
          </cell>
          <cell r="M100">
            <v>280767.78000000003</v>
          </cell>
          <cell r="N100">
            <v>280767.78000000003</v>
          </cell>
          <cell r="O100">
            <v>206746.54</v>
          </cell>
          <cell r="P100">
            <v>280767.78000000003</v>
          </cell>
          <cell r="Q100" t="str">
            <v>Coal</v>
          </cell>
          <cell r="R100">
            <v>278961.08</v>
          </cell>
        </row>
        <row r="101">
          <cell r="A101" t="str">
            <v>53</v>
          </cell>
          <cell r="B101" t="str">
            <v>151001</v>
          </cell>
          <cell r="C101">
            <v>16555291.449999999</v>
          </cell>
          <cell r="D101">
            <v>17028502.600000001</v>
          </cell>
          <cell r="E101">
            <v>21932534.760000002</v>
          </cell>
          <cell r="F101">
            <v>21932534.760000002</v>
          </cell>
          <cell r="G101">
            <v>21932534.760000002</v>
          </cell>
          <cell r="H101">
            <v>21932534.760000002</v>
          </cell>
          <cell r="I101">
            <v>21932534.760000002</v>
          </cell>
          <cell r="J101">
            <v>21932534.760000002</v>
          </cell>
          <cell r="K101">
            <v>21932534.760000002</v>
          </cell>
          <cell r="L101">
            <v>21932534.760000002</v>
          </cell>
          <cell r="M101">
            <v>21932534.760000002</v>
          </cell>
          <cell r="N101">
            <v>21932534.760000002</v>
          </cell>
          <cell r="O101">
            <v>18427849.960000001</v>
          </cell>
          <cell r="P101">
            <v>21932534.760000002</v>
          </cell>
          <cell r="Q101" t="str">
            <v>Coal</v>
          </cell>
          <cell r="R101">
            <v>17028502.600000001</v>
          </cell>
        </row>
        <row r="102">
          <cell r="A102" t="str">
            <v>53</v>
          </cell>
          <cell r="B102" t="str">
            <v>151002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Coal</v>
          </cell>
          <cell r="R102">
            <v>0</v>
          </cell>
        </row>
        <row r="103">
          <cell r="A103" t="str">
            <v>53</v>
          </cell>
          <cell r="B103" t="str">
            <v>151003</v>
          </cell>
          <cell r="C103">
            <v>9621505.0899999999</v>
          </cell>
          <cell r="D103">
            <v>9199075.9499999993</v>
          </cell>
          <cell r="E103">
            <v>10650306.539999999</v>
          </cell>
          <cell r="F103">
            <v>10772015.34</v>
          </cell>
          <cell r="G103">
            <v>10772015.34</v>
          </cell>
          <cell r="H103">
            <v>10772015.34</v>
          </cell>
          <cell r="I103">
            <v>10772015.34</v>
          </cell>
          <cell r="J103">
            <v>10772015.34</v>
          </cell>
          <cell r="K103">
            <v>10772015.34</v>
          </cell>
          <cell r="L103">
            <v>10772015.34</v>
          </cell>
          <cell r="M103">
            <v>10772015.34</v>
          </cell>
          <cell r="N103">
            <v>10772015.34</v>
          </cell>
          <cell r="O103">
            <v>10596529.119999999</v>
          </cell>
          <cell r="P103">
            <v>10650306.539999999</v>
          </cell>
          <cell r="Q103" t="str">
            <v>Coal</v>
          </cell>
          <cell r="R103">
            <v>9199075.9499999993</v>
          </cell>
        </row>
        <row r="104">
          <cell r="A104" t="str">
            <v>53</v>
          </cell>
          <cell r="B104" t="str">
            <v>151004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 t="str">
            <v>PetCoke</v>
          </cell>
          <cell r="R104">
            <v>0</v>
          </cell>
        </row>
        <row r="105">
          <cell r="A105" t="str">
            <v>53</v>
          </cell>
          <cell r="B105" t="str">
            <v>151007</v>
          </cell>
          <cell r="C105">
            <v>64888.12</v>
          </cell>
          <cell r="D105">
            <v>74276.98</v>
          </cell>
          <cell r="E105">
            <v>67456.179999999993</v>
          </cell>
          <cell r="F105">
            <v>67456.179999999993</v>
          </cell>
          <cell r="G105">
            <v>67456.179999999993</v>
          </cell>
          <cell r="H105">
            <v>67456.179999999993</v>
          </cell>
          <cell r="I105">
            <v>67456.179999999993</v>
          </cell>
          <cell r="J105">
            <v>67456.179999999993</v>
          </cell>
          <cell r="K105">
            <v>67456.179999999993</v>
          </cell>
          <cell r="L105">
            <v>67456.179999999993</v>
          </cell>
          <cell r="M105">
            <v>67456.179999999993</v>
          </cell>
          <cell r="N105">
            <v>67456.179999999993</v>
          </cell>
          <cell r="O105">
            <v>71912.02</v>
          </cell>
          <cell r="P105">
            <v>67456.179999999993</v>
          </cell>
          <cell r="Q105" t="str">
            <v>Oil</v>
          </cell>
          <cell r="R105">
            <v>74276.98</v>
          </cell>
        </row>
        <row r="106">
          <cell r="A106" t="str">
            <v>53</v>
          </cell>
          <cell r="B106" t="str">
            <v>151008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 t="str">
            <v>TireChips</v>
          </cell>
          <cell r="R106">
            <v>0</v>
          </cell>
        </row>
        <row r="107">
          <cell r="A107" t="str">
            <v>53</v>
          </cell>
          <cell r="B107" t="str">
            <v>151201</v>
          </cell>
          <cell r="C107">
            <v>1832489.37</v>
          </cell>
          <cell r="D107">
            <v>2440614.09</v>
          </cell>
          <cell r="E107">
            <v>1412487.97</v>
          </cell>
          <cell r="F107">
            <v>1412487.97</v>
          </cell>
          <cell r="G107">
            <v>1412487.97</v>
          </cell>
          <cell r="H107">
            <v>1412487.97</v>
          </cell>
          <cell r="I107">
            <v>1412487.97</v>
          </cell>
          <cell r="J107">
            <v>1412487.97</v>
          </cell>
          <cell r="K107">
            <v>1412487.97</v>
          </cell>
          <cell r="L107">
            <v>1412487.97</v>
          </cell>
          <cell r="M107">
            <v>1412487.97</v>
          </cell>
          <cell r="N107">
            <v>1412487.97</v>
          </cell>
          <cell r="O107">
            <v>494642.6</v>
          </cell>
          <cell r="P107">
            <v>1412487.97</v>
          </cell>
          <cell r="Q107" t="str">
            <v>Coal</v>
          </cell>
          <cell r="R107">
            <v>2440614.09</v>
          </cell>
        </row>
        <row r="108">
          <cell r="A108" t="str">
            <v>53</v>
          </cell>
          <cell r="B108" t="str">
            <v>151203</v>
          </cell>
          <cell r="C108">
            <v>957469.11</v>
          </cell>
          <cell r="D108">
            <v>870320.56</v>
          </cell>
          <cell r="E108">
            <v>680162.32</v>
          </cell>
          <cell r="F108">
            <v>680162.32</v>
          </cell>
          <cell r="G108">
            <v>680162.32</v>
          </cell>
          <cell r="H108">
            <v>680162.32</v>
          </cell>
          <cell r="I108">
            <v>680162.32</v>
          </cell>
          <cell r="J108">
            <v>680162.32</v>
          </cell>
          <cell r="K108">
            <v>680162.32</v>
          </cell>
          <cell r="L108">
            <v>680162.32</v>
          </cell>
          <cell r="M108">
            <v>680162.32</v>
          </cell>
          <cell r="N108">
            <v>680162.32</v>
          </cell>
          <cell r="O108">
            <v>517449.73</v>
          </cell>
          <cell r="P108">
            <v>680162.32</v>
          </cell>
          <cell r="Q108" t="str">
            <v>Coal</v>
          </cell>
          <cell r="R108">
            <v>870320.56</v>
          </cell>
        </row>
        <row r="109">
          <cell r="A109" t="str">
            <v>57</v>
          </cell>
          <cell r="B109" t="str">
            <v>151007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 t="str">
            <v>Oil</v>
          </cell>
          <cell r="R109">
            <v>0</v>
          </cell>
        </row>
        <row r="110">
          <cell r="A110" t="str">
            <v>58</v>
          </cell>
          <cell r="B110" t="str">
            <v>151001</v>
          </cell>
          <cell r="C110">
            <v>25720014.27</v>
          </cell>
          <cell r="D110">
            <v>26460117.949999999</v>
          </cell>
          <cell r="E110">
            <v>25995724.489999998</v>
          </cell>
          <cell r="F110">
            <v>25995724.489999998</v>
          </cell>
          <cell r="G110">
            <v>25995724.489999998</v>
          </cell>
          <cell r="H110">
            <v>25995724.489999998</v>
          </cell>
          <cell r="I110">
            <v>25995724.489999998</v>
          </cell>
          <cell r="J110">
            <v>25995724.489999998</v>
          </cell>
          <cell r="K110">
            <v>25995724.489999998</v>
          </cell>
          <cell r="L110">
            <v>25995724.489999998</v>
          </cell>
          <cell r="M110">
            <v>25995724.489999998</v>
          </cell>
          <cell r="N110">
            <v>25995724.489999998</v>
          </cell>
          <cell r="O110">
            <v>25197396.210000001</v>
          </cell>
          <cell r="P110">
            <v>25995724.489999998</v>
          </cell>
          <cell r="Q110" t="str">
            <v>Coal</v>
          </cell>
          <cell r="R110">
            <v>26460117.949999999</v>
          </cell>
        </row>
        <row r="111">
          <cell r="A111" t="str">
            <v>58</v>
          </cell>
          <cell r="B111" t="str">
            <v>151002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 t="str">
            <v>Coal</v>
          </cell>
          <cell r="R111">
            <v>0</v>
          </cell>
        </row>
        <row r="112">
          <cell r="A112" t="str">
            <v>58</v>
          </cell>
          <cell r="B112" t="str">
            <v>151003</v>
          </cell>
          <cell r="C112">
            <v>26679341.559999999</v>
          </cell>
          <cell r="D112">
            <v>26526896.68</v>
          </cell>
          <cell r="E112">
            <v>26302708.899999999</v>
          </cell>
          <cell r="F112">
            <v>26723981.780000001</v>
          </cell>
          <cell r="G112">
            <v>26723981.780000001</v>
          </cell>
          <cell r="H112">
            <v>26723981.780000001</v>
          </cell>
          <cell r="I112">
            <v>26723981.780000001</v>
          </cell>
          <cell r="J112">
            <v>26723981.780000001</v>
          </cell>
          <cell r="K112">
            <v>26723981.780000001</v>
          </cell>
          <cell r="L112">
            <v>26723981.780000001</v>
          </cell>
          <cell r="M112">
            <v>26723981.780000001</v>
          </cell>
          <cell r="N112">
            <v>26723981.780000001</v>
          </cell>
          <cell r="O112">
            <v>26643100.829999998</v>
          </cell>
          <cell r="P112">
            <v>26302708.899999999</v>
          </cell>
          <cell r="Q112" t="str">
            <v>Coal</v>
          </cell>
          <cell r="R112">
            <v>26526896.68</v>
          </cell>
        </row>
        <row r="113">
          <cell r="A113" t="str">
            <v>58</v>
          </cell>
          <cell r="B113" t="str">
            <v>151005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Waste Oil</v>
          </cell>
          <cell r="R113">
            <v>0</v>
          </cell>
        </row>
        <row r="114">
          <cell r="A114" t="str">
            <v>58</v>
          </cell>
          <cell r="B114" t="str">
            <v>151006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 t="str">
            <v>Propane</v>
          </cell>
          <cell r="R114">
            <v>0</v>
          </cell>
        </row>
        <row r="115">
          <cell r="A115" t="str">
            <v>58</v>
          </cell>
          <cell r="B115" t="str">
            <v>151007</v>
          </cell>
          <cell r="C115">
            <v>701959.84</v>
          </cell>
          <cell r="D115">
            <v>692057.79</v>
          </cell>
          <cell r="E115">
            <v>730427.74</v>
          </cell>
          <cell r="F115">
            <v>730427.74</v>
          </cell>
          <cell r="G115">
            <v>730427.74</v>
          </cell>
          <cell r="H115">
            <v>730427.74</v>
          </cell>
          <cell r="I115">
            <v>730427.74</v>
          </cell>
          <cell r="J115">
            <v>730427.74</v>
          </cell>
          <cell r="K115">
            <v>730427.74</v>
          </cell>
          <cell r="L115">
            <v>730427.74</v>
          </cell>
          <cell r="M115">
            <v>730427.74</v>
          </cell>
          <cell r="N115">
            <v>730427.74</v>
          </cell>
          <cell r="O115">
            <v>663458.19999999995</v>
          </cell>
          <cell r="P115">
            <v>730427.74</v>
          </cell>
          <cell r="Q115" t="str">
            <v>Oil</v>
          </cell>
          <cell r="R115">
            <v>692057.79</v>
          </cell>
        </row>
        <row r="116">
          <cell r="A116" t="str">
            <v>58</v>
          </cell>
          <cell r="B116" t="str">
            <v>151008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TireChips</v>
          </cell>
          <cell r="R116">
            <v>0</v>
          </cell>
        </row>
        <row r="117">
          <cell r="A117" t="str">
            <v>58</v>
          </cell>
          <cell r="B117" t="str">
            <v>151201</v>
          </cell>
          <cell r="C117">
            <v>1020178.06</v>
          </cell>
          <cell r="D117">
            <v>704730.08</v>
          </cell>
          <cell r="E117">
            <v>1553337.05</v>
          </cell>
          <cell r="F117">
            <v>1553337.05</v>
          </cell>
          <cell r="G117">
            <v>1553337.05</v>
          </cell>
          <cell r="H117">
            <v>1553337.05</v>
          </cell>
          <cell r="I117">
            <v>1553337.05</v>
          </cell>
          <cell r="J117">
            <v>1553337.05</v>
          </cell>
          <cell r="K117">
            <v>1553337.05</v>
          </cell>
          <cell r="L117">
            <v>1553337.05</v>
          </cell>
          <cell r="M117">
            <v>1553337.05</v>
          </cell>
          <cell r="N117">
            <v>1553337.05</v>
          </cell>
          <cell r="O117">
            <v>942564.91</v>
          </cell>
          <cell r="P117">
            <v>1553337.05</v>
          </cell>
          <cell r="Q117" t="str">
            <v>Coal</v>
          </cell>
          <cell r="R117">
            <v>704730.08</v>
          </cell>
        </row>
        <row r="118">
          <cell r="A118" t="str">
            <v>58</v>
          </cell>
          <cell r="B118" t="str">
            <v>151203</v>
          </cell>
          <cell r="C118">
            <v>931021.37</v>
          </cell>
          <cell r="D118">
            <v>1109875.22</v>
          </cell>
          <cell r="E118">
            <v>1329318.47</v>
          </cell>
          <cell r="F118">
            <v>1329318.47</v>
          </cell>
          <cell r="G118">
            <v>1329318.47</v>
          </cell>
          <cell r="H118">
            <v>1329318.47</v>
          </cell>
          <cell r="I118">
            <v>1329318.47</v>
          </cell>
          <cell r="J118">
            <v>1329318.47</v>
          </cell>
          <cell r="K118">
            <v>1329318.47</v>
          </cell>
          <cell r="L118">
            <v>1329318.47</v>
          </cell>
          <cell r="M118">
            <v>1329318.47</v>
          </cell>
          <cell r="N118">
            <v>1329318.47</v>
          </cell>
          <cell r="O118">
            <v>1073929.93</v>
          </cell>
          <cell r="P118">
            <v>1329318.47</v>
          </cell>
          <cell r="Q118" t="str">
            <v>Coal</v>
          </cell>
          <cell r="R118">
            <v>1109875.22</v>
          </cell>
        </row>
        <row r="119">
          <cell r="A119" t="str">
            <v>62</v>
          </cell>
          <cell r="B119" t="str">
            <v>151007</v>
          </cell>
          <cell r="C119">
            <v>281297.55</v>
          </cell>
          <cell r="D119">
            <v>281297.55</v>
          </cell>
          <cell r="E119">
            <v>281297.55</v>
          </cell>
          <cell r="F119">
            <v>281297.55</v>
          </cell>
          <cell r="G119">
            <v>281297.55</v>
          </cell>
          <cell r="H119">
            <v>281297.55</v>
          </cell>
          <cell r="I119">
            <v>281297.55</v>
          </cell>
          <cell r="J119">
            <v>281297.55</v>
          </cell>
          <cell r="K119">
            <v>281297.55</v>
          </cell>
          <cell r="L119">
            <v>281297.55</v>
          </cell>
          <cell r="M119">
            <v>281297.55</v>
          </cell>
          <cell r="N119">
            <v>281297.55</v>
          </cell>
          <cell r="O119">
            <v>281297.55</v>
          </cell>
          <cell r="P119">
            <v>281297.55</v>
          </cell>
          <cell r="Q119" t="str">
            <v>Oil</v>
          </cell>
          <cell r="R119">
            <v>281297.55</v>
          </cell>
        </row>
        <row r="120">
          <cell r="A120" t="str">
            <v>63</v>
          </cell>
          <cell r="B120" t="str">
            <v>151001</v>
          </cell>
          <cell r="C120">
            <v>9945370.9700000007</v>
          </cell>
          <cell r="D120">
            <v>10272867.65</v>
          </cell>
          <cell r="E120">
            <v>10840018.73</v>
          </cell>
          <cell r="F120">
            <v>10840018.73</v>
          </cell>
          <cell r="G120">
            <v>10840018.73</v>
          </cell>
          <cell r="H120">
            <v>10840018.73</v>
          </cell>
          <cell r="I120">
            <v>10840018.73</v>
          </cell>
          <cell r="J120">
            <v>10840018.73</v>
          </cell>
          <cell r="K120">
            <v>10840018.73</v>
          </cell>
          <cell r="L120">
            <v>10840018.73</v>
          </cell>
          <cell r="M120">
            <v>10840018.73</v>
          </cell>
          <cell r="N120">
            <v>10840018.73</v>
          </cell>
          <cell r="O120">
            <v>9204271.2799999993</v>
          </cell>
          <cell r="P120">
            <v>10840018.73</v>
          </cell>
          <cell r="Q120" t="str">
            <v>Coal</v>
          </cell>
          <cell r="R120">
            <v>10272867.65</v>
          </cell>
        </row>
        <row r="121">
          <cell r="A121" t="str">
            <v>63</v>
          </cell>
          <cell r="B121" t="str">
            <v>151002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Coal</v>
          </cell>
          <cell r="R121">
            <v>0</v>
          </cell>
        </row>
        <row r="122">
          <cell r="A122" t="str">
            <v>63</v>
          </cell>
          <cell r="B122" t="str">
            <v>151003</v>
          </cell>
          <cell r="C122">
            <v>22007030.289999999</v>
          </cell>
          <cell r="D122">
            <v>22368450.07</v>
          </cell>
          <cell r="E122">
            <v>23091656.010000002</v>
          </cell>
          <cell r="F122">
            <v>23231449.079999998</v>
          </cell>
          <cell r="G122">
            <v>23231449.079999998</v>
          </cell>
          <cell r="H122">
            <v>23231449.079999998</v>
          </cell>
          <cell r="I122">
            <v>23231449.079999998</v>
          </cell>
          <cell r="J122">
            <v>23231449.079999998</v>
          </cell>
          <cell r="K122">
            <v>23231449.079999998</v>
          </cell>
          <cell r="L122">
            <v>23231449.079999998</v>
          </cell>
          <cell r="M122">
            <v>23231449.079999998</v>
          </cell>
          <cell r="N122">
            <v>23231449.079999998</v>
          </cell>
          <cell r="O122">
            <v>20859160.210000001</v>
          </cell>
          <cell r="P122">
            <v>23091656.010000002</v>
          </cell>
          <cell r="Q122" t="str">
            <v>Coal</v>
          </cell>
          <cell r="R122">
            <v>22368450.07</v>
          </cell>
        </row>
        <row r="123">
          <cell r="A123" t="str">
            <v>63</v>
          </cell>
          <cell r="B123" t="str">
            <v>151007</v>
          </cell>
          <cell r="C123">
            <v>393104.34</v>
          </cell>
          <cell r="D123">
            <v>384105.73</v>
          </cell>
          <cell r="E123">
            <v>384907.57</v>
          </cell>
          <cell r="F123">
            <v>384907.57</v>
          </cell>
          <cell r="G123">
            <v>384907.57</v>
          </cell>
          <cell r="H123">
            <v>384907.57</v>
          </cell>
          <cell r="I123">
            <v>384907.57</v>
          </cell>
          <cell r="J123">
            <v>384907.57</v>
          </cell>
          <cell r="K123">
            <v>384907.57</v>
          </cell>
          <cell r="L123">
            <v>384907.57</v>
          </cell>
          <cell r="M123">
            <v>384907.57</v>
          </cell>
          <cell r="N123">
            <v>384907.57</v>
          </cell>
          <cell r="O123">
            <v>323205.01</v>
          </cell>
          <cell r="P123">
            <v>384907.57</v>
          </cell>
          <cell r="Q123" t="str">
            <v>Oil</v>
          </cell>
          <cell r="R123">
            <v>384105.73</v>
          </cell>
        </row>
        <row r="124">
          <cell r="A124" t="str">
            <v>63</v>
          </cell>
          <cell r="B124" t="str">
            <v>151201</v>
          </cell>
          <cell r="C124">
            <v>167582.13</v>
          </cell>
          <cell r="D124">
            <v>498261.33</v>
          </cell>
          <cell r="E124">
            <v>301342.87</v>
          </cell>
          <cell r="F124">
            <v>301342.87</v>
          </cell>
          <cell r="G124">
            <v>301342.87</v>
          </cell>
          <cell r="H124">
            <v>301342.87</v>
          </cell>
          <cell r="I124">
            <v>301342.87</v>
          </cell>
          <cell r="J124">
            <v>301342.87</v>
          </cell>
          <cell r="K124">
            <v>301342.87</v>
          </cell>
          <cell r="L124">
            <v>301342.87</v>
          </cell>
          <cell r="M124">
            <v>301342.87</v>
          </cell>
          <cell r="N124">
            <v>301342.87</v>
          </cell>
          <cell r="O124">
            <v>381319.54</v>
          </cell>
          <cell r="P124">
            <v>301342.87</v>
          </cell>
          <cell r="Q124" t="str">
            <v>Coal</v>
          </cell>
          <cell r="R124">
            <v>498261.33</v>
          </cell>
        </row>
        <row r="125">
          <cell r="A125" t="str">
            <v>63</v>
          </cell>
          <cell r="B125" t="str">
            <v>151203</v>
          </cell>
          <cell r="C125">
            <v>285683.20000000001</v>
          </cell>
          <cell r="D125">
            <v>854167.82</v>
          </cell>
          <cell r="E125">
            <v>565927.92000000004</v>
          </cell>
          <cell r="F125">
            <v>565927.92000000004</v>
          </cell>
          <cell r="G125">
            <v>565927.92000000004</v>
          </cell>
          <cell r="H125">
            <v>565927.92000000004</v>
          </cell>
          <cell r="I125">
            <v>565927.92000000004</v>
          </cell>
          <cell r="J125">
            <v>565927.92000000004</v>
          </cell>
          <cell r="K125">
            <v>565927.92000000004</v>
          </cell>
          <cell r="L125">
            <v>565927.92000000004</v>
          </cell>
          <cell r="M125">
            <v>565927.92000000004</v>
          </cell>
          <cell r="N125">
            <v>565927.92000000004</v>
          </cell>
          <cell r="O125">
            <v>845948.53</v>
          </cell>
          <cell r="P125">
            <v>565927.92000000004</v>
          </cell>
          <cell r="Q125" t="str">
            <v>Coal</v>
          </cell>
          <cell r="R125">
            <v>854167.82</v>
          </cell>
        </row>
        <row r="126">
          <cell r="A126" t="str">
            <v>65</v>
          </cell>
          <cell r="B126" t="str">
            <v>151003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 t="str">
            <v>Coal</v>
          </cell>
          <cell r="R126">
            <v>0</v>
          </cell>
        </row>
        <row r="127">
          <cell r="A127" t="str">
            <v>7K</v>
          </cell>
          <cell r="B127" t="str">
            <v>151007</v>
          </cell>
          <cell r="C127">
            <v>893112.03</v>
          </cell>
          <cell r="D127">
            <v>893112.03</v>
          </cell>
          <cell r="E127">
            <v>893112.03</v>
          </cell>
          <cell r="F127">
            <v>893112.03</v>
          </cell>
          <cell r="G127">
            <v>893112.03</v>
          </cell>
          <cell r="H127">
            <v>893112.03</v>
          </cell>
          <cell r="I127">
            <v>893112.03</v>
          </cell>
          <cell r="J127">
            <v>893112.03</v>
          </cell>
          <cell r="K127">
            <v>893112.03</v>
          </cell>
          <cell r="L127">
            <v>893112.03</v>
          </cell>
          <cell r="M127">
            <v>893112.03</v>
          </cell>
          <cell r="N127">
            <v>893112.03</v>
          </cell>
          <cell r="O127">
            <v>893112.03</v>
          </cell>
          <cell r="P127">
            <v>893112.03</v>
          </cell>
          <cell r="Q127" t="str">
            <v>Oil</v>
          </cell>
          <cell r="R127">
            <v>893112.03</v>
          </cell>
        </row>
        <row r="128">
          <cell r="A128" t="str">
            <v>71</v>
          </cell>
          <cell r="B128" t="str">
            <v>151007</v>
          </cell>
          <cell r="C128">
            <v>201020.21</v>
          </cell>
          <cell r="D128">
            <v>201020.21</v>
          </cell>
          <cell r="E128">
            <v>201020.21</v>
          </cell>
          <cell r="F128">
            <v>201020.21</v>
          </cell>
          <cell r="G128">
            <v>201020.21</v>
          </cell>
          <cell r="H128">
            <v>201020.21</v>
          </cell>
          <cell r="I128">
            <v>201020.21</v>
          </cell>
          <cell r="J128">
            <v>201020.21</v>
          </cell>
          <cell r="K128">
            <v>201020.21</v>
          </cell>
          <cell r="L128">
            <v>201020.21</v>
          </cell>
          <cell r="M128">
            <v>201020.21</v>
          </cell>
          <cell r="N128">
            <v>201020.21</v>
          </cell>
          <cell r="O128">
            <v>185324.59</v>
          </cell>
          <cell r="P128">
            <v>201020.21</v>
          </cell>
          <cell r="Q128" t="str">
            <v>Oil</v>
          </cell>
          <cell r="R128">
            <v>201020.21</v>
          </cell>
        </row>
        <row r="129">
          <cell r="A129" t="str">
            <v>72</v>
          </cell>
          <cell r="B129" t="str">
            <v>151007</v>
          </cell>
          <cell r="C129">
            <v>640645.22</v>
          </cell>
          <cell r="D129">
            <v>640645.22</v>
          </cell>
          <cell r="E129">
            <v>640645.22</v>
          </cell>
          <cell r="F129">
            <v>640645.22</v>
          </cell>
          <cell r="G129">
            <v>640645.22</v>
          </cell>
          <cell r="H129">
            <v>640645.22</v>
          </cell>
          <cell r="I129">
            <v>640645.22</v>
          </cell>
          <cell r="J129">
            <v>640645.22</v>
          </cell>
          <cell r="K129">
            <v>640645.22</v>
          </cell>
          <cell r="L129">
            <v>640645.22</v>
          </cell>
          <cell r="M129">
            <v>640645.22</v>
          </cell>
          <cell r="N129">
            <v>640645.22</v>
          </cell>
          <cell r="O129">
            <v>640645.22</v>
          </cell>
          <cell r="P129">
            <v>640645.22</v>
          </cell>
          <cell r="Q129" t="str">
            <v>Oil</v>
          </cell>
          <cell r="R129">
            <v>640645.22</v>
          </cell>
        </row>
        <row r="130">
          <cell r="A130" t="str">
            <v>73</v>
          </cell>
          <cell r="B130" t="str">
            <v>151007</v>
          </cell>
          <cell r="C130">
            <v>413829.16</v>
          </cell>
          <cell r="D130">
            <v>413829.16</v>
          </cell>
          <cell r="E130">
            <v>413829.16</v>
          </cell>
          <cell r="F130">
            <v>413829.16</v>
          </cell>
          <cell r="G130">
            <v>413829.16</v>
          </cell>
          <cell r="H130">
            <v>413829.16</v>
          </cell>
          <cell r="I130">
            <v>413829.16</v>
          </cell>
          <cell r="J130">
            <v>413829.16</v>
          </cell>
          <cell r="K130">
            <v>413829.16</v>
          </cell>
          <cell r="L130">
            <v>413829.16</v>
          </cell>
          <cell r="M130">
            <v>413829.16</v>
          </cell>
          <cell r="N130">
            <v>413829.16</v>
          </cell>
          <cell r="O130">
            <v>413829.16</v>
          </cell>
          <cell r="P130">
            <v>413829.16</v>
          </cell>
          <cell r="Q130" t="str">
            <v>Oil</v>
          </cell>
          <cell r="R130">
            <v>413829.16</v>
          </cell>
        </row>
        <row r="131">
          <cell r="A131" t="str">
            <v>75</v>
          </cell>
          <cell r="B131" t="str">
            <v>151007</v>
          </cell>
          <cell r="C131">
            <v>392674.74</v>
          </cell>
          <cell r="D131">
            <v>392674.74</v>
          </cell>
          <cell r="E131">
            <v>392674.74</v>
          </cell>
          <cell r="F131">
            <v>392674.74</v>
          </cell>
          <cell r="G131">
            <v>392674.74</v>
          </cell>
          <cell r="H131">
            <v>392674.74</v>
          </cell>
          <cell r="I131">
            <v>392674.74</v>
          </cell>
          <cell r="J131">
            <v>392674.74</v>
          </cell>
          <cell r="K131">
            <v>392674.74</v>
          </cell>
          <cell r="L131">
            <v>392674.74</v>
          </cell>
          <cell r="M131">
            <v>392674.74</v>
          </cell>
          <cell r="N131">
            <v>392674.74</v>
          </cell>
          <cell r="O131">
            <v>392674.74</v>
          </cell>
          <cell r="P131">
            <v>392674.74</v>
          </cell>
          <cell r="Q131" t="str">
            <v>Oil</v>
          </cell>
          <cell r="R131">
            <v>392674.74</v>
          </cell>
        </row>
        <row r="132">
          <cell r="A132" t="str">
            <v>76</v>
          </cell>
          <cell r="B132" t="str">
            <v>151007</v>
          </cell>
          <cell r="C132">
            <v>402464.1</v>
          </cell>
          <cell r="D132">
            <v>402464.1</v>
          </cell>
          <cell r="E132">
            <v>402464.1</v>
          </cell>
          <cell r="F132">
            <v>402464.1</v>
          </cell>
          <cell r="G132">
            <v>402464.1</v>
          </cell>
          <cell r="H132">
            <v>402464.1</v>
          </cell>
          <cell r="I132">
            <v>402464.1</v>
          </cell>
          <cell r="J132">
            <v>402464.1</v>
          </cell>
          <cell r="K132">
            <v>402464.1</v>
          </cell>
          <cell r="L132">
            <v>402464.1</v>
          </cell>
          <cell r="M132">
            <v>402464.1</v>
          </cell>
          <cell r="N132">
            <v>402464.1</v>
          </cell>
          <cell r="O132">
            <v>402464.1</v>
          </cell>
          <cell r="P132">
            <v>402464.1</v>
          </cell>
          <cell r="Q132" t="str">
            <v>Oil</v>
          </cell>
          <cell r="R132">
            <v>402464.1</v>
          </cell>
        </row>
        <row r="133">
          <cell r="A133" t="str">
            <v>77</v>
          </cell>
          <cell r="B133" t="str">
            <v>151007</v>
          </cell>
          <cell r="C133">
            <v>387788.94</v>
          </cell>
          <cell r="D133">
            <v>387788.94</v>
          </cell>
          <cell r="E133">
            <v>387788.94</v>
          </cell>
          <cell r="F133">
            <v>387788.94</v>
          </cell>
          <cell r="G133">
            <v>387788.94</v>
          </cell>
          <cell r="H133">
            <v>387788.94</v>
          </cell>
          <cell r="I133">
            <v>387788.94</v>
          </cell>
          <cell r="J133">
            <v>387788.94</v>
          </cell>
          <cell r="K133">
            <v>387788.94</v>
          </cell>
          <cell r="L133">
            <v>387788.94</v>
          </cell>
          <cell r="M133">
            <v>387788.94</v>
          </cell>
          <cell r="N133">
            <v>387788.94</v>
          </cell>
          <cell r="O133">
            <v>387788.94</v>
          </cell>
          <cell r="P133">
            <v>387788.94</v>
          </cell>
          <cell r="Q133" t="str">
            <v>Oil</v>
          </cell>
          <cell r="R133">
            <v>387788.94</v>
          </cell>
        </row>
        <row r="134">
          <cell r="A134" t="str">
            <v>98</v>
          </cell>
          <cell r="B134" t="str">
            <v>151007</v>
          </cell>
          <cell r="C134">
            <v>1090257.31</v>
          </cell>
          <cell r="D134">
            <v>1090022.92</v>
          </cell>
          <cell r="E134">
            <v>1090022.92</v>
          </cell>
          <cell r="F134">
            <v>1090022.92</v>
          </cell>
          <cell r="G134">
            <v>1090022.92</v>
          </cell>
          <cell r="H134">
            <v>1090022.92</v>
          </cell>
          <cell r="I134">
            <v>1090022.92</v>
          </cell>
          <cell r="J134">
            <v>1090022.92</v>
          </cell>
          <cell r="K134">
            <v>1090022.92</v>
          </cell>
          <cell r="L134">
            <v>1090022.92</v>
          </cell>
          <cell r="M134">
            <v>1090022.92</v>
          </cell>
          <cell r="N134">
            <v>1090022.92</v>
          </cell>
          <cell r="O134">
            <v>1090257.31</v>
          </cell>
          <cell r="P134">
            <v>1090022.92</v>
          </cell>
          <cell r="Q134" t="str">
            <v>Oil</v>
          </cell>
          <cell r="R134">
            <v>1090022.92</v>
          </cell>
        </row>
        <row r="135">
          <cell r="A135" t="str">
            <v>98</v>
          </cell>
          <cell r="B135" t="str">
            <v>151100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 t="str">
            <v>Gas</v>
          </cell>
          <cell r="R135">
            <v>0</v>
          </cell>
        </row>
        <row r="136">
          <cell r="A136" t="str">
            <v>81</v>
          </cell>
          <cell r="B136" t="str">
            <v>151009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 t="str">
            <v>Gas</v>
          </cell>
          <cell r="R136">
            <v>0</v>
          </cell>
        </row>
        <row r="137">
          <cell r="A137" t="str">
            <v>82</v>
          </cell>
          <cell r="B137" t="str">
            <v>151009</v>
          </cell>
          <cell r="C137">
            <v>121650.35</v>
          </cell>
          <cell r="D137">
            <v>121650.35</v>
          </cell>
          <cell r="E137">
            <v>121650.35</v>
          </cell>
          <cell r="F137">
            <v>121650.35</v>
          </cell>
          <cell r="G137">
            <v>121650.35</v>
          </cell>
          <cell r="H137">
            <v>121650.35</v>
          </cell>
          <cell r="I137">
            <v>121650.35</v>
          </cell>
          <cell r="J137">
            <v>121650.35</v>
          </cell>
          <cell r="K137">
            <v>121650.35</v>
          </cell>
          <cell r="L137">
            <v>121650.35</v>
          </cell>
          <cell r="M137">
            <v>121650.35</v>
          </cell>
          <cell r="N137">
            <v>121650.35</v>
          </cell>
          <cell r="O137">
            <v>146810.87</v>
          </cell>
          <cell r="P137">
            <v>121650.35</v>
          </cell>
          <cell r="Q137" t="str">
            <v>Gas</v>
          </cell>
          <cell r="R137">
            <v>121650.35</v>
          </cell>
        </row>
        <row r="138">
          <cell r="A138" t="str">
            <v>83</v>
          </cell>
          <cell r="B138" t="str">
            <v>151009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Gas</v>
          </cell>
          <cell r="R138">
            <v>0</v>
          </cell>
        </row>
        <row r="139">
          <cell r="A139" t="str">
            <v>85</v>
          </cell>
          <cell r="B139" t="str">
            <v>151009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Gas</v>
          </cell>
          <cell r="R139">
            <v>0</v>
          </cell>
        </row>
      </sheetData>
      <sheetData sheetId="16">
        <row r="2">
          <cell r="C2">
            <v>0</v>
          </cell>
        </row>
        <row r="3">
          <cell r="A3" t="str">
            <v>Inventory Location: Cahokia PRB Inventory</v>
          </cell>
          <cell r="B3" t="str">
            <v>151001</v>
          </cell>
          <cell r="C3" t="str">
            <v>Coal Fuel</v>
          </cell>
          <cell r="F3">
            <v>-134365.48000000001</v>
          </cell>
          <cell r="J3">
            <v>0</v>
          </cell>
          <cell r="K3">
            <v>0</v>
          </cell>
        </row>
        <row r="4">
          <cell r="A4" t="str">
            <v>Inventory Location: Cahokia PRB Inventory</v>
          </cell>
          <cell r="B4" t="str">
            <v>151003</v>
          </cell>
          <cell r="C4" t="str">
            <v>Coal Freight</v>
          </cell>
          <cell r="F4">
            <v>-1337.6</v>
          </cell>
          <cell r="J4">
            <v>0</v>
          </cell>
          <cell r="K4">
            <v>0</v>
          </cell>
        </row>
        <row r="5">
          <cell r="A5" t="str">
            <v>Inventory Location: Cahokia PRB Inventory</v>
          </cell>
          <cell r="B5" t="str">
            <v>151010</v>
          </cell>
          <cell r="C5" t="str">
            <v>Coal Railcar Expense</v>
          </cell>
          <cell r="F5">
            <v>0</v>
          </cell>
          <cell r="J5">
            <v>0</v>
          </cell>
          <cell r="K5">
            <v>0</v>
          </cell>
        </row>
        <row r="6">
          <cell r="A6" t="str">
            <v>Inventory Location: Cahokia PRB Inventory</v>
          </cell>
          <cell r="B6" t="str">
            <v>151098</v>
          </cell>
          <cell r="C6" t="str">
            <v>Coal Taxes</v>
          </cell>
          <cell r="F6">
            <v>0</v>
          </cell>
          <cell r="J6">
            <v>0</v>
          </cell>
          <cell r="K6">
            <v>0</v>
          </cell>
        </row>
        <row r="7">
          <cell r="A7" t="str">
            <v>Inventory Location: Cahokia PRB Inventory In-Transit</v>
          </cell>
          <cell r="B7" t="str">
            <v>151201</v>
          </cell>
          <cell r="C7" t="str">
            <v>Coal Fuel</v>
          </cell>
          <cell r="F7">
            <v>0</v>
          </cell>
          <cell r="J7">
            <v>0</v>
          </cell>
          <cell r="K7">
            <v>0</v>
          </cell>
        </row>
        <row r="8">
          <cell r="A8" t="str">
            <v>Inventory Location: Cahokia PRB Inventory In-Transit</v>
          </cell>
          <cell r="B8" t="str">
            <v>151203</v>
          </cell>
          <cell r="C8" t="str">
            <v>Coal Freight</v>
          </cell>
          <cell r="F8">
            <v>0</v>
          </cell>
          <cell r="J8">
            <v>0</v>
          </cell>
          <cell r="K8">
            <v>0</v>
          </cell>
        </row>
        <row r="9">
          <cell r="A9" t="str">
            <v>Inventory Location: Cahokia PRB Inventory In-Transit</v>
          </cell>
          <cell r="B9" t="str">
            <v>151210</v>
          </cell>
          <cell r="C9" t="str">
            <v>Coal Railcar Expense</v>
          </cell>
          <cell r="F9">
            <v>0</v>
          </cell>
          <cell r="J9">
            <v>0</v>
          </cell>
          <cell r="K9">
            <v>0</v>
          </cell>
        </row>
        <row r="10">
          <cell r="A10" t="str">
            <v>Inventory Location: Cahokia PRB Inventory In-Transit</v>
          </cell>
          <cell r="B10" t="str">
            <v>151298</v>
          </cell>
          <cell r="C10" t="str">
            <v>Coal Taxes</v>
          </cell>
          <cell r="F10">
            <v>0</v>
          </cell>
          <cell r="J10">
            <v>0</v>
          </cell>
          <cell r="K10">
            <v>0</v>
          </cell>
        </row>
        <row r="11">
          <cell r="A11" t="str">
            <v>Inventory Location: Coffeen HS Inventory</v>
          </cell>
          <cell r="B11" t="str">
            <v>151001</v>
          </cell>
          <cell r="C11" t="str">
            <v>Coal Fuel</v>
          </cell>
          <cell r="F11">
            <v>6590819.5200000005</v>
          </cell>
          <cell r="J11">
            <v>-3014842.7287375005</v>
          </cell>
          <cell r="K11">
            <v>0</v>
          </cell>
        </row>
        <row r="12">
          <cell r="A12" t="str">
            <v>Inventory Location: Coffeen HS Inventory</v>
          </cell>
          <cell r="B12" t="str">
            <v>151003</v>
          </cell>
          <cell r="C12" t="str">
            <v>Coal Freight</v>
          </cell>
          <cell r="F12">
            <v>9855.5499999999993</v>
          </cell>
          <cell r="J12">
            <v>-625458.4806747</v>
          </cell>
          <cell r="K12">
            <v>0</v>
          </cell>
        </row>
        <row r="13">
          <cell r="A13" t="str">
            <v>Inventory Location: Coffeen HS Inventory</v>
          </cell>
          <cell r="B13" t="str">
            <v>151010</v>
          </cell>
          <cell r="C13" t="str">
            <v>Coal Railcar Expense</v>
          </cell>
          <cell r="F13">
            <v>0</v>
          </cell>
          <cell r="J13">
            <v>0</v>
          </cell>
          <cell r="K13">
            <v>0</v>
          </cell>
        </row>
        <row r="14">
          <cell r="A14" t="str">
            <v>Inventory Location: Coffeen HS Inventory</v>
          </cell>
          <cell r="B14" t="str">
            <v>151098</v>
          </cell>
          <cell r="C14" t="str">
            <v>Coal Taxes</v>
          </cell>
          <cell r="F14">
            <v>-12941.78</v>
          </cell>
          <cell r="J14">
            <v>-198596.88758519999</v>
          </cell>
          <cell r="K14">
            <v>0</v>
          </cell>
        </row>
        <row r="15">
          <cell r="A15" t="str">
            <v>Inventory Location: Coffeen HS Inventory In-Transit</v>
          </cell>
          <cell r="B15" t="str">
            <v>151201</v>
          </cell>
          <cell r="C15" t="str">
            <v>Coal Fuel</v>
          </cell>
          <cell r="F15">
            <v>0</v>
          </cell>
          <cell r="J15">
            <v>0</v>
          </cell>
          <cell r="K15">
            <v>0</v>
          </cell>
        </row>
        <row r="16">
          <cell r="A16" t="str">
            <v>Inventory Location: Coffeen HS Inventory In-Transit</v>
          </cell>
          <cell r="B16" t="str">
            <v>151203</v>
          </cell>
          <cell r="C16" t="str">
            <v>Coal Freight</v>
          </cell>
          <cell r="F16">
            <v>0</v>
          </cell>
          <cell r="J16">
            <v>0</v>
          </cell>
          <cell r="K16">
            <v>0</v>
          </cell>
        </row>
        <row r="17">
          <cell r="A17" t="str">
            <v>Inventory Location: Coffeen HS Inventory In-Transit</v>
          </cell>
          <cell r="B17" t="str">
            <v>151210</v>
          </cell>
          <cell r="C17" t="str">
            <v>Coal Railcar Expense</v>
          </cell>
          <cell r="F17">
            <v>0</v>
          </cell>
          <cell r="J17">
            <v>0</v>
          </cell>
          <cell r="K17">
            <v>0</v>
          </cell>
        </row>
        <row r="18">
          <cell r="A18" t="str">
            <v>Inventory Location: Coffeen HS Inventory In-Transit</v>
          </cell>
          <cell r="B18" t="str">
            <v>151298</v>
          </cell>
          <cell r="C18" t="str">
            <v>Coal Taxes</v>
          </cell>
          <cell r="F18">
            <v>0</v>
          </cell>
          <cell r="J18">
            <v>0</v>
          </cell>
          <cell r="K18">
            <v>0</v>
          </cell>
        </row>
        <row r="19">
          <cell r="A19" t="str">
            <v>Inventory Location: Coffeen PRB Inventory</v>
          </cell>
          <cell r="B19" t="str">
            <v>151001</v>
          </cell>
          <cell r="C19" t="str">
            <v>Coal Fuel</v>
          </cell>
          <cell r="F19">
            <v>-1955050.52</v>
          </cell>
          <cell r="J19">
            <v>-32306092.705518</v>
          </cell>
          <cell r="K19">
            <v>0</v>
          </cell>
        </row>
        <row r="20">
          <cell r="A20" t="str">
            <v>Inventory Location: Coffeen PRB Inventory</v>
          </cell>
          <cell r="B20" t="str">
            <v>151003</v>
          </cell>
          <cell r="C20" t="str">
            <v>Coal Freight</v>
          </cell>
          <cell r="F20">
            <v>1589737.52</v>
          </cell>
          <cell r="J20">
            <v>-57374250.65051391</v>
          </cell>
          <cell r="K20">
            <v>0</v>
          </cell>
        </row>
        <row r="21">
          <cell r="A21" t="str">
            <v>Inventory Location: Coffeen PRB Inventory</v>
          </cell>
          <cell r="B21" t="str">
            <v>151010</v>
          </cell>
          <cell r="C21" t="str">
            <v>Coal Railcar Expense</v>
          </cell>
          <cell r="F21">
            <v>1754558.84</v>
          </cell>
          <cell r="J21">
            <v>-1354613.8223925</v>
          </cell>
          <cell r="K21">
            <v>0</v>
          </cell>
        </row>
        <row r="22">
          <cell r="A22" t="str">
            <v>Inventory Location: Coffeen PRB Inventory</v>
          </cell>
          <cell r="B22" t="str">
            <v>151098</v>
          </cell>
          <cell r="C22" t="str">
            <v>Coal Taxes</v>
          </cell>
          <cell r="F22">
            <v>-47496.66</v>
          </cell>
          <cell r="J22">
            <v>-2242147.6569888</v>
          </cell>
          <cell r="K22">
            <v>0</v>
          </cell>
        </row>
        <row r="23">
          <cell r="A23" t="str">
            <v>Inventory Location: Coffeen PRB Inventory In-Transit</v>
          </cell>
          <cell r="B23" t="str">
            <v>151201</v>
          </cell>
          <cell r="C23" t="str">
            <v>Coal Fuel</v>
          </cell>
          <cell r="F23">
            <v>0</v>
          </cell>
          <cell r="J23">
            <v>0</v>
          </cell>
          <cell r="K23">
            <v>0</v>
          </cell>
        </row>
        <row r="24">
          <cell r="A24" t="str">
            <v>Inventory Location: Coffeen PRB Inventory In-Transit</v>
          </cell>
          <cell r="B24" t="str">
            <v>151203</v>
          </cell>
          <cell r="C24" t="str">
            <v>Coal Freight</v>
          </cell>
          <cell r="F24">
            <v>2014</v>
          </cell>
          <cell r="J24">
            <v>0</v>
          </cell>
          <cell r="K24">
            <v>0</v>
          </cell>
        </row>
        <row r="25">
          <cell r="A25" t="str">
            <v>Inventory Location: Coffeen PRB Inventory In-Transit</v>
          </cell>
          <cell r="B25" t="str">
            <v>151210</v>
          </cell>
          <cell r="C25" t="str">
            <v>Coal Railcar Expense</v>
          </cell>
          <cell r="F25">
            <v>0</v>
          </cell>
          <cell r="J25">
            <v>0</v>
          </cell>
          <cell r="K25">
            <v>0</v>
          </cell>
        </row>
        <row r="26">
          <cell r="A26" t="str">
            <v>Inventory Location: Coffeen PRB Inventory In-Transit</v>
          </cell>
          <cell r="B26" t="str">
            <v>151298</v>
          </cell>
          <cell r="C26" t="str">
            <v>Coal Taxes</v>
          </cell>
          <cell r="F26">
            <v>0</v>
          </cell>
          <cell r="J26">
            <v>0</v>
          </cell>
          <cell r="K26">
            <v>0</v>
          </cell>
        </row>
        <row r="27">
          <cell r="A27" t="str">
            <v>Inventory Location: Duck Creek HS Inventory</v>
          </cell>
          <cell r="B27" t="str">
            <v>151001</v>
          </cell>
          <cell r="C27" t="str">
            <v>Coal Fuel</v>
          </cell>
          <cell r="F27">
            <v>23841589.870000001</v>
          </cell>
          <cell r="J27">
            <v>-12701482.0271376</v>
          </cell>
          <cell r="K27">
            <v>0</v>
          </cell>
        </row>
        <row r="28">
          <cell r="A28" t="str">
            <v>Inventory Location: Duck Creek HS Inventory</v>
          </cell>
          <cell r="B28" t="str">
            <v>151003</v>
          </cell>
          <cell r="C28" t="str">
            <v>Coal Freight</v>
          </cell>
          <cell r="F28">
            <v>-7455.77</v>
          </cell>
          <cell r="J28">
            <v>-4238530.6466135001</v>
          </cell>
          <cell r="K28">
            <v>0</v>
          </cell>
        </row>
        <row r="29">
          <cell r="A29" t="str">
            <v>Inventory Location: Duck Creek HS Inventory</v>
          </cell>
          <cell r="B29" t="str">
            <v>151010</v>
          </cell>
          <cell r="C29" t="str">
            <v>Coal Railcar Expense</v>
          </cell>
          <cell r="F29">
            <v>21581.34</v>
          </cell>
          <cell r="J29">
            <v>-8116.9454362000006</v>
          </cell>
          <cell r="K29">
            <v>0</v>
          </cell>
        </row>
        <row r="30">
          <cell r="A30" t="str">
            <v>Inventory Location: Duck Creek HS Inventory</v>
          </cell>
          <cell r="B30" t="str">
            <v>151098</v>
          </cell>
          <cell r="C30" t="str">
            <v>Coal Taxes</v>
          </cell>
          <cell r="F30">
            <v>-2615.13</v>
          </cell>
          <cell r="J30">
            <v>-834407.26292370004</v>
          </cell>
          <cell r="K30">
            <v>0</v>
          </cell>
        </row>
        <row r="31">
          <cell r="A31" t="str">
            <v>Inventory Location: Duck Creek HS Inventory In-Transit</v>
          </cell>
          <cell r="B31" t="str">
            <v>151201</v>
          </cell>
          <cell r="C31" t="str">
            <v>Coal Fuel</v>
          </cell>
          <cell r="F31">
            <v>0</v>
          </cell>
          <cell r="J31">
            <v>0</v>
          </cell>
          <cell r="K31">
            <v>0</v>
          </cell>
        </row>
        <row r="32">
          <cell r="A32" t="str">
            <v>Inventory Location: Duck Creek HS Inventory In-Transit</v>
          </cell>
          <cell r="B32" t="str">
            <v>151203</v>
          </cell>
          <cell r="C32" t="str">
            <v>Coal Freight</v>
          </cell>
          <cell r="F32">
            <v>0</v>
          </cell>
          <cell r="J32">
            <v>0</v>
          </cell>
          <cell r="K32">
            <v>0</v>
          </cell>
        </row>
        <row r="33">
          <cell r="A33" t="str">
            <v>Inventory Location: Duck Creek HS Inventory In-Transit</v>
          </cell>
          <cell r="B33" t="str">
            <v>151210</v>
          </cell>
          <cell r="C33" t="str">
            <v>Coal Railcar Expense</v>
          </cell>
          <cell r="F33">
            <v>0</v>
          </cell>
          <cell r="J33">
            <v>0</v>
          </cell>
          <cell r="K33">
            <v>0</v>
          </cell>
        </row>
        <row r="34">
          <cell r="A34" t="str">
            <v>Inventory Location: Duck Creek HS Inventory In-Transit</v>
          </cell>
          <cell r="B34" t="str">
            <v>151298</v>
          </cell>
          <cell r="C34" t="str">
            <v>Coal Taxes</v>
          </cell>
          <cell r="F34">
            <v>0</v>
          </cell>
          <cell r="J34">
            <v>0</v>
          </cell>
          <cell r="K34">
            <v>0</v>
          </cell>
        </row>
        <row r="35">
          <cell r="A35" t="str">
            <v>Inventory Location: Duck Creek New Mill Limestone</v>
          </cell>
          <cell r="B35">
            <v>0</v>
          </cell>
          <cell r="C35" t="str">
            <v>Coal Freight</v>
          </cell>
          <cell r="F35">
            <v>0</v>
          </cell>
          <cell r="J35">
            <v>0</v>
          </cell>
          <cell r="K35">
            <v>0</v>
          </cell>
        </row>
        <row r="36">
          <cell r="A36" t="str">
            <v>Inventory Location: Duck Creek New Mill Limestone</v>
          </cell>
          <cell r="B36">
            <v>0</v>
          </cell>
          <cell r="C36" t="str">
            <v>Coal Railcar Expense</v>
          </cell>
          <cell r="F36">
            <v>0</v>
          </cell>
          <cell r="J36">
            <v>0</v>
          </cell>
          <cell r="K36">
            <v>0</v>
          </cell>
        </row>
        <row r="37">
          <cell r="A37" t="str">
            <v>Inventory Location: Duck Creek New Mill Limestone</v>
          </cell>
          <cell r="B37">
            <v>0</v>
          </cell>
          <cell r="C37" t="str">
            <v>Coal Taxes</v>
          </cell>
          <cell r="F37">
            <v>0</v>
          </cell>
          <cell r="J37">
            <v>0</v>
          </cell>
          <cell r="K37">
            <v>0</v>
          </cell>
        </row>
        <row r="38">
          <cell r="A38" t="str">
            <v>Inventory Location: Duck Creek New Mill Limestone</v>
          </cell>
          <cell r="B38" t="str">
            <v>151LIM</v>
          </cell>
          <cell r="C38" t="str">
            <v>Coal Fuel</v>
          </cell>
          <cell r="F38">
            <v>0</v>
          </cell>
          <cell r="J38">
            <v>0</v>
          </cell>
          <cell r="K38">
            <v>0</v>
          </cell>
        </row>
        <row r="39">
          <cell r="A39" t="str">
            <v>Inventory Location: Duck Creek New Mill Limestone In-Transit</v>
          </cell>
          <cell r="B39">
            <v>0</v>
          </cell>
          <cell r="C39" t="str">
            <v>Coal Freight</v>
          </cell>
          <cell r="F39">
            <v>0</v>
          </cell>
          <cell r="J39">
            <v>0</v>
          </cell>
          <cell r="K39">
            <v>0</v>
          </cell>
        </row>
        <row r="40">
          <cell r="A40" t="str">
            <v>Inventory Location: Duck Creek New Mill Limestone In-Transit</v>
          </cell>
          <cell r="B40">
            <v>0</v>
          </cell>
          <cell r="C40" t="str">
            <v>Coal Railcar Expense</v>
          </cell>
          <cell r="F40">
            <v>0</v>
          </cell>
          <cell r="J40">
            <v>0</v>
          </cell>
          <cell r="K40">
            <v>0</v>
          </cell>
        </row>
        <row r="41">
          <cell r="A41" t="str">
            <v>Inventory Location: Duck Creek New Mill Limestone In-Transit</v>
          </cell>
          <cell r="B41">
            <v>0</v>
          </cell>
          <cell r="C41" t="str">
            <v>Coal Taxes</v>
          </cell>
          <cell r="F41">
            <v>0</v>
          </cell>
          <cell r="J41">
            <v>0</v>
          </cell>
          <cell r="K41">
            <v>0</v>
          </cell>
        </row>
        <row r="42">
          <cell r="A42" t="str">
            <v>Inventory Location: Duck Creek New Mill Limestone In-Transit</v>
          </cell>
          <cell r="B42" t="str">
            <v>151LIM-IT</v>
          </cell>
          <cell r="C42" t="str">
            <v>Coal Fuel</v>
          </cell>
          <cell r="F42">
            <v>0</v>
          </cell>
          <cell r="J42">
            <v>0</v>
          </cell>
          <cell r="K42">
            <v>0</v>
          </cell>
        </row>
        <row r="43">
          <cell r="A43" t="str">
            <v>Inventory Location: Duck Creek Old Mill Limestone</v>
          </cell>
          <cell r="B43">
            <v>0</v>
          </cell>
          <cell r="C43" t="str">
            <v>Coal Freight</v>
          </cell>
          <cell r="F43">
            <v>0</v>
          </cell>
          <cell r="J43">
            <v>0</v>
          </cell>
          <cell r="K43">
            <v>0</v>
          </cell>
        </row>
        <row r="44">
          <cell r="A44" t="str">
            <v>Inventory Location: Duck Creek Old Mill Limestone</v>
          </cell>
          <cell r="B44">
            <v>0</v>
          </cell>
          <cell r="C44" t="str">
            <v>Coal Railcar Expense</v>
          </cell>
          <cell r="F44">
            <v>0</v>
          </cell>
          <cell r="J44">
            <v>0</v>
          </cell>
          <cell r="K44">
            <v>0</v>
          </cell>
        </row>
        <row r="45">
          <cell r="A45" t="str">
            <v>Inventory Location: Duck Creek Old Mill Limestone</v>
          </cell>
          <cell r="B45">
            <v>0</v>
          </cell>
          <cell r="C45" t="str">
            <v>Coal Taxes</v>
          </cell>
          <cell r="F45">
            <v>0</v>
          </cell>
          <cell r="J45">
            <v>0</v>
          </cell>
          <cell r="K45">
            <v>0</v>
          </cell>
        </row>
        <row r="46">
          <cell r="A46" t="str">
            <v>Inventory Location: Duck Creek Old Mill Limestone</v>
          </cell>
          <cell r="B46" t="str">
            <v>151LIM</v>
          </cell>
          <cell r="C46" t="str">
            <v>Coal Fuel</v>
          </cell>
          <cell r="F46">
            <v>0</v>
          </cell>
          <cell r="J46">
            <v>0</v>
          </cell>
          <cell r="K46">
            <v>0</v>
          </cell>
        </row>
        <row r="47">
          <cell r="A47" t="str">
            <v>Inventory Location: Duck Creek Old Mill Limestone In-Transit</v>
          </cell>
          <cell r="B47">
            <v>0</v>
          </cell>
          <cell r="C47" t="str">
            <v>Coal Freight</v>
          </cell>
          <cell r="F47">
            <v>0</v>
          </cell>
          <cell r="J47">
            <v>0</v>
          </cell>
          <cell r="K47">
            <v>0</v>
          </cell>
        </row>
        <row r="48">
          <cell r="A48" t="str">
            <v>Inventory Location: Duck Creek Old Mill Limestone In-Transit</v>
          </cell>
          <cell r="B48">
            <v>0</v>
          </cell>
          <cell r="C48" t="str">
            <v>Coal Railcar Expense</v>
          </cell>
          <cell r="F48">
            <v>0</v>
          </cell>
          <cell r="J48">
            <v>0</v>
          </cell>
          <cell r="K48">
            <v>0</v>
          </cell>
        </row>
        <row r="49">
          <cell r="A49" t="str">
            <v>Inventory Location: Duck Creek Old Mill Limestone In-Transit</v>
          </cell>
          <cell r="B49">
            <v>0</v>
          </cell>
          <cell r="C49" t="str">
            <v>Coal Taxes</v>
          </cell>
          <cell r="F49">
            <v>0</v>
          </cell>
          <cell r="J49">
            <v>0</v>
          </cell>
          <cell r="K49">
            <v>0</v>
          </cell>
        </row>
        <row r="50">
          <cell r="A50" t="str">
            <v>Inventory Location: Duck Creek Old Mill Limestone In-Transit</v>
          </cell>
          <cell r="B50" t="str">
            <v>151LIM-IT</v>
          </cell>
          <cell r="C50" t="str">
            <v>Coal Fuel</v>
          </cell>
          <cell r="F50">
            <v>0</v>
          </cell>
          <cell r="J50">
            <v>0</v>
          </cell>
          <cell r="K50">
            <v>0</v>
          </cell>
        </row>
        <row r="51">
          <cell r="A51" t="str">
            <v>Inventory Location: Duck Creek PRB Inventory</v>
          </cell>
          <cell r="B51" t="str">
            <v>151001</v>
          </cell>
          <cell r="C51" t="str">
            <v>Coal Fuel</v>
          </cell>
          <cell r="F51">
            <v>-1527859.86</v>
          </cell>
          <cell r="J51">
            <v>-8011809.1077824999</v>
          </cell>
          <cell r="K51">
            <v>0</v>
          </cell>
        </row>
        <row r="52">
          <cell r="A52" t="str">
            <v>Inventory Location: Duck Creek PRB Inventory</v>
          </cell>
          <cell r="B52" t="str">
            <v>151003</v>
          </cell>
          <cell r="C52" t="str">
            <v>Coal Freight</v>
          </cell>
          <cell r="F52">
            <v>-54318.92</v>
          </cell>
          <cell r="J52">
            <v>-13822424.942628499</v>
          </cell>
          <cell r="K52">
            <v>0</v>
          </cell>
        </row>
        <row r="53">
          <cell r="A53" t="str">
            <v>Inventory Location: Duck Creek PRB Inventory</v>
          </cell>
          <cell r="B53" t="str">
            <v>151010</v>
          </cell>
          <cell r="C53" t="str">
            <v>Coal Railcar Expense</v>
          </cell>
          <cell r="F53">
            <v>553514.76</v>
          </cell>
          <cell r="J53">
            <v>-510707.6362366</v>
          </cell>
          <cell r="K53">
            <v>0</v>
          </cell>
        </row>
        <row r="54">
          <cell r="A54" t="str">
            <v>Inventory Location: Duck Creek PRB Inventory</v>
          </cell>
          <cell r="B54" t="str">
            <v>151098</v>
          </cell>
          <cell r="C54" t="str">
            <v>Coal Taxes</v>
          </cell>
          <cell r="F54">
            <v>-51967.68</v>
          </cell>
          <cell r="J54">
            <v>-636422.54619989998</v>
          </cell>
          <cell r="K54">
            <v>0</v>
          </cell>
        </row>
        <row r="55">
          <cell r="A55" t="str">
            <v>Inventory Location: Duck Creek PRB Inventory In-Transit</v>
          </cell>
          <cell r="B55" t="str">
            <v>151201</v>
          </cell>
          <cell r="C55" t="str">
            <v>Coal Fuel</v>
          </cell>
          <cell r="F55">
            <v>0</v>
          </cell>
          <cell r="J55">
            <v>0</v>
          </cell>
          <cell r="K55">
            <v>0</v>
          </cell>
        </row>
        <row r="56">
          <cell r="A56" t="str">
            <v>Inventory Location: Duck Creek PRB Inventory In-Transit</v>
          </cell>
          <cell r="B56" t="str">
            <v>151203</v>
          </cell>
          <cell r="C56" t="str">
            <v>Coal Freight</v>
          </cell>
          <cell r="F56">
            <v>0</v>
          </cell>
          <cell r="J56">
            <v>0</v>
          </cell>
          <cell r="K56">
            <v>0</v>
          </cell>
        </row>
        <row r="57">
          <cell r="A57" t="str">
            <v>Inventory Location: Duck Creek PRB Inventory In-Transit</v>
          </cell>
          <cell r="B57" t="str">
            <v>151210</v>
          </cell>
          <cell r="C57" t="str">
            <v>Coal Railcar Expense</v>
          </cell>
          <cell r="F57">
            <v>0</v>
          </cell>
          <cell r="J57">
            <v>0</v>
          </cell>
          <cell r="K57">
            <v>0</v>
          </cell>
        </row>
        <row r="58">
          <cell r="A58" t="str">
            <v>Inventory Location: Duck Creek PRB Inventory In-Transit</v>
          </cell>
          <cell r="B58" t="str">
            <v>151298</v>
          </cell>
          <cell r="C58" t="str">
            <v>Coal Taxes</v>
          </cell>
          <cell r="F58">
            <v>0</v>
          </cell>
          <cell r="J58">
            <v>0</v>
          </cell>
          <cell r="K58">
            <v>0</v>
          </cell>
        </row>
        <row r="59">
          <cell r="A59" t="str">
            <v>Inventory Location: Edwards Activated Carbon</v>
          </cell>
          <cell r="B59">
            <v>0</v>
          </cell>
          <cell r="C59" t="str">
            <v>Coal Freight</v>
          </cell>
          <cell r="F59">
            <v>0</v>
          </cell>
          <cell r="J59">
            <v>0</v>
          </cell>
          <cell r="K59">
            <v>0</v>
          </cell>
        </row>
        <row r="60">
          <cell r="A60" t="str">
            <v>Inventory Location: Edwards Activated Carbon</v>
          </cell>
          <cell r="B60">
            <v>0</v>
          </cell>
          <cell r="C60" t="str">
            <v>Coal Railcar Expense</v>
          </cell>
          <cell r="F60">
            <v>0</v>
          </cell>
          <cell r="J60">
            <v>0</v>
          </cell>
          <cell r="K60">
            <v>0</v>
          </cell>
        </row>
        <row r="61">
          <cell r="A61" t="str">
            <v>Inventory Location: Edwards Activated Carbon</v>
          </cell>
          <cell r="B61">
            <v>0</v>
          </cell>
          <cell r="C61" t="str">
            <v>Coal Taxes</v>
          </cell>
          <cell r="F61">
            <v>0</v>
          </cell>
          <cell r="J61">
            <v>0</v>
          </cell>
          <cell r="K61">
            <v>0</v>
          </cell>
        </row>
        <row r="62">
          <cell r="A62" t="str">
            <v>Inventory Location: Edwards Activated Carbon</v>
          </cell>
          <cell r="B62" t="str">
            <v>151ACT</v>
          </cell>
          <cell r="C62" t="str">
            <v>Coal Fuel</v>
          </cell>
          <cell r="F62">
            <v>0</v>
          </cell>
          <cell r="J62">
            <v>-3320155.2570376005</v>
          </cell>
          <cell r="K62">
            <v>0</v>
          </cell>
        </row>
        <row r="63">
          <cell r="A63" t="str">
            <v>Inventory Location: Edwards Activated Carbon In-Transit</v>
          </cell>
          <cell r="B63">
            <v>0</v>
          </cell>
          <cell r="C63" t="str">
            <v>Coal Freight</v>
          </cell>
          <cell r="F63">
            <v>0</v>
          </cell>
          <cell r="J63">
            <v>0</v>
          </cell>
          <cell r="K63">
            <v>0</v>
          </cell>
        </row>
        <row r="64">
          <cell r="A64" t="str">
            <v>Inventory Location: Edwards Activated Carbon In-Transit</v>
          </cell>
          <cell r="B64">
            <v>0</v>
          </cell>
          <cell r="C64" t="str">
            <v>Coal Railcar Expense</v>
          </cell>
          <cell r="F64">
            <v>0</v>
          </cell>
          <cell r="J64">
            <v>0</v>
          </cell>
          <cell r="K64">
            <v>0</v>
          </cell>
        </row>
        <row r="65">
          <cell r="A65" t="str">
            <v>Inventory Location: Edwards Activated Carbon In-Transit</v>
          </cell>
          <cell r="B65">
            <v>0</v>
          </cell>
          <cell r="C65" t="str">
            <v>Coal Taxes</v>
          </cell>
          <cell r="F65">
            <v>0</v>
          </cell>
          <cell r="J65">
            <v>0</v>
          </cell>
          <cell r="K65">
            <v>0</v>
          </cell>
        </row>
        <row r="66">
          <cell r="A66" t="str">
            <v>Inventory Location: Edwards Activated Carbon In-Transit</v>
          </cell>
          <cell r="B66" t="str">
            <v>151ACT-IT</v>
          </cell>
          <cell r="C66" t="str">
            <v>Coal Fuel</v>
          </cell>
          <cell r="F66">
            <v>0</v>
          </cell>
          <cell r="J66">
            <v>0</v>
          </cell>
          <cell r="K66">
            <v>0</v>
          </cell>
        </row>
        <row r="67">
          <cell r="A67" t="str">
            <v>Inventory Location: Edwards Black Thunder Inventory</v>
          </cell>
          <cell r="B67" t="str">
            <v>151001</v>
          </cell>
          <cell r="C67" t="str">
            <v>Coal Fuel</v>
          </cell>
          <cell r="F67">
            <v>-1474993.1199309002</v>
          </cell>
          <cell r="J67">
            <v>-5590490.1987458002</v>
          </cell>
          <cell r="K67">
            <v>0</v>
          </cell>
        </row>
        <row r="68">
          <cell r="A68" t="str">
            <v>Inventory Location: Edwards Black Thunder Inventory</v>
          </cell>
          <cell r="B68" t="str">
            <v>151003</v>
          </cell>
          <cell r="C68" t="str">
            <v>Coal Freight</v>
          </cell>
          <cell r="F68">
            <v>0</v>
          </cell>
          <cell r="J68">
            <v>-7938417.3518478004</v>
          </cell>
          <cell r="K68">
            <v>0</v>
          </cell>
        </row>
        <row r="69">
          <cell r="A69" t="str">
            <v>Inventory Location: Edwards Black Thunder Inventory</v>
          </cell>
          <cell r="B69" t="str">
            <v>151010</v>
          </cell>
          <cell r="C69" t="str">
            <v>Coal Railcar Expense</v>
          </cell>
          <cell r="F69">
            <v>267489.84000000003</v>
          </cell>
          <cell r="J69">
            <v>-250511.6788158</v>
          </cell>
          <cell r="K69">
            <v>0</v>
          </cell>
        </row>
        <row r="70">
          <cell r="A70" t="str">
            <v>Inventory Location: Edwards Black Thunder Inventory</v>
          </cell>
          <cell r="B70" t="str">
            <v>151098</v>
          </cell>
          <cell r="C70" t="str">
            <v>Coal Taxes</v>
          </cell>
          <cell r="F70">
            <v>0</v>
          </cell>
          <cell r="J70">
            <v>-426492.02197590005</v>
          </cell>
          <cell r="K70">
            <v>0</v>
          </cell>
        </row>
        <row r="71">
          <cell r="A71" t="str">
            <v>Inventory Location: Edwards Black Thunder Inventory In-Transit</v>
          </cell>
          <cell r="B71" t="str">
            <v>151201</v>
          </cell>
          <cell r="C71" t="str">
            <v>Coal Fuel</v>
          </cell>
          <cell r="F71">
            <v>0</v>
          </cell>
          <cell r="J71">
            <v>0</v>
          </cell>
          <cell r="K71">
            <v>0</v>
          </cell>
        </row>
        <row r="72">
          <cell r="A72" t="str">
            <v>Inventory Location: Edwards Black Thunder Inventory In-Transit</v>
          </cell>
          <cell r="B72" t="str">
            <v>151203</v>
          </cell>
          <cell r="C72" t="str">
            <v>Coal Freight</v>
          </cell>
          <cell r="F72">
            <v>0</v>
          </cell>
          <cell r="J72">
            <v>0</v>
          </cell>
          <cell r="K72">
            <v>0</v>
          </cell>
        </row>
        <row r="73">
          <cell r="A73" t="str">
            <v>Inventory Location: Edwards Black Thunder Inventory In-Transit</v>
          </cell>
          <cell r="B73" t="str">
            <v>151210</v>
          </cell>
          <cell r="C73" t="str">
            <v>Coal Railcar Expense</v>
          </cell>
          <cell r="F73">
            <v>0</v>
          </cell>
          <cell r="J73">
            <v>0</v>
          </cell>
          <cell r="K73">
            <v>0</v>
          </cell>
        </row>
        <row r="74">
          <cell r="A74" t="str">
            <v>Inventory Location: Edwards Black Thunder Inventory In-Transit</v>
          </cell>
          <cell r="B74" t="str">
            <v>151298</v>
          </cell>
          <cell r="C74" t="str">
            <v>Coal Taxes</v>
          </cell>
          <cell r="F74">
            <v>0</v>
          </cell>
          <cell r="J74">
            <v>0</v>
          </cell>
          <cell r="K74">
            <v>0</v>
          </cell>
        </row>
        <row r="75">
          <cell r="A75" t="str">
            <v>Inventory Location: Edwards NARM Inventory</v>
          </cell>
          <cell r="B75" t="str">
            <v>151001</v>
          </cell>
          <cell r="C75" t="str">
            <v>Coal Fuel</v>
          </cell>
          <cell r="F75">
            <v>-4553840.8400691003</v>
          </cell>
          <cell r="J75">
            <v>-27778622.133386504</v>
          </cell>
          <cell r="K75">
            <v>0</v>
          </cell>
        </row>
        <row r="76">
          <cell r="A76" t="str">
            <v>Inventory Location: Edwards NARM Inventory</v>
          </cell>
          <cell r="B76" t="str">
            <v>151003</v>
          </cell>
          <cell r="C76" t="str">
            <v>Coal Freight</v>
          </cell>
          <cell r="F76">
            <v>1568069.26</v>
          </cell>
          <cell r="J76">
            <v>-26549652.959597498</v>
          </cell>
          <cell r="K76">
            <v>0</v>
          </cell>
        </row>
        <row r="77">
          <cell r="A77" t="str">
            <v>Inventory Location: Edwards NARM Inventory</v>
          </cell>
          <cell r="B77" t="str">
            <v>151010</v>
          </cell>
          <cell r="C77" t="str">
            <v>Coal Railcar Expense</v>
          </cell>
          <cell r="F77">
            <v>3314741.8</v>
          </cell>
          <cell r="J77">
            <v>-3312102.4693538998</v>
          </cell>
          <cell r="K77">
            <v>0</v>
          </cell>
        </row>
        <row r="78">
          <cell r="A78" t="str">
            <v>Inventory Location: Edwards NARM Inventory</v>
          </cell>
          <cell r="B78" t="str">
            <v>151098</v>
          </cell>
          <cell r="C78" t="str">
            <v>Coal Taxes</v>
          </cell>
          <cell r="F78">
            <v>-76357.34</v>
          </cell>
          <cell r="J78">
            <v>-1943670.3734368</v>
          </cell>
          <cell r="K78">
            <v>0</v>
          </cell>
        </row>
        <row r="79">
          <cell r="A79" t="str">
            <v>Inventory Location: Edwards NARM Inventory In-Transit</v>
          </cell>
          <cell r="B79" t="str">
            <v>151201</v>
          </cell>
          <cell r="C79" t="str">
            <v>Coal Fuel</v>
          </cell>
          <cell r="F79">
            <v>0</v>
          </cell>
          <cell r="J79">
            <v>0</v>
          </cell>
          <cell r="K79">
            <v>0</v>
          </cell>
        </row>
        <row r="80">
          <cell r="A80" t="str">
            <v>Inventory Location: Edwards NARM Inventory In-Transit</v>
          </cell>
          <cell r="B80" t="str">
            <v>151203</v>
          </cell>
          <cell r="C80" t="str">
            <v>Coal Freight</v>
          </cell>
          <cell r="F80">
            <v>0</v>
          </cell>
          <cell r="J80">
            <v>0</v>
          </cell>
          <cell r="K80">
            <v>0</v>
          </cell>
        </row>
        <row r="81">
          <cell r="A81" t="str">
            <v>Inventory Location: Edwards NARM Inventory In-Transit</v>
          </cell>
          <cell r="B81" t="str">
            <v>151210</v>
          </cell>
          <cell r="C81" t="str">
            <v>Coal Railcar Expense</v>
          </cell>
          <cell r="F81">
            <v>0</v>
          </cell>
          <cell r="J81">
            <v>0</v>
          </cell>
          <cell r="K81">
            <v>0</v>
          </cell>
        </row>
        <row r="82">
          <cell r="A82" t="str">
            <v>Inventory Location: Edwards NARM Inventory In-Transit</v>
          </cell>
          <cell r="B82" t="str">
            <v>151298</v>
          </cell>
          <cell r="C82" t="str">
            <v>Coal Taxes</v>
          </cell>
          <cell r="F82">
            <v>0</v>
          </cell>
          <cell r="J82">
            <v>0</v>
          </cell>
          <cell r="K82">
            <v>0</v>
          </cell>
        </row>
        <row r="83">
          <cell r="A83" t="str">
            <v>Inventory Location: Hutsonville Pet Coke Inventory</v>
          </cell>
          <cell r="B83" t="str">
            <v>151001</v>
          </cell>
          <cell r="C83" t="str">
            <v>Coal Fuel</v>
          </cell>
          <cell r="F83">
            <v>0</v>
          </cell>
          <cell r="J83">
            <v>0</v>
          </cell>
          <cell r="K83">
            <v>0</v>
          </cell>
        </row>
        <row r="84">
          <cell r="A84" t="str">
            <v>Inventory Location: Hutsonville Pet Coke Inventory</v>
          </cell>
          <cell r="B84" t="str">
            <v>151003</v>
          </cell>
          <cell r="C84" t="str">
            <v>Coal Freight</v>
          </cell>
          <cell r="F84">
            <v>0</v>
          </cell>
          <cell r="J84">
            <v>0</v>
          </cell>
          <cell r="K84">
            <v>0</v>
          </cell>
        </row>
        <row r="85">
          <cell r="A85" t="str">
            <v>Inventory Location: Hutsonville Pet Coke Inventory</v>
          </cell>
          <cell r="B85" t="str">
            <v>151010</v>
          </cell>
          <cell r="C85" t="str">
            <v>Coal Railcar Expense</v>
          </cell>
          <cell r="F85">
            <v>0</v>
          </cell>
          <cell r="J85">
            <v>0</v>
          </cell>
          <cell r="K85">
            <v>0</v>
          </cell>
        </row>
        <row r="86">
          <cell r="A86" t="str">
            <v>Inventory Location: Hutsonville Pet Coke Inventory</v>
          </cell>
          <cell r="B86" t="str">
            <v>151098</v>
          </cell>
          <cell r="C86" t="str">
            <v>Coal Taxes</v>
          </cell>
          <cell r="F86">
            <v>0</v>
          </cell>
          <cell r="J86">
            <v>0</v>
          </cell>
          <cell r="K86">
            <v>0</v>
          </cell>
        </row>
        <row r="87">
          <cell r="A87" t="str">
            <v>Inventory Location: Hutsonville Pet Coke Inventory In-Transit</v>
          </cell>
          <cell r="B87" t="str">
            <v>151201</v>
          </cell>
          <cell r="C87" t="str">
            <v>Coal Fuel</v>
          </cell>
          <cell r="F87">
            <v>0</v>
          </cell>
          <cell r="J87">
            <v>0</v>
          </cell>
          <cell r="K87">
            <v>0</v>
          </cell>
        </row>
        <row r="88">
          <cell r="A88" t="str">
            <v>Inventory Location: Hutsonville Pet Coke Inventory In-Transit</v>
          </cell>
          <cell r="B88" t="str">
            <v>151203</v>
          </cell>
          <cell r="C88" t="str">
            <v>Coal Freight</v>
          </cell>
          <cell r="F88">
            <v>0</v>
          </cell>
          <cell r="J88">
            <v>0</v>
          </cell>
          <cell r="K88">
            <v>0</v>
          </cell>
        </row>
        <row r="89">
          <cell r="A89" t="str">
            <v>Inventory Location: Hutsonville Pet Coke Inventory In-Transit</v>
          </cell>
          <cell r="B89" t="str">
            <v>151210</v>
          </cell>
          <cell r="C89" t="str">
            <v>Coal Railcar Expense</v>
          </cell>
          <cell r="F89">
            <v>0</v>
          </cell>
          <cell r="J89">
            <v>0</v>
          </cell>
          <cell r="K89">
            <v>0</v>
          </cell>
        </row>
        <row r="90">
          <cell r="A90" t="str">
            <v>Inventory Location: Hutsonville Pet Coke Inventory In-Transit</v>
          </cell>
          <cell r="B90" t="str">
            <v>151298</v>
          </cell>
          <cell r="C90" t="str">
            <v>Coal Taxes</v>
          </cell>
          <cell r="F90">
            <v>0</v>
          </cell>
          <cell r="J90">
            <v>0</v>
          </cell>
          <cell r="K90">
            <v>0</v>
          </cell>
        </row>
        <row r="91">
          <cell r="A91" t="str">
            <v>Inventory Location: Hutsonville PRB Inventory</v>
          </cell>
          <cell r="B91" t="str">
            <v>151001</v>
          </cell>
          <cell r="C91" t="str">
            <v>Coal Fuel</v>
          </cell>
          <cell r="F91">
            <v>68692.259999999995</v>
          </cell>
          <cell r="J91">
            <v>-3953279.7410162999</v>
          </cell>
          <cell r="K91">
            <v>0</v>
          </cell>
        </row>
        <row r="92">
          <cell r="A92" t="str">
            <v>Inventory Location: Hutsonville PRB Inventory</v>
          </cell>
          <cell r="B92" t="str">
            <v>151003</v>
          </cell>
          <cell r="C92" t="str">
            <v>Coal Freight</v>
          </cell>
          <cell r="F92">
            <v>339766.59</v>
          </cell>
          <cell r="J92">
            <v>-8055180.1266297996</v>
          </cell>
          <cell r="K92">
            <v>0</v>
          </cell>
        </row>
        <row r="93">
          <cell r="A93" t="str">
            <v>Inventory Location: Hutsonville PRB Inventory</v>
          </cell>
          <cell r="B93" t="str">
            <v>151010</v>
          </cell>
          <cell r="C93" t="str">
            <v>Coal Railcar Expense</v>
          </cell>
          <cell r="F93">
            <v>0</v>
          </cell>
          <cell r="J93">
            <v>-535049.79946600005</v>
          </cell>
          <cell r="K93">
            <v>0</v>
          </cell>
        </row>
        <row r="94">
          <cell r="A94" t="str">
            <v>Inventory Location: Hutsonville PRB Inventory</v>
          </cell>
          <cell r="B94" t="str">
            <v>151098</v>
          </cell>
          <cell r="C94" t="str">
            <v>Coal Taxes</v>
          </cell>
          <cell r="F94">
            <v>0</v>
          </cell>
          <cell r="J94">
            <v>-229563.81290250001</v>
          </cell>
          <cell r="K94">
            <v>0</v>
          </cell>
        </row>
        <row r="95">
          <cell r="A95" t="str">
            <v>Inventory Location: Hutsonville PRB Inventory In-Transit</v>
          </cell>
          <cell r="B95" t="str">
            <v>151201</v>
          </cell>
          <cell r="C95" t="str">
            <v>Coal Fuel</v>
          </cell>
          <cell r="F95">
            <v>0</v>
          </cell>
          <cell r="J95">
            <v>0</v>
          </cell>
          <cell r="K95">
            <v>0</v>
          </cell>
        </row>
        <row r="96">
          <cell r="A96" t="str">
            <v>Inventory Location: Hutsonville PRB Inventory In-Transit</v>
          </cell>
          <cell r="B96" t="str">
            <v>151203</v>
          </cell>
          <cell r="C96" t="str">
            <v>Coal Freight</v>
          </cell>
          <cell r="F96">
            <v>0</v>
          </cell>
          <cell r="J96">
            <v>0</v>
          </cell>
          <cell r="K96">
            <v>0</v>
          </cell>
        </row>
        <row r="97">
          <cell r="A97" t="str">
            <v>Inventory Location: Hutsonville PRB Inventory In-Transit</v>
          </cell>
          <cell r="B97" t="str">
            <v>151210</v>
          </cell>
          <cell r="C97" t="str">
            <v>Coal Railcar Expense</v>
          </cell>
          <cell r="F97">
            <v>0</v>
          </cell>
          <cell r="J97">
            <v>0</v>
          </cell>
          <cell r="K97">
            <v>0</v>
          </cell>
        </row>
        <row r="98">
          <cell r="A98" t="str">
            <v>Inventory Location: Hutsonville PRB Inventory In-Transit</v>
          </cell>
          <cell r="B98" t="str">
            <v>151298</v>
          </cell>
          <cell r="C98" t="str">
            <v>Coal Taxes</v>
          </cell>
          <cell r="F98">
            <v>0</v>
          </cell>
          <cell r="J98">
            <v>0</v>
          </cell>
          <cell r="K98">
            <v>0</v>
          </cell>
        </row>
        <row r="99">
          <cell r="A99" t="str">
            <v>Inventory Location: Joppa PRB Inventory</v>
          </cell>
          <cell r="B99" t="str">
            <v>151001</v>
          </cell>
          <cell r="C99" t="str">
            <v>Coal Fuel</v>
          </cell>
          <cell r="F99">
            <v>1442650.87</v>
          </cell>
          <cell r="J99">
            <v>-40130354.471021399</v>
          </cell>
          <cell r="K99">
            <v>0</v>
          </cell>
        </row>
        <row r="100">
          <cell r="A100" t="str">
            <v>Inventory Location: Joppa PRB Inventory</v>
          </cell>
          <cell r="B100" t="str">
            <v>151003</v>
          </cell>
          <cell r="C100" t="str">
            <v>Coal Freight</v>
          </cell>
          <cell r="F100">
            <v>0</v>
          </cell>
          <cell r="J100">
            <v>221.9440175</v>
          </cell>
          <cell r="K100">
            <v>0</v>
          </cell>
        </row>
        <row r="101">
          <cell r="A101" t="str">
            <v>Inventory Location: Joppa PRB Inventory</v>
          </cell>
          <cell r="B101" t="str">
            <v>151010</v>
          </cell>
          <cell r="C101" t="str">
            <v>Coal Railcar Expense</v>
          </cell>
          <cell r="F101">
            <v>0</v>
          </cell>
          <cell r="J101">
            <v>0</v>
          </cell>
          <cell r="K101">
            <v>0</v>
          </cell>
        </row>
        <row r="102">
          <cell r="A102" t="str">
            <v>Inventory Location: Joppa PRB Inventory</v>
          </cell>
          <cell r="B102" t="str">
            <v>151098</v>
          </cell>
          <cell r="C102" t="str">
            <v>Coal Taxes</v>
          </cell>
          <cell r="F102">
            <v>0</v>
          </cell>
          <cell r="J102">
            <v>0</v>
          </cell>
          <cell r="K102">
            <v>0</v>
          </cell>
        </row>
        <row r="103">
          <cell r="A103" t="str">
            <v>Inventory Location: Joppa PRB Inventory In-Transit</v>
          </cell>
          <cell r="B103" t="str">
            <v>151201</v>
          </cell>
          <cell r="C103" t="str">
            <v>Coal Fuel</v>
          </cell>
          <cell r="F103">
            <v>0</v>
          </cell>
          <cell r="J103">
            <v>0</v>
          </cell>
          <cell r="K103">
            <v>0</v>
          </cell>
        </row>
        <row r="104">
          <cell r="A104" t="str">
            <v>Inventory Location: Joppa PRB Inventory In-Transit</v>
          </cell>
          <cell r="B104" t="str">
            <v>151203</v>
          </cell>
          <cell r="C104" t="str">
            <v>Coal Freight</v>
          </cell>
          <cell r="F104">
            <v>0</v>
          </cell>
          <cell r="J104">
            <v>0</v>
          </cell>
          <cell r="K104">
            <v>0</v>
          </cell>
        </row>
        <row r="105">
          <cell r="A105" t="str">
            <v>Inventory Location: Joppa PRB Inventory In-Transit</v>
          </cell>
          <cell r="B105" t="str">
            <v>151210</v>
          </cell>
          <cell r="C105" t="str">
            <v>Coal Railcar Expense</v>
          </cell>
          <cell r="F105">
            <v>0</v>
          </cell>
          <cell r="J105">
            <v>0</v>
          </cell>
          <cell r="K105">
            <v>0</v>
          </cell>
        </row>
        <row r="106">
          <cell r="A106" t="str">
            <v>Inventory Location: Joppa PRB Inventory In-Transit</v>
          </cell>
          <cell r="B106" t="str">
            <v>151298</v>
          </cell>
          <cell r="C106" t="str">
            <v>Coal Taxes</v>
          </cell>
          <cell r="F106">
            <v>0</v>
          </cell>
          <cell r="J106">
            <v>0</v>
          </cell>
          <cell r="K106">
            <v>0</v>
          </cell>
        </row>
        <row r="107">
          <cell r="A107" t="str">
            <v>Inventory Location: Labadie PRB Inventory</v>
          </cell>
          <cell r="B107" t="str">
            <v>151001</v>
          </cell>
          <cell r="C107" t="str">
            <v>Coal Fuel</v>
          </cell>
          <cell r="F107">
            <v>16544220.76</v>
          </cell>
          <cell r="J107">
            <v>-111411545.99348199</v>
          </cell>
          <cell r="K107">
            <v>-89300.148380600018</v>
          </cell>
        </row>
        <row r="108">
          <cell r="A108" t="str">
            <v>Inventory Location: Labadie PRB Inventory</v>
          </cell>
          <cell r="B108" t="str">
            <v>151003</v>
          </cell>
          <cell r="C108" t="str">
            <v>Coal Freight</v>
          </cell>
          <cell r="F108">
            <v>5232721.3899999997</v>
          </cell>
          <cell r="J108">
            <v>-112133583.414434</v>
          </cell>
          <cell r="K108">
            <v>-89929.880508000002</v>
          </cell>
        </row>
        <row r="109">
          <cell r="A109" t="str">
            <v>Inventory Location: Labadie PRB Inventory</v>
          </cell>
          <cell r="B109" t="str">
            <v>151010</v>
          </cell>
          <cell r="C109" t="str">
            <v>Coal Railcar Expense</v>
          </cell>
          <cell r="F109">
            <v>11929960.9</v>
          </cell>
          <cell r="J109">
            <v>-11572399.313396299</v>
          </cell>
          <cell r="K109">
            <v>-9791.5596335999999</v>
          </cell>
        </row>
        <row r="110">
          <cell r="A110" t="str">
            <v>Inventory Location: Labadie PRB Inventory</v>
          </cell>
          <cell r="B110" t="str">
            <v>151098</v>
          </cell>
          <cell r="C110" t="str">
            <v>Coal Taxes</v>
          </cell>
          <cell r="F110">
            <v>0</v>
          </cell>
          <cell r="J110">
            <v>0</v>
          </cell>
          <cell r="K110">
            <v>0</v>
          </cell>
        </row>
        <row r="111">
          <cell r="A111" t="str">
            <v>Inventory Location: Labadie PRB Inventory In-Transit</v>
          </cell>
          <cell r="B111" t="str">
            <v>151201</v>
          </cell>
          <cell r="C111" t="str">
            <v>Coal Fuel</v>
          </cell>
          <cell r="F111">
            <v>0</v>
          </cell>
          <cell r="J111">
            <v>0</v>
          </cell>
          <cell r="K111">
            <v>0</v>
          </cell>
        </row>
        <row r="112">
          <cell r="A112" t="str">
            <v>Inventory Location: Labadie PRB Inventory In-Transit</v>
          </cell>
          <cell r="B112" t="str">
            <v>151203</v>
          </cell>
          <cell r="C112" t="str">
            <v>Coal Freight</v>
          </cell>
          <cell r="F112">
            <v>-1995</v>
          </cell>
          <cell r="J112">
            <v>0</v>
          </cell>
          <cell r="K112">
            <v>0</v>
          </cell>
        </row>
        <row r="113">
          <cell r="A113" t="str">
            <v>Inventory Location: Labadie PRB Inventory In-Transit</v>
          </cell>
          <cell r="B113" t="str">
            <v>151210</v>
          </cell>
          <cell r="C113" t="str">
            <v>Coal Railcar Expense</v>
          </cell>
          <cell r="F113">
            <v>0</v>
          </cell>
          <cell r="J113">
            <v>0</v>
          </cell>
          <cell r="K113">
            <v>0</v>
          </cell>
        </row>
        <row r="114">
          <cell r="A114" t="str">
            <v>Inventory Location: Labadie PRB Inventory In-Transit</v>
          </cell>
          <cell r="B114" t="str">
            <v>151298</v>
          </cell>
          <cell r="C114" t="str">
            <v>Coal Taxes</v>
          </cell>
          <cell r="F114">
            <v>0</v>
          </cell>
          <cell r="J114">
            <v>0</v>
          </cell>
          <cell r="K114">
            <v>0</v>
          </cell>
        </row>
        <row r="115">
          <cell r="A115" t="str">
            <v>Inventory Location: Meramec Hillcrest Inventory</v>
          </cell>
          <cell r="B115" t="str">
            <v>151001</v>
          </cell>
          <cell r="C115" t="str">
            <v>Coal Fuel</v>
          </cell>
          <cell r="F115">
            <v>-409699.68366130005</v>
          </cell>
          <cell r="J115">
            <v>-2901268.4338072999</v>
          </cell>
          <cell r="K115">
            <v>0</v>
          </cell>
        </row>
        <row r="116">
          <cell r="A116" t="str">
            <v>Inventory Location: Meramec Hillcrest Inventory</v>
          </cell>
          <cell r="B116" t="str">
            <v>151003</v>
          </cell>
          <cell r="C116" t="str">
            <v>Coal Freight</v>
          </cell>
          <cell r="F116">
            <v>0</v>
          </cell>
          <cell r="J116">
            <v>-3426897.3974301</v>
          </cell>
          <cell r="K116">
            <v>0</v>
          </cell>
        </row>
        <row r="117">
          <cell r="A117" t="str">
            <v>Inventory Location: Meramec Hillcrest Inventory</v>
          </cell>
          <cell r="B117" t="str">
            <v>151010</v>
          </cell>
          <cell r="C117" t="str">
            <v>Coal Railcar Expense</v>
          </cell>
          <cell r="F117">
            <v>144712.66</v>
          </cell>
          <cell r="J117">
            <v>-298244.51430799998</v>
          </cell>
          <cell r="K117">
            <v>0</v>
          </cell>
        </row>
        <row r="118">
          <cell r="A118" t="str">
            <v>Inventory Location: Meramec Hillcrest Inventory</v>
          </cell>
          <cell r="B118" t="str">
            <v>151098</v>
          </cell>
          <cell r="C118" t="str">
            <v>Coal Taxes</v>
          </cell>
          <cell r="F118">
            <v>0</v>
          </cell>
          <cell r="J118">
            <v>0</v>
          </cell>
          <cell r="K118">
            <v>0</v>
          </cell>
        </row>
        <row r="119">
          <cell r="A119" t="str">
            <v>Inventory Location: Meramec Hillcrest Inventory In-Transit</v>
          </cell>
          <cell r="B119" t="str">
            <v>151201</v>
          </cell>
          <cell r="C119" t="str">
            <v>Coal Fuel</v>
          </cell>
          <cell r="F119">
            <v>0</v>
          </cell>
          <cell r="J119">
            <v>0</v>
          </cell>
          <cell r="K119">
            <v>0</v>
          </cell>
        </row>
        <row r="120">
          <cell r="A120" t="str">
            <v>Inventory Location: Meramec Hillcrest Inventory In-Transit</v>
          </cell>
          <cell r="B120" t="str">
            <v>151203</v>
          </cell>
          <cell r="C120" t="str">
            <v>Coal Freight</v>
          </cell>
          <cell r="F120">
            <v>0</v>
          </cell>
          <cell r="J120">
            <v>0</v>
          </cell>
          <cell r="K120">
            <v>0</v>
          </cell>
        </row>
        <row r="121">
          <cell r="A121" t="str">
            <v>Inventory Location: Meramec Hillcrest Inventory In-Transit</v>
          </cell>
          <cell r="B121" t="str">
            <v>151210</v>
          </cell>
          <cell r="C121" t="str">
            <v>Coal Railcar Expense</v>
          </cell>
          <cell r="F121">
            <v>0</v>
          </cell>
          <cell r="J121">
            <v>0</v>
          </cell>
          <cell r="K121">
            <v>0</v>
          </cell>
        </row>
        <row r="122">
          <cell r="A122" t="str">
            <v>Inventory Location: Meramec Hillcrest Inventory In-Transit</v>
          </cell>
          <cell r="B122" t="str">
            <v>151298</v>
          </cell>
          <cell r="C122" t="str">
            <v>Coal Taxes</v>
          </cell>
          <cell r="F122">
            <v>0</v>
          </cell>
          <cell r="J122">
            <v>0</v>
          </cell>
          <cell r="K122">
            <v>0</v>
          </cell>
        </row>
        <row r="123">
          <cell r="A123" t="str">
            <v>Inventory Location: Meramec PRB Inventory</v>
          </cell>
          <cell r="B123" t="str">
            <v>151001</v>
          </cell>
          <cell r="C123" t="str">
            <v>Coal Fuel</v>
          </cell>
          <cell r="F123">
            <v>-3576064.1563387001</v>
          </cell>
          <cell r="J123">
            <v>-33241319.745962802</v>
          </cell>
          <cell r="K123">
            <v>0</v>
          </cell>
        </row>
        <row r="124">
          <cell r="A124" t="str">
            <v>Inventory Location: Meramec PRB Inventory</v>
          </cell>
          <cell r="B124" t="str">
            <v>151003</v>
          </cell>
          <cell r="C124" t="str">
            <v>Coal Freight</v>
          </cell>
          <cell r="F124">
            <v>2198369.88</v>
          </cell>
          <cell r="J124">
            <v>-41519084.377124503</v>
          </cell>
          <cell r="K124">
            <v>0</v>
          </cell>
        </row>
        <row r="125">
          <cell r="A125" t="str">
            <v>Inventory Location: Meramec PRB Inventory</v>
          </cell>
          <cell r="B125" t="str">
            <v>151010</v>
          </cell>
          <cell r="C125" t="str">
            <v>Coal Railcar Expense</v>
          </cell>
          <cell r="F125">
            <v>3813520.94</v>
          </cell>
          <cell r="J125">
            <v>-3564517.1016842001</v>
          </cell>
          <cell r="K125">
            <v>0</v>
          </cell>
        </row>
        <row r="126">
          <cell r="A126" t="str">
            <v>Inventory Location: Meramec PRB Inventory</v>
          </cell>
          <cell r="B126" t="str">
            <v>151098</v>
          </cell>
          <cell r="C126" t="str">
            <v>Coal Taxes</v>
          </cell>
          <cell r="F126">
            <v>0</v>
          </cell>
          <cell r="J126">
            <v>0</v>
          </cell>
          <cell r="K126">
            <v>0</v>
          </cell>
        </row>
        <row r="127">
          <cell r="A127" t="str">
            <v>Inventory Location: Meramec PRB Inventory In-Transit</v>
          </cell>
          <cell r="B127" t="str">
            <v>151201</v>
          </cell>
          <cell r="C127" t="str">
            <v>Coal Fuel</v>
          </cell>
          <cell r="F127">
            <v>0</v>
          </cell>
          <cell r="J127">
            <v>0</v>
          </cell>
          <cell r="K127">
            <v>0</v>
          </cell>
        </row>
        <row r="128">
          <cell r="A128" t="str">
            <v>Inventory Location: Meramec PRB Inventory In-Transit</v>
          </cell>
          <cell r="B128" t="str">
            <v>151203</v>
          </cell>
          <cell r="C128" t="str">
            <v>Coal Freight</v>
          </cell>
          <cell r="F128">
            <v>0</v>
          </cell>
          <cell r="J128">
            <v>0</v>
          </cell>
          <cell r="K128">
            <v>0</v>
          </cell>
        </row>
        <row r="129">
          <cell r="A129" t="str">
            <v>Inventory Location: Meramec PRB Inventory In-Transit</v>
          </cell>
          <cell r="B129" t="str">
            <v>151210</v>
          </cell>
          <cell r="C129" t="str">
            <v>Coal Railcar Expense</v>
          </cell>
          <cell r="F129">
            <v>0</v>
          </cell>
          <cell r="J129">
            <v>0</v>
          </cell>
          <cell r="K129">
            <v>0</v>
          </cell>
        </row>
        <row r="130">
          <cell r="A130" t="str">
            <v>Inventory Location: Meramec PRB Inventory In-Transit</v>
          </cell>
          <cell r="B130" t="str">
            <v>151298</v>
          </cell>
          <cell r="C130" t="str">
            <v>Coal Taxes</v>
          </cell>
          <cell r="F130">
            <v>0</v>
          </cell>
          <cell r="J130">
            <v>0</v>
          </cell>
          <cell r="K130">
            <v>0</v>
          </cell>
        </row>
        <row r="131">
          <cell r="A131" t="str">
            <v>Inventory Location: Meredosia Activated Carbon Inventory</v>
          </cell>
          <cell r="B131" t="str">
            <v>151003</v>
          </cell>
          <cell r="C131" t="str">
            <v>Coal Freight</v>
          </cell>
          <cell r="F131">
            <v>0</v>
          </cell>
          <cell r="J131">
            <v>0</v>
          </cell>
          <cell r="K131">
            <v>0</v>
          </cell>
        </row>
        <row r="132">
          <cell r="A132" t="str">
            <v>Inventory Location: Meredosia Activated Carbon Inventory</v>
          </cell>
          <cell r="B132" t="str">
            <v>151010</v>
          </cell>
          <cell r="C132" t="str">
            <v>Coal Railcar Expense</v>
          </cell>
          <cell r="F132">
            <v>0</v>
          </cell>
          <cell r="J132">
            <v>0</v>
          </cell>
          <cell r="K132">
            <v>0</v>
          </cell>
        </row>
        <row r="133">
          <cell r="A133" t="str">
            <v>Inventory Location: Meredosia Activated Carbon Inventory</v>
          </cell>
          <cell r="B133" t="str">
            <v>151098</v>
          </cell>
          <cell r="C133" t="str">
            <v>Coal Taxes</v>
          </cell>
          <cell r="F133">
            <v>0</v>
          </cell>
          <cell r="J133">
            <v>0</v>
          </cell>
          <cell r="K133">
            <v>0</v>
          </cell>
        </row>
        <row r="134">
          <cell r="A134" t="str">
            <v>Inventory Location: Meredosia Activated Carbon Inventory</v>
          </cell>
          <cell r="B134" t="str">
            <v>151ACT</v>
          </cell>
          <cell r="C134" t="str">
            <v>Coal Fuel</v>
          </cell>
          <cell r="F134">
            <v>0</v>
          </cell>
          <cell r="J134">
            <v>-312391.73193489999</v>
          </cell>
          <cell r="K134">
            <v>0</v>
          </cell>
        </row>
        <row r="135">
          <cell r="A135" t="str">
            <v>Inventory Location: Meredosia Activated Carbon Inventory In-Transit</v>
          </cell>
          <cell r="B135">
            <v>0</v>
          </cell>
          <cell r="C135" t="str">
            <v>Coal Freight</v>
          </cell>
          <cell r="F135">
            <v>0</v>
          </cell>
          <cell r="J135">
            <v>0</v>
          </cell>
          <cell r="K135">
            <v>0</v>
          </cell>
        </row>
        <row r="136">
          <cell r="A136" t="str">
            <v>Inventory Location: Meredosia Activated Carbon Inventory In-Transit</v>
          </cell>
          <cell r="B136">
            <v>0</v>
          </cell>
          <cell r="C136" t="str">
            <v>Coal Railcar Expense</v>
          </cell>
          <cell r="F136">
            <v>0</v>
          </cell>
          <cell r="J136">
            <v>0</v>
          </cell>
          <cell r="K136">
            <v>0</v>
          </cell>
        </row>
        <row r="137">
          <cell r="A137" t="str">
            <v>Inventory Location: Meredosia Activated Carbon Inventory In-Transit</v>
          </cell>
          <cell r="B137">
            <v>0</v>
          </cell>
          <cell r="C137" t="str">
            <v>Coal Taxes</v>
          </cell>
          <cell r="F137">
            <v>0</v>
          </cell>
          <cell r="J137">
            <v>0</v>
          </cell>
          <cell r="K137">
            <v>0</v>
          </cell>
        </row>
        <row r="138">
          <cell r="A138" t="str">
            <v>Inventory Location: Meredosia Activated Carbon Inventory In-Transit</v>
          </cell>
          <cell r="B138" t="str">
            <v>151ACT-IT</v>
          </cell>
          <cell r="C138" t="str">
            <v>Coal Fuel</v>
          </cell>
          <cell r="F138">
            <v>0</v>
          </cell>
          <cell r="J138">
            <v>0</v>
          </cell>
          <cell r="K138">
            <v>0</v>
          </cell>
        </row>
        <row r="139">
          <cell r="A139" t="str">
            <v>Inventory Location: Meredosia (1&amp;2) HS Inventory</v>
          </cell>
          <cell r="B139" t="str">
            <v>151001</v>
          </cell>
          <cell r="C139" t="str">
            <v>Coal Fuel</v>
          </cell>
          <cell r="F139">
            <v>0</v>
          </cell>
          <cell r="J139">
            <v>-255712.5055655</v>
          </cell>
          <cell r="K139">
            <v>0</v>
          </cell>
        </row>
        <row r="140">
          <cell r="A140" t="str">
            <v>Inventory Location: Meredosia (1&amp;2) HS Inventory</v>
          </cell>
          <cell r="B140" t="str">
            <v>151003</v>
          </cell>
          <cell r="C140" t="str">
            <v>Coal Freight</v>
          </cell>
          <cell r="F140">
            <v>976.71</v>
          </cell>
          <cell r="J140">
            <v>-199491.32488950004</v>
          </cell>
          <cell r="K140">
            <v>0</v>
          </cell>
        </row>
        <row r="141">
          <cell r="A141" t="str">
            <v>Inventory Location: Meredosia (1&amp;2) HS Inventory</v>
          </cell>
          <cell r="B141" t="str">
            <v>151010</v>
          </cell>
          <cell r="C141" t="str">
            <v>Coal Railcar Expense</v>
          </cell>
          <cell r="F141">
            <v>0</v>
          </cell>
          <cell r="J141">
            <v>0</v>
          </cell>
          <cell r="K141">
            <v>0</v>
          </cell>
        </row>
        <row r="142">
          <cell r="A142" t="str">
            <v>Inventory Location: Meredosia (1&amp;2) HS Inventory</v>
          </cell>
          <cell r="B142" t="str">
            <v>151098</v>
          </cell>
          <cell r="C142" t="str">
            <v>Coal Taxes</v>
          </cell>
          <cell r="F142">
            <v>0</v>
          </cell>
          <cell r="J142">
            <v>-15351.930794600003</v>
          </cell>
          <cell r="K142">
            <v>0</v>
          </cell>
        </row>
        <row r="143">
          <cell r="A143" t="str">
            <v>Inventory Location: Meredosia (1&amp;2) HS Inventory In-Transit</v>
          </cell>
          <cell r="B143" t="str">
            <v>151201</v>
          </cell>
          <cell r="C143" t="str">
            <v>Coal Fuel</v>
          </cell>
          <cell r="F143">
            <v>0</v>
          </cell>
          <cell r="J143">
            <v>0</v>
          </cell>
          <cell r="K143">
            <v>0</v>
          </cell>
        </row>
        <row r="144">
          <cell r="A144" t="str">
            <v>Inventory Location: Meredosia (1&amp;2) HS Inventory In-Transit</v>
          </cell>
          <cell r="B144" t="str">
            <v>151203</v>
          </cell>
          <cell r="C144" t="str">
            <v>Coal Freight</v>
          </cell>
          <cell r="F144">
            <v>0</v>
          </cell>
          <cell r="J144">
            <v>0</v>
          </cell>
          <cell r="K144">
            <v>0</v>
          </cell>
        </row>
        <row r="145">
          <cell r="A145" t="str">
            <v>Inventory Location: Meredosia (1&amp;2) HS Inventory In-Transit</v>
          </cell>
          <cell r="B145" t="str">
            <v>151210</v>
          </cell>
          <cell r="C145" t="str">
            <v>Coal Railcar Expense</v>
          </cell>
          <cell r="F145">
            <v>0</v>
          </cell>
          <cell r="J145">
            <v>0</v>
          </cell>
          <cell r="K145">
            <v>0</v>
          </cell>
        </row>
        <row r="146">
          <cell r="A146" t="str">
            <v>Inventory Location: Meredosia (1&amp;2) HS Inventory In-Transit</v>
          </cell>
          <cell r="B146" t="str">
            <v>151298</v>
          </cell>
          <cell r="C146" t="str">
            <v>Coal Taxes</v>
          </cell>
          <cell r="F146">
            <v>0</v>
          </cell>
          <cell r="J146">
            <v>0</v>
          </cell>
          <cell r="K146">
            <v>0</v>
          </cell>
        </row>
        <row r="147">
          <cell r="A147" t="str">
            <v>Inventory Location: Meredosia (3) PRB Inventory</v>
          </cell>
          <cell r="B147" t="str">
            <v>151001</v>
          </cell>
          <cell r="C147" t="str">
            <v>Coal Fuel</v>
          </cell>
          <cell r="F147">
            <v>-39704.99</v>
          </cell>
          <cell r="J147">
            <v>-3203630.7189428001</v>
          </cell>
          <cell r="K147">
            <v>0</v>
          </cell>
        </row>
        <row r="148">
          <cell r="A148" t="str">
            <v>Inventory Location: Meredosia (3) PRB Inventory</v>
          </cell>
          <cell r="B148" t="str">
            <v>151003</v>
          </cell>
          <cell r="C148" t="str">
            <v>Coal Freight</v>
          </cell>
          <cell r="F148">
            <v>452965.35</v>
          </cell>
          <cell r="J148">
            <v>-6455847.0682204999</v>
          </cell>
          <cell r="K148">
            <v>0</v>
          </cell>
        </row>
        <row r="149">
          <cell r="A149" t="str">
            <v>Inventory Location: Meredosia (3) PRB Inventory</v>
          </cell>
          <cell r="B149" t="str">
            <v>151010</v>
          </cell>
          <cell r="C149" t="str">
            <v>Coal Railcar Expense</v>
          </cell>
          <cell r="F149">
            <v>513260.97</v>
          </cell>
          <cell r="J149">
            <v>-408777.0285592</v>
          </cell>
          <cell r="K149">
            <v>0</v>
          </cell>
        </row>
        <row r="150">
          <cell r="A150" t="str">
            <v>Inventory Location: Meredosia (3) PRB Inventory</v>
          </cell>
          <cell r="B150" t="str">
            <v>151098</v>
          </cell>
          <cell r="C150" t="str">
            <v>Coal Taxes</v>
          </cell>
          <cell r="F150">
            <v>370.32</v>
          </cell>
          <cell r="J150">
            <v>-209666.39986820001</v>
          </cell>
          <cell r="K150">
            <v>0</v>
          </cell>
        </row>
        <row r="151">
          <cell r="A151" t="str">
            <v>Inventory Location: Meredosia (3) PRB Inventory In-Transit</v>
          </cell>
          <cell r="B151" t="str">
            <v>151201</v>
          </cell>
          <cell r="C151" t="str">
            <v>Coal Fuel</v>
          </cell>
          <cell r="F151">
            <v>0</v>
          </cell>
          <cell r="J151">
            <v>0</v>
          </cell>
          <cell r="K151">
            <v>0</v>
          </cell>
        </row>
        <row r="152">
          <cell r="A152" t="str">
            <v>Inventory Location: Meredosia (3) PRB Inventory In-Transit</v>
          </cell>
          <cell r="B152" t="str">
            <v>151203</v>
          </cell>
          <cell r="C152" t="str">
            <v>Coal Freight</v>
          </cell>
          <cell r="F152">
            <v>0</v>
          </cell>
          <cell r="J152">
            <v>0</v>
          </cell>
          <cell r="K152">
            <v>0</v>
          </cell>
        </row>
        <row r="153">
          <cell r="A153" t="str">
            <v>Inventory Location: Meredosia (3) PRB Inventory In-Transit</v>
          </cell>
          <cell r="B153" t="str">
            <v>151210</v>
          </cell>
          <cell r="C153" t="str">
            <v>Coal Railcar Expense</v>
          </cell>
          <cell r="F153">
            <v>0</v>
          </cell>
          <cell r="J153">
            <v>0</v>
          </cell>
          <cell r="K153">
            <v>0</v>
          </cell>
        </row>
        <row r="154">
          <cell r="A154" t="str">
            <v>Inventory Location: Meredosia (3) PRB Inventory In-Transit</v>
          </cell>
          <cell r="B154" t="str">
            <v>151298</v>
          </cell>
          <cell r="C154" t="str">
            <v>Coal Taxes</v>
          </cell>
          <cell r="F154">
            <v>0</v>
          </cell>
          <cell r="J154">
            <v>0</v>
          </cell>
          <cell r="K154">
            <v>0</v>
          </cell>
        </row>
        <row r="155">
          <cell r="A155" t="str">
            <v>Inventory Location: Newton Activated Carbon</v>
          </cell>
          <cell r="B155">
            <v>0</v>
          </cell>
          <cell r="C155" t="str">
            <v>Coal Freight</v>
          </cell>
          <cell r="F155">
            <v>0</v>
          </cell>
          <cell r="J155">
            <v>0</v>
          </cell>
          <cell r="K155">
            <v>0</v>
          </cell>
        </row>
        <row r="156">
          <cell r="A156" t="str">
            <v>Inventory Location: Newton Activated Carbon</v>
          </cell>
          <cell r="B156">
            <v>0</v>
          </cell>
          <cell r="C156" t="str">
            <v>Coal Railcar Expense</v>
          </cell>
          <cell r="F156">
            <v>0</v>
          </cell>
          <cell r="J156">
            <v>0</v>
          </cell>
          <cell r="K156">
            <v>0</v>
          </cell>
        </row>
        <row r="157">
          <cell r="A157" t="str">
            <v>Inventory Location: Newton Activated Carbon</v>
          </cell>
          <cell r="B157">
            <v>0</v>
          </cell>
          <cell r="C157" t="str">
            <v>Coal Taxes</v>
          </cell>
          <cell r="F157">
            <v>0</v>
          </cell>
          <cell r="J157">
            <v>0</v>
          </cell>
          <cell r="K157">
            <v>0</v>
          </cell>
        </row>
        <row r="158">
          <cell r="A158" t="str">
            <v>Inventory Location: Newton Activated Carbon</v>
          </cell>
          <cell r="B158" t="str">
            <v>151ACT</v>
          </cell>
          <cell r="C158" t="str">
            <v>Coal Fuel</v>
          </cell>
          <cell r="F158">
            <v>0</v>
          </cell>
          <cell r="J158">
            <v>-4311924.0916103004</v>
          </cell>
          <cell r="K158">
            <v>0</v>
          </cell>
        </row>
        <row r="159">
          <cell r="A159" t="str">
            <v>Inventory Location: Newton Activated Carbon In-Transit</v>
          </cell>
          <cell r="B159">
            <v>0</v>
          </cell>
          <cell r="C159" t="str">
            <v>Coal Freight</v>
          </cell>
          <cell r="F159">
            <v>0</v>
          </cell>
          <cell r="J159">
            <v>0</v>
          </cell>
          <cell r="K159">
            <v>0</v>
          </cell>
        </row>
        <row r="160">
          <cell r="A160" t="str">
            <v>Inventory Location: Newton Activated Carbon In-Transit</v>
          </cell>
          <cell r="B160">
            <v>0</v>
          </cell>
          <cell r="C160" t="str">
            <v>Coal Railcar Expense</v>
          </cell>
          <cell r="F160">
            <v>0</v>
          </cell>
          <cell r="J160">
            <v>0</v>
          </cell>
          <cell r="K160">
            <v>0</v>
          </cell>
        </row>
        <row r="161">
          <cell r="A161" t="str">
            <v>Inventory Location: Newton Activated Carbon In-Transit</v>
          </cell>
          <cell r="B161">
            <v>0</v>
          </cell>
          <cell r="C161" t="str">
            <v>Coal Taxes</v>
          </cell>
          <cell r="F161">
            <v>0</v>
          </cell>
          <cell r="J161">
            <v>0</v>
          </cell>
          <cell r="K161">
            <v>0</v>
          </cell>
        </row>
        <row r="162">
          <cell r="A162" t="str">
            <v>Inventory Location: Newton Activated Carbon In-Transit</v>
          </cell>
          <cell r="B162" t="str">
            <v>151ACT-IT</v>
          </cell>
          <cell r="C162" t="str">
            <v>Coal Fuel</v>
          </cell>
          <cell r="F162">
            <v>0</v>
          </cell>
          <cell r="J162">
            <v>0</v>
          </cell>
          <cell r="K162">
            <v>0</v>
          </cell>
        </row>
        <row r="163">
          <cell r="A163" t="str">
            <v>Inventory Location: Newton PRB Inventory</v>
          </cell>
          <cell r="B163" t="str">
            <v>151001</v>
          </cell>
          <cell r="C163" t="str">
            <v>Coal Fuel</v>
          </cell>
          <cell r="F163">
            <v>4001416.17</v>
          </cell>
          <cell r="J163">
            <v>-54161165.698732905</v>
          </cell>
          <cell r="K163">
            <v>0</v>
          </cell>
        </row>
        <row r="164">
          <cell r="A164" t="str">
            <v>Inventory Location: Newton PRB Inventory</v>
          </cell>
          <cell r="B164" t="str">
            <v>151003</v>
          </cell>
          <cell r="C164" t="str">
            <v>Coal Freight</v>
          </cell>
          <cell r="F164">
            <v>2602238.9</v>
          </cell>
          <cell r="J164">
            <v>-72149884.208302602</v>
          </cell>
          <cell r="K164">
            <v>0</v>
          </cell>
        </row>
        <row r="165">
          <cell r="A165" t="str">
            <v>Inventory Location: Newton PRB Inventory</v>
          </cell>
          <cell r="B165" t="str">
            <v>151010</v>
          </cell>
          <cell r="C165" t="str">
            <v>Coal Railcar Expense</v>
          </cell>
          <cell r="F165">
            <v>9280927.0299999993</v>
          </cell>
          <cell r="J165">
            <v>-8208724.0582313007</v>
          </cell>
          <cell r="K165">
            <v>0</v>
          </cell>
        </row>
        <row r="166">
          <cell r="A166" t="str">
            <v>Inventory Location: Newton PRB Inventory</v>
          </cell>
          <cell r="B166" t="str">
            <v>151098</v>
          </cell>
          <cell r="C166" t="str">
            <v>Coal Taxes</v>
          </cell>
          <cell r="F166">
            <v>-43213.440000000002</v>
          </cell>
          <cell r="J166">
            <v>-3286246.7495572004</v>
          </cell>
          <cell r="K166">
            <v>0</v>
          </cell>
        </row>
        <row r="167">
          <cell r="A167" t="str">
            <v>Inventory Location: Newton PRB Inventory In-Transit</v>
          </cell>
          <cell r="B167" t="str">
            <v>151201</v>
          </cell>
          <cell r="C167" t="str">
            <v>Coal Fuel</v>
          </cell>
          <cell r="F167">
            <v>0</v>
          </cell>
          <cell r="J167">
            <v>0</v>
          </cell>
          <cell r="K167">
            <v>0</v>
          </cell>
        </row>
        <row r="168">
          <cell r="A168" t="str">
            <v>Inventory Location: Newton PRB Inventory In-Transit</v>
          </cell>
          <cell r="B168" t="str">
            <v>151203</v>
          </cell>
          <cell r="C168" t="str">
            <v>Coal Freight</v>
          </cell>
          <cell r="F168">
            <v>0</v>
          </cell>
          <cell r="J168">
            <v>0</v>
          </cell>
          <cell r="K168">
            <v>0</v>
          </cell>
        </row>
        <row r="169">
          <cell r="A169" t="str">
            <v>Inventory Location: Newton PRB Inventory In-Transit</v>
          </cell>
          <cell r="B169" t="str">
            <v>151210</v>
          </cell>
          <cell r="C169" t="str">
            <v>Coal Railcar Expense</v>
          </cell>
          <cell r="F169">
            <v>0</v>
          </cell>
          <cell r="J169">
            <v>0</v>
          </cell>
          <cell r="K169">
            <v>0</v>
          </cell>
        </row>
        <row r="170">
          <cell r="A170" t="str">
            <v>Inventory Location: Newton PRB Inventory In-Transit</v>
          </cell>
          <cell r="B170" t="str">
            <v>151298</v>
          </cell>
          <cell r="C170" t="str">
            <v>Coal Taxes</v>
          </cell>
          <cell r="F170">
            <v>0</v>
          </cell>
          <cell r="J170">
            <v>0</v>
          </cell>
          <cell r="K170">
            <v>0</v>
          </cell>
        </row>
        <row r="171">
          <cell r="A171" t="str">
            <v>Inventory Location: Rush Island Hillcrest</v>
          </cell>
          <cell r="B171" t="str">
            <v>151001</v>
          </cell>
          <cell r="C171" t="str">
            <v>Coal Fuel</v>
          </cell>
          <cell r="F171">
            <v>0</v>
          </cell>
          <cell r="J171">
            <v>0</v>
          </cell>
          <cell r="K171">
            <v>0</v>
          </cell>
        </row>
        <row r="172">
          <cell r="A172" t="str">
            <v>Inventory Location: Rush Island Hillcrest</v>
          </cell>
          <cell r="B172" t="str">
            <v>151003</v>
          </cell>
          <cell r="C172" t="str">
            <v>Coal Freight</v>
          </cell>
          <cell r="F172">
            <v>0</v>
          </cell>
          <cell r="J172">
            <v>0</v>
          </cell>
          <cell r="K172">
            <v>0</v>
          </cell>
        </row>
        <row r="173">
          <cell r="A173" t="str">
            <v>Inventory Location: Rush Island Hillcrest</v>
          </cell>
          <cell r="B173" t="str">
            <v>151010</v>
          </cell>
          <cell r="C173" t="str">
            <v>Coal Railcar Expense</v>
          </cell>
          <cell r="F173">
            <v>0</v>
          </cell>
          <cell r="J173">
            <v>0</v>
          </cell>
          <cell r="K173">
            <v>0</v>
          </cell>
        </row>
        <row r="174">
          <cell r="A174" t="str">
            <v>Inventory Location: Rush Island Hillcrest</v>
          </cell>
          <cell r="B174" t="str">
            <v>151098</v>
          </cell>
          <cell r="C174" t="str">
            <v>Coal Taxes</v>
          </cell>
          <cell r="F174">
            <v>0</v>
          </cell>
          <cell r="J174">
            <v>0</v>
          </cell>
          <cell r="K174">
            <v>0</v>
          </cell>
        </row>
        <row r="175">
          <cell r="A175" t="str">
            <v>Inventory Location: Rush Island Hillcrest In-Transit</v>
          </cell>
          <cell r="B175" t="str">
            <v>151201</v>
          </cell>
          <cell r="C175" t="str">
            <v>Coal Fuel</v>
          </cell>
          <cell r="F175">
            <v>0</v>
          </cell>
          <cell r="J175">
            <v>0</v>
          </cell>
          <cell r="K175">
            <v>0</v>
          </cell>
        </row>
        <row r="176">
          <cell r="A176" t="str">
            <v>Inventory Location: Rush Island Hillcrest In-Transit</v>
          </cell>
          <cell r="B176" t="str">
            <v>151203</v>
          </cell>
          <cell r="C176" t="str">
            <v>Coal Freight</v>
          </cell>
          <cell r="F176">
            <v>0</v>
          </cell>
          <cell r="J176">
            <v>0</v>
          </cell>
          <cell r="K176">
            <v>0</v>
          </cell>
        </row>
        <row r="177">
          <cell r="A177" t="str">
            <v>Inventory Location: Rush Island Hillcrest In-Transit</v>
          </cell>
          <cell r="B177" t="str">
            <v>151210</v>
          </cell>
          <cell r="C177" t="str">
            <v>Coal Railcar Expense</v>
          </cell>
          <cell r="F177">
            <v>0</v>
          </cell>
          <cell r="J177">
            <v>0</v>
          </cell>
          <cell r="K177">
            <v>0</v>
          </cell>
        </row>
        <row r="178">
          <cell r="A178" t="str">
            <v>Inventory Location: Rush Island Hillcrest In-Transit</v>
          </cell>
          <cell r="B178" t="str">
            <v>151298</v>
          </cell>
          <cell r="C178" t="str">
            <v>Coal Taxes</v>
          </cell>
          <cell r="F178">
            <v>0</v>
          </cell>
          <cell r="J178">
            <v>0</v>
          </cell>
          <cell r="K178">
            <v>0</v>
          </cell>
        </row>
        <row r="179">
          <cell r="A179" t="str">
            <v>Inventory Location: Rush Island PRB Inventory</v>
          </cell>
          <cell r="B179" t="str">
            <v>151001</v>
          </cell>
          <cell r="C179" t="str">
            <v>Coal Fuel</v>
          </cell>
          <cell r="F179">
            <v>463703.86</v>
          </cell>
          <cell r="J179">
            <v>-42081458.786907896</v>
          </cell>
          <cell r="K179">
            <v>0</v>
          </cell>
        </row>
        <row r="180">
          <cell r="A180" t="str">
            <v>Inventory Location: Rush Island PRB Inventory</v>
          </cell>
          <cell r="B180" t="str">
            <v>151003</v>
          </cell>
          <cell r="C180" t="str">
            <v>Coal Freight</v>
          </cell>
          <cell r="F180">
            <v>2645932.92</v>
          </cell>
          <cell r="J180">
            <v>-92835178.920128495</v>
          </cell>
          <cell r="K180">
            <v>0</v>
          </cell>
        </row>
        <row r="181">
          <cell r="A181" t="str">
            <v>Inventory Location: Rush Island PRB Inventory</v>
          </cell>
          <cell r="B181" t="str">
            <v>151010</v>
          </cell>
          <cell r="C181" t="str">
            <v>Coal Railcar Expense</v>
          </cell>
          <cell r="F181">
            <v>6043962.1500000004</v>
          </cell>
          <cell r="J181">
            <v>-5803908.0135244001</v>
          </cell>
          <cell r="K181">
            <v>0</v>
          </cell>
        </row>
        <row r="182">
          <cell r="A182" t="str">
            <v>Inventory Location: Rush Island PRB Inventory</v>
          </cell>
          <cell r="B182" t="str">
            <v>151098</v>
          </cell>
          <cell r="C182" t="str">
            <v>Coal Taxes</v>
          </cell>
          <cell r="F182">
            <v>0</v>
          </cell>
          <cell r="J182">
            <v>0</v>
          </cell>
          <cell r="K182">
            <v>0</v>
          </cell>
        </row>
        <row r="183">
          <cell r="A183" t="str">
            <v>Inventory Location: Rush Island PRB Inventory In-Transit</v>
          </cell>
          <cell r="B183" t="str">
            <v>151201</v>
          </cell>
          <cell r="C183" t="str">
            <v>Coal Fuel</v>
          </cell>
          <cell r="F183">
            <v>0</v>
          </cell>
          <cell r="J183">
            <v>0</v>
          </cell>
          <cell r="K183">
            <v>0</v>
          </cell>
        </row>
        <row r="184">
          <cell r="A184" t="str">
            <v>Inventory Location: Rush Island PRB Inventory In-Transit</v>
          </cell>
          <cell r="B184" t="str">
            <v>151203</v>
          </cell>
          <cell r="C184" t="str">
            <v>Coal Freight</v>
          </cell>
          <cell r="F184">
            <v>0</v>
          </cell>
          <cell r="J184">
            <v>0</v>
          </cell>
          <cell r="K184">
            <v>0</v>
          </cell>
        </row>
        <row r="185">
          <cell r="A185" t="str">
            <v>Inventory Location: Rush Island PRB Inventory In-Transit</v>
          </cell>
          <cell r="B185" t="str">
            <v>151210</v>
          </cell>
          <cell r="C185" t="str">
            <v>Coal Railcar Expense</v>
          </cell>
          <cell r="F185">
            <v>0</v>
          </cell>
          <cell r="J185">
            <v>0</v>
          </cell>
          <cell r="K185">
            <v>0</v>
          </cell>
        </row>
        <row r="186">
          <cell r="A186" t="str">
            <v>Inventory Location: Rush Island PRB Inventory In-Transit</v>
          </cell>
          <cell r="B186" t="str">
            <v>151298</v>
          </cell>
          <cell r="C186" t="str">
            <v>Coal Taxes</v>
          </cell>
          <cell r="F186">
            <v>0</v>
          </cell>
          <cell r="J186">
            <v>0</v>
          </cell>
          <cell r="K186">
            <v>0</v>
          </cell>
        </row>
        <row r="187">
          <cell r="A187" t="str">
            <v>Inventory Location: Sioux HS Inventory</v>
          </cell>
          <cell r="B187" t="str">
            <v>151001</v>
          </cell>
          <cell r="C187" t="str">
            <v>Coal Fuel</v>
          </cell>
          <cell r="F187">
            <v>22.96</v>
          </cell>
          <cell r="J187">
            <v>-28096266.7070456</v>
          </cell>
          <cell r="K187">
            <v>0</v>
          </cell>
        </row>
        <row r="188">
          <cell r="A188" t="str">
            <v>Inventory Location: Sioux HS Inventory</v>
          </cell>
          <cell r="B188" t="str">
            <v>151003</v>
          </cell>
          <cell r="C188" t="str">
            <v>Coal Freight</v>
          </cell>
          <cell r="F188">
            <v>530590.18000000005</v>
          </cell>
          <cell r="J188">
            <v>-9104126.3047093991</v>
          </cell>
          <cell r="K188">
            <v>0</v>
          </cell>
        </row>
        <row r="189">
          <cell r="A189" t="str">
            <v>Inventory Location: Sioux HS Inventory</v>
          </cell>
          <cell r="B189" t="str">
            <v>151010</v>
          </cell>
          <cell r="C189" t="str">
            <v>Coal Railcar Expense</v>
          </cell>
          <cell r="F189">
            <v>0</v>
          </cell>
          <cell r="J189">
            <v>0</v>
          </cell>
          <cell r="K189">
            <v>0</v>
          </cell>
        </row>
        <row r="190">
          <cell r="A190" t="str">
            <v>Inventory Location: Sioux HS Inventory</v>
          </cell>
          <cell r="B190" t="str">
            <v>151098</v>
          </cell>
          <cell r="C190" t="str">
            <v>Coal Taxes</v>
          </cell>
          <cell r="F190">
            <v>0</v>
          </cell>
          <cell r="J190">
            <v>-17489.609607900002</v>
          </cell>
          <cell r="K190">
            <v>0</v>
          </cell>
        </row>
        <row r="191">
          <cell r="A191" t="str">
            <v>Inventory Location: Sioux HS Inventory In-Transit</v>
          </cell>
          <cell r="B191" t="str">
            <v>151201</v>
          </cell>
          <cell r="C191" t="str">
            <v>Coal Fuel</v>
          </cell>
          <cell r="F191">
            <v>0</v>
          </cell>
          <cell r="J191">
            <v>0</v>
          </cell>
          <cell r="K191">
            <v>0</v>
          </cell>
        </row>
        <row r="192">
          <cell r="A192" t="str">
            <v>Inventory Location: Sioux HS Inventory In-Transit</v>
          </cell>
          <cell r="B192" t="str">
            <v>151203</v>
          </cell>
          <cell r="C192" t="str">
            <v>Coal Freight</v>
          </cell>
          <cell r="F192">
            <v>0</v>
          </cell>
          <cell r="J192">
            <v>0</v>
          </cell>
          <cell r="K192">
            <v>0</v>
          </cell>
        </row>
        <row r="193">
          <cell r="A193" t="str">
            <v>Inventory Location: Sioux HS Inventory In-Transit</v>
          </cell>
          <cell r="B193" t="str">
            <v>151210</v>
          </cell>
          <cell r="C193" t="str">
            <v>Coal Railcar Expense</v>
          </cell>
          <cell r="F193">
            <v>0</v>
          </cell>
          <cell r="J193">
            <v>0</v>
          </cell>
          <cell r="K193">
            <v>0</v>
          </cell>
        </row>
        <row r="194">
          <cell r="A194" t="str">
            <v>Inventory Location: Sioux HS Inventory In-Transit</v>
          </cell>
          <cell r="B194" t="str">
            <v>151298</v>
          </cell>
          <cell r="C194" t="str">
            <v>Coal Taxes</v>
          </cell>
          <cell r="F194">
            <v>0</v>
          </cell>
          <cell r="J194">
            <v>0</v>
          </cell>
          <cell r="K194">
            <v>0</v>
          </cell>
        </row>
        <row r="195">
          <cell r="A195" t="str">
            <v>Inventory Location: Sioux PRB Inventory</v>
          </cell>
          <cell r="B195" t="str">
            <v>151001</v>
          </cell>
          <cell r="C195" t="str">
            <v>Coal Fuel</v>
          </cell>
          <cell r="F195">
            <v>-8272139.2000000002</v>
          </cell>
          <cell r="J195">
            <v>-26968410.620813005</v>
          </cell>
          <cell r="K195">
            <v>0</v>
          </cell>
        </row>
        <row r="196">
          <cell r="A196" t="str">
            <v>Inventory Location: Sioux PRB Inventory</v>
          </cell>
          <cell r="B196" t="str">
            <v>151003</v>
          </cell>
          <cell r="C196" t="str">
            <v>Coal Freight</v>
          </cell>
          <cell r="F196">
            <v>1785344.94</v>
          </cell>
          <cell r="J196">
            <v>-41913750.784139998</v>
          </cell>
          <cell r="K196">
            <v>0</v>
          </cell>
        </row>
        <row r="197">
          <cell r="A197" t="str">
            <v>Inventory Location: Sioux PRB Inventory</v>
          </cell>
          <cell r="B197" t="str">
            <v>151010</v>
          </cell>
          <cell r="C197" t="str">
            <v>Coal Railcar Expense</v>
          </cell>
          <cell r="F197">
            <v>3137764.5</v>
          </cell>
          <cell r="J197">
            <v>-3122431.5244739004</v>
          </cell>
          <cell r="K197">
            <v>0</v>
          </cell>
        </row>
        <row r="198">
          <cell r="A198" t="str">
            <v>Inventory Location: Sioux PRB Inventory</v>
          </cell>
          <cell r="B198" t="str">
            <v>151098</v>
          </cell>
          <cell r="C198" t="str">
            <v>Coal Taxes</v>
          </cell>
          <cell r="F198">
            <v>0</v>
          </cell>
          <cell r="J198">
            <v>0</v>
          </cell>
          <cell r="K198">
            <v>0</v>
          </cell>
        </row>
        <row r="199">
          <cell r="A199" t="str">
            <v>Inventory Location: Sioux PRB Inventory In-Transit</v>
          </cell>
          <cell r="B199" t="str">
            <v>151201</v>
          </cell>
          <cell r="C199" t="str">
            <v>Coal Fuel</v>
          </cell>
          <cell r="F199">
            <v>0</v>
          </cell>
          <cell r="J199">
            <v>0</v>
          </cell>
          <cell r="K199">
            <v>0</v>
          </cell>
        </row>
        <row r="200">
          <cell r="A200" t="str">
            <v>Inventory Location: Sioux PRB Inventory In-Transit</v>
          </cell>
          <cell r="B200" t="str">
            <v>151203</v>
          </cell>
          <cell r="C200" t="str">
            <v>Coal Freight</v>
          </cell>
          <cell r="F200">
            <v>-1009.68</v>
          </cell>
          <cell r="J200">
            <v>0</v>
          </cell>
          <cell r="K200">
            <v>0</v>
          </cell>
        </row>
        <row r="201">
          <cell r="A201" t="str">
            <v>Inventory Location: Sioux PRB Inventory In-Transit</v>
          </cell>
          <cell r="B201" t="str">
            <v>151210</v>
          </cell>
          <cell r="C201" t="str">
            <v>Coal Railcar Expense</v>
          </cell>
          <cell r="F201">
            <v>0</v>
          </cell>
          <cell r="J201">
            <v>0</v>
          </cell>
          <cell r="K201">
            <v>0</v>
          </cell>
        </row>
        <row r="202">
          <cell r="A202" t="str">
            <v>Inventory Location: Sioux PRB Inventory In-Transit</v>
          </cell>
          <cell r="B202" t="str">
            <v>151298</v>
          </cell>
          <cell r="C202" t="str">
            <v>Coal Taxes</v>
          </cell>
          <cell r="F202">
            <v>0</v>
          </cell>
          <cell r="J202">
            <v>0</v>
          </cell>
          <cell r="K202">
            <v>0</v>
          </cell>
        </row>
      </sheetData>
      <sheetData sheetId="17">
        <row r="2">
          <cell r="A2" t="str">
            <v>Inventory Location: Cahokia PRB Inventory</v>
          </cell>
          <cell r="E2">
            <v>591.90499999999997</v>
          </cell>
          <cell r="I2">
            <v>0</v>
          </cell>
          <cell r="J2">
            <v>0</v>
          </cell>
        </row>
        <row r="3">
          <cell r="A3" t="str">
            <v>Inventory Location: Cahokia PRB Inventory In-Transit</v>
          </cell>
          <cell r="E3">
            <v>0</v>
          </cell>
          <cell r="I3">
            <v>0</v>
          </cell>
          <cell r="J3">
            <v>0</v>
          </cell>
        </row>
        <row r="4">
          <cell r="A4" t="str">
            <v>Inventory Location: Coffeen HS Inventory</v>
          </cell>
          <cell r="E4">
            <v>-4065.84</v>
          </cell>
          <cell r="I4">
            <v>-84549.49</v>
          </cell>
          <cell r="J4">
            <v>0</v>
          </cell>
        </row>
        <row r="5">
          <cell r="A5" t="str">
            <v>Inventory Location: Coffeen HS Inventory In-Transit</v>
          </cell>
          <cell r="E5">
            <v>0</v>
          </cell>
          <cell r="I5">
            <v>0</v>
          </cell>
          <cell r="J5">
            <v>0</v>
          </cell>
        </row>
        <row r="6">
          <cell r="A6" t="str">
            <v>Inventory Location: Coffeen PRB Inventory</v>
          </cell>
          <cell r="E6">
            <v>16082.56</v>
          </cell>
          <cell r="I6">
            <v>-2498022.71</v>
          </cell>
          <cell r="J6">
            <v>0</v>
          </cell>
        </row>
        <row r="7">
          <cell r="A7" t="str">
            <v>Inventory Location: Coffeen PRB Inventory In-Transit</v>
          </cell>
          <cell r="E7">
            <v>0</v>
          </cell>
          <cell r="I7">
            <v>0</v>
          </cell>
          <cell r="J7">
            <v>0</v>
          </cell>
        </row>
        <row r="8">
          <cell r="A8" t="str">
            <v>Inventory Location: Duck Creek HS Inventory</v>
          </cell>
          <cell r="E8">
            <v>7936.86</v>
          </cell>
          <cell r="I8">
            <v>-415755</v>
          </cell>
          <cell r="J8">
            <v>0</v>
          </cell>
        </row>
        <row r="9">
          <cell r="A9" t="str">
            <v>Inventory Location: Duck Creek HS Inventory In-Transit</v>
          </cell>
          <cell r="E9">
            <v>0</v>
          </cell>
          <cell r="I9">
            <v>0</v>
          </cell>
          <cell r="J9">
            <v>0</v>
          </cell>
        </row>
        <row r="10">
          <cell r="A10" t="str">
            <v>Inventory Location: Duck Creek New Mill Limestone</v>
          </cell>
          <cell r="E10">
            <v>0</v>
          </cell>
          <cell r="I10">
            <v>0</v>
          </cell>
          <cell r="J10">
            <v>0</v>
          </cell>
        </row>
        <row r="11">
          <cell r="A11" t="str">
            <v>Inventory Location: Duck Creek New Mill Limestone In-Transit</v>
          </cell>
          <cell r="E11">
            <v>0</v>
          </cell>
          <cell r="I11">
            <v>0</v>
          </cell>
          <cell r="J11">
            <v>0</v>
          </cell>
        </row>
        <row r="12">
          <cell r="A12" t="str">
            <v>Inventory Location: Duck Creek Old Mill Limestone</v>
          </cell>
          <cell r="E12">
            <v>0</v>
          </cell>
          <cell r="I12">
            <v>0</v>
          </cell>
          <cell r="J12">
            <v>0</v>
          </cell>
        </row>
        <row r="13">
          <cell r="A13" t="str">
            <v>Inventory Location: Duck Creek Old Mill Limestone In-Transit</v>
          </cell>
          <cell r="E13">
            <v>0</v>
          </cell>
          <cell r="I13">
            <v>0</v>
          </cell>
          <cell r="J13">
            <v>0</v>
          </cell>
        </row>
        <row r="14">
          <cell r="A14" t="str">
            <v>Inventory Location: Duck Creek PRB Inventory</v>
          </cell>
          <cell r="E14">
            <v>6793.91</v>
          </cell>
          <cell r="I14">
            <v>-662263</v>
          </cell>
          <cell r="J14">
            <v>0</v>
          </cell>
        </row>
        <row r="15">
          <cell r="A15" t="str">
            <v>Inventory Location: Duck Creek PRB Inventory In-Transit</v>
          </cell>
          <cell r="E15">
            <v>0</v>
          </cell>
          <cell r="I15">
            <v>0</v>
          </cell>
          <cell r="J15">
            <v>0</v>
          </cell>
        </row>
        <row r="16">
          <cell r="A16" t="str">
            <v>Inventory Location: Edwards Activated Carbon</v>
          </cell>
          <cell r="E16">
            <v>0</v>
          </cell>
          <cell r="I16">
            <v>-1569.6435000000001</v>
          </cell>
          <cell r="J16">
            <v>0</v>
          </cell>
        </row>
        <row r="17">
          <cell r="A17" t="str">
            <v>Inventory Location: Edwards Activated Carbon In-Transit</v>
          </cell>
          <cell r="E17">
            <v>0</v>
          </cell>
          <cell r="I17">
            <v>0</v>
          </cell>
          <cell r="J17">
            <v>0</v>
          </cell>
        </row>
        <row r="18">
          <cell r="A18" t="str">
            <v>Inventory Location: Edwards Black Thunder Inventory</v>
          </cell>
          <cell r="E18">
            <v>0</v>
          </cell>
          <cell r="I18">
            <v>-674998</v>
          </cell>
          <cell r="J18">
            <v>0</v>
          </cell>
        </row>
        <row r="19">
          <cell r="A19" t="str">
            <v>Inventory Location: Edwards Black Thunder Inventory In-Transit</v>
          </cell>
          <cell r="E19">
            <v>0</v>
          </cell>
          <cell r="I19">
            <v>0</v>
          </cell>
          <cell r="J19">
            <v>0</v>
          </cell>
        </row>
        <row r="20">
          <cell r="A20" t="str">
            <v>Inventory Location: Edwards NARM Inventory</v>
          </cell>
          <cell r="E20">
            <v>41078.83</v>
          </cell>
          <cell r="I20">
            <v>-2194907</v>
          </cell>
          <cell r="J20">
            <v>0</v>
          </cell>
        </row>
        <row r="21">
          <cell r="A21" t="str">
            <v>Inventory Location: Edwards NARM Inventory In-Transit</v>
          </cell>
          <cell r="E21">
            <v>0</v>
          </cell>
          <cell r="I21">
            <v>0</v>
          </cell>
          <cell r="J21">
            <v>0</v>
          </cell>
        </row>
        <row r="22">
          <cell r="A22" t="str">
            <v>Inventory Location: Hutsonville Pet Coke Inventory</v>
          </cell>
          <cell r="E22">
            <v>0</v>
          </cell>
          <cell r="I22">
            <v>0</v>
          </cell>
          <cell r="J22">
            <v>0</v>
          </cell>
        </row>
        <row r="23">
          <cell r="A23" t="str">
            <v>Inventory Location: Hutsonville Pet Coke Inventory In-Transit</v>
          </cell>
          <cell r="E23">
            <v>0</v>
          </cell>
          <cell r="I23">
            <v>0</v>
          </cell>
          <cell r="J23">
            <v>0</v>
          </cell>
        </row>
        <row r="24">
          <cell r="A24" t="str">
            <v>Inventory Location: Hutsonville PRB Inventory</v>
          </cell>
          <cell r="E24">
            <v>12221.53</v>
          </cell>
          <cell r="I24">
            <v>-349613.7</v>
          </cell>
          <cell r="J24">
            <v>0</v>
          </cell>
        </row>
        <row r="25">
          <cell r="A25" t="str">
            <v>Inventory Location: Hutsonville PRB Inventory In-Transit</v>
          </cell>
          <cell r="E25">
            <v>0</v>
          </cell>
          <cell r="I25">
            <v>0</v>
          </cell>
          <cell r="J25">
            <v>0</v>
          </cell>
        </row>
        <row r="26">
          <cell r="A26" t="str">
            <v>Inventory Location: Joppa PRB Inventory</v>
          </cell>
          <cell r="E26">
            <v>40324</v>
          </cell>
          <cell r="I26">
            <v>-4431690</v>
          </cell>
          <cell r="J26">
            <v>0</v>
          </cell>
        </row>
        <row r="27">
          <cell r="A27" t="str">
            <v>Inventory Location: Joppa PRB Inventory In-Transit</v>
          </cell>
          <cell r="E27">
            <v>0</v>
          </cell>
          <cell r="I27">
            <v>0</v>
          </cell>
          <cell r="J27">
            <v>0</v>
          </cell>
        </row>
        <row r="28">
          <cell r="A28" t="str">
            <v>Inventory Location: Labadie PRB Inventory</v>
          </cell>
          <cell r="E28">
            <v>167652.17000000001</v>
          </cell>
          <cell r="I28">
            <v>-10114652</v>
          </cell>
          <cell r="J28">
            <v>-8064</v>
          </cell>
        </row>
        <row r="29">
          <cell r="A29" t="str">
            <v>Inventory Location: Labadie PRB Inventory In-Transit</v>
          </cell>
          <cell r="E29">
            <v>0</v>
          </cell>
          <cell r="I29">
            <v>0</v>
          </cell>
          <cell r="J29">
            <v>0</v>
          </cell>
        </row>
        <row r="30">
          <cell r="A30" t="str">
            <v>Inventory Location: Meramec Hillcrest Inventory</v>
          </cell>
          <cell r="E30">
            <v>589669.57999999996</v>
          </cell>
          <cell r="I30">
            <v>-289961</v>
          </cell>
          <cell r="J30">
            <v>0</v>
          </cell>
        </row>
        <row r="31">
          <cell r="A31" t="str">
            <v>Inventory Location: Meramec Hillcrest Inventory In-Transit</v>
          </cell>
          <cell r="E31">
            <v>0</v>
          </cell>
          <cell r="I31">
            <v>0</v>
          </cell>
          <cell r="J31">
            <v>0</v>
          </cell>
        </row>
        <row r="32">
          <cell r="A32" t="str">
            <v>Inventory Location: Meramec PRB Inventory</v>
          </cell>
          <cell r="E32">
            <v>-628382.42000000004</v>
          </cell>
          <cell r="I32">
            <v>-2960592</v>
          </cell>
          <cell r="J32">
            <v>0</v>
          </cell>
        </row>
        <row r="33">
          <cell r="A33" t="str">
            <v>Inventory Location: Meramec PRB Inventory In-Transit</v>
          </cell>
          <cell r="E33">
            <v>0</v>
          </cell>
          <cell r="I33">
            <v>0</v>
          </cell>
          <cell r="J33">
            <v>0</v>
          </cell>
        </row>
        <row r="34">
          <cell r="A34" t="str">
            <v>Inventory Location: Meredosia Activated Carbon Inventory</v>
          </cell>
          <cell r="E34">
            <v>0</v>
          </cell>
          <cell r="I34">
            <v>-148.28</v>
          </cell>
          <cell r="J34">
            <v>0</v>
          </cell>
        </row>
        <row r="35">
          <cell r="A35" t="str">
            <v>Inventory Location: Meredosia Activated Carbon Inventory In-Transit</v>
          </cell>
          <cell r="E35">
            <v>0</v>
          </cell>
          <cell r="I35">
            <v>0</v>
          </cell>
          <cell r="J35">
            <v>0</v>
          </cell>
        </row>
        <row r="36">
          <cell r="A36" t="str">
            <v>Inventory Location: Meredosia (1&amp;2) HS Inventory</v>
          </cell>
          <cell r="E36">
            <v>-259.54000000000002</v>
          </cell>
          <cell r="I36">
            <v>-10835</v>
          </cell>
          <cell r="J36">
            <v>0</v>
          </cell>
        </row>
        <row r="37">
          <cell r="A37" t="str">
            <v>Inventory Location: Meredosia (1&amp;2) HS Inventory In-Transit</v>
          </cell>
          <cell r="E37">
            <v>0</v>
          </cell>
          <cell r="I37">
            <v>0</v>
          </cell>
          <cell r="J37">
            <v>0</v>
          </cell>
        </row>
        <row r="38">
          <cell r="A38" t="str">
            <v>Inventory Location: Meredosia (3) PRB Inventory</v>
          </cell>
          <cell r="E38">
            <v>27.79</v>
          </cell>
          <cell r="I38">
            <v>-318786.96999999997</v>
          </cell>
          <cell r="J38">
            <v>0</v>
          </cell>
        </row>
        <row r="39">
          <cell r="A39" t="str">
            <v>Inventory Location: Meredosia (3) PRB Inventory In-Transit</v>
          </cell>
          <cell r="E39">
            <v>0</v>
          </cell>
          <cell r="I39">
            <v>0</v>
          </cell>
          <cell r="J39">
            <v>0</v>
          </cell>
        </row>
        <row r="40">
          <cell r="A40" t="str">
            <v>Inventory Location: Newton Activated Carbon</v>
          </cell>
          <cell r="E40">
            <v>0</v>
          </cell>
          <cell r="I40">
            <v>-2056.6777999999999</v>
          </cell>
          <cell r="J40">
            <v>0</v>
          </cell>
        </row>
        <row r="41">
          <cell r="A41" t="str">
            <v>Inventory Location: Newton Activated Carbon In-Transit</v>
          </cell>
          <cell r="E41">
            <v>0</v>
          </cell>
          <cell r="I41">
            <v>0</v>
          </cell>
          <cell r="J41">
            <v>0</v>
          </cell>
        </row>
        <row r="42">
          <cell r="A42" t="str">
            <v>Inventory Location: Newton PRB Inventory</v>
          </cell>
          <cell r="E42">
            <v>46749.53</v>
          </cell>
          <cell r="I42">
            <v>-4604471.5999999996</v>
          </cell>
          <cell r="J42">
            <v>0</v>
          </cell>
        </row>
        <row r="43">
          <cell r="A43" t="str">
            <v>Inventory Location: Newton PRB Inventory In-Transit</v>
          </cell>
          <cell r="E43">
            <v>0</v>
          </cell>
          <cell r="I43">
            <v>0</v>
          </cell>
          <cell r="J43">
            <v>0</v>
          </cell>
        </row>
        <row r="44">
          <cell r="A44" t="str">
            <v>Inventory Location: Rush Island Hillcrest</v>
          </cell>
          <cell r="E44">
            <v>65329</v>
          </cell>
          <cell r="I44">
            <v>0</v>
          </cell>
          <cell r="J44">
            <v>0</v>
          </cell>
        </row>
        <row r="45">
          <cell r="A45" t="str">
            <v>Inventory Location: Rush Island Hillcrest In-Transit</v>
          </cell>
          <cell r="E45">
            <v>0</v>
          </cell>
          <cell r="I45">
            <v>0</v>
          </cell>
          <cell r="J45">
            <v>0</v>
          </cell>
        </row>
        <row r="46">
          <cell r="A46" t="str">
            <v>Inventory Location: Rush Island PRB Inventory</v>
          </cell>
          <cell r="E46">
            <v>-207174.74</v>
          </cell>
          <cell r="I46">
            <v>-4826895</v>
          </cell>
          <cell r="J46">
            <v>0</v>
          </cell>
        </row>
        <row r="47">
          <cell r="A47" t="str">
            <v>Inventory Location: Rush Island PRB Inventory In-Transit</v>
          </cell>
          <cell r="E47">
            <v>0</v>
          </cell>
          <cell r="I47">
            <v>0</v>
          </cell>
          <cell r="J47">
            <v>0</v>
          </cell>
        </row>
        <row r="48">
          <cell r="A48" t="str">
            <v>Inventory Location: Sioux HS Inventory</v>
          </cell>
          <cell r="E48">
            <v>75260.009999999995</v>
          </cell>
          <cell r="I48">
            <v>-716415.56</v>
          </cell>
          <cell r="J48">
            <v>0</v>
          </cell>
        </row>
        <row r="49">
          <cell r="A49" t="str">
            <v>Inventory Location: Sioux HS Inventory In-Transit</v>
          </cell>
          <cell r="E49">
            <v>0</v>
          </cell>
          <cell r="I49">
            <v>0</v>
          </cell>
          <cell r="J49">
            <v>0</v>
          </cell>
        </row>
        <row r="50">
          <cell r="A50" t="str">
            <v>Inventory Location: Sioux PRB Inventory</v>
          </cell>
          <cell r="E50">
            <v>57086.3</v>
          </cell>
          <cell r="I50">
            <v>-2426202.3995050001</v>
          </cell>
          <cell r="J50">
            <v>0</v>
          </cell>
        </row>
        <row r="51">
          <cell r="A51" t="str">
            <v>Inventory Location: Sioux PRB Inventory In-Transit</v>
          </cell>
          <cell r="E51">
            <v>0</v>
          </cell>
          <cell r="I51">
            <v>0</v>
          </cell>
          <cell r="J51">
            <v>0</v>
          </cell>
        </row>
      </sheetData>
      <sheetData sheetId="18"/>
      <sheetData sheetId="19">
        <row r="1">
          <cell r="E1">
            <v>2010</v>
          </cell>
          <cell r="N1" t="str">
            <v>151001</v>
          </cell>
        </row>
        <row r="2">
          <cell r="N2" t="str">
            <v>151002</v>
          </cell>
          <cell r="T2" t="str">
            <v>Meramec Coal</v>
          </cell>
        </row>
        <row r="3">
          <cell r="N3" t="str">
            <v>151003</v>
          </cell>
          <cell r="T3" t="str">
            <v>Meramec Gas</v>
          </cell>
        </row>
        <row r="4">
          <cell r="N4" t="str">
            <v>151004</v>
          </cell>
          <cell r="T4" t="str">
            <v>Meramec CTG Oil</v>
          </cell>
        </row>
        <row r="5">
          <cell r="N5" t="str">
            <v>151005</v>
          </cell>
          <cell r="T5" t="str">
            <v>Sioux Coal</v>
          </cell>
        </row>
        <row r="6">
          <cell r="N6" t="str">
            <v>151006</v>
          </cell>
          <cell r="T6" t="str">
            <v>Sioux Oil</v>
          </cell>
        </row>
        <row r="7">
          <cell r="N7" t="str">
            <v>151007</v>
          </cell>
          <cell r="T7" t="str">
            <v>Sioux Tire Chips</v>
          </cell>
        </row>
        <row r="8">
          <cell r="N8" t="str">
            <v>151008</v>
          </cell>
          <cell r="T8" t="str">
            <v>Labadie Coal</v>
          </cell>
        </row>
        <row r="9">
          <cell r="N9" t="str">
            <v>151009</v>
          </cell>
          <cell r="T9" t="str">
            <v>Labadie Oil</v>
          </cell>
        </row>
        <row r="10">
          <cell r="N10" t="str">
            <v>151010</v>
          </cell>
          <cell r="T10" t="str">
            <v>Labadie Waste Oil</v>
          </cell>
        </row>
        <row r="11">
          <cell r="N11" t="str">
            <v>151011</v>
          </cell>
          <cell r="T11" t="str">
            <v>Venice Oil</v>
          </cell>
        </row>
        <row r="12">
          <cell r="N12" t="str">
            <v>151012</v>
          </cell>
          <cell r="T12" t="str">
            <v>Rush Island Coal</v>
          </cell>
        </row>
        <row r="13">
          <cell r="N13" t="str">
            <v>151013</v>
          </cell>
          <cell r="T13" t="str">
            <v>Rush Island Oil</v>
          </cell>
        </row>
        <row r="14">
          <cell r="N14" t="str">
            <v>151016</v>
          </cell>
          <cell r="T14" t="str">
            <v>Venice CTG Oil</v>
          </cell>
        </row>
        <row r="15">
          <cell r="N15" t="str">
            <v>151017</v>
          </cell>
          <cell r="O15" t="str">
            <v>Coal</v>
          </cell>
          <cell r="T15" t="str">
            <v>Howard Bend CTG Oil</v>
          </cell>
        </row>
        <row r="16">
          <cell r="N16" t="str">
            <v>151018</v>
          </cell>
          <cell r="O16" t="str">
            <v>Coal</v>
          </cell>
          <cell r="T16" t="str">
            <v>Fairgrounds CTG Oil</v>
          </cell>
        </row>
        <row r="17">
          <cell r="N17" t="str">
            <v>151020</v>
          </cell>
          <cell r="O17" t="str">
            <v>RailCar</v>
          </cell>
          <cell r="T17" t="str">
            <v>Mexico CTG Oil</v>
          </cell>
        </row>
        <row r="18">
          <cell r="N18" t="str">
            <v>151025</v>
          </cell>
          <cell r="O18" t="str">
            <v>FlyAsh</v>
          </cell>
          <cell r="T18" t="str">
            <v>Moreau CTG Oil</v>
          </cell>
        </row>
        <row r="19">
          <cell r="N19" t="str">
            <v>151100</v>
          </cell>
          <cell r="O19" t="str">
            <v>Gas</v>
          </cell>
          <cell r="T19" t="str">
            <v>Moberly CTG Oil</v>
          </cell>
        </row>
        <row r="20">
          <cell r="N20" t="str">
            <v>151101</v>
          </cell>
          <cell r="O20" t="str">
            <v>Coal</v>
          </cell>
          <cell r="T20" t="str">
            <v>Peno Creek CTG Oil</v>
          </cell>
        </row>
        <row r="21">
          <cell r="N21" t="str">
            <v>151200</v>
          </cell>
          <cell r="O21" t="str">
            <v>Coal</v>
          </cell>
          <cell r="T21" t="str">
            <v>Newton Coal</v>
          </cell>
        </row>
        <row r="22">
          <cell r="N22" t="str">
            <v>151201</v>
          </cell>
          <cell r="O22" t="str">
            <v>Coal</v>
          </cell>
          <cell r="T22" t="str">
            <v>Newton Oil</v>
          </cell>
        </row>
        <row r="23">
          <cell r="N23" t="str">
            <v>1511NW</v>
          </cell>
          <cell r="O23" t="str">
            <v>Coal</v>
          </cell>
          <cell r="T23" t="str">
            <v>Coffeen Coal</v>
          </cell>
        </row>
        <row r="24">
          <cell r="N24" t="str">
            <v>151021</v>
          </cell>
          <cell r="O24" t="str">
            <v>Oil</v>
          </cell>
          <cell r="T24" t="str">
            <v>Coffeen Oil</v>
          </cell>
        </row>
        <row r="25">
          <cell r="N25" t="str">
            <v>151203</v>
          </cell>
          <cell r="O25" t="str">
            <v>Coal</v>
          </cell>
          <cell r="T25" t="str">
            <v>Meredosia Coal</v>
          </cell>
        </row>
        <row r="26">
          <cell r="T26" t="str">
            <v>Meredosia Oil</v>
          </cell>
        </row>
        <row r="27">
          <cell r="T27" t="str">
            <v>Grand Tower Gas</v>
          </cell>
        </row>
        <row r="28">
          <cell r="T28" t="str">
            <v>Hutsonville Coal</v>
          </cell>
        </row>
        <row r="29">
          <cell r="T29" t="str">
            <v>Hutsonville Oil</v>
          </cell>
        </row>
        <row r="30">
          <cell r="T30" t="str">
            <v>Pickneyville CTG</v>
          </cell>
        </row>
        <row r="31">
          <cell r="T31" t="str">
            <v>Gibson City CTG</v>
          </cell>
        </row>
        <row r="32">
          <cell r="T32" t="str">
            <v>Kinmundy CTG</v>
          </cell>
        </row>
        <row r="33">
          <cell r="T33" t="str">
            <v>Elgin CTG</v>
          </cell>
        </row>
        <row r="34">
          <cell r="T34" t="str">
            <v>Duck Creek Coal</v>
          </cell>
        </row>
        <row r="35">
          <cell r="T35" t="str">
            <v>Edwards Coal</v>
          </cell>
        </row>
        <row r="36">
          <cell r="T36" t="str">
            <v>Duck Creek Oil</v>
          </cell>
        </row>
        <row r="37">
          <cell r="T37" t="str">
            <v>Edwards Oil</v>
          </cell>
        </row>
      </sheetData>
      <sheetData sheetId="20">
        <row r="5">
          <cell r="A5" t="str">
            <v>Finnell, Timothy D</v>
          </cell>
          <cell r="C5" t="str">
            <v>Mertens, Paul W</v>
          </cell>
          <cell r="E5" t="str">
            <v>Gatewood, Ron L</v>
          </cell>
        </row>
        <row r="6">
          <cell r="A6" t="str">
            <v>Meyer, Joseph T</v>
          </cell>
          <cell r="C6" t="str">
            <v>Hemmer, Stacy L</v>
          </cell>
        </row>
        <row r="7">
          <cell r="A7" t="str">
            <v>Neff, Bob K</v>
          </cell>
          <cell r="C7" t="str">
            <v>Risse, Ryan B</v>
          </cell>
        </row>
        <row r="8">
          <cell r="A8" t="str">
            <v>Henderson, Charles R</v>
          </cell>
        </row>
        <row r="9">
          <cell r="A9" t="str">
            <v>Frey, Clyde J</v>
          </cell>
        </row>
        <row r="10">
          <cell r="A10" t="str">
            <v>Hackmann, Mark J</v>
          </cell>
        </row>
        <row r="11">
          <cell r="A11" t="str">
            <v>Schroeder, Kevin M</v>
          </cell>
        </row>
        <row r="12">
          <cell r="A12" t="str">
            <v>Plocher, Matt A</v>
          </cell>
        </row>
      </sheetData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ptions"/>
      <sheetName val="StocAct"/>
      <sheetName val="Scenarios"/>
      <sheetName val="CL Rates"/>
      <sheetName val="Summary"/>
      <sheetName val="ERISA Summary"/>
      <sheetName val="FAS Summary"/>
      <sheetName val="PBGC Summary"/>
      <sheetName val="A.L &amp; FFL"/>
      <sheetName val="Additional Funding Charge"/>
      <sheetName val="MRC"/>
      <sheetName val="E Assets"/>
      <sheetName val="F Assets"/>
      <sheetName val="F Bases"/>
      <sheetName val="F Results"/>
      <sheetName val="P VP"/>
      <sheetName val="P Contr"/>
      <sheetName val="E Data"/>
      <sheetName val="E Sens"/>
      <sheetName val="E Input"/>
      <sheetName val="F Data"/>
      <sheetName val="P Input"/>
    </sheetNames>
    <sheetDataSet>
      <sheetData sheetId="0">
        <row r="1">
          <cell r="A1" t="str">
            <v>Central Illinois Light Company</v>
          </cell>
        </row>
        <row r="2">
          <cell r="A2" t="str">
            <v>BRP</v>
          </cell>
        </row>
        <row r="8">
          <cell r="D8">
            <v>36892</v>
          </cell>
        </row>
        <row r="68">
          <cell r="D68">
            <v>5328459</v>
          </cell>
        </row>
        <row r="69">
          <cell r="D69">
            <v>2097</v>
          </cell>
        </row>
      </sheetData>
      <sheetData sheetId="1">
        <row r="8">
          <cell r="C8">
            <v>5</v>
          </cell>
        </row>
      </sheetData>
      <sheetData sheetId="2"/>
      <sheetData sheetId="3">
        <row r="17">
          <cell r="A17">
            <v>1</v>
          </cell>
          <cell r="B17" t="str">
            <v>Baseline</v>
          </cell>
          <cell r="C17" t="str">
            <v>1Aa</v>
          </cell>
          <cell r="D17" t="str">
            <v>Aa</v>
          </cell>
          <cell r="E17">
            <v>7.4099999999999999E-2</v>
          </cell>
          <cell r="F17">
            <v>7.0000000000000007E-2</v>
          </cell>
          <cell r="G17">
            <v>6.7500000000000004E-2</v>
          </cell>
          <cell r="H17">
            <v>6.7500000000000004E-2</v>
          </cell>
          <cell r="I17">
            <v>6.7500000000000004E-2</v>
          </cell>
          <cell r="J17">
            <v>6.7500000000000004E-2</v>
          </cell>
          <cell r="K17">
            <v>6.7500000000000004E-2</v>
          </cell>
          <cell r="L17">
            <v>6.7500000000000004E-2</v>
          </cell>
          <cell r="M17">
            <v>6.7500000000000004E-2</v>
          </cell>
          <cell r="N17">
            <v>6.7500000000000004E-2</v>
          </cell>
          <cell r="O17">
            <v>6.7500000000000004E-2</v>
          </cell>
          <cell r="P17">
            <v>6.7500000000000004E-2</v>
          </cell>
          <cell r="Q17">
            <v>6.7500000000000004E-2</v>
          </cell>
          <cell r="R17">
            <v>6.7500000000000004E-2</v>
          </cell>
          <cell r="S17">
            <v>6.7500000000000004E-2</v>
          </cell>
          <cell r="T17">
            <v>6.7500000000000004E-2</v>
          </cell>
          <cell r="U17">
            <v>6.7500000000000004E-2</v>
          </cell>
          <cell r="V17">
            <v>6.7500000000000004E-2</v>
          </cell>
          <cell r="W17">
            <v>6.7500000000000004E-2</v>
          </cell>
          <cell r="X17">
            <v>6.7500000000000004E-2</v>
          </cell>
          <cell r="Y17">
            <v>6.7500000000000004E-2</v>
          </cell>
        </row>
        <row r="18">
          <cell r="C18" t="str">
            <v>1R</v>
          </cell>
          <cell r="D18" t="str">
            <v>Return</v>
          </cell>
          <cell r="E18">
            <v>0</v>
          </cell>
          <cell r="F18">
            <v>-0.1</v>
          </cell>
          <cell r="G18">
            <v>0.09</v>
          </cell>
          <cell r="H18">
            <v>0.09</v>
          </cell>
          <cell r="I18">
            <v>0.09</v>
          </cell>
          <cell r="J18">
            <v>0.09</v>
          </cell>
          <cell r="K18">
            <v>0.09</v>
          </cell>
          <cell r="L18">
            <v>0.09</v>
          </cell>
          <cell r="M18">
            <v>0.09</v>
          </cell>
          <cell r="N18">
            <v>0.09</v>
          </cell>
          <cell r="O18">
            <v>0.09</v>
          </cell>
          <cell r="P18">
            <v>0.09</v>
          </cell>
          <cell r="Q18">
            <v>0.09</v>
          </cell>
          <cell r="R18">
            <v>0.09</v>
          </cell>
          <cell r="S18">
            <v>0.09</v>
          </cell>
          <cell r="T18">
            <v>0.09</v>
          </cell>
          <cell r="U18">
            <v>0.09</v>
          </cell>
          <cell r="V18">
            <v>0.09</v>
          </cell>
          <cell r="W18">
            <v>0.09</v>
          </cell>
          <cell r="X18">
            <v>0.09</v>
          </cell>
          <cell r="Y18">
            <v>0.09</v>
          </cell>
        </row>
        <row r="19">
          <cell r="C19" t="str">
            <v>1GL</v>
          </cell>
          <cell r="D19" t="str">
            <v>G/L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0">
          <cell r="C20" t="str">
            <v>1PC</v>
          </cell>
          <cell r="D20" t="str">
            <v>PC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C21" t="str">
            <v>1BP</v>
          </cell>
          <cell r="D21" t="str">
            <v>BP</v>
          </cell>
          <cell r="E21">
            <v>3.5000000000000003E-2</v>
          </cell>
          <cell r="F21">
            <v>3.5000000000000003E-2</v>
          </cell>
          <cell r="G21">
            <v>3.5000000000000003E-2</v>
          </cell>
          <cell r="H21">
            <v>3.5000000000000003E-2</v>
          </cell>
          <cell r="I21">
            <v>3.5000000000000003E-2</v>
          </cell>
          <cell r="J21">
            <v>3.5000000000000003E-2</v>
          </cell>
          <cell r="K21">
            <v>3.5000000000000003E-2</v>
          </cell>
          <cell r="L21">
            <v>3.5000000000000003E-2</v>
          </cell>
          <cell r="M21">
            <v>3.5000000000000003E-2</v>
          </cell>
          <cell r="N21">
            <v>3.5000000000000003E-2</v>
          </cell>
          <cell r="O21">
            <v>3.5000000000000003E-2</v>
          </cell>
          <cell r="P21">
            <v>3.5000000000000003E-2</v>
          </cell>
          <cell r="Q21">
            <v>3.5000000000000003E-2</v>
          </cell>
          <cell r="R21">
            <v>3.5000000000000003E-2</v>
          </cell>
          <cell r="S21">
            <v>3.5000000000000003E-2</v>
          </cell>
          <cell r="T21">
            <v>3.5000000000000003E-2</v>
          </cell>
          <cell r="U21">
            <v>3.5000000000000003E-2</v>
          </cell>
          <cell r="V21">
            <v>3.5000000000000003E-2</v>
          </cell>
          <cell r="W21">
            <v>3.5000000000000003E-2</v>
          </cell>
          <cell r="X21">
            <v>3.5000000000000003E-2</v>
          </cell>
          <cell r="Y21">
            <v>3.5000000000000003E-2</v>
          </cell>
        </row>
        <row r="22">
          <cell r="A22">
            <v>2</v>
          </cell>
          <cell r="C22" t="str">
            <v>2Aa</v>
          </cell>
          <cell r="D22" t="str">
            <v>Aa</v>
          </cell>
          <cell r="E22">
            <v>7.4099999999999999E-2</v>
          </cell>
        </row>
        <row r="23">
          <cell r="C23" t="str">
            <v>2R</v>
          </cell>
          <cell r="D23" t="str">
            <v>Return</v>
          </cell>
        </row>
        <row r="24">
          <cell r="C24" t="str">
            <v>2GL</v>
          </cell>
          <cell r="D24" t="str">
            <v>G/L</v>
          </cell>
        </row>
        <row r="25">
          <cell r="C25" t="str">
            <v>2PC</v>
          </cell>
          <cell r="D25" t="str">
            <v>PC</v>
          </cell>
        </row>
        <row r="26">
          <cell r="C26" t="str">
            <v>2BP</v>
          </cell>
          <cell r="D26" t="str">
            <v>BP</v>
          </cell>
        </row>
        <row r="27">
          <cell r="A27">
            <v>3</v>
          </cell>
          <cell r="C27" t="str">
            <v>3Aa</v>
          </cell>
          <cell r="D27" t="str">
            <v>Aa</v>
          </cell>
          <cell r="E27">
            <v>7.4099999999999999E-2</v>
          </cell>
        </row>
        <row r="28">
          <cell r="C28" t="str">
            <v>3R</v>
          </cell>
          <cell r="D28" t="str">
            <v>Return</v>
          </cell>
        </row>
        <row r="29">
          <cell r="C29" t="str">
            <v>3GL</v>
          </cell>
          <cell r="D29" t="str">
            <v>G/L</v>
          </cell>
        </row>
        <row r="30">
          <cell r="C30" t="str">
            <v>3PC</v>
          </cell>
          <cell r="D30" t="str">
            <v>PC</v>
          </cell>
        </row>
        <row r="31">
          <cell r="C31" t="str">
            <v>3BP</v>
          </cell>
          <cell r="D31" t="str">
            <v>BP</v>
          </cell>
        </row>
        <row r="32">
          <cell r="A32">
            <v>4</v>
          </cell>
          <cell r="C32" t="str">
            <v>4Aa</v>
          </cell>
          <cell r="D32" t="str">
            <v>Aa</v>
          </cell>
          <cell r="E32">
            <v>7.4099999999999999E-2</v>
          </cell>
        </row>
        <row r="33">
          <cell r="C33" t="str">
            <v>4R</v>
          </cell>
          <cell r="D33" t="str">
            <v>Return</v>
          </cell>
        </row>
        <row r="34">
          <cell r="C34" t="str">
            <v>4GL</v>
          </cell>
          <cell r="D34" t="str">
            <v>G/L</v>
          </cell>
        </row>
        <row r="35">
          <cell r="C35" t="str">
            <v>4PC</v>
          </cell>
          <cell r="D35" t="str">
            <v>PC</v>
          </cell>
        </row>
        <row r="36">
          <cell r="C36" t="str">
            <v>4BP</v>
          </cell>
          <cell r="D36" t="str">
            <v>BP</v>
          </cell>
        </row>
        <row r="37">
          <cell r="A37">
            <v>5</v>
          </cell>
          <cell r="C37" t="str">
            <v>5Aa</v>
          </cell>
          <cell r="D37" t="str">
            <v>Aa</v>
          </cell>
          <cell r="E37">
            <v>7.4099999999999999E-2</v>
          </cell>
        </row>
        <row r="38">
          <cell r="C38" t="str">
            <v>5R</v>
          </cell>
          <cell r="D38" t="str">
            <v>Return</v>
          </cell>
        </row>
        <row r="39">
          <cell r="C39" t="str">
            <v>5GL</v>
          </cell>
          <cell r="D39" t="str">
            <v>G/L</v>
          </cell>
        </row>
        <row r="40">
          <cell r="C40" t="str">
            <v>5PC</v>
          </cell>
          <cell r="D40" t="str">
            <v>PC</v>
          </cell>
        </row>
        <row r="41">
          <cell r="C41" t="str">
            <v>5BP</v>
          </cell>
          <cell r="D41" t="str">
            <v>BP</v>
          </cell>
        </row>
      </sheetData>
      <sheetData sheetId="4"/>
      <sheetData sheetId="5">
        <row r="2">
          <cell r="M2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ction Data"/>
      <sheetName val="Auction Report"/>
      <sheetName val="Payment Memo"/>
      <sheetName val="DR_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r08"/>
      <sheetName val="feb08"/>
      <sheetName val="jan08"/>
      <sheetName val="dec07"/>
      <sheetName val="nov07"/>
      <sheetName val="oct07"/>
      <sheetName val="sep07"/>
      <sheetName val="aug07"/>
      <sheetName val="jul07"/>
      <sheetName val="jun07"/>
      <sheetName val="may07"/>
      <sheetName val="apr07"/>
      <sheetName val="mar07"/>
      <sheetName val="feb07"/>
      <sheetName val="jan07"/>
      <sheetName val="Rates"/>
      <sheetName val=" Summary 2007"/>
    </sheetNames>
    <sheetDataSet>
      <sheetData sheetId="0">
        <row r="2">
          <cell r="D2" t="str">
            <v>440 011 001-Rate 1M Res Elect Service - Postca</v>
          </cell>
          <cell r="E2" t="str">
            <v>1m</v>
          </cell>
        </row>
        <row r="3">
          <cell r="D3" t="str">
            <v>440 011 002-Rate 1M Res Elect Service TOU - Po</v>
          </cell>
          <cell r="E3" t="str">
            <v>1tou</v>
          </cell>
        </row>
        <row r="4">
          <cell r="D4" t="str">
            <v>440 011 065-Rate 8M Private Ornamental Ltg Met</v>
          </cell>
          <cell r="E4" t="str">
            <v>5m</v>
          </cell>
        </row>
        <row r="5">
          <cell r="D5" t="str">
            <v>440 011 279-Rate 1M Res Elect Svc - Space Heat</v>
          </cell>
          <cell r="E5" t="str">
            <v>1m</v>
          </cell>
        </row>
        <row r="6">
          <cell r="D6" t="str">
            <v>456 011 001-Rate 1M Res Elect Service - Postca</v>
          </cell>
          <cell r="E6" t="str">
            <v>1m</v>
          </cell>
        </row>
        <row r="7">
          <cell r="D7" t="str">
            <v>TOTAL: Residential</v>
          </cell>
        </row>
        <row r="8">
          <cell r="D8" t="str">
            <v>TARIFF TYPE:  Commercial</v>
          </cell>
        </row>
        <row r="9">
          <cell r="D9" t="str">
            <v>442 021 004-Rate 2M Sm Gen Svc - 1 Ph w/Dmd</v>
          </cell>
          <cell r="E9" t="str">
            <v>2m1</v>
          </cell>
        </row>
        <row r="10">
          <cell r="D10" t="str">
            <v>442 021 005-Rate 2M Sm Gen Svc - TOU - 1 Phase</v>
          </cell>
          <cell r="E10" t="str">
            <v>2m1tou</v>
          </cell>
        </row>
        <row r="11">
          <cell r="D11" t="str">
            <v>442 021 006-Rate 3M Large General Service</v>
          </cell>
          <cell r="E11" t="str">
            <v>3m</v>
          </cell>
        </row>
        <row r="12">
          <cell r="D12" t="str">
            <v>442 021 007-Rate 3M Lg Gen Svc TOU Demand &amp; En</v>
          </cell>
          <cell r="E12" t="str">
            <v>3mtou</v>
          </cell>
        </row>
        <row r="13">
          <cell r="D13" t="str">
            <v>442 021 008-Rate 4M Sm Primary Elect Service-S</v>
          </cell>
          <cell r="E13" t="str">
            <v>4mSUBDISC</v>
          </cell>
        </row>
        <row r="14">
          <cell r="D14" t="str">
            <v>442 021 009-Rate 4M Sm Primary Srvc TOU - Subs</v>
          </cell>
          <cell r="E14" t="str">
            <v>4mtouSUBDISC</v>
          </cell>
        </row>
        <row r="15">
          <cell r="D15" t="str">
            <v>442 021 016-Rate 11M Lg Primary Service - Subs</v>
          </cell>
          <cell r="E15" t="str">
            <v>11m</v>
          </cell>
        </row>
        <row r="16">
          <cell r="D16" t="str">
            <v>442 021 061-Rate 6M Cust-Own Ltg Metered-Franc</v>
          </cell>
          <cell r="E16" t="str">
            <v>5m</v>
          </cell>
        </row>
        <row r="17">
          <cell r="D17" t="str">
            <v>442 021 062-Rate 6M Cust-Own Ltg Metered-Priva</v>
          </cell>
          <cell r="E17" t="str">
            <v>5m</v>
          </cell>
        </row>
        <row r="18">
          <cell r="D18" t="str">
            <v>442 021 065-Rate 8M Private Ornamental Ltg Met</v>
          </cell>
          <cell r="E18" t="str">
            <v>5m</v>
          </cell>
        </row>
        <row r="19">
          <cell r="D19" t="str">
            <v>442 021 076-Rate 2M Sm Gen Svc - 3 Ph w/Dmd</v>
          </cell>
          <cell r="E19" t="str">
            <v>2m3</v>
          </cell>
        </row>
        <row r="20">
          <cell r="D20" t="str">
            <v>442 021 077-Rate 2M Sm Gen Svc - TOU - 3 Phase</v>
          </cell>
          <cell r="E20" t="str">
            <v>2m3tou</v>
          </cell>
        </row>
        <row r="21">
          <cell r="D21" t="str">
            <v>442 021 080-MO Annual Recurring Service - Sing</v>
          </cell>
          <cell r="E21" t="str">
            <v>2m1</v>
          </cell>
        </row>
        <row r="22">
          <cell r="D22" t="str">
            <v>442 021 081-MO Annual Recurring Service - Thre</v>
          </cell>
          <cell r="E22" t="str">
            <v>2m3</v>
          </cell>
        </row>
        <row r="23">
          <cell r="D23" t="str">
            <v>442 021 086-Rate 4M Small Primary Electric Ser</v>
          </cell>
          <cell r="E23" t="str">
            <v>4m</v>
          </cell>
        </row>
        <row r="24">
          <cell r="D24" t="str">
            <v>442 021 087-Rate 4M Small Primary Service TOU</v>
          </cell>
          <cell r="E24" t="str">
            <v>4mtou</v>
          </cell>
        </row>
        <row r="25">
          <cell r="D25" t="str">
            <v>442 021 091-MO Annual Recurring Service - 3Ph</v>
          </cell>
          <cell r="E25" t="str">
            <v>2m3</v>
          </cell>
        </row>
        <row r="26">
          <cell r="D26" t="str">
            <v>442 021 092-Rate 11M Lg Primary Electric Servi</v>
          </cell>
          <cell r="E26" t="str">
            <v>11m</v>
          </cell>
        </row>
        <row r="27">
          <cell r="D27" t="str">
            <v>442 021 093-Rate 11M Lg Primary Service TOU</v>
          </cell>
          <cell r="E27" t="str">
            <v>11mtou</v>
          </cell>
        </row>
        <row r="28">
          <cell r="D28" t="str">
            <v>442 021 103-Rate 2M Sm Gen Svc - Unmetered - P</v>
          </cell>
          <cell r="E28" t="str">
            <v>2munm</v>
          </cell>
        </row>
        <row r="29">
          <cell r="D29" t="str">
            <v>442 021 104-Rate 2M Sm Gen Svc - Unmt w/o Cust</v>
          </cell>
          <cell r="E29" t="str">
            <v>2munmnocust</v>
          </cell>
        </row>
        <row r="30">
          <cell r="D30" t="str">
            <v>442 021 233-Rate 2M Sm Gen Svc - TOU - 3 Ph-No</v>
          </cell>
          <cell r="E30" t="str">
            <v>2m3tou</v>
          </cell>
        </row>
        <row r="31">
          <cell r="D31" t="str">
            <v>442 021 234-Rate 2M Sm Gen Svc - TOU - 1 Ph-No</v>
          </cell>
          <cell r="E31" t="str">
            <v>2m1tou</v>
          </cell>
        </row>
        <row r="32">
          <cell r="D32" t="str">
            <v>442 021 235-Rate 2M Sm Gen Svc - 3 Ph - No Dmd</v>
          </cell>
          <cell r="E32" t="str">
            <v>2m3</v>
          </cell>
        </row>
        <row r="33">
          <cell r="D33" t="str">
            <v>442 021 236-Rate 2M Sm Gen Svc - 1 Ph - No Dmd</v>
          </cell>
          <cell r="E33" t="str">
            <v>2m1</v>
          </cell>
        </row>
        <row r="34">
          <cell r="D34" t="str">
            <v>442 021 600-Rate 2M Sm Gen Svc-Spc Ht-3 Ph-No</v>
          </cell>
          <cell r="E34" t="str">
            <v>2m3</v>
          </cell>
        </row>
        <row r="35">
          <cell r="D35" t="str">
            <v>442 021 601-Rate 2M Sm Gen Svc-Spc Ht-1 Ph-No</v>
          </cell>
          <cell r="E35" t="str">
            <v>2m1</v>
          </cell>
        </row>
        <row r="36">
          <cell r="D36" t="str">
            <v>442 021 602-Rate 2M Sm Gen Svc-Spc Ht-1 Ph w/D</v>
          </cell>
          <cell r="E36" t="str">
            <v>2m1</v>
          </cell>
        </row>
        <row r="37">
          <cell r="D37" t="str">
            <v>442 021 603-Rate 2M Sm Gen Svc-Spc Ht-3 Ph w/D</v>
          </cell>
          <cell r="E37" t="str">
            <v>2m3</v>
          </cell>
        </row>
        <row r="38">
          <cell r="D38" t="str">
            <v>442 021 604-Rate 2M Sm Gen Svc-Spc Ht-3 Ph w/D</v>
          </cell>
          <cell r="E38" t="str">
            <v>2m3</v>
          </cell>
        </row>
        <row r="39">
          <cell r="D39" t="str">
            <v>456 011 006-Rate 3M Large General Service</v>
          </cell>
          <cell r="E39" t="str">
            <v>3m</v>
          </cell>
        </row>
        <row r="40">
          <cell r="D40" t="str">
            <v>456 011 235-Rate 2M Sm Gen Svc - 3 Ph - No Dmd</v>
          </cell>
          <cell r="E40" t="str">
            <v>2m3</v>
          </cell>
        </row>
        <row r="41">
          <cell r="D41" t="str">
            <v>456 011 236-Rate 2M Sm Gen Svc - 1 Ph - No Dmd</v>
          </cell>
          <cell r="E41" t="str">
            <v>2m1</v>
          </cell>
        </row>
        <row r="42">
          <cell r="D42" t="str">
            <v>ZZZ ZZZ 279-Rate 1M Res Elect Svc - Space Heat</v>
          </cell>
          <cell r="E42" t="str">
            <v>1m</v>
          </cell>
        </row>
        <row r="43">
          <cell r="D43" t="str">
            <v>TOTAL: Commercial</v>
          </cell>
        </row>
        <row r="44">
          <cell r="D44" t="str">
            <v>TARIFF TYPE:  Industrial</v>
          </cell>
        </row>
        <row r="45">
          <cell r="D45" t="str">
            <v>442 031 004-Rate 2M Sm Gen Svc - 1 Ph w/Dmd</v>
          </cell>
          <cell r="E45" t="str">
            <v>2m1</v>
          </cell>
        </row>
        <row r="46">
          <cell r="D46" t="str">
            <v>442 031 006-Rate 3M Large General Service</v>
          </cell>
          <cell r="E46" t="str">
            <v>3m</v>
          </cell>
        </row>
        <row r="47">
          <cell r="D47" t="str">
            <v>442 031 007-Rate 3M Lg Gen Svc TOU Demand &amp; En</v>
          </cell>
          <cell r="E47" t="str">
            <v>3mtou</v>
          </cell>
        </row>
        <row r="48">
          <cell r="D48" t="str">
            <v>442 031 008-Rate 4M Sm Primary Elect Service-S</v>
          </cell>
          <cell r="E48" t="str">
            <v>4mSUBDISC</v>
          </cell>
        </row>
        <row r="49">
          <cell r="D49" t="str">
            <v>442 031 009-Rate 4M Sm Primary Srvc TOU - Subs</v>
          </cell>
          <cell r="E49" t="str">
            <v>4mtouSUBDISC</v>
          </cell>
        </row>
        <row r="50">
          <cell r="D50" t="str">
            <v>442 031 016-Rate 11M Lg Primary Service - Subs</v>
          </cell>
          <cell r="E50" t="str">
            <v>11m</v>
          </cell>
        </row>
        <row r="51">
          <cell r="D51" t="str">
            <v>442 031 017-Rate 11M Lg Primary Srvc TOU - Sub</v>
          </cell>
          <cell r="E51" t="str">
            <v>11mtou</v>
          </cell>
        </row>
        <row r="52">
          <cell r="D52" t="str">
            <v>442 031 062-Rate 6M Cust-Own Ltg Metered-Priva</v>
          </cell>
          <cell r="E52" t="str">
            <v>5m</v>
          </cell>
        </row>
        <row r="53">
          <cell r="D53" t="str">
            <v>442 031 076-Rate 2M Sm Gen Svc - 3 Ph w/Dmd</v>
          </cell>
          <cell r="E53" t="str">
            <v>2m3</v>
          </cell>
        </row>
        <row r="54">
          <cell r="D54" t="str">
            <v>442 031 080-MO Annual Recurring Service - Sing</v>
          </cell>
          <cell r="E54" t="str">
            <v>2m1</v>
          </cell>
        </row>
        <row r="55">
          <cell r="D55" t="str">
            <v>442 031 083-Rate 2M Sm Gen Svc - 3 Ph - Sub Ds</v>
          </cell>
          <cell r="E55" t="str">
            <v>2m3</v>
          </cell>
        </row>
        <row r="56">
          <cell r="D56" t="str">
            <v>442 031 086-Rate 4M Small Primary Electric Ser</v>
          </cell>
          <cell r="E56" t="str">
            <v>4m</v>
          </cell>
        </row>
        <row r="57">
          <cell r="D57" t="str">
            <v>442 031 087-Rate 4M Small Primary Service TOU</v>
          </cell>
          <cell r="E57" t="str">
            <v>4mtou</v>
          </cell>
        </row>
        <row r="58">
          <cell r="D58" t="str">
            <v>442 031 092-Rate 11M Lg Primary Electric Servi</v>
          </cell>
          <cell r="E58" t="str">
            <v>11m</v>
          </cell>
        </row>
        <row r="59">
          <cell r="D59" t="str">
            <v>442 031 093-Rate 11M Lg Primary Service TOU</v>
          </cell>
          <cell r="E59" t="str">
            <v>11mtou</v>
          </cell>
        </row>
        <row r="60">
          <cell r="D60" t="str">
            <v>442 031 103-Rate 2M Sm Gen Svc - Unmetered - P</v>
          </cell>
          <cell r="E60" t="str">
            <v>2munm</v>
          </cell>
        </row>
        <row r="61">
          <cell r="D61" t="str">
            <v>442 031 235-Rate 2M Sm Gen Svc - 3 Ph - No Dmd</v>
          </cell>
          <cell r="E61" t="str">
            <v>2m3</v>
          </cell>
        </row>
        <row r="62">
          <cell r="D62" t="str">
            <v>442 031 236-Rate 2M Sm Gen Svc - 1 Ph - No Dmd</v>
          </cell>
          <cell r="E62" t="str">
            <v>2m1</v>
          </cell>
        </row>
        <row r="63">
          <cell r="D63" t="str">
            <v>442 031 600-Rate 2M Sm Gen Svc-Spc Ht-3 Ph-No</v>
          </cell>
          <cell r="E63" t="str">
            <v>2m3</v>
          </cell>
        </row>
        <row r="64">
          <cell r="D64" t="str">
            <v>442 031 601-Rate 2M Sm Gen Svc-Spc Ht-1 Ph-No</v>
          </cell>
          <cell r="E64" t="str">
            <v>2m1</v>
          </cell>
        </row>
        <row r="65">
          <cell r="D65" t="str">
            <v>442 031 603-Rate 2M Sm Gen Svc-Spc Ht-3 Ph w/D</v>
          </cell>
          <cell r="E65" t="str">
            <v>2m3</v>
          </cell>
        </row>
        <row r="66">
          <cell r="D66" t="str">
            <v>442 035 243-Rate 12M Lg Transmission Service</v>
          </cell>
          <cell r="E66" t="str">
            <v>12m</v>
          </cell>
        </row>
        <row r="67">
          <cell r="D67" t="str">
            <v>TOTAL: Industrial</v>
          </cell>
        </row>
        <row r="68">
          <cell r="D68" t="str">
            <v>TARIFF TYPE:  Street and Highway Light</v>
          </cell>
        </row>
        <row r="69">
          <cell r="D69" t="str">
            <v>444 011 063-Rate 6M Cust-Owned Lighting Metere</v>
          </cell>
        </row>
        <row r="70">
          <cell r="D70" t="str">
            <v>444 011 064-Rate 7M Municipal Incandescent Ltg</v>
          </cell>
        </row>
        <row r="71">
          <cell r="D71" t="str">
            <v>444 011 268-Rate 6M Cust Own Ltg Metrd - Muni</v>
          </cell>
        </row>
        <row r="72">
          <cell r="D72" t="str">
            <v>TOTAL: Street and Highway</v>
          </cell>
        </row>
        <row r="73">
          <cell r="D73" t="str">
            <v>TARIFF TYPE:  Sales to Public Authority</v>
          </cell>
        </row>
        <row r="74">
          <cell r="D74" t="str">
            <v>445 011 166-Metropolitan Sewer District</v>
          </cell>
        </row>
        <row r="75">
          <cell r="D75" t="str">
            <v>TOTAL: Sales to Public Au</v>
          </cell>
        </row>
        <row r="76">
          <cell r="D76" t="str">
            <v>TARIFF TYPE:  Wholesale</v>
          </cell>
        </row>
        <row r="77">
          <cell r="D77" t="str">
            <v>447 031 165-UE - Market Based Rate Power Sales</v>
          </cell>
        </row>
        <row r="78">
          <cell r="D78" t="str">
            <v>TOTAL: Wholesale</v>
          </cell>
        </row>
        <row r="79">
          <cell r="D79" t="str">
            <v>TARIFF TYPE:  Commercial - Blended Tax</v>
          </cell>
        </row>
        <row r="80">
          <cell r="D80" t="str">
            <v>442 021 006-Rate 3M Large General Service</v>
          </cell>
          <cell r="E80" t="str">
            <v>3m</v>
          </cell>
        </row>
        <row r="81">
          <cell r="D81" t="str">
            <v>442 021 086-Rate 4M Small Primary Electric Ser</v>
          </cell>
          <cell r="E81" t="str">
            <v>4m</v>
          </cell>
        </row>
        <row r="82">
          <cell r="D82" t="str">
            <v>TOTAL: Commercial - Blend</v>
          </cell>
        </row>
        <row r="83">
          <cell r="D83" t="str">
            <v>Report ID: CURST235</v>
          </cell>
        </row>
        <row r="88">
          <cell r="D88" t="str">
            <v>TYPE OF SERVICE:   Bundled</v>
          </cell>
        </row>
        <row r="89">
          <cell r="D89" t="str">
            <v>GL</v>
          </cell>
        </row>
        <row r="90">
          <cell r="D90" t="str">
            <v>MAJ MIN               TARIFF</v>
          </cell>
        </row>
        <row r="91">
          <cell r="D91" t="str">
            <v>COMPANY TOTAL:</v>
          </cell>
        </row>
        <row r="92">
          <cell r="D92" t="str">
            <v>Report ID: CURST235</v>
          </cell>
        </row>
        <row r="97">
          <cell r="D97" t="str">
            <v>TYPE OF SERVICE:   Bundled</v>
          </cell>
        </row>
        <row r="98">
          <cell r="D98" t="str">
            <v>TARIFF TYPE:  Residential</v>
          </cell>
        </row>
        <row r="99">
          <cell r="D99" t="str">
            <v>GL</v>
          </cell>
        </row>
        <row r="100">
          <cell r="D100" t="str">
            <v>MAJ MIN               TARIFF</v>
          </cell>
        </row>
        <row r="101">
          <cell r="D101" t="str">
            <v>440 011 231-Rate 5M Private Area Lighting - Po</v>
          </cell>
        </row>
        <row r="102">
          <cell r="D102" t="str">
            <v>440 011 259-Rate 5M/6M Private Area Lighting -</v>
          </cell>
        </row>
        <row r="103">
          <cell r="D103" t="str">
            <v>TOTAL: Residential</v>
          </cell>
        </row>
        <row r="104">
          <cell r="D104" t="str">
            <v>TARIFF TYPE:  Commercial</v>
          </cell>
        </row>
        <row r="105">
          <cell r="D105" t="str">
            <v>442 021 011-Rate 6M Cust-Own Lighting Unmtred</v>
          </cell>
        </row>
        <row r="106">
          <cell r="D106" t="str">
            <v>442 021 231-Rate 5M Private Area Lighting - Po</v>
          </cell>
        </row>
        <row r="107">
          <cell r="D107" t="str">
            <v>442 021 232-Rate 5M Private Area Lighting</v>
          </cell>
        </row>
        <row r="108">
          <cell r="D108" t="str">
            <v>442 021 259-Rate 5M/6M Private Area Lighting -</v>
          </cell>
        </row>
        <row r="109">
          <cell r="D109" t="str">
            <v>TOTAL: Commercial</v>
          </cell>
        </row>
        <row r="110">
          <cell r="D110" t="str">
            <v>TARIFF TYPE:  Industrial</v>
          </cell>
        </row>
        <row r="111">
          <cell r="D111" t="str">
            <v>442 031 231-Rate 5M Private Area Lighting - Po</v>
          </cell>
        </row>
        <row r="112">
          <cell r="D112" t="str">
            <v>442 031 232-Rate 5M Private Area Lighting</v>
          </cell>
        </row>
        <row r="113">
          <cell r="D113" t="str">
            <v>442 031 259-Rate 5M/6M Private Area Lighting -</v>
          </cell>
        </row>
        <row r="114">
          <cell r="D114" t="str">
            <v>TOTAL: Industrial</v>
          </cell>
        </row>
        <row r="115">
          <cell r="D115" t="str">
            <v>TARIFF TYPE:  Street and Highway Light</v>
          </cell>
        </row>
        <row r="116">
          <cell r="D116" t="str">
            <v>444 011 010-Rate 5M Company-Owned Lighting-Mun</v>
          </cell>
        </row>
        <row r="117">
          <cell r="D117" t="str">
            <v>444 011 011-Rate 6M Cust-Own Lighting Unmtred</v>
          </cell>
        </row>
        <row r="118">
          <cell r="D118" t="str">
            <v>444 011 012-Rate 7M Municipal Incandescent Ltg</v>
          </cell>
        </row>
        <row r="119">
          <cell r="D119" t="str">
            <v>444 011 231-Rate 5M Private Area Lighting - Po</v>
          </cell>
        </row>
        <row r="120">
          <cell r="D120" t="str">
            <v>444 011 232-Rate 5M Private Area Lighting</v>
          </cell>
        </row>
        <row r="121">
          <cell r="D121" t="str">
            <v>444 011 259-Rate 5M/6M Private Area Lighting -</v>
          </cell>
        </row>
        <row r="122">
          <cell r="D122" t="str">
            <v>TOTAL: Street and Highway</v>
          </cell>
        </row>
        <row r="123">
          <cell r="D123" t="str">
            <v>COMPANY TOTAL: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MAJ MIN               TARIFF</v>
          </cell>
          <cell r="B1" t="str">
            <v>Rate</v>
          </cell>
        </row>
        <row r="2">
          <cell r="A2" t="str">
            <v>440 011 001-Rate 1M Res Elect Service - Postca</v>
          </cell>
          <cell r="B2" t="str">
            <v>1m</v>
          </cell>
        </row>
        <row r="3">
          <cell r="A3" t="str">
            <v>440 011 002-Rate 1M Res Elect Service TOU - Po</v>
          </cell>
          <cell r="B3" t="str">
            <v>1m</v>
          </cell>
        </row>
        <row r="4">
          <cell r="A4" t="str">
            <v>440 011 065-Rate 8M Private Ornamental Ltg Met</v>
          </cell>
          <cell r="B4" t="str">
            <v>5m</v>
          </cell>
        </row>
        <row r="5">
          <cell r="A5" t="str">
            <v>440 011 263-Residential Electric TOU Pilot</v>
          </cell>
          <cell r="B5" t="str">
            <v>1m</v>
          </cell>
        </row>
        <row r="6">
          <cell r="A6" t="str">
            <v>440 011 264-Residential Electric TOU Pilot w/C</v>
          </cell>
          <cell r="B6" t="str">
            <v>1m</v>
          </cell>
        </row>
        <row r="7">
          <cell r="A7" t="str">
            <v>440 011 279-Rate 1M Res Elect Svc - Space Heat</v>
          </cell>
          <cell r="B7" t="str">
            <v>1m</v>
          </cell>
        </row>
        <row r="8">
          <cell r="A8" t="str">
            <v>ZZZ ZZZ 000-Conversion Default</v>
          </cell>
        </row>
        <row r="9">
          <cell r="A9" t="str">
            <v>ZZZ ZZZ 001-Rate 1M Res Elect Service - Postca</v>
          </cell>
          <cell r="B9" t="str">
            <v>1m</v>
          </cell>
        </row>
        <row r="10">
          <cell r="A10" t="str">
            <v>TOTAL: Residential</v>
          </cell>
        </row>
        <row r="11">
          <cell r="A11" t="str">
            <v>TARIFF TYPE:  Commercial</v>
          </cell>
        </row>
        <row r="12">
          <cell r="A12" t="str">
            <v>442 021 004-Rate 2M Sm Gen Svc - 1 Ph w/Dmd</v>
          </cell>
          <cell r="B12" t="str">
            <v>2m</v>
          </cell>
        </row>
        <row r="13">
          <cell r="A13" t="str">
            <v>442 021 005-Rate 2M Sm Gen Svc - TOU - 1 Phase</v>
          </cell>
          <cell r="B13" t="str">
            <v>2m</v>
          </cell>
        </row>
        <row r="14">
          <cell r="A14" t="str">
            <v>442 021 006-Rate 3M Large General Service</v>
          </cell>
          <cell r="B14" t="str">
            <v>3m</v>
          </cell>
        </row>
        <row r="15">
          <cell r="A15" t="str">
            <v>442 021 007-Rate 3M Lg Gen Svc TOU Demand &amp; En</v>
          </cell>
          <cell r="B15" t="str">
            <v>3m</v>
          </cell>
        </row>
        <row r="16">
          <cell r="A16" t="str">
            <v>442 021 008-Rate 4M Sm Primary Elect Service-S</v>
          </cell>
          <cell r="B16" t="str">
            <v>4m</v>
          </cell>
        </row>
        <row r="17">
          <cell r="A17" t="str">
            <v>442 021 009-Rate 4M Sm Primary Srvc TOU - Subs</v>
          </cell>
          <cell r="B17" t="str">
            <v>4m</v>
          </cell>
        </row>
        <row r="18">
          <cell r="A18" t="str">
            <v>442 021 016-Rate 11M Lg Primary Service - Subs</v>
          </cell>
          <cell r="B18" t="str">
            <v>11m</v>
          </cell>
        </row>
        <row r="19">
          <cell r="A19" t="str">
            <v>442 021 061-Rate 6M Cust-Own Ltg Metered-Franc</v>
          </cell>
          <cell r="B19" t="str">
            <v>5m</v>
          </cell>
        </row>
        <row r="20">
          <cell r="A20" t="str">
            <v>442 021 062-Rate 6M Cust-Own Ltg Metered-Priva</v>
          </cell>
          <cell r="B20" t="str">
            <v>5m</v>
          </cell>
        </row>
        <row r="21">
          <cell r="A21" t="str">
            <v>442 021 065-Rate 8M Private Ornamental Ltg Met</v>
          </cell>
          <cell r="B21" t="str">
            <v>5m</v>
          </cell>
        </row>
        <row r="22">
          <cell r="A22" t="str">
            <v>442 021 076-Rate 2M Sm Gen Svc - 3 Ph w/Dmd</v>
          </cell>
          <cell r="B22" t="str">
            <v>2m</v>
          </cell>
        </row>
        <row r="23">
          <cell r="A23" t="str">
            <v>442 021 077-Rate 2M Sm Gen Svc - TOU - 3 Phase</v>
          </cell>
          <cell r="B23" t="str">
            <v>2m</v>
          </cell>
        </row>
        <row r="24">
          <cell r="A24" t="str">
            <v>442 021 080-MO Annual Recurring Service - Sing</v>
          </cell>
          <cell r="B24" t="str">
            <v>2m</v>
          </cell>
        </row>
        <row r="25">
          <cell r="A25" t="str">
            <v>442 021 081-MO Annual Recurring Service - Thre</v>
          </cell>
          <cell r="B25" t="str">
            <v>2m</v>
          </cell>
        </row>
        <row r="26">
          <cell r="A26" t="str">
            <v>442 021 086-Rate 4M Small Primary Electric Ser</v>
          </cell>
          <cell r="B26" t="str">
            <v>4m</v>
          </cell>
        </row>
        <row r="27">
          <cell r="A27" t="str">
            <v>442 021 087-Rate 4M Small Primary Service TOU</v>
          </cell>
          <cell r="B27" t="str">
            <v>4m</v>
          </cell>
        </row>
        <row r="28">
          <cell r="A28" t="str">
            <v>442 021 091-MO Annual Recurring Service - 3Ph</v>
          </cell>
          <cell r="B28" t="str">
            <v>2m</v>
          </cell>
        </row>
        <row r="29">
          <cell r="A29" t="str">
            <v>Report ID: CURST235</v>
          </cell>
        </row>
        <row r="34">
          <cell r="A34" t="str">
            <v>TYPE OF SERVICE:   Bundled</v>
          </cell>
        </row>
        <row r="35">
          <cell r="A35" t="str">
            <v>TARIFF TYPE:  Commercial                 (Conti</v>
          </cell>
        </row>
        <row r="36">
          <cell r="A36" t="str">
            <v>GL</v>
          </cell>
        </row>
        <row r="37">
          <cell r="A37" t="str">
            <v>MAJ MIN               TARIFF</v>
          </cell>
        </row>
        <row r="38">
          <cell r="A38" t="str">
            <v>442 021 092-Rate 11M Lg Primary Electric Servi</v>
          </cell>
          <cell r="B38" t="str">
            <v>11m</v>
          </cell>
        </row>
        <row r="39">
          <cell r="A39" t="str">
            <v>442 021 093-Rate 11M Lg Primary Service TOU</v>
          </cell>
          <cell r="B39" t="str">
            <v>11m</v>
          </cell>
        </row>
        <row r="40">
          <cell r="A40" t="str">
            <v>442 021 103-Rate 2M Sm Gen Svc - Unmetered - P</v>
          </cell>
          <cell r="B40" t="str">
            <v>2m</v>
          </cell>
        </row>
        <row r="41">
          <cell r="A41" t="str">
            <v>442 021 104-Rate 2M Sm Gen Svc - Unmt w/o Cust</v>
          </cell>
          <cell r="B41" t="str">
            <v>2m</v>
          </cell>
        </row>
        <row r="42">
          <cell r="A42" t="str">
            <v>442 021 233-Rate 2M Sm Gen Svc - TOU - 3 Ph-No</v>
          </cell>
          <cell r="B42" t="str">
            <v>2m</v>
          </cell>
        </row>
        <row r="43">
          <cell r="A43" t="str">
            <v>442 021 234-Rate 2M Sm Gen Svc - TOU - 1 Ph-No</v>
          </cell>
          <cell r="B43" t="str">
            <v>2m</v>
          </cell>
        </row>
        <row r="44">
          <cell r="A44" t="str">
            <v>442 021 235-Rate 2M Sm Gen Svc - 3 Ph - No Dmd</v>
          </cell>
          <cell r="B44" t="str">
            <v>2m</v>
          </cell>
        </row>
        <row r="45">
          <cell r="A45" t="str">
            <v>442 021 236-Rate 2M Sm Gen Svc - 1 Ph - No Dmd</v>
          </cell>
          <cell r="B45" t="str">
            <v>2m</v>
          </cell>
        </row>
        <row r="46">
          <cell r="A46" t="str">
            <v>442 021 600-Rate 2M Sm Gen Svc-Spc Ht-3 Ph-No</v>
          </cell>
          <cell r="B46" t="str">
            <v>2m</v>
          </cell>
        </row>
        <row r="47">
          <cell r="A47" t="str">
            <v>442 021 601-Rate 2M Sm Gen Svc-Spc Ht-1 Ph-No</v>
          </cell>
          <cell r="B47" t="str">
            <v>2m</v>
          </cell>
        </row>
        <row r="48">
          <cell r="A48" t="str">
            <v>442 021 602-Rate 2M Sm Gen Svc-Spc Ht-1 Ph w/D</v>
          </cell>
          <cell r="B48" t="str">
            <v>2m</v>
          </cell>
        </row>
        <row r="49">
          <cell r="A49" t="str">
            <v>442 021 603-Rate 2M Sm Gen Svc-Spc Ht-3 Ph w/D</v>
          </cell>
          <cell r="B49" t="str">
            <v>2m</v>
          </cell>
        </row>
        <row r="50">
          <cell r="A50" t="str">
            <v>442 021 604-Rate 2M Sm Gen Svc-Spc Ht-3 Ph w/D</v>
          </cell>
          <cell r="B50" t="str">
            <v>2m</v>
          </cell>
        </row>
        <row r="51">
          <cell r="A51" t="str">
            <v>442 031 087-Rate 4M Small Primary Service TOU</v>
          </cell>
          <cell r="B51" t="str">
            <v>4m</v>
          </cell>
        </row>
        <row r="52">
          <cell r="A52" t="str">
            <v>ZZZ ZZZ 064-Rate 7M Municipal Incandescent Ltg</v>
          </cell>
          <cell r="B52" t="str">
            <v>5m</v>
          </cell>
        </row>
        <row r="53">
          <cell r="A53" t="str">
            <v>TOTAL: Commercial</v>
          </cell>
        </row>
        <row r="54">
          <cell r="A54" t="str">
            <v>TARIFF TYPE:  Industrial</v>
          </cell>
        </row>
        <row r="55">
          <cell r="A55" t="str">
            <v>442 021 092-Rate 11M Lg Primary Electric Servi</v>
          </cell>
          <cell r="B55" t="str">
            <v>11m</v>
          </cell>
        </row>
        <row r="56">
          <cell r="A56" t="str">
            <v>442 031 004-Rate 2M Sm Gen Svc - 1 Ph w/Dmd</v>
          </cell>
          <cell r="B56" t="str">
            <v>2m</v>
          </cell>
        </row>
        <row r="57">
          <cell r="A57" t="str">
            <v>442 031 006-Rate 3M Large General Service</v>
          </cell>
          <cell r="B57" t="str">
            <v>3m</v>
          </cell>
        </row>
        <row r="58">
          <cell r="A58" t="str">
            <v>442 031 007-Rate 3M Lg Gen Svc TOU Demand &amp; En</v>
          </cell>
          <cell r="B58" t="str">
            <v>3m</v>
          </cell>
        </row>
        <row r="59">
          <cell r="A59" t="str">
            <v>442 031 008-Rate 4M Sm Primary Elect Service-S</v>
          </cell>
          <cell r="B59" t="str">
            <v>4m</v>
          </cell>
        </row>
        <row r="60">
          <cell r="A60" t="str">
            <v>442 031 016-Rate 11M Lg Primary Service - Subs</v>
          </cell>
          <cell r="B60" t="str">
            <v>11m</v>
          </cell>
        </row>
        <row r="61">
          <cell r="A61" t="str">
            <v>442 031 017-Rate 11M Lg Primary Srvc TOU - Sub</v>
          </cell>
          <cell r="B61" t="str">
            <v>11m</v>
          </cell>
        </row>
        <row r="62">
          <cell r="A62" t="str">
            <v>442 031 062-Rate 6M Cust-Own Ltg Metered-Priva</v>
          </cell>
          <cell r="B62" t="str">
            <v>5m</v>
          </cell>
        </row>
        <row r="63">
          <cell r="A63" t="str">
            <v>442 031 076-Rate 2M Sm Gen Svc - 3 Ph w/Dmd</v>
          </cell>
          <cell r="B63" t="str">
            <v>2m</v>
          </cell>
        </row>
        <row r="64">
          <cell r="A64" t="str">
            <v>442 031 077-Rate 2M Sm Gen Svc - TOU - 3 Phase</v>
          </cell>
          <cell r="B64" t="str">
            <v>2m</v>
          </cell>
        </row>
        <row r="65">
          <cell r="A65" t="str">
            <v>442 031 083-Rate 2M Sm Gen Svc - 3 Ph - Sub Ds</v>
          </cell>
          <cell r="B65" t="str">
            <v>2m</v>
          </cell>
        </row>
        <row r="66">
          <cell r="A66" t="str">
            <v>442 031 086-Rate 4M Small Primary Electric Ser</v>
          </cell>
          <cell r="B66" t="str">
            <v>4m</v>
          </cell>
        </row>
        <row r="67">
          <cell r="A67" t="str">
            <v>Report ID: CURST235</v>
          </cell>
        </row>
        <row r="72">
          <cell r="A72" t="str">
            <v>TYPE OF SERVICE:   Bundled</v>
          </cell>
        </row>
        <row r="73">
          <cell r="A73" t="str">
            <v>TARIFF TYPE:  Industrial                 (Conti</v>
          </cell>
        </row>
        <row r="74">
          <cell r="A74" t="str">
            <v>GL</v>
          </cell>
        </row>
        <row r="75">
          <cell r="A75" t="str">
            <v>MAJ MIN               TARIFF</v>
          </cell>
        </row>
        <row r="76">
          <cell r="A76" t="str">
            <v>442 031 087-Rate 4M Small Primary Service TOU</v>
          </cell>
          <cell r="B76" t="str">
            <v>4m</v>
          </cell>
        </row>
        <row r="77">
          <cell r="A77" t="str">
            <v>442 031 092-Rate 11M Lg Primary Electric Servi</v>
          </cell>
          <cell r="B77" t="str">
            <v>11m</v>
          </cell>
        </row>
        <row r="78">
          <cell r="A78" t="str">
            <v>442 031 093-Rate 11M Lg Primary Service TOU</v>
          </cell>
          <cell r="B78" t="str">
            <v>11m</v>
          </cell>
        </row>
        <row r="79">
          <cell r="A79" t="str">
            <v>442 031 103-Rate 2M Sm Gen Svc - Unmetered - P</v>
          </cell>
          <cell r="B79" t="str">
            <v>2m</v>
          </cell>
        </row>
        <row r="80">
          <cell r="A80" t="str">
            <v>442 031 235-Rate 2M Sm Gen Svc - 3 Ph - No Dmd</v>
          </cell>
          <cell r="B80" t="str">
            <v>2m</v>
          </cell>
        </row>
        <row r="81">
          <cell r="A81" t="str">
            <v>442 031 236-Rate 2M Sm Gen Svc - 1 Ph - No Dmd</v>
          </cell>
          <cell r="B81" t="str">
            <v>2m</v>
          </cell>
        </row>
        <row r="82">
          <cell r="A82" t="str">
            <v>442 031 600-Rate 2M Sm Gen Svc-Spc Ht-3 Ph-No</v>
          </cell>
          <cell r="B82" t="str">
            <v>2m</v>
          </cell>
        </row>
        <row r="83">
          <cell r="A83" t="str">
            <v>442 031 601-Rate 2M Sm Gen Svc-Spc Ht-1 Ph-No</v>
          </cell>
          <cell r="B83" t="str">
            <v>2m</v>
          </cell>
        </row>
        <row r="84">
          <cell r="A84" t="str">
            <v>442 031 602-Rate 2M Sm Gen Svc-Spc Ht-1 Ph w/D</v>
          </cell>
          <cell r="B84" t="str">
            <v>2m</v>
          </cell>
        </row>
        <row r="85">
          <cell r="A85" t="str">
            <v>442 031 603-Rate 2M Sm Gen Svc-Spc Ht-3 Ph w/D</v>
          </cell>
          <cell r="B85" t="str">
            <v>2m</v>
          </cell>
        </row>
        <row r="86">
          <cell r="A86" t="str">
            <v>442 035 243-Rate 12M Lg Transmission Service</v>
          </cell>
          <cell r="B86" t="str">
            <v>12m</v>
          </cell>
        </row>
        <row r="87">
          <cell r="A87" t="str">
            <v>TOTAL: Industrial</v>
          </cell>
        </row>
        <row r="88">
          <cell r="A88" t="str">
            <v>TARIFF TYPE:  Street and Highway Light</v>
          </cell>
        </row>
        <row r="89">
          <cell r="A89" t="str">
            <v>444 011 063-Rate 6M Cust-Owned Lighting Metere</v>
          </cell>
          <cell r="B89" t="str">
            <v>5m</v>
          </cell>
        </row>
        <row r="90">
          <cell r="A90" t="str">
            <v>444 011 064-Rate 7M Municipal Incandescent Ltg</v>
          </cell>
          <cell r="B90" t="str">
            <v>5m</v>
          </cell>
        </row>
        <row r="91">
          <cell r="A91" t="str">
            <v>444 011 268-Rate 6M Cust Own Ltg Metrd - Muni</v>
          </cell>
          <cell r="B91" t="str">
            <v>5m</v>
          </cell>
        </row>
        <row r="92">
          <cell r="A92" t="str">
            <v>ZZZ ZZZ 063-Rate 6M Cust-Owned Lighting Metere</v>
          </cell>
          <cell r="B92" t="str">
            <v>5m</v>
          </cell>
        </row>
        <row r="93">
          <cell r="A93" t="str">
            <v>TOTAL: Street and Highway</v>
          </cell>
        </row>
        <row r="94">
          <cell r="A94" t="str">
            <v>TARIFF TYPE:  Sales to Public Authority</v>
          </cell>
        </row>
        <row r="95">
          <cell r="A95" t="str">
            <v>445 011 166-Metropolitan Sewer District</v>
          </cell>
          <cell r="B95" t="str">
            <v>msd</v>
          </cell>
        </row>
        <row r="96">
          <cell r="A96" t="str">
            <v>TOTAL: Sales to Public Au</v>
          </cell>
        </row>
        <row r="97">
          <cell r="A97" t="str">
            <v>TARIFF TYPE:  Wholesale</v>
          </cell>
        </row>
        <row r="98">
          <cell r="A98" t="str">
            <v>447 031 165-UE - Market Based Rate Power Sales</v>
          </cell>
          <cell r="B98" t="str">
            <v>whl</v>
          </cell>
        </row>
        <row r="99">
          <cell r="A99" t="str">
            <v>TOTAL: Wholesale</v>
          </cell>
        </row>
        <row r="100">
          <cell r="A100" t="str">
            <v>TARIFF TYPE:  Commercial - Blended Tax</v>
          </cell>
        </row>
        <row r="101">
          <cell r="A101" t="str">
            <v>Report ID: CURST235</v>
          </cell>
        </row>
        <row r="106">
          <cell r="A106" t="str">
            <v>TYPE OF SERVICE:   Bundled</v>
          </cell>
        </row>
        <row r="107">
          <cell r="A107" t="str">
            <v>TARIFF TYPE:  Commercial - Blended Tax   (Conti</v>
          </cell>
        </row>
        <row r="108">
          <cell r="A108" t="str">
            <v>GL</v>
          </cell>
        </row>
        <row r="109">
          <cell r="A109" t="str">
            <v>MAJ MIN               TARIFF</v>
          </cell>
        </row>
        <row r="110">
          <cell r="A110" t="str">
            <v>442 021 006-Rate 3M Large General Service</v>
          </cell>
          <cell r="B110" t="str">
            <v>3m</v>
          </cell>
        </row>
        <row r="111">
          <cell r="A111" t="str">
            <v>442 021 086-Rate 4M Small Primary Electric Ser</v>
          </cell>
          <cell r="B111" t="str">
            <v>4m</v>
          </cell>
        </row>
        <row r="112">
          <cell r="A112" t="str">
            <v>TOTAL: Commercial - Blend</v>
          </cell>
        </row>
        <row r="113">
          <cell r="A113" t="str">
            <v>COMPANY TOTAL:</v>
          </cell>
        </row>
        <row r="114">
          <cell r="A114" t="str">
            <v>Report ID: CURST235</v>
          </cell>
        </row>
        <row r="119">
          <cell r="A119" t="str">
            <v>TYPE OF SERVICE:   Bundled</v>
          </cell>
        </row>
        <row r="120">
          <cell r="A120" t="str">
            <v>TARIFF TYPE:  Residential</v>
          </cell>
        </row>
        <row r="121">
          <cell r="A121" t="str">
            <v>GL</v>
          </cell>
        </row>
        <row r="122">
          <cell r="A122" t="str">
            <v>MAJ MIN               TARIFF</v>
          </cell>
        </row>
        <row r="123">
          <cell r="A123" t="str">
            <v>440 011 231-Rate 5M Private Area Lighting - Po</v>
          </cell>
          <cell r="B123" t="str">
            <v>5m</v>
          </cell>
        </row>
        <row r="124">
          <cell r="A124" t="str">
            <v>440 011 259-Rate 5M/6M Private Area Lighting -</v>
          </cell>
          <cell r="B124" t="str">
            <v>5m</v>
          </cell>
        </row>
        <row r="125">
          <cell r="A125" t="str">
            <v>442 021 231-Rate 5M Private Area Lighting - Po</v>
          </cell>
          <cell r="B125" t="str">
            <v>5m</v>
          </cell>
        </row>
        <row r="126">
          <cell r="A126" t="str">
            <v>481 011 231-Rate 5M Private Area Lighting - Po</v>
          </cell>
          <cell r="B126" t="str">
            <v>5m</v>
          </cell>
        </row>
        <row r="127">
          <cell r="A127" t="str">
            <v>481 031 231-Rate 5M Private Area Lighting - Po</v>
          </cell>
          <cell r="B127" t="str">
            <v>5m</v>
          </cell>
        </row>
        <row r="128">
          <cell r="A128" t="str">
            <v>481 033 231-Rate 5M Private Area Lighting - Po</v>
          </cell>
          <cell r="B128" t="str">
            <v>5m</v>
          </cell>
        </row>
        <row r="129">
          <cell r="A129" t="str">
            <v>489     231-Rate 5M Private Area Lighting - Po</v>
          </cell>
          <cell r="B129" t="str">
            <v>5m</v>
          </cell>
        </row>
        <row r="130">
          <cell r="A130" t="str">
            <v>ZZZ ZZZ 231-Rate 5M Private Area Lighting - Po</v>
          </cell>
          <cell r="B130" t="str">
            <v>5m</v>
          </cell>
        </row>
        <row r="131">
          <cell r="A131" t="str">
            <v>TOTAL: Residential</v>
          </cell>
        </row>
        <row r="132">
          <cell r="A132" t="str">
            <v>TARIFF TYPE:  Commercial</v>
          </cell>
        </row>
        <row r="133">
          <cell r="A133" t="str">
            <v>440 011 231-Rate 5M Private Area Lighting - Po</v>
          </cell>
          <cell r="B133" t="str">
            <v>5m</v>
          </cell>
        </row>
        <row r="134">
          <cell r="A134" t="str">
            <v>442 021 011-Rate 6M Cust-Own Lighting Unmtred</v>
          </cell>
          <cell r="B134" t="str">
            <v>5m</v>
          </cell>
        </row>
        <row r="135">
          <cell r="A135" t="str">
            <v>442 021 231-Rate 5M Private Area Lighting - Po</v>
          </cell>
          <cell r="B135" t="str">
            <v>5m</v>
          </cell>
        </row>
        <row r="136">
          <cell r="A136" t="str">
            <v>442 021 232-Rate 5M Private Area Lighting</v>
          </cell>
          <cell r="B136" t="str">
            <v>5m</v>
          </cell>
        </row>
        <row r="137">
          <cell r="A137" t="str">
            <v>442 021 259-Rate 5M/6M Private Area Lighting -</v>
          </cell>
          <cell r="B137" t="str">
            <v>5m</v>
          </cell>
        </row>
        <row r="138">
          <cell r="A138" t="str">
            <v>444 011 011-Rate 6M Cust-Own Lighting Unmtred</v>
          </cell>
          <cell r="B138" t="str">
            <v>5m</v>
          </cell>
        </row>
        <row r="139">
          <cell r="A139" t="str">
            <v>444 011 232-Rate 5M Private Area Lighting</v>
          </cell>
          <cell r="B139" t="str">
            <v>5m</v>
          </cell>
        </row>
        <row r="140">
          <cell r="A140" t="str">
            <v>TOTAL: Commercial</v>
          </cell>
        </row>
        <row r="141">
          <cell r="A141" t="str">
            <v>TARIFF TYPE:  Industrial</v>
          </cell>
        </row>
        <row r="142">
          <cell r="A142" t="str">
            <v>442 021 231-Rate 5M Private Area Lighting - Po</v>
          </cell>
          <cell r="B142" t="str">
            <v>5m</v>
          </cell>
        </row>
        <row r="143">
          <cell r="A143" t="str">
            <v>442 021 232-Rate 5M Private Area Lighting</v>
          </cell>
          <cell r="B143" t="str">
            <v>5m</v>
          </cell>
        </row>
        <row r="144">
          <cell r="A144" t="str">
            <v>442 031 231-Rate 5M Private Area Lighting - Po</v>
          </cell>
          <cell r="B144" t="str">
            <v>5m</v>
          </cell>
        </row>
        <row r="145">
          <cell r="A145" t="str">
            <v>442 031 232-Rate 5M Private Area Lighting</v>
          </cell>
          <cell r="B145" t="str">
            <v>5m</v>
          </cell>
        </row>
        <row r="146">
          <cell r="A146" t="str">
            <v>TOTAL: Industrial</v>
          </cell>
        </row>
        <row r="147">
          <cell r="A147" t="str">
            <v>Report ID: CURST235</v>
          </cell>
        </row>
        <row r="152">
          <cell r="A152" t="str">
            <v>TYPE OF SERVICE:   Bundled</v>
          </cell>
        </row>
        <row r="153">
          <cell r="A153" t="str">
            <v>TARIFF TYPE:  Street and Highway Light</v>
          </cell>
        </row>
        <row r="154">
          <cell r="A154" t="str">
            <v>GL</v>
          </cell>
        </row>
        <row r="155">
          <cell r="A155" t="str">
            <v>MAJ MIN               TARIFF</v>
          </cell>
        </row>
        <row r="156">
          <cell r="A156" t="str">
            <v>442 021 232-Rate 5M Private Area Lighting</v>
          </cell>
          <cell r="B156" t="str">
            <v>5m</v>
          </cell>
        </row>
        <row r="157">
          <cell r="A157" t="str">
            <v>442 021 259-Rate 5M/6M Private Area Lighting -</v>
          </cell>
          <cell r="B157" t="str">
            <v>5m</v>
          </cell>
        </row>
        <row r="158">
          <cell r="A158" t="str">
            <v>442 031 010-Rate 5M Company-Owned Lighting-Mun</v>
          </cell>
          <cell r="B158" t="str">
            <v>5m</v>
          </cell>
        </row>
        <row r="159">
          <cell r="A159" t="str">
            <v>442 031 232-Rate 5M Private Area Lighting</v>
          </cell>
          <cell r="B159" t="str">
            <v>5m</v>
          </cell>
        </row>
        <row r="160">
          <cell r="A160" t="str">
            <v>444 011 010-Rate 5M Company-Owned Lighting-Mun</v>
          </cell>
          <cell r="B160" t="str">
            <v>5m</v>
          </cell>
        </row>
        <row r="161">
          <cell r="A161" t="str">
            <v>444 011 011-Rate 6M Cust-Own Lighting Unmtred</v>
          </cell>
          <cell r="B161" t="str">
            <v>5m</v>
          </cell>
        </row>
        <row r="162">
          <cell r="A162" t="str">
            <v>444 011 012-Rate 7M Municipal Incandescent Ltg</v>
          </cell>
          <cell r="B162" t="str">
            <v>5m</v>
          </cell>
        </row>
        <row r="163">
          <cell r="A163" t="str">
            <v>444 011 231-Rate 5M Private Area Lighting - Po</v>
          </cell>
          <cell r="B163" t="str">
            <v>5m</v>
          </cell>
        </row>
        <row r="164">
          <cell r="A164" t="str">
            <v>444 011 232-Rate 5M Private Area Lighting</v>
          </cell>
          <cell r="B164" t="str">
            <v>5m</v>
          </cell>
        </row>
        <row r="165">
          <cell r="A165" t="str">
            <v>444 011 259-Rate 5M/6M Private Area Lighting -</v>
          </cell>
          <cell r="B165" t="str">
            <v>5m</v>
          </cell>
        </row>
        <row r="166">
          <cell r="A166" t="str">
            <v>ERR ERR 064-Rate 7M Municipal Incandescent Ltg</v>
          </cell>
          <cell r="B166" t="str">
            <v>5m</v>
          </cell>
        </row>
        <row r="167">
          <cell r="A167" t="str">
            <v>ERR ERR 236-Rate 2M Sm Gen Svc - 1 Ph - No Dmd</v>
          </cell>
          <cell r="B167" t="str">
            <v>2m</v>
          </cell>
        </row>
        <row r="168">
          <cell r="A168" t="str">
            <v>ERR ERR 065-Rate 8M Private Ornamental Ltg Met</v>
          </cell>
          <cell r="B168" t="str">
            <v>5m</v>
          </cell>
        </row>
        <row r="169">
          <cell r="A169" t="str">
            <v>442 021 085-Rate 3M Lg Gen Svc TOU Dem/Enrgy-S</v>
          </cell>
          <cell r="B169" t="str">
            <v>3m</v>
          </cell>
        </row>
        <row r="170">
          <cell r="A170" t="str">
            <v>ERR ERR 279-Rate 1M Res Elect Svc - Space Heat</v>
          </cell>
          <cell r="B170" t="str">
            <v>1m</v>
          </cell>
        </row>
        <row r="171">
          <cell r="A171" t="str">
            <v>442 031 604-Rate 2M Sm Gen Svc-Spc Ht-3 Ph w/D</v>
          </cell>
          <cell r="B171" t="str">
            <v>2m</v>
          </cell>
        </row>
        <row r="172">
          <cell r="A172" t="str">
            <v>ERR ERR 063-Rate 6M Cust-Owned Lighting Metere</v>
          </cell>
          <cell r="B172" t="str">
            <v>5m</v>
          </cell>
        </row>
        <row r="173">
          <cell r="A173" t="str">
            <v>447 031 165-UE - Market Based Rate Power Sales</v>
          </cell>
          <cell r="B173" t="str">
            <v>mark</v>
          </cell>
        </row>
        <row r="174">
          <cell r="A174" t="str">
            <v>447 031 179-UE Boundary Line Tariff</v>
          </cell>
          <cell r="B174" t="str">
            <v>bl</v>
          </cell>
        </row>
        <row r="175">
          <cell r="A175" t="str">
            <v>442 031 259-Rate 5M/6M Private Area Lighting -</v>
          </cell>
          <cell r="B175" t="str">
            <v>5m</v>
          </cell>
        </row>
        <row r="176">
          <cell r="A176" t="str">
            <v>ERR ERR 010-Rate 5M Company-Owned Lighting-Mun</v>
          </cell>
          <cell r="B176" t="str">
            <v>5m</v>
          </cell>
        </row>
        <row r="177">
          <cell r="A177" t="str">
            <v>ERR ERR 013-Rate 8M Private Ornamental Ltg Unm</v>
          </cell>
          <cell r="B177" t="str">
            <v>5m</v>
          </cell>
        </row>
        <row r="178">
          <cell r="A178" t="str">
            <v>447 031 165-UE - Market Based Rate Power Sales</v>
          </cell>
          <cell r="B178" t="str">
            <v>mark</v>
          </cell>
        </row>
        <row r="179">
          <cell r="A179" t="str">
            <v>447 031 165-UE - Market Based Rate Power Sales</v>
          </cell>
          <cell r="B179" t="str">
            <v>mark</v>
          </cell>
        </row>
        <row r="180">
          <cell r="A180" t="str">
            <v>ERR ERR 001-Rate 1M Res Elect Service - Postca</v>
          </cell>
          <cell r="B180" t="str">
            <v>1m</v>
          </cell>
        </row>
        <row r="181">
          <cell r="A181" t="str">
            <v>442 031 009-Rate 4M Sm Primary Srvc TOU - Subs</v>
          </cell>
          <cell r="B181" t="str">
            <v>4m</v>
          </cell>
        </row>
        <row r="182">
          <cell r="A182" t="str">
            <v>456 011 006-Rate 3M Large General Service</v>
          </cell>
          <cell r="B182" t="str">
            <v>3m</v>
          </cell>
        </row>
        <row r="183">
          <cell r="A183" t="str">
            <v>456 011 235-Rate 2M Sm Gen Svc - 3 Ph - No Dmd</v>
          </cell>
          <cell r="B183" t="str">
            <v>2m</v>
          </cell>
        </row>
        <row r="184">
          <cell r="A184" t="str">
            <v>456 011 236-Rate 2M Sm Gen Svc - 1 Ph - No Dmd</v>
          </cell>
          <cell r="B184" t="str">
            <v>2m</v>
          </cell>
        </row>
        <row r="185">
          <cell r="A185" t="str">
            <v>ZZZ ZZZ 279-Rate 1M Res Elect Svc - Space Heat</v>
          </cell>
          <cell r="B185" t="str">
            <v>1m</v>
          </cell>
        </row>
        <row r="186">
          <cell r="A186" t="str">
            <v>442 031 080-MO Annual Recurring Service - Sing</v>
          </cell>
          <cell r="B186" t="str">
            <v>2m</v>
          </cell>
        </row>
      </sheetData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 Age Svc"/>
      <sheetName val="IP Tables"/>
      <sheetName val="IP Actives"/>
    </sheetNames>
    <sheetDataSet>
      <sheetData sheetId="0" refreshError="1"/>
      <sheetData sheetId="1">
        <row r="5">
          <cell r="A5">
            <v>1</v>
          </cell>
          <cell r="B5" t="str">
            <v>20-24</v>
          </cell>
          <cell r="C5">
            <v>13</v>
          </cell>
        </row>
        <row r="6">
          <cell r="A6">
            <v>2</v>
          </cell>
          <cell r="B6" t="str">
            <v>25-29</v>
          </cell>
          <cell r="C6">
            <v>38</v>
          </cell>
          <cell r="I6">
            <v>29</v>
          </cell>
        </row>
        <row r="7">
          <cell r="A7">
            <v>3</v>
          </cell>
          <cell r="B7" t="str">
            <v>30-34</v>
          </cell>
          <cell r="C7">
            <v>30</v>
          </cell>
          <cell r="D7">
            <v>32</v>
          </cell>
          <cell r="E7">
            <v>3</v>
          </cell>
          <cell r="I7">
            <v>54</v>
          </cell>
        </row>
        <row r="8">
          <cell r="A8">
            <v>4</v>
          </cell>
          <cell r="B8" t="str">
            <v>35-39</v>
          </cell>
          <cell r="C8">
            <v>33</v>
          </cell>
          <cell r="D8">
            <v>45</v>
          </cell>
          <cell r="E8">
            <v>59</v>
          </cell>
          <cell r="F8">
            <v>1</v>
          </cell>
          <cell r="I8">
            <v>51</v>
          </cell>
        </row>
        <row r="9">
          <cell r="A9">
            <v>5</v>
          </cell>
          <cell r="B9" t="str">
            <v>40-44</v>
          </cell>
          <cell r="C9">
            <v>24</v>
          </cell>
          <cell r="D9">
            <v>72</v>
          </cell>
          <cell r="E9">
            <v>102</v>
          </cell>
          <cell r="F9">
            <v>56</v>
          </cell>
          <cell r="G9">
            <v>12</v>
          </cell>
          <cell r="I9">
            <v>61</v>
          </cell>
        </row>
        <row r="10">
          <cell r="A10">
            <v>6</v>
          </cell>
          <cell r="B10" t="str">
            <v>45-49</v>
          </cell>
          <cell r="C10">
            <v>19</v>
          </cell>
          <cell r="D10">
            <v>56</v>
          </cell>
          <cell r="E10">
            <v>86</v>
          </cell>
          <cell r="F10">
            <v>87</v>
          </cell>
          <cell r="G10">
            <v>87</v>
          </cell>
          <cell r="H10">
            <v>3</v>
          </cell>
          <cell r="I10">
            <v>38</v>
          </cell>
        </row>
        <row r="11">
          <cell r="A11">
            <v>7</v>
          </cell>
          <cell r="B11" t="str">
            <v>50-54</v>
          </cell>
          <cell r="C11">
            <v>8</v>
          </cell>
          <cell r="D11">
            <v>35</v>
          </cell>
          <cell r="E11">
            <v>55</v>
          </cell>
          <cell r="F11">
            <v>52</v>
          </cell>
          <cell r="G11">
            <v>93</v>
          </cell>
          <cell r="H11">
            <v>81</v>
          </cell>
          <cell r="I11">
            <v>24</v>
          </cell>
          <cell r="J11">
            <v>13</v>
          </cell>
        </row>
        <row r="12">
          <cell r="A12">
            <v>8</v>
          </cell>
          <cell r="B12" t="str">
            <v>55-59</v>
          </cell>
          <cell r="C12">
            <v>6</v>
          </cell>
          <cell r="D12">
            <v>14</v>
          </cell>
          <cell r="E12">
            <v>23</v>
          </cell>
          <cell r="F12">
            <v>27</v>
          </cell>
          <cell r="G12">
            <v>35</v>
          </cell>
          <cell r="H12">
            <v>84</v>
          </cell>
          <cell r="I12">
            <v>6</v>
          </cell>
          <cell r="J12">
            <v>53</v>
          </cell>
        </row>
        <row r="13">
          <cell r="A13">
            <v>9</v>
          </cell>
          <cell r="B13" t="str">
            <v>60-64</v>
          </cell>
          <cell r="D13">
            <v>7</v>
          </cell>
          <cell r="E13">
            <v>8</v>
          </cell>
          <cell r="F13">
            <v>3</v>
          </cell>
          <cell r="G13">
            <v>7</v>
          </cell>
          <cell r="H13">
            <v>16</v>
          </cell>
          <cell r="I13">
            <v>2</v>
          </cell>
          <cell r="J13">
            <v>24</v>
          </cell>
        </row>
        <row r="14">
          <cell r="A14">
            <v>10</v>
          </cell>
          <cell r="B14" t="str">
            <v>Over 64</v>
          </cell>
          <cell r="J14">
            <v>3</v>
          </cell>
        </row>
        <row r="15">
          <cell r="A15">
            <v>11</v>
          </cell>
          <cell r="B15" t="str">
            <v>(blank)</v>
          </cell>
        </row>
        <row r="16">
          <cell r="A16">
            <v>12</v>
          </cell>
          <cell r="B16" t="str">
            <v>Grand Total</v>
          </cell>
          <cell r="C16">
            <v>171</v>
          </cell>
          <cell r="D16">
            <v>261</v>
          </cell>
          <cell r="E16">
            <v>336</v>
          </cell>
          <cell r="F16">
            <v>226</v>
          </cell>
          <cell r="G16">
            <v>234</v>
          </cell>
          <cell r="H16">
            <v>184</v>
          </cell>
          <cell r="I16">
            <v>265</v>
          </cell>
          <cell r="J16">
            <v>93</v>
          </cell>
        </row>
      </sheetData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s"/>
      <sheetName val="Shadow"/>
      <sheetName val="Constants"/>
      <sheetName val="Sheet1"/>
      <sheetName val="Basic Service"/>
      <sheetName val="TLR"/>
      <sheetName val="MISOca"/>
      <sheetName val="DirectConnects"/>
      <sheetName val="HostZoneSink"/>
    </sheetNames>
    <sheetDataSet>
      <sheetData sheetId="0"/>
      <sheetData sheetId="1"/>
      <sheetData sheetId="2">
        <row r="4">
          <cell r="B4">
            <v>3.4446114719797152E-2</v>
          </cell>
        </row>
        <row r="5">
          <cell r="B5">
            <v>3.4485687876718664E-2</v>
          </cell>
        </row>
        <row r="10">
          <cell r="B10">
            <v>0</v>
          </cell>
        </row>
        <row r="16">
          <cell r="B16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SA Entry"/>
      <sheetName val="BneWorkBookProperties"/>
      <sheetName val="RESRAM Entry"/>
      <sheetName val="entry change"/>
      <sheetName val="Summary"/>
      <sheetName val="Summary by mo"/>
      <sheetName val="Summary-RESRAM"/>
      <sheetName val="Summary by mo-RESRAM"/>
      <sheetName val="2014 WACC for RESRAM Calc"/>
      <sheetName val="2014 WACC for RESRAM Calc v2"/>
      <sheetName val="WACC for RESRAM v3"/>
      <sheetName val="WACC for RESRAM v4"/>
      <sheetName val="Pivot"/>
      <sheetName val="Amortization True-Up Dec21"/>
      <sheetName val="Combined Data"/>
      <sheetName val="CR query"/>
      <sheetName val="PP recon"/>
      <sheetName val="GL recon"/>
      <sheetName val="Recon"/>
      <sheetName val="J0P9K"/>
      <sheetName val="J0T44"/>
      <sheetName val="J0T7D"/>
      <sheetName val="0T500"/>
      <sheetName val="0C226"/>
      <sheetName val="Dates"/>
      <sheetName val="tieout pivot"/>
      <sheetName val="390001"/>
      <sheetName val="390001 query"/>
      <sheetName val="Utility data Oct21-Feb22"/>
      <sheetName val="Utility data strtg Mar22"/>
      <sheetName val="Utility table"/>
      <sheetName val="Depr Rates Oct21-Feb22"/>
      <sheetName val="Depr Rates strtg Mar22"/>
      <sheetName val="Depr Query"/>
      <sheetName val="Reserve data"/>
      <sheetName val="Reserve query"/>
      <sheetName val="Reserve data tieout"/>
      <sheetName val="Elec Gas Factor"/>
      <sheetName val="E to G"/>
      <sheetName val="2.28.22 RORB Adj"/>
      <sheetName val="2017 RORB Adj for Tax Ref"/>
      <sheetName val="Adds-Retires sorted"/>
      <sheetName val="WO lookup"/>
      <sheetName val="STEPS (2)"/>
      <sheetName val="Schedule 1"/>
    </sheetNames>
    <sheetDataSet>
      <sheetData sheetId="0"/>
      <sheetData sheetId="1"/>
      <sheetData sheetId="2"/>
      <sheetData sheetId="3"/>
      <sheetData sheetId="4">
        <row r="19">
          <cell r="C19">
            <v>8.2868555027461765E-2</v>
          </cell>
        </row>
        <row r="20">
          <cell r="C20">
            <v>3.909E-2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WACC"/>
      <sheetName val="Common Stock Equity"/>
      <sheetName val="Preferred"/>
      <sheetName val="Debt Summary"/>
      <sheetName val="TFI Summary"/>
      <sheetName val="TFTd12-08"/>
      <sheetName val="TFT -Cost"/>
      <sheetName val="STD"/>
      <sheetName val="6.75d3-05"/>
      <sheetName val="7.5d7-25"/>
      <sheetName val="PQRd4-32"/>
      <sheetName val="Sd3-28"/>
      <sheetName val="Td3-28"/>
      <sheetName val="7.5d6-09"/>
      <sheetName val="Ud2-24"/>
      <sheetName val="Vd12-24"/>
      <sheetName val="AdjWd11-28"/>
      <sheetName val="AdjXd3-17"/>
      <sheetName val="11.5d12-10"/>
      <sheetName val="6.5d8-03"/>
      <sheetName val="6.0d9-03"/>
      <sheetName val="Template"/>
      <sheetName val="Summary by Test Year"/>
      <sheetName val="Summary by Month"/>
      <sheetName val="189002"/>
      <sheetName val="189012"/>
      <sheetName val="189013"/>
      <sheetName val="189015"/>
      <sheetName val="189015 Secur"/>
      <sheetName val="189017"/>
      <sheetName val="189018"/>
      <sheetName val="189019"/>
      <sheetName val="189021"/>
      <sheetName val="189022"/>
      <sheetName val="189023"/>
      <sheetName val="189024"/>
      <sheetName val="189025"/>
      <sheetName val="189026 Secur"/>
      <sheetName val="189027 Secur"/>
      <sheetName val="189028 Secur"/>
      <sheetName val="189040"/>
      <sheetName val="189999"/>
      <sheetName val="257033"/>
      <sheetName val="257033 Secur"/>
    </sheetNames>
    <sheetDataSet>
      <sheetData sheetId="0"/>
      <sheetData sheetId="1">
        <row r="5">
          <cell r="B5">
            <v>37986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rim month pivot"/>
      <sheetName val="sa 235 pivot"/>
      <sheetName val="Res"/>
      <sheetName val="SGS"/>
      <sheetName val="LGS"/>
      <sheetName val="SPS"/>
      <sheetName val="LPS"/>
      <sheetName val="12m"/>
      <sheetName val="Lighting data"/>
      <sheetName val="MSD"/>
      <sheetName val="Rate impact"/>
      <sheetName val="Summary"/>
      <sheetName val="Rate definition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>
        <row r="40">
          <cell r="S40">
            <v>217.25</v>
          </cell>
        </row>
        <row r="41">
          <cell r="S41">
            <v>7.2599999999999998E-2</v>
          </cell>
        </row>
        <row r="42">
          <cell r="S42">
            <v>5.4699999999999999E-2</v>
          </cell>
        </row>
        <row r="43">
          <cell r="S43">
            <v>3.6799999999999999E-2</v>
          </cell>
        </row>
        <row r="44">
          <cell r="S44">
            <v>2.91</v>
          </cell>
        </row>
        <row r="45">
          <cell r="S45">
            <v>4.5699999999999998E-2</v>
          </cell>
        </row>
        <row r="46">
          <cell r="S46">
            <v>3.4000000000000002E-2</v>
          </cell>
        </row>
        <row r="47">
          <cell r="S47">
            <v>2.6700000000000002E-2</v>
          </cell>
        </row>
        <row r="48">
          <cell r="S48">
            <v>2.6700000000000002E-2</v>
          </cell>
        </row>
        <row r="49">
          <cell r="S49">
            <v>1.06</v>
          </cell>
        </row>
        <row r="50">
          <cell r="S50">
            <v>0.25</v>
          </cell>
        </row>
        <row r="52">
          <cell r="S52">
            <v>6.4999999999999997E-3</v>
          </cell>
        </row>
        <row r="53">
          <cell r="S53">
            <v>-3.5999999999999999E-3</v>
          </cell>
        </row>
        <row r="54">
          <cell r="S54">
            <v>2.3999999999999998E-3</v>
          </cell>
        </row>
        <row r="55">
          <cell r="S55">
            <v>-1.2999999999999999E-3</v>
          </cell>
        </row>
        <row r="57">
          <cell r="S57">
            <v>-0.83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p pvt"/>
      <sheetName val="12312000cmp"/>
      <sheetName val="blkt pvt2"/>
      <sheetName val="12312000blkts"/>
      <sheetName val="addsretire"/>
      <sheetName val="Sept 30 plt"/>
      <sheetName val="Dec recap"/>
      <sheetName val="composite depr"/>
      <sheetName val="12312000"/>
      <sheetName val="QUERY12312000"/>
      <sheetName val="Jan 1 balances"/>
      <sheetName val="JE 120 Backup"/>
      <sheetName val="Dec adds"/>
      <sheetName val="Nov 30 balances"/>
      <sheetName val="nov 30 bal"/>
      <sheetName val="nov 30 2000 QUERY"/>
      <sheetName val="dec asset mgmt"/>
      <sheetName val="DEC PLT ACTIVITY QRY"/>
      <sheetName val="JE 120 Jan-Nov Facesheet"/>
      <sheetName val="PSJan-Nov"/>
      <sheetName val="JE 120 Dec Facesheet"/>
      <sheetName val="PSDec"/>
      <sheetName val="CTRL J to Print"/>
      <sheetName val="je120"/>
      <sheetName val="Cost Center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 Funding"/>
      <sheetName val="Pension Expense"/>
      <sheetName val="Ret Med Expense"/>
      <sheetName val="Assump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43"/>
  <sheetViews>
    <sheetView zoomScaleNormal="100" workbookViewId="0">
      <pane ySplit="4" topLeftCell="A5" activePane="bottomLeft" state="frozen"/>
      <selection activeCell="A18" sqref="A18:XFD18"/>
      <selection pane="bottomLeft" activeCell="A4" sqref="A4"/>
    </sheetView>
  </sheetViews>
  <sheetFormatPr defaultColWidth="13.42578125" defaultRowHeight="15" x14ac:dyDescent="0.25"/>
  <cols>
    <col min="1" max="1" width="45.28515625" customWidth="1"/>
    <col min="2" max="2" width="17.85546875" customWidth="1"/>
    <col min="3" max="3" width="19.28515625" bestFit="1" customWidth="1"/>
    <col min="4" max="5" width="21.140625" bestFit="1" customWidth="1"/>
    <col min="6" max="14" width="21.140625" customWidth="1"/>
  </cols>
  <sheetData>
    <row r="1" spans="1:14" x14ac:dyDescent="0.25">
      <c r="A1" t="s">
        <v>0</v>
      </c>
    </row>
    <row r="2" spans="1:14" ht="15.75" thickBot="1" x14ac:dyDescent="0.3">
      <c r="A2" t="s">
        <v>1</v>
      </c>
    </row>
    <row r="3" spans="1:14" ht="15.75" thickBot="1" x14ac:dyDescent="0.3">
      <c r="A3" t="s">
        <v>172</v>
      </c>
      <c r="C3" s="317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9"/>
    </row>
    <row r="4" spans="1:14" x14ac:dyDescent="0.25">
      <c r="A4" s="1"/>
      <c r="B4" s="17">
        <v>44378</v>
      </c>
      <c r="C4" s="16">
        <v>44409</v>
      </c>
      <c r="D4" s="17">
        <v>44440</v>
      </c>
      <c r="E4" s="17">
        <v>44470</v>
      </c>
      <c r="F4" s="17">
        <v>44501</v>
      </c>
      <c r="G4" s="17">
        <v>44531</v>
      </c>
      <c r="H4" s="17">
        <v>44562</v>
      </c>
      <c r="I4" s="17">
        <v>44593</v>
      </c>
      <c r="J4" s="17">
        <v>44621</v>
      </c>
      <c r="K4" s="17">
        <v>44652</v>
      </c>
      <c r="L4" s="17">
        <v>44682</v>
      </c>
      <c r="M4" s="17">
        <v>44713</v>
      </c>
      <c r="N4" s="92">
        <v>44743</v>
      </c>
    </row>
    <row r="5" spans="1:14" x14ac:dyDescent="0.25">
      <c r="A5" s="2" t="s">
        <v>27</v>
      </c>
      <c r="B5" s="2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93"/>
    </row>
    <row r="6" spans="1:14" x14ac:dyDescent="0.25">
      <c r="A6" s="3" t="s">
        <v>177</v>
      </c>
      <c r="B6" s="3"/>
      <c r="C6" s="106"/>
      <c r="D6" s="97"/>
      <c r="E6" s="97"/>
      <c r="F6" s="97"/>
      <c r="G6" s="97"/>
      <c r="H6" s="97"/>
      <c r="I6" s="97"/>
      <c r="J6" s="97"/>
      <c r="K6" s="107"/>
      <c r="L6" s="107"/>
      <c r="M6" s="107"/>
      <c r="N6" s="108"/>
    </row>
    <row r="7" spans="1:14" x14ac:dyDescent="0.25">
      <c r="A7" s="3" t="s">
        <v>178</v>
      </c>
      <c r="B7" s="3"/>
      <c r="C7" s="106"/>
      <c r="D7" s="97"/>
      <c r="E7" s="97"/>
      <c r="F7" s="97"/>
      <c r="G7" s="97"/>
      <c r="H7" s="97"/>
      <c r="I7" s="97"/>
      <c r="J7" s="97"/>
      <c r="K7" s="107"/>
      <c r="L7" s="107"/>
      <c r="M7" s="107"/>
      <c r="N7" s="108"/>
    </row>
    <row r="8" spans="1:14" x14ac:dyDescent="0.25">
      <c r="A8" s="3" t="s">
        <v>179</v>
      </c>
      <c r="B8" s="3"/>
      <c r="C8" s="106"/>
      <c r="D8" s="97"/>
      <c r="E8" s="97"/>
      <c r="F8" s="97"/>
      <c r="G8" s="97"/>
      <c r="H8" s="97"/>
      <c r="I8" s="97"/>
      <c r="J8" s="97"/>
      <c r="K8" s="107"/>
      <c r="L8" s="107"/>
      <c r="M8" s="107"/>
      <c r="N8" s="108"/>
    </row>
    <row r="9" spans="1:14" x14ac:dyDescent="0.25">
      <c r="A9" s="3" t="s">
        <v>2</v>
      </c>
      <c r="B9" s="3"/>
      <c r="C9" s="106"/>
      <c r="D9" s="97"/>
      <c r="E9" s="97"/>
      <c r="F9" s="97"/>
      <c r="G9" s="97"/>
      <c r="H9" s="97"/>
      <c r="I9" s="97"/>
      <c r="J9" s="97"/>
      <c r="K9" s="107"/>
      <c r="L9" s="107"/>
      <c r="M9" s="107"/>
      <c r="N9" s="108"/>
    </row>
    <row r="10" spans="1:14" x14ac:dyDescent="0.25">
      <c r="A10" s="3" t="s">
        <v>180</v>
      </c>
      <c r="B10" s="3"/>
      <c r="C10" s="106"/>
      <c r="D10" s="97"/>
      <c r="E10" s="97"/>
      <c r="F10" s="97"/>
      <c r="G10" s="97"/>
      <c r="H10" s="97"/>
      <c r="I10" s="97"/>
      <c r="J10" s="97"/>
      <c r="K10" s="107"/>
      <c r="L10" s="107"/>
      <c r="M10" s="107"/>
      <c r="N10" s="108"/>
    </row>
    <row r="11" spans="1:14" x14ac:dyDescent="0.25">
      <c r="A11" s="3" t="s">
        <v>181</v>
      </c>
      <c r="B11" s="3"/>
      <c r="C11" s="106"/>
      <c r="D11" s="97"/>
      <c r="E11" s="97"/>
      <c r="F11" s="97"/>
      <c r="G11" s="97"/>
      <c r="H11" s="97"/>
      <c r="I11" s="97"/>
      <c r="J11" s="97"/>
      <c r="K11" s="107"/>
      <c r="L11" s="107"/>
      <c r="M11" s="107"/>
      <c r="N11" s="108"/>
    </row>
    <row r="12" spans="1:14" x14ac:dyDescent="0.25">
      <c r="A12" s="3" t="s">
        <v>3</v>
      </c>
      <c r="B12" s="3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8"/>
    </row>
    <row r="13" spans="1:14" x14ac:dyDescent="0.25">
      <c r="A13" s="3" t="s">
        <v>4</v>
      </c>
      <c r="B13" s="3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94"/>
    </row>
    <row r="14" spans="1:14" x14ac:dyDescent="0.25">
      <c r="A14" s="3" t="s">
        <v>5</v>
      </c>
      <c r="B14" s="3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4"/>
    </row>
    <row r="15" spans="1:14" x14ac:dyDescent="0.25">
      <c r="A15" s="3" t="s">
        <v>6</v>
      </c>
      <c r="B15" s="3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94"/>
    </row>
    <row r="16" spans="1:14" x14ac:dyDescent="0.25">
      <c r="A16" s="3" t="s">
        <v>7</v>
      </c>
      <c r="B16" s="3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94"/>
    </row>
    <row r="17" spans="1:15" x14ac:dyDescent="0.25">
      <c r="A17" s="3" t="s">
        <v>8</v>
      </c>
      <c r="B17" s="3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94"/>
    </row>
    <row r="18" spans="1:15" x14ac:dyDescent="0.25">
      <c r="A18" s="5" t="s">
        <v>185</v>
      </c>
      <c r="B18" s="3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94"/>
    </row>
    <row r="19" spans="1:15" x14ac:dyDescent="0.25">
      <c r="A19" s="3" t="s">
        <v>9</v>
      </c>
      <c r="B19" s="3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94"/>
    </row>
    <row r="20" spans="1:15" ht="15.75" thickBot="1" x14ac:dyDescent="0.3">
      <c r="A20" s="2" t="s">
        <v>10</v>
      </c>
      <c r="B20" s="2"/>
      <c r="C20" s="109">
        <f t="shared" ref="C20:N20" si="0">SUM(C6:C14)</f>
        <v>0</v>
      </c>
      <c r="D20" s="110">
        <f t="shared" si="0"/>
        <v>0</v>
      </c>
      <c r="E20" s="110">
        <f t="shared" si="0"/>
        <v>0</v>
      </c>
      <c r="F20" s="110">
        <f t="shared" si="0"/>
        <v>0</v>
      </c>
      <c r="G20" s="110">
        <f t="shared" si="0"/>
        <v>0</v>
      </c>
      <c r="H20" s="110">
        <f t="shared" si="0"/>
        <v>0</v>
      </c>
      <c r="I20" s="110">
        <f t="shared" si="0"/>
        <v>0</v>
      </c>
      <c r="J20" s="110">
        <f t="shared" si="0"/>
        <v>0</v>
      </c>
      <c r="K20" s="110">
        <f t="shared" si="0"/>
        <v>0</v>
      </c>
      <c r="L20" s="110">
        <f t="shared" si="0"/>
        <v>0</v>
      </c>
      <c r="M20" s="110">
        <f t="shared" si="0"/>
        <v>0</v>
      </c>
      <c r="N20" s="111">
        <f t="shared" si="0"/>
        <v>0</v>
      </c>
    </row>
    <row r="21" spans="1:15" x14ac:dyDescent="0.25">
      <c r="C21" s="112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4"/>
    </row>
    <row r="22" spans="1:15" x14ac:dyDescent="0.25">
      <c r="A22" s="5" t="s">
        <v>184</v>
      </c>
      <c r="B22" s="5"/>
      <c r="C22" s="115">
        <v>-102404.53999999998</v>
      </c>
      <c r="D22" s="96">
        <v>-102427.52999999997</v>
      </c>
      <c r="E22" s="96">
        <v>-81058.519999999975</v>
      </c>
      <c r="F22" s="96">
        <v>-73598.349999999977</v>
      </c>
      <c r="G22" s="96">
        <v>-88835.289999999979</v>
      </c>
      <c r="H22" s="96">
        <v>-100747.01999999997</v>
      </c>
      <c r="I22" s="96"/>
      <c r="J22" s="96"/>
      <c r="K22" s="96"/>
      <c r="L22" s="96"/>
      <c r="M22" s="96"/>
      <c r="N22" s="116"/>
    </row>
    <row r="23" spans="1:15" x14ac:dyDescent="0.25">
      <c r="A23" s="5" t="s">
        <v>28</v>
      </c>
      <c r="B23" s="5"/>
      <c r="C23" s="115">
        <v>0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116">
        <v>0</v>
      </c>
    </row>
    <row r="24" spans="1:15" x14ac:dyDescent="0.25">
      <c r="A24" s="3" t="s">
        <v>29</v>
      </c>
      <c r="B24" s="3"/>
      <c r="C24" s="115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116">
        <v>0</v>
      </c>
    </row>
    <row r="25" spans="1:15" x14ac:dyDescent="0.25">
      <c r="A25" s="2" t="s">
        <v>30</v>
      </c>
      <c r="B25" s="2"/>
      <c r="C25" s="115">
        <f t="shared" ref="C25:N25" si="1">SUM(C22:C24)</f>
        <v>-102404.53999999998</v>
      </c>
      <c r="D25" s="97">
        <f t="shared" si="1"/>
        <v>-102427.52999999997</v>
      </c>
      <c r="E25" s="97">
        <f t="shared" si="1"/>
        <v>-81058.519999999975</v>
      </c>
      <c r="F25" s="97">
        <f t="shared" si="1"/>
        <v>-73598.349999999977</v>
      </c>
      <c r="G25" s="97">
        <f t="shared" si="1"/>
        <v>-88835.289999999979</v>
      </c>
      <c r="H25" s="97">
        <f t="shared" si="1"/>
        <v>-100747.01999999997</v>
      </c>
      <c r="I25" s="97">
        <f t="shared" si="1"/>
        <v>0</v>
      </c>
      <c r="J25" s="97">
        <f t="shared" si="1"/>
        <v>0</v>
      </c>
      <c r="K25" s="97">
        <f t="shared" si="1"/>
        <v>0</v>
      </c>
      <c r="L25" s="97">
        <f t="shared" si="1"/>
        <v>0</v>
      </c>
      <c r="M25" s="97">
        <f t="shared" si="1"/>
        <v>0</v>
      </c>
      <c r="N25" s="117">
        <f t="shared" si="1"/>
        <v>0</v>
      </c>
    </row>
    <row r="26" spans="1:15" ht="15.75" thickBot="1" x14ac:dyDescent="0.3">
      <c r="A26" s="6" t="s">
        <v>11</v>
      </c>
      <c r="B26" s="6"/>
      <c r="C26" s="118">
        <f t="shared" ref="C26:N26" si="2">C25+C20</f>
        <v>-102404.53999999998</v>
      </c>
      <c r="D26" s="98">
        <f t="shared" si="2"/>
        <v>-102427.52999999997</v>
      </c>
      <c r="E26" s="98">
        <f t="shared" si="2"/>
        <v>-81058.519999999975</v>
      </c>
      <c r="F26" s="98">
        <f t="shared" si="2"/>
        <v>-73598.349999999977</v>
      </c>
      <c r="G26" s="98">
        <f t="shared" si="2"/>
        <v>-88835.289999999979</v>
      </c>
      <c r="H26" s="98">
        <f t="shared" si="2"/>
        <v>-100747.01999999997</v>
      </c>
      <c r="I26" s="98">
        <f t="shared" si="2"/>
        <v>0</v>
      </c>
      <c r="J26" s="98">
        <f t="shared" si="2"/>
        <v>0</v>
      </c>
      <c r="K26" s="98">
        <f t="shared" si="2"/>
        <v>0</v>
      </c>
      <c r="L26" s="98">
        <f t="shared" si="2"/>
        <v>0</v>
      </c>
      <c r="M26" s="98">
        <f t="shared" si="2"/>
        <v>0</v>
      </c>
      <c r="N26" s="99">
        <f t="shared" si="2"/>
        <v>0</v>
      </c>
    </row>
    <row r="27" spans="1:15" x14ac:dyDescent="0.25">
      <c r="A27" s="2"/>
      <c r="B27" s="2"/>
      <c r="C27" s="22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93"/>
    </row>
    <row r="28" spans="1:15" x14ac:dyDescent="0.25">
      <c r="A28" s="133" t="s">
        <v>12</v>
      </c>
      <c r="B28" s="133"/>
      <c r="C28" s="23">
        <f>+'Aug 21 Int'!G6/12</f>
        <v>1.7091559095531441E-4</v>
      </c>
      <c r="D28" s="7">
        <f>+'Sept 21 Int'!G6/12</f>
        <v>1.6102763684097541E-4</v>
      </c>
      <c r="E28" s="7">
        <f>+'Oct 21 Int'!G6/12</f>
        <v>1.25E-4</v>
      </c>
      <c r="F28" s="7">
        <f>'Nov 21 Int'!G6/12</f>
        <v>1.276745198859246E-4</v>
      </c>
      <c r="G28" s="7">
        <f>'Dec 21 Int'!G6/12</f>
        <v>2.170530561197108E-4</v>
      </c>
      <c r="H28" s="7">
        <f>'Jan 22 Int'!G6/12</f>
        <v>1.9537535472920729E-4</v>
      </c>
      <c r="I28" s="7">
        <f>'Feb 22 Int'!G6/12</f>
        <v>2.4654047057005147E-4</v>
      </c>
      <c r="J28" s="7">
        <f>'Mar 22 Int'!G6/12</f>
        <v>5.7357976245895096E-4</v>
      </c>
      <c r="K28" s="7">
        <f>'Apr 22 Int'!G6/12</f>
        <v>5.0034652180606606E-4</v>
      </c>
      <c r="L28" s="7">
        <f>'May 22 Int'!G6/12</f>
        <v>7.9142088993797166E-4</v>
      </c>
      <c r="M28" s="7">
        <f>'Jun 22 Int'!G6/12</f>
        <v>1.2382212965076471E-3</v>
      </c>
      <c r="N28" s="95">
        <f>'Jul 22 Int'!G6/12</f>
        <v>1.7139082777822339E-3</v>
      </c>
    </row>
    <row r="29" spans="1:15" x14ac:dyDescent="0.25">
      <c r="A29" s="8" t="s">
        <v>13</v>
      </c>
      <c r="B29" s="8"/>
      <c r="C29" s="101">
        <f>(B33+C26)*C28</f>
        <v>74.917183397516538</v>
      </c>
      <c r="D29" s="100">
        <f t="shared" ref="D29:I29" si="3">(D26+C33)*D28</f>
        <v>54.101411427773066</v>
      </c>
      <c r="E29" s="100">
        <f t="shared" si="3"/>
        <v>31.871440001107427</v>
      </c>
      <c r="F29" s="100">
        <f t="shared" si="3"/>
        <v>23.16080157186952</v>
      </c>
      <c r="G29" s="100">
        <f t="shared" si="3"/>
        <v>20.097574578980566</v>
      </c>
      <c r="H29" s="100">
        <f t="shared" si="3"/>
        <v>-1.5891851233093752</v>
      </c>
      <c r="I29" s="100">
        <f t="shared" si="3"/>
        <v>1.5775831767531432E-7</v>
      </c>
      <c r="J29" s="100">
        <f t="shared" ref="J29" si="4">(J26+I33)*J28</f>
        <v>3.6711736158807732E-7</v>
      </c>
      <c r="K29" s="100">
        <f t="shared" ref="K29" si="5">(K26+J33)*K28</f>
        <v>3.2042841380821701E-7</v>
      </c>
      <c r="L29" s="100">
        <f t="shared" ref="L29" si="6">(L26+K33)*L28</f>
        <v>5.0708981496992068E-7</v>
      </c>
      <c r="M29" s="100">
        <f t="shared" ref="M29" si="7">(M26+L33)*M28</f>
        <v>7.939976577839631E-7</v>
      </c>
      <c r="N29" s="102">
        <f t="shared" ref="N29" si="8">(N26+M33)*N28</f>
        <v>1.1003882602289334E-6</v>
      </c>
      <c r="O29" s="120"/>
    </row>
    <row r="30" spans="1:15" x14ac:dyDescent="0.25">
      <c r="A30" s="2"/>
      <c r="B30" s="2"/>
      <c r="C30" s="104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5"/>
    </row>
    <row r="31" spans="1:15" x14ac:dyDescent="0.25">
      <c r="A31" s="2" t="s">
        <v>242</v>
      </c>
      <c r="B31" s="2"/>
      <c r="C31" s="104"/>
      <c r="D31" s="103"/>
      <c r="E31" s="103"/>
      <c r="F31" s="103"/>
      <c r="G31" s="103"/>
      <c r="H31" s="103">
        <v>8135.6</v>
      </c>
      <c r="I31" s="103"/>
      <c r="J31" s="103"/>
      <c r="K31" s="103"/>
      <c r="L31" s="103"/>
      <c r="M31" s="103"/>
      <c r="N31" s="105"/>
    </row>
    <row r="32" spans="1:15" x14ac:dyDescent="0.25">
      <c r="A32" s="2"/>
      <c r="B32" s="2"/>
      <c r="C32" s="104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5"/>
    </row>
    <row r="33" spans="1:14" ht="15.75" thickBot="1" x14ac:dyDescent="0.3">
      <c r="A33" s="6" t="s">
        <v>14</v>
      </c>
      <c r="B33" s="98">
        <v>540733.09141403402</v>
      </c>
      <c r="C33" s="118">
        <f>C26+C29+B33</f>
        <v>438403.46859743155</v>
      </c>
      <c r="D33" s="98">
        <f>D26+D29+C33</f>
        <v>336030.04000885936</v>
      </c>
      <c r="E33" s="98">
        <f t="shared" ref="E33:I33" si="9">E26+E29+D33</f>
        <v>255003.39144886049</v>
      </c>
      <c r="F33" s="98">
        <f t="shared" si="9"/>
        <v>181428.2022504324</v>
      </c>
      <c r="G33" s="98">
        <f t="shared" si="9"/>
        <v>92613.009825011395</v>
      </c>
      <c r="H33" s="98">
        <f>H26+H29+G33+H31</f>
        <v>6.3988811780291144E-4</v>
      </c>
      <c r="I33" s="98">
        <f t="shared" si="9"/>
        <v>6.4004587612058678E-4</v>
      </c>
      <c r="J33" s="98">
        <f t="shared" ref="J33" si="10">J26+J29+I33</f>
        <v>6.4041299348217482E-4</v>
      </c>
      <c r="K33" s="98">
        <f t="shared" ref="K33" si="11">K26+K29+J33</f>
        <v>6.4073342189598299E-4</v>
      </c>
      <c r="L33" s="98">
        <f t="shared" ref="L33" si="12">L26+L29+K33</f>
        <v>6.4124051171095286E-4</v>
      </c>
      <c r="M33" s="98">
        <f t="shared" ref="M33" si="13">M26+M29+L33</f>
        <v>6.4203450936873685E-4</v>
      </c>
      <c r="N33" s="99">
        <f t="shared" ref="N33" si="14">N26+N29+M33</f>
        <v>6.431348976289658E-4</v>
      </c>
    </row>
    <row r="40" spans="1:14" x14ac:dyDescent="0.25">
      <c r="C40" s="79"/>
      <c r="D40" s="79"/>
      <c r="E40" s="79"/>
      <c r="F40" s="79"/>
      <c r="G40" s="79"/>
      <c r="H40" s="79"/>
      <c r="I40" s="79"/>
    </row>
    <row r="41" spans="1:14" x14ac:dyDescent="0.25">
      <c r="C41" s="80"/>
      <c r="D41" s="80"/>
      <c r="E41" s="80"/>
      <c r="F41" s="80"/>
      <c r="G41" s="80"/>
      <c r="H41" s="80"/>
      <c r="I41" s="80"/>
    </row>
    <row r="42" spans="1:14" x14ac:dyDescent="0.25">
      <c r="C42" s="80"/>
      <c r="D42" s="80"/>
      <c r="E42" s="80"/>
      <c r="F42" s="80"/>
      <c r="G42" s="80"/>
      <c r="H42" s="80"/>
      <c r="I42" s="80"/>
    </row>
    <row r="43" spans="1:14" x14ac:dyDescent="0.25">
      <c r="C43" s="80"/>
      <c r="D43" s="80"/>
      <c r="E43" s="80"/>
      <c r="F43" s="80"/>
      <c r="G43" s="80"/>
      <c r="H43" s="80"/>
      <c r="I43" s="80"/>
    </row>
  </sheetData>
  <mergeCells count="1">
    <mergeCell ref="C3:N3"/>
  </mergeCells>
  <pageMargins left="0.7" right="0.7" top="0.75" bottom="0.75" header="0.3" footer="0.3"/>
  <pageSetup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EQ52"/>
  <sheetViews>
    <sheetView workbookViewId="0">
      <selection activeCell="G7" sqref="G7"/>
    </sheetView>
  </sheetViews>
  <sheetFormatPr defaultRowHeight="15" x14ac:dyDescent="0.25"/>
  <cols>
    <col min="1" max="1" width="14.5703125" bestFit="1" customWidth="1"/>
    <col min="2" max="2" width="15.5703125" style="40" hidden="1" customWidth="1"/>
    <col min="3" max="3" width="15.42578125" style="41" hidden="1" customWidth="1"/>
    <col min="4" max="4" width="15.42578125" hidden="1" customWidth="1"/>
    <col min="5" max="5" width="15.5703125" style="40" bestFit="1" customWidth="1"/>
    <col min="6" max="6" width="4.8554687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hidden="1" customWidth="1"/>
    <col min="48" max="48" width="10.28515625" style="41" hidden="1" customWidth="1"/>
    <col min="49" max="49" width="10.7109375" hidden="1" customWidth="1"/>
    <col min="50" max="50" width="14.42578125" style="40" hidden="1" customWidth="1"/>
    <col min="51" max="51" width="10.28515625" style="41" hidden="1" customWidth="1"/>
    <col min="52" max="52" width="10.7109375" hidden="1" customWidth="1"/>
    <col min="53" max="53" width="14.42578125" style="40" hidden="1" customWidth="1"/>
    <col min="54" max="54" width="10.28515625" style="41" hidden="1" customWidth="1"/>
    <col min="55" max="55" width="10.7109375" hidden="1" customWidth="1"/>
    <col min="56" max="56" width="14.42578125" style="40" hidden="1" customWidth="1"/>
    <col min="57" max="57" width="10.28515625" style="41" hidden="1" customWidth="1"/>
    <col min="58" max="58" width="10.7109375" hidden="1" customWidth="1"/>
    <col min="59" max="59" width="14.42578125" style="40" hidden="1" customWidth="1"/>
    <col min="60" max="60" width="10.28515625" style="41" hidden="1" customWidth="1"/>
    <col min="61" max="61" width="10.7109375" hidden="1" customWidth="1"/>
    <col min="62" max="62" width="14.42578125" style="40" hidden="1" customWidth="1"/>
    <col min="63" max="63" width="10.28515625" style="41" hidden="1" customWidth="1"/>
    <col min="64" max="64" width="10.7109375" hidden="1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EB42</f>
        <v>197225000</v>
      </c>
      <c r="EI2" s="38">
        <f>EG41</f>
        <v>0</v>
      </c>
      <c r="EM2" s="38"/>
      <c r="EN2" s="38">
        <f>EK42</f>
        <v>197225000</v>
      </c>
      <c r="EO2" s="31">
        <v>-99472.22</v>
      </c>
      <c r="EP2" s="31">
        <f>EN2+EO2</f>
        <v>197125527.78</v>
      </c>
      <c r="EQ2" s="31">
        <f>EE2+EO2</f>
        <v>197125527.78</v>
      </c>
    </row>
    <row r="3" spans="1:147" ht="16.5" thickTop="1" x14ac:dyDescent="0.25">
      <c r="A3" s="39" t="s">
        <v>99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AVERAGE(EB12:EB42)</f>
        <v>134465322.58064517</v>
      </c>
      <c r="EI3" s="38">
        <f>AVERAGE(EG12:EG41)</f>
        <v>0</v>
      </c>
      <c r="EM3" s="38"/>
      <c r="EN3" s="38">
        <f>AVERAGE(EK12:EK42)</f>
        <v>134465322.58064517</v>
      </c>
    </row>
    <row r="4" spans="1:147" ht="15.75" x14ac:dyDescent="0.25">
      <c r="A4" s="39"/>
      <c r="E4" s="45"/>
      <c r="F4" s="46"/>
      <c r="G4" s="47"/>
      <c r="EB4" s="24"/>
      <c r="EC4" s="24"/>
      <c r="ED4" s="38"/>
      <c r="EE4" s="38"/>
      <c r="EI4" s="38"/>
      <c r="EM4" s="38"/>
      <c r="EN4" s="38"/>
    </row>
    <row r="5" spans="1:147" x14ac:dyDescent="0.25">
      <c r="D5" s="24"/>
      <c r="E5" s="48" t="s">
        <v>98</v>
      </c>
      <c r="F5" s="38"/>
      <c r="G5" s="49">
        <f>EQ2</f>
        <v>197125527.78</v>
      </c>
      <c r="AI5" s="50" t="s">
        <v>102</v>
      </c>
      <c r="EB5" s="24" t="s">
        <v>103</v>
      </c>
      <c r="EC5" s="24"/>
      <c r="ED5" s="46"/>
      <c r="EE5" s="46">
        <f>IF(EE3=0,0,360*(AVERAGE(ED12:ED42)/EE3))</f>
        <v>2.8696952685966507E-2</v>
      </c>
      <c r="EI5" s="46">
        <f>IF(EI3=0,0,360*(AVERAGE(EH12:EH41)/EI3))</f>
        <v>0</v>
      </c>
      <c r="EM5" s="46"/>
      <c r="EN5" s="46">
        <f>IF(EN3=0,0,360*(AVERAGE(EM12:EM42)/EN3))</f>
        <v>2.8696952685966507E-2</v>
      </c>
      <c r="EO5" s="51" t="s">
        <v>104</v>
      </c>
      <c r="EQ5" s="52" t="s">
        <v>102</v>
      </c>
    </row>
    <row r="6" spans="1:147" ht="15.75" x14ac:dyDescent="0.25">
      <c r="D6" s="24"/>
      <c r="E6" s="48" t="s">
        <v>101</v>
      </c>
      <c r="F6" s="38"/>
      <c r="G6" s="49">
        <f>EE3</f>
        <v>134465322.58064517</v>
      </c>
      <c r="AI6" s="53" t="s">
        <v>93</v>
      </c>
      <c r="EB6" s="54" t="s">
        <v>105</v>
      </c>
      <c r="EC6" s="54"/>
      <c r="ED6" s="38"/>
      <c r="EE6" s="38">
        <f>MAX(EB12:EB42)</f>
        <v>198900000</v>
      </c>
      <c r="EI6" s="38">
        <f>MAX(EG12:EG41)</f>
        <v>0</v>
      </c>
      <c r="EM6" s="38"/>
      <c r="EN6" s="38">
        <f>MAX(EK12:EK42)</f>
        <v>198900000</v>
      </c>
    </row>
    <row r="7" spans="1:147" x14ac:dyDescent="0.25">
      <c r="D7" s="24"/>
      <c r="E7" s="48" t="s">
        <v>103</v>
      </c>
      <c r="F7" s="38"/>
      <c r="G7" s="55">
        <f>EE5</f>
        <v>2.8696952685966507E-2</v>
      </c>
    </row>
    <row r="8" spans="1:147" ht="16.5" thickBot="1" x14ac:dyDescent="0.3">
      <c r="D8" s="24"/>
      <c r="E8" s="56" t="s">
        <v>105</v>
      </c>
      <c r="F8" s="57"/>
      <c r="G8" s="58">
        <f>EE6</f>
        <v>198900000</v>
      </c>
      <c r="AI8" s="53" t="s">
        <v>93</v>
      </c>
      <c r="EB8" s="59" t="s">
        <v>106</v>
      </c>
      <c r="EC8" s="59"/>
      <c r="ED8" s="60"/>
      <c r="EE8" s="60"/>
      <c r="EG8" s="59" t="s">
        <v>107</v>
      </c>
      <c r="EH8" s="60"/>
      <c r="EI8" s="60"/>
      <c r="EJ8" s="61"/>
      <c r="EK8" s="59" t="s">
        <v>108</v>
      </c>
      <c r="EL8" s="59"/>
      <c r="EM8" s="60"/>
      <c r="EN8" s="60"/>
    </row>
    <row r="9" spans="1:147" ht="15.75" thickTop="1" x14ac:dyDescent="0.25">
      <c r="AI9" s="62" t="s">
        <v>109</v>
      </c>
      <c r="AL9" s="62" t="s">
        <v>109</v>
      </c>
      <c r="AO9" s="62" t="s">
        <v>109</v>
      </c>
      <c r="AR9" s="62" t="s">
        <v>109</v>
      </c>
      <c r="AU9" s="62" t="s">
        <v>109</v>
      </c>
      <c r="AX9" s="62" t="s">
        <v>109</v>
      </c>
      <c r="BA9" s="62" t="s">
        <v>109</v>
      </c>
      <c r="BD9" s="62" t="s">
        <v>109</v>
      </c>
      <c r="BG9" s="62" t="s">
        <v>109</v>
      </c>
      <c r="BJ9" s="62" t="s">
        <v>109</v>
      </c>
      <c r="BM9" s="62" t="s">
        <v>109</v>
      </c>
      <c r="BP9" s="62" t="s">
        <v>109</v>
      </c>
      <c r="BS9" s="62" t="s">
        <v>109</v>
      </c>
      <c r="BV9" s="62" t="s">
        <v>109</v>
      </c>
      <c r="BY9" s="62" t="s">
        <v>109</v>
      </c>
      <c r="CB9" s="62" t="s">
        <v>109</v>
      </c>
      <c r="CE9" s="62" t="s">
        <v>109</v>
      </c>
      <c r="CH9" s="62" t="s">
        <v>109</v>
      </c>
      <c r="CK9" s="62" t="s">
        <v>109</v>
      </c>
      <c r="CN9" s="62" t="s">
        <v>109</v>
      </c>
      <c r="CQ9" s="62" t="s">
        <v>109</v>
      </c>
      <c r="CT9" s="62" t="s">
        <v>109</v>
      </c>
      <c r="CW9" s="62" t="s">
        <v>109</v>
      </c>
      <c r="CZ9" s="62" t="s">
        <v>109</v>
      </c>
      <c r="DC9" s="62" t="s">
        <v>109</v>
      </c>
      <c r="DF9" s="62" t="s">
        <v>109</v>
      </c>
      <c r="DI9" s="62" t="s">
        <v>109</v>
      </c>
      <c r="DL9" s="62" t="s">
        <v>109</v>
      </c>
      <c r="DO9" s="62" t="s">
        <v>109</v>
      </c>
      <c r="DR9" s="62" t="s">
        <v>109</v>
      </c>
      <c r="EB9" s="63"/>
      <c r="EC9" s="63"/>
      <c r="ED9" s="63"/>
      <c r="EE9" s="63" t="s">
        <v>110</v>
      </c>
      <c r="EG9" s="63"/>
      <c r="EH9" s="64" t="s">
        <v>92</v>
      </c>
      <c r="EI9" s="63" t="s">
        <v>110</v>
      </c>
      <c r="EJ9" s="63"/>
      <c r="EK9" s="52" t="s">
        <v>111</v>
      </c>
      <c r="EL9" s="52" t="s">
        <v>112</v>
      </c>
      <c r="EM9" s="64" t="s">
        <v>113</v>
      </c>
      <c r="EN9" s="63" t="s">
        <v>110</v>
      </c>
    </row>
    <row r="10" spans="1:147" x14ac:dyDescent="0.25">
      <c r="B10" s="65" t="s">
        <v>114</v>
      </c>
      <c r="C10" s="66"/>
      <c r="D10" s="60"/>
      <c r="E10" s="65" t="s">
        <v>115</v>
      </c>
      <c r="F10" s="66"/>
      <c r="G10" s="60"/>
      <c r="H10" s="65" t="s">
        <v>116</v>
      </c>
      <c r="I10" s="66"/>
      <c r="J10" s="60"/>
      <c r="K10" s="65" t="s">
        <v>117</v>
      </c>
      <c r="L10" s="66"/>
      <c r="M10" s="60"/>
      <c r="N10" s="65" t="s">
        <v>118</v>
      </c>
      <c r="O10" s="66"/>
      <c r="P10" s="60"/>
      <c r="Q10" s="65" t="s">
        <v>119</v>
      </c>
      <c r="R10" s="66"/>
      <c r="S10" s="60"/>
      <c r="T10" s="65" t="s">
        <v>120</v>
      </c>
      <c r="U10" s="66"/>
      <c r="V10" s="60"/>
      <c r="W10" s="65" t="s">
        <v>121</v>
      </c>
      <c r="X10" s="66"/>
      <c r="Y10" s="60"/>
      <c r="Z10" s="65" t="s">
        <v>122</v>
      </c>
      <c r="AA10" s="66"/>
      <c r="AB10" s="60"/>
      <c r="AC10" s="67" t="s">
        <v>123</v>
      </c>
      <c r="AD10" s="66"/>
      <c r="AE10" s="60"/>
      <c r="AF10" s="67" t="s">
        <v>124</v>
      </c>
      <c r="AG10" s="66"/>
      <c r="AH10" s="60"/>
      <c r="AI10" s="65" t="s">
        <v>125</v>
      </c>
      <c r="AJ10" s="66"/>
      <c r="AK10" s="60"/>
      <c r="AL10" s="65" t="s">
        <v>126</v>
      </c>
      <c r="AM10" s="66"/>
      <c r="AN10" s="60"/>
      <c r="AO10" s="65" t="s">
        <v>127</v>
      </c>
      <c r="AP10" s="66"/>
      <c r="AQ10" s="60"/>
      <c r="AR10" s="65" t="s">
        <v>128</v>
      </c>
      <c r="AS10" s="66"/>
      <c r="AT10" s="60"/>
      <c r="AU10" s="65" t="s">
        <v>129</v>
      </c>
      <c r="AV10" s="66"/>
      <c r="AW10" s="60"/>
      <c r="AX10" s="65" t="s">
        <v>130</v>
      </c>
      <c r="AY10" s="66"/>
      <c r="AZ10" s="60"/>
      <c r="BA10" s="65" t="s">
        <v>131</v>
      </c>
      <c r="BB10" s="66"/>
      <c r="BC10" s="60"/>
      <c r="BD10" s="65" t="s">
        <v>132</v>
      </c>
      <c r="BE10" s="66"/>
      <c r="BF10" s="60"/>
      <c r="BG10" s="65" t="s">
        <v>133</v>
      </c>
      <c r="BH10" s="66"/>
      <c r="BI10" s="60"/>
      <c r="BJ10" s="65" t="s">
        <v>134</v>
      </c>
      <c r="BK10" s="66"/>
      <c r="BL10" s="60"/>
      <c r="BM10" s="65" t="s">
        <v>135</v>
      </c>
      <c r="BN10" s="66"/>
      <c r="BO10" s="60"/>
      <c r="BP10" s="65" t="s">
        <v>136</v>
      </c>
      <c r="BQ10" s="66"/>
      <c r="BR10" s="60"/>
      <c r="BS10" s="65" t="s">
        <v>137</v>
      </c>
      <c r="BT10" s="66"/>
      <c r="BU10" s="60"/>
      <c r="BV10" s="65" t="s">
        <v>138</v>
      </c>
      <c r="BW10" s="66"/>
      <c r="BX10" s="60"/>
      <c r="BY10" s="65" t="s">
        <v>139</v>
      </c>
      <c r="BZ10" s="66"/>
      <c r="CA10" s="60"/>
      <c r="CB10" s="65" t="s">
        <v>140</v>
      </c>
      <c r="CC10" s="66"/>
      <c r="CD10" s="60"/>
      <c r="CE10" s="65" t="s">
        <v>141</v>
      </c>
      <c r="CF10" s="66"/>
      <c r="CG10" s="60"/>
      <c r="CH10" s="65" t="s">
        <v>142</v>
      </c>
      <c r="CI10" s="66"/>
      <c r="CJ10" s="60"/>
      <c r="CK10" s="65" t="s">
        <v>143</v>
      </c>
      <c r="CL10" s="66"/>
      <c r="CM10" s="60"/>
      <c r="CN10" s="65" t="s">
        <v>144</v>
      </c>
      <c r="CO10" s="66"/>
      <c r="CP10" s="60"/>
      <c r="CQ10" s="65" t="s">
        <v>145</v>
      </c>
      <c r="CR10" s="66"/>
      <c r="CS10" s="60"/>
      <c r="CT10" s="65" t="s">
        <v>146</v>
      </c>
      <c r="CU10" s="66"/>
      <c r="CV10" s="60"/>
      <c r="CW10" s="65" t="s">
        <v>147</v>
      </c>
      <c r="CX10" s="66"/>
      <c r="CY10" s="60"/>
      <c r="CZ10" s="65" t="s">
        <v>148</v>
      </c>
      <c r="DA10" s="66"/>
      <c r="DB10" s="60"/>
      <c r="DC10" s="65" t="s">
        <v>149</v>
      </c>
      <c r="DD10" s="66"/>
      <c r="DE10" s="60"/>
      <c r="DF10" s="65" t="s">
        <v>150</v>
      </c>
      <c r="DG10" s="66"/>
      <c r="DH10" s="60"/>
      <c r="DI10" s="65" t="s">
        <v>151</v>
      </c>
      <c r="DJ10" s="66"/>
      <c r="DK10" s="60"/>
      <c r="DL10" s="65" t="s">
        <v>152</v>
      </c>
      <c r="DM10" s="66"/>
      <c r="DN10" s="60"/>
      <c r="DO10" s="65" t="s">
        <v>153</v>
      </c>
      <c r="DP10" s="66"/>
      <c r="DQ10" s="60"/>
      <c r="DR10" s="65" t="s">
        <v>154</v>
      </c>
      <c r="DS10" s="66"/>
      <c r="DT10" s="60"/>
      <c r="DU10" s="65" t="s">
        <v>155</v>
      </c>
      <c r="DV10" s="66"/>
      <c r="DW10" s="60"/>
      <c r="DX10" s="68" t="s">
        <v>156</v>
      </c>
      <c r="DY10" s="66"/>
      <c r="DZ10" s="60"/>
      <c r="EA10" s="61"/>
      <c r="EB10" s="52" t="s">
        <v>157</v>
      </c>
      <c r="EC10" s="52" t="s">
        <v>158</v>
      </c>
      <c r="ED10" s="63" t="s">
        <v>159</v>
      </c>
      <c r="EE10" s="63" t="s">
        <v>160</v>
      </c>
      <c r="EG10" s="64" t="s">
        <v>161</v>
      </c>
      <c r="EH10" s="63" t="s">
        <v>159</v>
      </c>
      <c r="EI10" s="63" t="s">
        <v>160</v>
      </c>
      <c r="EJ10" s="63"/>
      <c r="EK10" s="64" t="s">
        <v>113</v>
      </c>
      <c r="EL10" s="64" t="s">
        <v>113</v>
      </c>
      <c r="EM10" s="63" t="s">
        <v>159</v>
      </c>
      <c r="EN10" s="63" t="s">
        <v>160</v>
      </c>
    </row>
    <row r="11" spans="1:147" x14ac:dyDescent="0.25">
      <c r="A11" s="63" t="s">
        <v>162</v>
      </c>
      <c r="B11" s="69" t="s">
        <v>163</v>
      </c>
      <c r="C11" s="70" t="s">
        <v>164</v>
      </c>
      <c r="D11" s="71" t="s">
        <v>19</v>
      </c>
      <c r="E11" s="69" t="s">
        <v>163</v>
      </c>
      <c r="F11" s="70" t="s">
        <v>164</v>
      </c>
      <c r="G11" s="71" t="s">
        <v>19</v>
      </c>
      <c r="H11" s="69" t="s">
        <v>163</v>
      </c>
      <c r="I11" s="70" t="s">
        <v>164</v>
      </c>
      <c r="J11" s="71" t="s">
        <v>19</v>
      </c>
      <c r="K11" s="69" t="s">
        <v>163</v>
      </c>
      <c r="L11" s="70" t="s">
        <v>164</v>
      </c>
      <c r="M11" s="71" t="s">
        <v>19</v>
      </c>
      <c r="N11" s="69" t="s">
        <v>163</v>
      </c>
      <c r="O11" s="70" t="s">
        <v>164</v>
      </c>
      <c r="P11" s="71" t="s">
        <v>19</v>
      </c>
      <c r="Q11" s="69" t="s">
        <v>163</v>
      </c>
      <c r="R11" s="70" t="s">
        <v>164</v>
      </c>
      <c r="S11" s="71" t="s">
        <v>19</v>
      </c>
      <c r="T11" s="69" t="s">
        <v>163</v>
      </c>
      <c r="U11" s="70" t="s">
        <v>164</v>
      </c>
      <c r="V11" s="71" t="s">
        <v>19</v>
      </c>
      <c r="W11" s="69" t="s">
        <v>163</v>
      </c>
      <c r="X11" s="70" t="s">
        <v>164</v>
      </c>
      <c r="Y11" s="71" t="s">
        <v>19</v>
      </c>
      <c r="Z11" s="69" t="s">
        <v>163</v>
      </c>
      <c r="AA11" s="70" t="s">
        <v>164</v>
      </c>
      <c r="AB11" s="71" t="s">
        <v>19</v>
      </c>
      <c r="AC11" s="69" t="s">
        <v>163</v>
      </c>
      <c r="AD11" s="70" t="s">
        <v>164</v>
      </c>
      <c r="AE11" s="71" t="s">
        <v>19</v>
      </c>
      <c r="AF11" s="69" t="s">
        <v>163</v>
      </c>
      <c r="AG11" s="70" t="s">
        <v>164</v>
      </c>
      <c r="AH11" s="71" t="s">
        <v>19</v>
      </c>
      <c r="AI11" s="69" t="s">
        <v>163</v>
      </c>
      <c r="AJ11" s="70" t="s">
        <v>164</v>
      </c>
      <c r="AK11" s="71" t="s">
        <v>19</v>
      </c>
      <c r="AL11" s="69" t="s">
        <v>163</v>
      </c>
      <c r="AM11" s="70" t="s">
        <v>164</v>
      </c>
      <c r="AN11" s="71" t="s">
        <v>19</v>
      </c>
      <c r="AO11" s="69" t="s">
        <v>163</v>
      </c>
      <c r="AP11" s="70" t="s">
        <v>164</v>
      </c>
      <c r="AQ11" s="71" t="s">
        <v>19</v>
      </c>
      <c r="AR11" s="69" t="s">
        <v>163</v>
      </c>
      <c r="AS11" s="70" t="s">
        <v>164</v>
      </c>
      <c r="AT11" s="71" t="s">
        <v>19</v>
      </c>
      <c r="AU11" s="69" t="s">
        <v>163</v>
      </c>
      <c r="AV11" s="70" t="s">
        <v>164</v>
      </c>
      <c r="AW11" s="71" t="s">
        <v>19</v>
      </c>
      <c r="AX11" s="69" t="s">
        <v>163</v>
      </c>
      <c r="AY11" s="70" t="s">
        <v>164</v>
      </c>
      <c r="AZ11" s="71" t="s">
        <v>19</v>
      </c>
      <c r="BA11" s="69" t="s">
        <v>163</v>
      </c>
      <c r="BB11" s="70" t="s">
        <v>164</v>
      </c>
      <c r="BC11" s="71" t="s">
        <v>19</v>
      </c>
      <c r="BD11" s="69" t="s">
        <v>163</v>
      </c>
      <c r="BE11" s="70" t="s">
        <v>164</v>
      </c>
      <c r="BF11" s="71" t="s">
        <v>19</v>
      </c>
      <c r="BG11" s="69" t="s">
        <v>163</v>
      </c>
      <c r="BH11" s="70" t="s">
        <v>164</v>
      </c>
      <c r="BI11" s="71" t="s">
        <v>19</v>
      </c>
      <c r="BJ11" s="69" t="s">
        <v>163</v>
      </c>
      <c r="BK11" s="70" t="s">
        <v>164</v>
      </c>
      <c r="BL11" s="71" t="s">
        <v>19</v>
      </c>
      <c r="BM11" s="69" t="s">
        <v>163</v>
      </c>
      <c r="BN11" s="70" t="s">
        <v>164</v>
      </c>
      <c r="BO11" s="71" t="s">
        <v>19</v>
      </c>
      <c r="BP11" s="69" t="s">
        <v>163</v>
      </c>
      <c r="BQ11" s="70" t="s">
        <v>164</v>
      </c>
      <c r="BR11" s="71" t="s">
        <v>19</v>
      </c>
      <c r="BS11" s="69" t="s">
        <v>163</v>
      </c>
      <c r="BT11" s="70" t="s">
        <v>164</v>
      </c>
      <c r="BU11" s="71" t="s">
        <v>19</v>
      </c>
      <c r="BV11" s="69" t="s">
        <v>163</v>
      </c>
      <c r="BW11" s="70" t="s">
        <v>164</v>
      </c>
      <c r="BX11" s="71" t="s">
        <v>19</v>
      </c>
      <c r="BY11" s="69" t="s">
        <v>163</v>
      </c>
      <c r="BZ11" s="70" t="s">
        <v>164</v>
      </c>
      <c r="CA11" s="71" t="s">
        <v>19</v>
      </c>
      <c r="CB11" s="69" t="s">
        <v>163</v>
      </c>
      <c r="CC11" s="70" t="s">
        <v>164</v>
      </c>
      <c r="CD11" s="71" t="s">
        <v>19</v>
      </c>
      <c r="CE11" s="69" t="s">
        <v>163</v>
      </c>
      <c r="CF11" s="70" t="s">
        <v>164</v>
      </c>
      <c r="CG11" s="71" t="s">
        <v>19</v>
      </c>
      <c r="CH11" s="69" t="s">
        <v>163</v>
      </c>
      <c r="CI11" s="70" t="s">
        <v>164</v>
      </c>
      <c r="CJ11" s="71" t="s">
        <v>19</v>
      </c>
      <c r="CK11" s="69" t="s">
        <v>163</v>
      </c>
      <c r="CL11" s="70" t="s">
        <v>164</v>
      </c>
      <c r="CM11" s="71" t="s">
        <v>19</v>
      </c>
      <c r="CN11" s="69" t="s">
        <v>163</v>
      </c>
      <c r="CO11" s="70" t="s">
        <v>164</v>
      </c>
      <c r="CP11" s="71" t="s">
        <v>19</v>
      </c>
      <c r="CQ11" s="69" t="s">
        <v>163</v>
      </c>
      <c r="CR11" s="70" t="s">
        <v>164</v>
      </c>
      <c r="CS11" s="71" t="s">
        <v>19</v>
      </c>
      <c r="CT11" s="69" t="s">
        <v>163</v>
      </c>
      <c r="CU11" s="70" t="s">
        <v>164</v>
      </c>
      <c r="CV11" s="71" t="s">
        <v>19</v>
      </c>
      <c r="CW11" s="69" t="s">
        <v>163</v>
      </c>
      <c r="CX11" s="70" t="s">
        <v>164</v>
      </c>
      <c r="CY11" s="71" t="s">
        <v>19</v>
      </c>
      <c r="CZ11" s="69" t="s">
        <v>163</v>
      </c>
      <c r="DA11" s="70" t="s">
        <v>164</v>
      </c>
      <c r="DB11" s="71" t="s">
        <v>19</v>
      </c>
      <c r="DC11" s="69" t="s">
        <v>163</v>
      </c>
      <c r="DD11" s="70" t="s">
        <v>164</v>
      </c>
      <c r="DE11" s="71" t="s">
        <v>19</v>
      </c>
      <c r="DF11" s="69" t="s">
        <v>163</v>
      </c>
      <c r="DG11" s="70" t="s">
        <v>164</v>
      </c>
      <c r="DH11" s="71" t="s">
        <v>19</v>
      </c>
      <c r="DI11" s="69" t="s">
        <v>163</v>
      </c>
      <c r="DJ11" s="70" t="s">
        <v>164</v>
      </c>
      <c r="DK11" s="71" t="s">
        <v>19</v>
      </c>
      <c r="DL11" s="69" t="s">
        <v>163</v>
      </c>
      <c r="DM11" s="70" t="s">
        <v>164</v>
      </c>
      <c r="DN11" s="71" t="s">
        <v>19</v>
      </c>
      <c r="DO11" s="69" t="s">
        <v>163</v>
      </c>
      <c r="DP11" s="70" t="s">
        <v>164</v>
      </c>
      <c r="DQ11" s="71" t="s">
        <v>19</v>
      </c>
      <c r="DR11" s="69" t="s">
        <v>163</v>
      </c>
      <c r="DS11" s="70" t="s">
        <v>164</v>
      </c>
      <c r="DT11" s="71" t="s">
        <v>19</v>
      </c>
      <c r="DU11" s="69" t="s">
        <v>163</v>
      </c>
      <c r="DV11" s="70" t="s">
        <v>164</v>
      </c>
      <c r="DW11" s="71" t="s">
        <v>19</v>
      </c>
      <c r="DX11" s="69" t="s">
        <v>163</v>
      </c>
      <c r="DY11" s="70"/>
      <c r="DZ11" s="71"/>
      <c r="EA11" s="71"/>
      <c r="EB11" s="71" t="s">
        <v>165</v>
      </c>
      <c r="EC11" s="71" t="s">
        <v>165</v>
      </c>
      <c r="ED11" s="71" t="s">
        <v>19</v>
      </c>
      <c r="EE11" s="72" t="s">
        <v>164</v>
      </c>
      <c r="EG11" s="71" t="s">
        <v>165</v>
      </c>
      <c r="EH11" s="71" t="s">
        <v>19</v>
      </c>
      <c r="EI11" s="72" t="s">
        <v>164</v>
      </c>
      <c r="EJ11" s="72"/>
      <c r="EK11" s="71" t="s">
        <v>165</v>
      </c>
      <c r="EL11" s="71" t="s">
        <v>165</v>
      </c>
      <c r="EM11" s="71" t="s">
        <v>19</v>
      </c>
      <c r="EN11" s="72" t="s">
        <v>164</v>
      </c>
    </row>
    <row r="12" spans="1:147" x14ac:dyDescent="0.25">
      <c r="A12" s="25">
        <v>43466</v>
      </c>
      <c r="D12" s="40">
        <f>(B12*C12)/360</f>
        <v>0</v>
      </c>
      <c r="G12" s="40">
        <f>(E12*F12)/360</f>
        <v>0</v>
      </c>
      <c r="J12" s="40">
        <f>(H12*I12)/360</f>
        <v>0</v>
      </c>
      <c r="M12" s="40">
        <f>(K12*L12)/360</f>
        <v>0</v>
      </c>
      <c r="P12" s="40">
        <f>(N12*O12)/360</f>
        <v>0</v>
      </c>
      <c r="S12" s="40">
        <f>(Q12*R12)/360</f>
        <v>0</v>
      </c>
      <c r="V12" s="40">
        <f>(T12*U12)/360</f>
        <v>0</v>
      </c>
      <c r="Y12" s="40">
        <f>(W12*X12)/360</f>
        <v>0</v>
      </c>
      <c r="AB12" s="40">
        <f>(Z12*AA12)/360</f>
        <v>0</v>
      </c>
      <c r="AE12" s="40">
        <v>0</v>
      </c>
      <c r="AH12" s="40">
        <v>0</v>
      </c>
      <c r="AI12" s="73">
        <f>49600000</f>
        <v>49600000</v>
      </c>
      <c r="AJ12" s="74">
        <v>2.75E-2</v>
      </c>
      <c r="AK12" s="40">
        <f>(AI12*AJ12)/360</f>
        <v>3788.8888888888887</v>
      </c>
      <c r="AL12" s="73">
        <f t="shared" ref="AL12:AL25" si="0">5000000</f>
        <v>5000000</v>
      </c>
      <c r="AM12" s="74">
        <v>2.8000000000000001E-2</v>
      </c>
      <c r="AN12" s="40">
        <f>(AL12*AM12)/360</f>
        <v>388.88888888888891</v>
      </c>
      <c r="AO12" s="73"/>
      <c r="AP12" s="74"/>
      <c r="AQ12" s="40">
        <f>(AO12*AP12)/360</f>
        <v>0</v>
      </c>
      <c r="AR12" s="73"/>
      <c r="AS12" s="74"/>
      <c r="AT12" s="40">
        <f>(AR12*AS12)/360</f>
        <v>0</v>
      </c>
      <c r="AW12" s="40">
        <f>(AU12*AV12)/360</f>
        <v>0</v>
      </c>
      <c r="AZ12" s="40">
        <f>(AX12*AY12)/360</f>
        <v>0</v>
      </c>
      <c r="BC12" s="40">
        <f>(BA12*BB12)/360</f>
        <v>0</v>
      </c>
      <c r="BF12" s="40">
        <f>(BD12*BE12)/360</f>
        <v>0</v>
      </c>
      <c r="BI12" s="40">
        <f>(BG12*BH12)/360</f>
        <v>0</v>
      </c>
      <c r="BL12" s="40">
        <f>(BJ12*BK12)/360</f>
        <v>0</v>
      </c>
      <c r="BO12" s="40">
        <f>(BM12*BN12)/360</f>
        <v>0</v>
      </c>
      <c r="BR12" s="40">
        <f>(BP12*BQ12)/360</f>
        <v>0</v>
      </c>
      <c r="BU12" s="40">
        <f>(BS12*BT12)/360</f>
        <v>0</v>
      </c>
      <c r="BX12" s="40">
        <f>(BV12*BW12)/360</f>
        <v>0</v>
      </c>
      <c r="CA12" s="40">
        <f>(BY12*BZ12)/360</f>
        <v>0</v>
      </c>
      <c r="CD12" s="40">
        <f>(CB12*CC12)/360</f>
        <v>0</v>
      </c>
      <c r="CG12" s="40">
        <f>(CE12*CF12)/360</f>
        <v>0</v>
      </c>
      <c r="CJ12" s="40">
        <f>(CH12*CI12)/360</f>
        <v>0</v>
      </c>
      <c r="CM12" s="40">
        <f>(CK12*CL12)/360</f>
        <v>0</v>
      </c>
      <c r="CP12" s="40">
        <f>(CN12*CO12)/360</f>
        <v>0</v>
      </c>
      <c r="CS12" s="40">
        <f>(CQ12*CR12)/360</f>
        <v>0</v>
      </c>
      <c r="CV12" s="40">
        <f>(CT12*CU12)/360</f>
        <v>0</v>
      </c>
      <c r="CY12" s="40">
        <f>(CW12*CX12)/360</f>
        <v>0</v>
      </c>
      <c r="DB12" s="40">
        <f>(CZ12*DA12)/360</f>
        <v>0</v>
      </c>
      <c r="DE12" s="40">
        <f>(DC12*DD12)/360</f>
        <v>0</v>
      </c>
      <c r="DH12" s="40">
        <f>(DF12*DG12)/360</f>
        <v>0</v>
      </c>
      <c r="DK12" s="40">
        <f>(DI12*DJ12)/360</f>
        <v>0</v>
      </c>
      <c r="DN12" s="40">
        <f>(DL12*DM12)/360</f>
        <v>0</v>
      </c>
      <c r="DQ12" s="40">
        <f>(DO12*DP12)/360</f>
        <v>0</v>
      </c>
      <c r="DT12" s="40">
        <f>(DR12*DS12)/360</f>
        <v>0</v>
      </c>
      <c r="DW12" s="40">
        <f>(DU12*DV12)/360</f>
        <v>0</v>
      </c>
      <c r="DZ12" s="40"/>
      <c r="EA12" s="40"/>
      <c r="EB12" s="75">
        <f>B12+E12+H12+K12+N12+Q12+T12+W12+Z12+AC12+AF12+AL12+AO12+AR12+AU12+AX12+BA12+BD12+BG12+DU12+AI12+DR12+DO12+DL12+DI12+DF12+DC12+CZ12+CW12+CT12+CQ12+CN12+CK12+CH12+CE12+CB12+BY12+BV12+BS12+BP12+BM12+BJ12</f>
        <v>54600000</v>
      </c>
      <c r="EC12" s="75">
        <f>EB12-EK12+EL12</f>
        <v>0</v>
      </c>
      <c r="ED12" s="40">
        <f>D12+G12+J12+M12+P12+S12+V12+Y12+AB12+AE12+AH12+AK12+AN12+AQ12+AT12+AW12+AZ12+BC12+BF12+BI12+DW12+DT12+DQ12+DN12+DK12+DH12+DE12+DB12+CY12+CV12+CS12+CP12+CM12+CJ12+CG12+CD12+CA12+BX12+BU12+BR12+BO12+BL12</f>
        <v>4177.7777777777774</v>
      </c>
      <c r="EE12" s="41">
        <f>IF(EB12&lt;&gt;0,((ED12/EB12)*360),0)</f>
        <v>2.7545787545787546E-2</v>
      </c>
      <c r="EG12" s="75">
        <f>Q12+T12+W12+Z12+AC12+AF12</f>
        <v>0</v>
      </c>
      <c r="EH12" s="40">
        <f>S12+V12+Y12+AB12+AE12+AH12</f>
        <v>0</v>
      </c>
      <c r="EI12" s="41">
        <f>IF(EG12&lt;&gt;0,((EH12/EG12)*360),0)</f>
        <v>0</v>
      </c>
      <c r="EJ12" s="41"/>
      <c r="EK12" s="75">
        <f>DR12+DL12+DI12+DF12+DC12+CZ12+CW12+CT12+CQ12+CN12+CK12+CH12+CE12+CB12+BY12+BV12+BS12+BP12+BM12+BJ12+BG12+BD12+BA12+AX12+AU12+AR12+AO12+AL12+AI12+DO12</f>
        <v>54600000</v>
      </c>
      <c r="EL12" s="75">
        <f>DX12</f>
        <v>0</v>
      </c>
      <c r="EM12" s="75">
        <f>DT12+DQ12+DN12+DK12+DH12+DE12+DB12+CY12+CV12+CS12+CP12+CM12+CJ12+CG12+CD12+CA12+BX12+BU12+BR12+BO12+BL12+BI12+BF12+BC12+AZ12+AW12+AT12+AQ12+AN12+AK12</f>
        <v>4177.7777777777774</v>
      </c>
      <c r="EN12" s="41">
        <f>IF(EK12&lt;&gt;0,((EM12/EK12)*360),0)</f>
        <v>2.7545787545787546E-2</v>
      </c>
    </row>
    <row r="13" spans="1:147" x14ac:dyDescent="0.25">
      <c r="A13" s="25">
        <f>1+A12</f>
        <v>43467</v>
      </c>
      <c r="D13" s="40">
        <f t="shared" ref="D13:D42" si="1">(B13*C13)/360</f>
        <v>0</v>
      </c>
      <c r="G13" s="40">
        <f t="shared" ref="G13:G42" si="2">(E13*F13)/360</f>
        <v>0</v>
      </c>
      <c r="J13" s="40">
        <f t="shared" ref="J13:J42" si="3">(H13*I13)/360</f>
        <v>0</v>
      </c>
      <c r="M13" s="40">
        <f t="shared" ref="M13:M42" si="4">(K13*L13)/360</f>
        <v>0</v>
      </c>
      <c r="P13" s="40">
        <f t="shared" ref="P13:P42" si="5">(N13*O13)/360</f>
        <v>0</v>
      </c>
      <c r="S13" s="40">
        <f t="shared" ref="S13:S42" si="6">(Q13*R13)/360</f>
        <v>0</v>
      </c>
      <c r="V13" s="40">
        <f t="shared" ref="V13:V42" si="7">(T13*U13)/360</f>
        <v>0</v>
      </c>
      <c r="Y13" s="40">
        <f t="shared" ref="Y13:Y42" si="8">(W13*X13)/360</f>
        <v>0</v>
      </c>
      <c r="AB13" s="40">
        <f t="shared" ref="AB13:AB42" si="9">(Z13*AA13)/360</f>
        <v>0</v>
      </c>
      <c r="AE13" s="40">
        <v>0</v>
      </c>
      <c r="AH13" s="40">
        <v>0</v>
      </c>
      <c r="AI13" s="73">
        <f>48025000</f>
        <v>48025000</v>
      </c>
      <c r="AJ13" s="74">
        <v>2.75E-2</v>
      </c>
      <c r="AK13" s="40">
        <f t="shared" ref="AK13:AK42" si="10">(AI13*AJ13)/360</f>
        <v>3668.5763888888887</v>
      </c>
      <c r="AL13" s="73">
        <f t="shared" si="0"/>
        <v>5000000</v>
      </c>
      <c r="AM13" s="74">
        <v>2.8000000000000001E-2</v>
      </c>
      <c r="AN13" s="40">
        <f t="shared" ref="AN13:AN42" si="11">(AL13*AM13)/360</f>
        <v>388.88888888888891</v>
      </c>
      <c r="AO13" s="73"/>
      <c r="AP13" s="74"/>
      <c r="AQ13" s="40">
        <f t="shared" ref="AQ13:AQ42" si="12">(AO13*AP13)/360</f>
        <v>0</v>
      </c>
      <c r="AR13" s="73"/>
      <c r="AS13" s="74"/>
      <c r="AT13" s="40">
        <f t="shared" ref="AT13:AT42" si="13">(AR13*AS13)/360</f>
        <v>0</v>
      </c>
      <c r="AW13" s="40">
        <f t="shared" ref="AW13:AW42" si="14">(AU13*AV13)/360</f>
        <v>0</v>
      </c>
      <c r="AZ13" s="40">
        <f t="shared" ref="AZ13:AZ42" si="15">(AX13*AY13)/360</f>
        <v>0</v>
      </c>
      <c r="BC13" s="40">
        <f t="shared" ref="BC13:BC42" si="16">(BA13*BB13)/360</f>
        <v>0</v>
      </c>
      <c r="BF13" s="40">
        <f t="shared" ref="BF13:BF42" si="17">(BD13*BE13)/360</f>
        <v>0</v>
      </c>
      <c r="BI13" s="40">
        <f t="shared" ref="BI13:BI42" si="18">(BG13*BH13)/360</f>
        <v>0</v>
      </c>
      <c r="BL13" s="40">
        <f t="shared" ref="BL13:BL42" si="19">(BJ13*BK13)/360</f>
        <v>0</v>
      </c>
      <c r="BO13" s="40">
        <f t="shared" ref="BO13:BO42" si="20">(BM13*BN13)/360</f>
        <v>0</v>
      </c>
      <c r="BR13" s="40">
        <f t="shared" ref="BR13:BR42" si="21">(BP13*BQ13)/360</f>
        <v>0</v>
      </c>
      <c r="BU13" s="40">
        <f t="shared" ref="BU13:BU42" si="22">(BS13*BT13)/360</f>
        <v>0</v>
      </c>
      <c r="BX13" s="40">
        <f t="shared" ref="BX13:BX42" si="23">(BV13*BW13)/360</f>
        <v>0</v>
      </c>
      <c r="CA13" s="40">
        <f t="shared" ref="CA13:CA42" si="24">(BY13*BZ13)/360</f>
        <v>0</v>
      </c>
      <c r="CD13" s="40">
        <f t="shared" ref="CD13:CD42" si="25">(CB13*CC13)/360</f>
        <v>0</v>
      </c>
      <c r="CG13" s="40">
        <f t="shared" ref="CG13:CG42" si="26">(CE13*CF13)/360</f>
        <v>0</v>
      </c>
      <c r="CJ13" s="40">
        <f t="shared" ref="CJ13:CJ42" si="27">(CH13*CI13)/360</f>
        <v>0</v>
      </c>
      <c r="CM13" s="40">
        <f t="shared" ref="CM13:CM42" si="28">(CK13*CL13)/360</f>
        <v>0</v>
      </c>
      <c r="CP13" s="40">
        <f t="shared" ref="CP13:CP42" si="29">(CN13*CO13)/360</f>
        <v>0</v>
      </c>
      <c r="CS13" s="40">
        <f t="shared" ref="CS13:CS42" si="30">(CQ13*CR13)/360</f>
        <v>0</v>
      </c>
      <c r="CV13" s="40">
        <f t="shared" ref="CV13:CV42" si="31">(CT13*CU13)/360</f>
        <v>0</v>
      </c>
      <c r="CY13" s="40">
        <f t="shared" ref="CY13:CY42" si="32">(CW13*CX13)/360</f>
        <v>0</v>
      </c>
      <c r="DB13" s="40">
        <f t="shared" ref="DB13:DB42" si="33">(CZ13*DA13)/360</f>
        <v>0</v>
      </c>
      <c r="DE13" s="40">
        <f t="shared" ref="DE13:DE42" si="34">(DC13*DD13)/360</f>
        <v>0</v>
      </c>
      <c r="DH13" s="40">
        <f t="shared" ref="DH13:DH42" si="35">(DF13*DG13)/360</f>
        <v>0</v>
      </c>
      <c r="DK13" s="40">
        <f t="shared" ref="DK13:DK42" si="36">(DI13*DJ13)/360</f>
        <v>0</v>
      </c>
      <c r="DN13" s="40">
        <f t="shared" ref="DN13:DN42" si="37">(DL13*DM13)/360</f>
        <v>0</v>
      </c>
      <c r="DQ13" s="40">
        <f t="shared" ref="DQ13:DQ42" si="38">(DO13*DP13)/360</f>
        <v>0</v>
      </c>
      <c r="DT13" s="40">
        <f t="shared" ref="DT13:DT42" si="39">(DR13*DS13)/360</f>
        <v>0</v>
      </c>
      <c r="DW13" s="40">
        <f t="shared" ref="DW13:DW42" si="40">(DU13*DV13)/360</f>
        <v>0</v>
      </c>
      <c r="DZ13" s="40"/>
      <c r="EA13" s="40"/>
      <c r="EB13" s="75">
        <f t="shared" ref="EB13:EB42" si="41">B13+E13+H13+K13+N13+Q13+T13+W13+Z13+AC13+AF13+AL13+AO13+AR13+AU13+AX13+BA13+BD13+BG13+DU13+AI13+DR13+DO13+DL13+DI13+DF13+DC13+CZ13+CW13+CT13+CQ13+CN13+CK13+CH13+CE13+CB13+BY13+BV13+BS13+BP13+BM13+BJ13</f>
        <v>53025000</v>
      </c>
      <c r="EC13" s="75">
        <f t="shared" ref="EC13:EC42" si="42">EB13-EK13+EL13</f>
        <v>0</v>
      </c>
      <c r="ED13" s="40">
        <f t="shared" ref="ED13:ED42" si="43">D13+G13+J13+M13+P13+S13+V13+Y13+AB13+AE13+AH13+AK13+AN13+AQ13+AT13+AW13+AZ13+BC13+BF13+BI13+DW13+DT13+DQ13+DN13+DK13+DH13+DE13+DB13+CY13+CV13+CS13+CP13+CM13+CJ13+CG13+CD13+CA13+BX13+BU13+BR13+BO13+BL13</f>
        <v>4057.4652777777774</v>
      </c>
      <c r="EE13" s="41">
        <f t="shared" ref="EE13:EE42" si="44">IF(EB13&lt;&gt;0,((ED13/EB13)*360),0)</f>
        <v>2.7547147571900046E-2</v>
      </c>
      <c r="EG13" s="75">
        <f t="shared" ref="EG13:EG42" si="45">Q13+T13+W13+Z13+AC13+AF13</f>
        <v>0</v>
      </c>
      <c r="EH13" s="40">
        <f t="shared" ref="EH13:EH42" si="46">S13+V13+Y13+AB13+AE13+AH13</f>
        <v>0</v>
      </c>
      <c r="EI13" s="41">
        <f t="shared" ref="EI13:EI42" si="47">IF(EG13&lt;&gt;0,((EH13/EG13)*360),0)</f>
        <v>0</v>
      </c>
      <c r="EJ13" s="41"/>
      <c r="EK13" s="75">
        <f t="shared" ref="EK13:EK42" si="48">DR13+DL13+DI13+DF13+DC13+CZ13+CW13+CT13+CQ13+CN13+CK13+CH13+CE13+CB13+BY13+BV13+BS13+BP13+BM13+BJ13+BG13+BD13+BA13+AX13+AU13+AR13+AO13+AL13+AI13+DO13</f>
        <v>53025000</v>
      </c>
      <c r="EL13" s="75">
        <f t="shared" ref="EL13:EL42" si="49">DX13</f>
        <v>0</v>
      </c>
      <c r="EM13" s="75">
        <f t="shared" ref="EM13:EM42" si="50">DT13+DQ13+DN13+DK13+DH13+DE13+DB13+CY13+CV13+CS13+CP13+CM13+CJ13+CG13+CD13+CA13+BX13+BU13+BR13+BO13+BL13+BI13+BF13+BC13+AZ13+AW13+AT13+AQ13+AN13+AK13</f>
        <v>4057.4652777777774</v>
      </c>
      <c r="EN13" s="41">
        <f t="shared" ref="EN13:EN42" si="51">IF(EK13&lt;&gt;0,((EM13/EK13)*360),0)</f>
        <v>2.7547147571900046E-2</v>
      </c>
    </row>
    <row r="14" spans="1:147" x14ac:dyDescent="0.25">
      <c r="A14" s="25">
        <f t="shared" ref="A14:A42" si="52">1+A13</f>
        <v>43468</v>
      </c>
      <c r="D14" s="40">
        <f t="shared" si="1"/>
        <v>0</v>
      </c>
      <c r="G14" s="40">
        <f t="shared" si="2"/>
        <v>0</v>
      </c>
      <c r="J14" s="40">
        <f t="shared" si="3"/>
        <v>0</v>
      </c>
      <c r="M14" s="40">
        <f t="shared" si="4"/>
        <v>0</v>
      </c>
      <c r="P14" s="40">
        <f t="shared" si="5"/>
        <v>0</v>
      </c>
      <c r="S14" s="40">
        <f t="shared" si="6"/>
        <v>0</v>
      </c>
      <c r="V14" s="40">
        <f t="shared" si="7"/>
        <v>0</v>
      </c>
      <c r="Y14" s="40">
        <f t="shared" si="8"/>
        <v>0</v>
      </c>
      <c r="AB14" s="40">
        <f t="shared" si="9"/>
        <v>0</v>
      </c>
      <c r="AE14" s="40">
        <v>0</v>
      </c>
      <c r="AH14" s="40">
        <v>0</v>
      </c>
      <c r="AI14" s="73">
        <f>52875000</f>
        <v>52875000</v>
      </c>
      <c r="AJ14" s="74">
        <v>2.75E-2</v>
      </c>
      <c r="AK14" s="40">
        <f t="shared" si="10"/>
        <v>4039.0625</v>
      </c>
      <c r="AL14" s="73">
        <f t="shared" si="0"/>
        <v>5000000</v>
      </c>
      <c r="AM14" s="74">
        <v>2.8000000000000001E-2</v>
      </c>
      <c r="AN14" s="40">
        <f t="shared" si="11"/>
        <v>388.88888888888891</v>
      </c>
      <c r="AO14" s="73"/>
      <c r="AP14" s="74"/>
      <c r="AQ14" s="40">
        <f t="shared" si="12"/>
        <v>0</v>
      </c>
      <c r="AR14" s="73"/>
      <c r="AS14" s="74"/>
      <c r="AT14" s="40">
        <f t="shared" si="13"/>
        <v>0</v>
      </c>
      <c r="AW14" s="40">
        <f t="shared" si="14"/>
        <v>0</v>
      </c>
      <c r="AZ14" s="40">
        <f t="shared" si="15"/>
        <v>0</v>
      </c>
      <c r="BC14" s="40">
        <f t="shared" si="16"/>
        <v>0</v>
      </c>
      <c r="BF14" s="40">
        <f t="shared" si="17"/>
        <v>0</v>
      </c>
      <c r="BI14" s="40">
        <f t="shared" si="18"/>
        <v>0</v>
      </c>
      <c r="BL14" s="40">
        <f t="shared" si="19"/>
        <v>0</v>
      </c>
      <c r="BO14" s="40">
        <f t="shared" si="20"/>
        <v>0</v>
      </c>
      <c r="BR14" s="40">
        <f t="shared" si="21"/>
        <v>0</v>
      </c>
      <c r="BU14" s="40">
        <f t="shared" si="22"/>
        <v>0</v>
      </c>
      <c r="BX14" s="40">
        <f t="shared" si="23"/>
        <v>0</v>
      </c>
      <c r="CA14" s="40">
        <f t="shared" si="24"/>
        <v>0</v>
      </c>
      <c r="CD14" s="40">
        <f t="shared" si="25"/>
        <v>0</v>
      </c>
      <c r="CG14" s="40">
        <f t="shared" si="26"/>
        <v>0</v>
      </c>
      <c r="CJ14" s="40">
        <f t="shared" si="27"/>
        <v>0</v>
      </c>
      <c r="CM14" s="40">
        <f t="shared" si="28"/>
        <v>0</v>
      </c>
      <c r="CP14" s="40">
        <f t="shared" si="29"/>
        <v>0</v>
      </c>
      <c r="CS14" s="40">
        <f t="shared" si="30"/>
        <v>0</v>
      </c>
      <c r="CV14" s="40">
        <f t="shared" si="31"/>
        <v>0</v>
      </c>
      <c r="CY14" s="40">
        <f t="shared" si="32"/>
        <v>0</v>
      </c>
      <c r="DB14" s="40">
        <f t="shared" si="33"/>
        <v>0</v>
      </c>
      <c r="DE14" s="40">
        <f t="shared" si="34"/>
        <v>0</v>
      </c>
      <c r="DH14" s="40">
        <f t="shared" si="35"/>
        <v>0</v>
      </c>
      <c r="DK14" s="40">
        <f t="shared" si="36"/>
        <v>0</v>
      </c>
      <c r="DN14" s="40">
        <f t="shared" si="37"/>
        <v>0</v>
      </c>
      <c r="DQ14" s="40">
        <f t="shared" si="38"/>
        <v>0</v>
      </c>
      <c r="DT14" s="40">
        <f t="shared" si="39"/>
        <v>0</v>
      </c>
      <c r="DW14" s="40">
        <f t="shared" si="40"/>
        <v>0</v>
      </c>
      <c r="DZ14" s="40"/>
      <c r="EA14" s="40"/>
      <c r="EB14" s="75">
        <f t="shared" si="41"/>
        <v>57875000</v>
      </c>
      <c r="EC14" s="75">
        <f t="shared" si="42"/>
        <v>0</v>
      </c>
      <c r="ED14" s="40">
        <f t="shared" si="43"/>
        <v>4427.9513888888887</v>
      </c>
      <c r="EE14" s="41">
        <f t="shared" si="44"/>
        <v>2.7543196544276456E-2</v>
      </c>
      <c r="EG14" s="75">
        <f t="shared" si="45"/>
        <v>0</v>
      </c>
      <c r="EH14" s="40">
        <f t="shared" si="46"/>
        <v>0</v>
      </c>
      <c r="EI14" s="41">
        <f t="shared" si="47"/>
        <v>0</v>
      </c>
      <c r="EJ14" s="41"/>
      <c r="EK14" s="75">
        <f t="shared" si="48"/>
        <v>57875000</v>
      </c>
      <c r="EL14" s="75">
        <f t="shared" si="49"/>
        <v>0</v>
      </c>
      <c r="EM14" s="75">
        <f t="shared" si="50"/>
        <v>4427.9513888888887</v>
      </c>
      <c r="EN14" s="41">
        <f t="shared" si="51"/>
        <v>2.7543196544276456E-2</v>
      </c>
    </row>
    <row r="15" spans="1:147" x14ac:dyDescent="0.25">
      <c r="A15" s="25">
        <f t="shared" si="52"/>
        <v>43469</v>
      </c>
      <c r="D15" s="40">
        <f t="shared" si="1"/>
        <v>0</v>
      </c>
      <c r="G15" s="40">
        <f t="shared" si="2"/>
        <v>0</v>
      </c>
      <c r="J15" s="40">
        <f t="shared" si="3"/>
        <v>0</v>
      </c>
      <c r="M15" s="40">
        <f t="shared" si="4"/>
        <v>0</v>
      </c>
      <c r="P15" s="40">
        <f t="shared" si="5"/>
        <v>0</v>
      </c>
      <c r="S15" s="40">
        <f t="shared" si="6"/>
        <v>0</v>
      </c>
      <c r="V15" s="40">
        <f t="shared" si="7"/>
        <v>0</v>
      </c>
      <c r="Y15" s="40">
        <f t="shared" si="8"/>
        <v>0</v>
      </c>
      <c r="AB15" s="40">
        <f t="shared" si="9"/>
        <v>0</v>
      </c>
      <c r="AE15" s="40">
        <v>0</v>
      </c>
      <c r="AH15" s="40">
        <v>0</v>
      </c>
      <c r="AI15" s="73">
        <f>26125000</f>
        <v>26125000</v>
      </c>
      <c r="AJ15" s="74">
        <v>2.75E-2</v>
      </c>
      <c r="AK15" s="40">
        <f t="shared" si="10"/>
        <v>1995.6597222222222</v>
      </c>
      <c r="AL15" s="73">
        <f t="shared" si="0"/>
        <v>5000000</v>
      </c>
      <c r="AM15" s="74">
        <v>2.8000000000000001E-2</v>
      </c>
      <c r="AN15" s="40">
        <f t="shared" si="11"/>
        <v>388.88888888888891</v>
      </c>
      <c r="AO15" s="73">
        <f t="shared" ref="AO15:AO42" si="53">50000000</f>
        <v>50000000</v>
      </c>
      <c r="AP15" s="74">
        <v>2.9700000000000001E-2</v>
      </c>
      <c r="AQ15" s="40">
        <f t="shared" si="12"/>
        <v>4125</v>
      </c>
      <c r="AR15" s="73"/>
      <c r="AS15" s="74"/>
      <c r="AT15" s="40">
        <f t="shared" si="13"/>
        <v>0</v>
      </c>
      <c r="AW15" s="40">
        <f t="shared" si="14"/>
        <v>0</v>
      </c>
      <c r="AZ15" s="40">
        <f t="shared" si="15"/>
        <v>0</v>
      </c>
      <c r="BC15" s="40">
        <f t="shared" si="16"/>
        <v>0</v>
      </c>
      <c r="BF15" s="40">
        <f t="shared" si="17"/>
        <v>0</v>
      </c>
      <c r="BI15" s="40">
        <f t="shared" si="18"/>
        <v>0</v>
      </c>
      <c r="BL15" s="40">
        <f t="shared" si="19"/>
        <v>0</v>
      </c>
      <c r="BO15" s="40">
        <f t="shared" si="20"/>
        <v>0</v>
      </c>
      <c r="BR15" s="40">
        <f t="shared" si="21"/>
        <v>0</v>
      </c>
      <c r="BU15" s="40">
        <f t="shared" si="22"/>
        <v>0</v>
      </c>
      <c r="BX15" s="40">
        <f t="shared" si="23"/>
        <v>0</v>
      </c>
      <c r="CA15" s="40">
        <f t="shared" si="24"/>
        <v>0</v>
      </c>
      <c r="CD15" s="40">
        <f t="shared" si="25"/>
        <v>0</v>
      </c>
      <c r="CG15" s="40">
        <f t="shared" si="26"/>
        <v>0</v>
      </c>
      <c r="CJ15" s="40">
        <f t="shared" si="27"/>
        <v>0</v>
      </c>
      <c r="CM15" s="40">
        <f t="shared" si="28"/>
        <v>0</v>
      </c>
      <c r="CP15" s="40">
        <f t="shared" si="29"/>
        <v>0</v>
      </c>
      <c r="CS15" s="40">
        <f t="shared" si="30"/>
        <v>0</v>
      </c>
      <c r="CV15" s="40">
        <f t="shared" si="31"/>
        <v>0</v>
      </c>
      <c r="CY15" s="40">
        <f t="shared" si="32"/>
        <v>0</v>
      </c>
      <c r="DB15" s="40">
        <f t="shared" si="33"/>
        <v>0</v>
      </c>
      <c r="DE15" s="40">
        <f t="shared" si="34"/>
        <v>0</v>
      </c>
      <c r="DH15" s="40">
        <f t="shared" si="35"/>
        <v>0</v>
      </c>
      <c r="DK15" s="40">
        <f t="shared" si="36"/>
        <v>0</v>
      </c>
      <c r="DN15" s="40">
        <f t="shared" si="37"/>
        <v>0</v>
      </c>
      <c r="DQ15" s="40">
        <f t="shared" si="38"/>
        <v>0</v>
      </c>
      <c r="DT15" s="40">
        <f t="shared" si="39"/>
        <v>0</v>
      </c>
      <c r="DW15" s="40">
        <f t="shared" si="40"/>
        <v>0</v>
      </c>
      <c r="DZ15" s="40"/>
      <c r="EA15" s="40"/>
      <c r="EB15" s="75">
        <f t="shared" si="41"/>
        <v>81125000</v>
      </c>
      <c r="EC15" s="75">
        <f t="shared" si="42"/>
        <v>0</v>
      </c>
      <c r="ED15" s="40">
        <f t="shared" si="43"/>
        <v>6509.5486111111113</v>
      </c>
      <c r="EE15" s="41">
        <f t="shared" si="44"/>
        <v>2.8886748844375965E-2</v>
      </c>
      <c r="EG15" s="75">
        <f t="shared" si="45"/>
        <v>0</v>
      </c>
      <c r="EH15" s="40">
        <f t="shared" si="46"/>
        <v>0</v>
      </c>
      <c r="EI15" s="41">
        <f t="shared" si="47"/>
        <v>0</v>
      </c>
      <c r="EJ15" s="41"/>
      <c r="EK15" s="75">
        <f t="shared" si="48"/>
        <v>81125000</v>
      </c>
      <c r="EL15" s="75">
        <f t="shared" si="49"/>
        <v>0</v>
      </c>
      <c r="EM15" s="75">
        <f t="shared" si="50"/>
        <v>6509.5486111111113</v>
      </c>
      <c r="EN15" s="41">
        <f t="shared" si="51"/>
        <v>2.8886748844375965E-2</v>
      </c>
    </row>
    <row r="16" spans="1:147" x14ac:dyDescent="0.25">
      <c r="A16" s="25">
        <f t="shared" si="52"/>
        <v>43470</v>
      </c>
      <c r="D16" s="40">
        <f t="shared" si="1"/>
        <v>0</v>
      </c>
      <c r="G16" s="40">
        <f t="shared" si="2"/>
        <v>0</v>
      </c>
      <c r="J16" s="40">
        <f t="shared" si="3"/>
        <v>0</v>
      </c>
      <c r="M16" s="40">
        <f t="shared" si="4"/>
        <v>0</v>
      </c>
      <c r="P16" s="40">
        <f t="shared" si="5"/>
        <v>0</v>
      </c>
      <c r="S16" s="40">
        <f t="shared" si="6"/>
        <v>0</v>
      </c>
      <c r="V16" s="40">
        <f t="shared" si="7"/>
        <v>0</v>
      </c>
      <c r="Y16" s="40">
        <f t="shared" si="8"/>
        <v>0</v>
      </c>
      <c r="AB16" s="40">
        <f t="shared" si="9"/>
        <v>0</v>
      </c>
      <c r="AE16" s="40">
        <v>0</v>
      </c>
      <c r="AH16" s="40">
        <v>0</v>
      </c>
      <c r="AI16" s="73">
        <f>26125000</f>
        <v>26125000</v>
      </c>
      <c r="AJ16" s="74">
        <v>2.75E-2</v>
      </c>
      <c r="AK16" s="40">
        <f t="shared" si="10"/>
        <v>1995.6597222222222</v>
      </c>
      <c r="AL16" s="73">
        <f t="shared" si="0"/>
        <v>5000000</v>
      </c>
      <c r="AM16" s="74">
        <v>2.8000000000000001E-2</v>
      </c>
      <c r="AN16" s="40">
        <f t="shared" si="11"/>
        <v>388.88888888888891</v>
      </c>
      <c r="AO16" s="73">
        <f t="shared" si="53"/>
        <v>50000000</v>
      </c>
      <c r="AP16" s="74">
        <v>2.9700000000000001E-2</v>
      </c>
      <c r="AQ16" s="40">
        <f t="shared" si="12"/>
        <v>4125</v>
      </c>
      <c r="AR16" s="73"/>
      <c r="AS16" s="74"/>
      <c r="AT16" s="40">
        <f t="shared" si="13"/>
        <v>0</v>
      </c>
      <c r="AW16" s="40">
        <f t="shared" si="14"/>
        <v>0</v>
      </c>
      <c r="AZ16" s="40">
        <f t="shared" si="15"/>
        <v>0</v>
      </c>
      <c r="BC16" s="40">
        <f t="shared" si="16"/>
        <v>0</v>
      </c>
      <c r="BF16" s="40">
        <f t="shared" si="17"/>
        <v>0</v>
      </c>
      <c r="BI16" s="40">
        <f t="shared" si="18"/>
        <v>0</v>
      </c>
      <c r="BL16" s="40">
        <f t="shared" si="19"/>
        <v>0</v>
      </c>
      <c r="BO16" s="40">
        <f t="shared" si="20"/>
        <v>0</v>
      </c>
      <c r="BR16" s="40">
        <f t="shared" si="21"/>
        <v>0</v>
      </c>
      <c r="BU16" s="40">
        <f t="shared" si="22"/>
        <v>0</v>
      </c>
      <c r="BX16" s="40">
        <f t="shared" si="23"/>
        <v>0</v>
      </c>
      <c r="CA16" s="40">
        <f t="shared" si="24"/>
        <v>0</v>
      </c>
      <c r="CD16" s="40">
        <f t="shared" si="25"/>
        <v>0</v>
      </c>
      <c r="CG16" s="40">
        <f t="shared" si="26"/>
        <v>0</v>
      </c>
      <c r="CJ16" s="40">
        <f t="shared" si="27"/>
        <v>0</v>
      </c>
      <c r="CM16" s="40">
        <f t="shared" si="28"/>
        <v>0</v>
      </c>
      <c r="CP16" s="40">
        <f t="shared" si="29"/>
        <v>0</v>
      </c>
      <c r="CS16" s="40">
        <f t="shared" si="30"/>
        <v>0</v>
      </c>
      <c r="CV16" s="40">
        <f t="shared" si="31"/>
        <v>0</v>
      </c>
      <c r="CY16" s="40">
        <f t="shared" si="32"/>
        <v>0</v>
      </c>
      <c r="DB16" s="40">
        <f t="shared" si="33"/>
        <v>0</v>
      </c>
      <c r="DE16" s="40">
        <f t="shared" si="34"/>
        <v>0</v>
      </c>
      <c r="DH16" s="40">
        <f t="shared" si="35"/>
        <v>0</v>
      </c>
      <c r="DK16" s="40">
        <f t="shared" si="36"/>
        <v>0</v>
      </c>
      <c r="DN16" s="40">
        <f t="shared" si="37"/>
        <v>0</v>
      </c>
      <c r="DQ16" s="40">
        <f t="shared" si="38"/>
        <v>0</v>
      </c>
      <c r="DT16" s="40">
        <f t="shared" si="39"/>
        <v>0</v>
      </c>
      <c r="DW16" s="40">
        <f t="shared" si="40"/>
        <v>0</v>
      </c>
      <c r="DZ16" s="40"/>
      <c r="EA16" s="40"/>
      <c r="EB16" s="75">
        <f t="shared" si="41"/>
        <v>81125000</v>
      </c>
      <c r="EC16" s="75">
        <f t="shared" si="42"/>
        <v>0</v>
      </c>
      <c r="ED16" s="40">
        <f t="shared" si="43"/>
        <v>6509.5486111111113</v>
      </c>
      <c r="EE16" s="41">
        <f t="shared" si="44"/>
        <v>2.8886748844375965E-2</v>
      </c>
      <c r="EG16" s="75">
        <f t="shared" si="45"/>
        <v>0</v>
      </c>
      <c r="EH16" s="40">
        <f t="shared" si="46"/>
        <v>0</v>
      </c>
      <c r="EI16" s="41">
        <f t="shared" si="47"/>
        <v>0</v>
      </c>
      <c r="EJ16" s="41"/>
      <c r="EK16" s="75">
        <f t="shared" si="48"/>
        <v>81125000</v>
      </c>
      <c r="EL16" s="75">
        <f t="shared" si="49"/>
        <v>0</v>
      </c>
      <c r="EM16" s="75">
        <f t="shared" si="50"/>
        <v>6509.5486111111113</v>
      </c>
      <c r="EN16" s="41">
        <f t="shared" si="51"/>
        <v>2.8886748844375965E-2</v>
      </c>
    </row>
    <row r="17" spans="1:144" x14ac:dyDescent="0.25">
      <c r="A17" s="25">
        <f t="shared" si="52"/>
        <v>43471</v>
      </c>
      <c r="D17" s="40">
        <f t="shared" si="1"/>
        <v>0</v>
      </c>
      <c r="G17" s="40">
        <f t="shared" si="2"/>
        <v>0</v>
      </c>
      <c r="J17" s="40">
        <f t="shared" si="3"/>
        <v>0</v>
      </c>
      <c r="M17" s="40">
        <f t="shared" si="4"/>
        <v>0</v>
      </c>
      <c r="P17" s="40">
        <f t="shared" si="5"/>
        <v>0</v>
      </c>
      <c r="S17" s="40">
        <f t="shared" si="6"/>
        <v>0</v>
      </c>
      <c r="V17" s="40">
        <f t="shared" si="7"/>
        <v>0</v>
      </c>
      <c r="Y17" s="40">
        <f t="shared" si="8"/>
        <v>0</v>
      </c>
      <c r="AB17" s="40">
        <f t="shared" si="9"/>
        <v>0</v>
      </c>
      <c r="AE17" s="40">
        <v>0</v>
      </c>
      <c r="AH17" s="40">
        <v>0</v>
      </c>
      <c r="AI17" s="73">
        <f>26125000</f>
        <v>26125000</v>
      </c>
      <c r="AJ17" s="74">
        <v>2.75E-2</v>
      </c>
      <c r="AK17" s="40">
        <f t="shared" si="10"/>
        <v>1995.6597222222222</v>
      </c>
      <c r="AL17" s="73">
        <f t="shared" si="0"/>
        <v>5000000</v>
      </c>
      <c r="AM17" s="74">
        <v>2.8000000000000001E-2</v>
      </c>
      <c r="AN17" s="40">
        <f t="shared" si="11"/>
        <v>388.88888888888891</v>
      </c>
      <c r="AO17" s="73">
        <f t="shared" si="53"/>
        <v>50000000</v>
      </c>
      <c r="AP17" s="74">
        <v>2.9700000000000001E-2</v>
      </c>
      <c r="AQ17" s="40">
        <f t="shared" si="12"/>
        <v>4125</v>
      </c>
      <c r="AR17" s="73"/>
      <c r="AS17" s="74"/>
      <c r="AT17" s="40">
        <f t="shared" si="13"/>
        <v>0</v>
      </c>
      <c r="AW17" s="40">
        <f t="shared" si="14"/>
        <v>0</v>
      </c>
      <c r="AZ17" s="40">
        <f t="shared" si="15"/>
        <v>0</v>
      </c>
      <c r="BC17" s="40">
        <f t="shared" si="16"/>
        <v>0</v>
      </c>
      <c r="BF17" s="40">
        <f t="shared" si="17"/>
        <v>0</v>
      </c>
      <c r="BI17" s="40">
        <f t="shared" si="18"/>
        <v>0</v>
      </c>
      <c r="BL17" s="40">
        <f t="shared" si="19"/>
        <v>0</v>
      </c>
      <c r="BO17" s="40">
        <f t="shared" si="20"/>
        <v>0</v>
      </c>
      <c r="BR17" s="40">
        <f t="shared" si="21"/>
        <v>0</v>
      </c>
      <c r="BU17" s="40">
        <f t="shared" si="22"/>
        <v>0</v>
      </c>
      <c r="BX17" s="40">
        <f t="shared" si="23"/>
        <v>0</v>
      </c>
      <c r="CA17" s="40">
        <f t="shared" si="24"/>
        <v>0</v>
      </c>
      <c r="CD17" s="40">
        <f t="shared" si="25"/>
        <v>0</v>
      </c>
      <c r="CG17" s="40">
        <f t="shared" si="26"/>
        <v>0</v>
      </c>
      <c r="CJ17" s="40">
        <f t="shared" si="27"/>
        <v>0</v>
      </c>
      <c r="CM17" s="40">
        <f t="shared" si="28"/>
        <v>0</v>
      </c>
      <c r="CP17" s="40">
        <f t="shared" si="29"/>
        <v>0</v>
      </c>
      <c r="CS17" s="40">
        <f t="shared" si="30"/>
        <v>0</v>
      </c>
      <c r="CV17" s="40">
        <f t="shared" si="31"/>
        <v>0</v>
      </c>
      <c r="CY17" s="40">
        <f t="shared" si="32"/>
        <v>0</v>
      </c>
      <c r="DB17" s="40">
        <f t="shared" si="33"/>
        <v>0</v>
      </c>
      <c r="DE17" s="40">
        <f t="shared" si="34"/>
        <v>0</v>
      </c>
      <c r="DH17" s="40">
        <f t="shared" si="35"/>
        <v>0</v>
      </c>
      <c r="DK17" s="40">
        <f t="shared" si="36"/>
        <v>0</v>
      </c>
      <c r="DN17" s="40">
        <f t="shared" si="37"/>
        <v>0</v>
      </c>
      <c r="DQ17" s="40">
        <f t="shared" si="38"/>
        <v>0</v>
      </c>
      <c r="DT17" s="40">
        <f t="shared" si="39"/>
        <v>0</v>
      </c>
      <c r="DW17" s="40">
        <f t="shared" si="40"/>
        <v>0</v>
      </c>
      <c r="DZ17" s="40"/>
      <c r="EA17" s="40"/>
      <c r="EB17" s="75">
        <f t="shared" si="41"/>
        <v>81125000</v>
      </c>
      <c r="EC17" s="75">
        <f t="shared" si="42"/>
        <v>0</v>
      </c>
      <c r="ED17" s="40">
        <f t="shared" si="43"/>
        <v>6509.5486111111113</v>
      </c>
      <c r="EE17" s="41">
        <f t="shared" si="44"/>
        <v>2.8886748844375965E-2</v>
      </c>
      <c r="EG17" s="75">
        <f t="shared" si="45"/>
        <v>0</v>
      </c>
      <c r="EH17" s="40">
        <f t="shared" si="46"/>
        <v>0</v>
      </c>
      <c r="EI17" s="41">
        <f t="shared" si="47"/>
        <v>0</v>
      </c>
      <c r="EJ17" s="41"/>
      <c r="EK17" s="75">
        <f t="shared" si="48"/>
        <v>81125000</v>
      </c>
      <c r="EL17" s="75">
        <f t="shared" si="49"/>
        <v>0</v>
      </c>
      <c r="EM17" s="75">
        <f t="shared" si="50"/>
        <v>6509.5486111111113</v>
      </c>
      <c r="EN17" s="41">
        <f t="shared" si="51"/>
        <v>2.8886748844375965E-2</v>
      </c>
    </row>
    <row r="18" spans="1:144" x14ac:dyDescent="0.25">
      <c r="A18" s="25">
        <f t="shared" si="52"/>
        <v>43472</v>
      </c>
      <c r="D18" s="40">
        <f t="shared" si="1"/>
        <v>0</v>
      </c>
      <c r="G18" s="40">
        <f t="shared" si="2"/>
        <v>0</v>
      </c>
      <c r="J18" s="40">
        <f t="shared" si="3"/>
        <v>0</v>
      </c>
      <c r="M18" s="40">
        <f t="shared" si="4"/>
        <v>0</v>
      </c>
      <c r="P18" s="40">
        <f t="shared" si="5"/>
        <v>0</v>
      </c>
      <c r="S18" s="40">
        <f t="shared" si="6"/>
        <v>0</v>
      </c>
      <c r="V18" s="40">
        <f t="shared" si="7"/>
        <v>0</v>
      </c>
      <c r="Y18" s="40">
        <f t="shared" si="8"/>
        <v>0</v>
      </c>
      <c r="AB18" s="40">
        <f t="shared" si="9"/>
        <v>0</v>
      </c>
      <c r="AE18" s="40">
        <v>0</v>
      </c>
      <c r="AH18" s="40">
        <v>0</v>
      </c>
      <c r="AI18" s="73">
        <f>38425000</f>
        <v>38425000</v>
      </c>
      <c r="AJ18" s="74">
        <v>2.7300000000000001E-2</v>
      </c>
      <c r="AK18" s="40">
        <f t="shared" si="10"/>
        <v>2913.8958333333335</v>
      </c>
      <c r="AL18" s="73">
        <f t="shared" si="0"/>
        <v>5000000</v>
      </c>
      <c r="AM18" s="74">
        <v>2.8000000000000001E-2</v>
      </c>
      <c r="AN18" s="40">
        <f t="shared" si="11"/>
        <v>388.88888888888891</v>
      </c>
      <c r="AO18" s="73">
        <f t="shared" si="53"/>
        <v>50000000</v>
      </c>
      <c r="AP18" s="74">
        <v>2.9700000000000001E-2</v>
      </c>
      <c r="AQ18" s="40">
        <f t="shared" si="12"/>
        <v>4125</v>
      </c>
      <c r="AR18" s="73"/>
      <c r="AS18" s="74"/>
      <c r="AT18" s="40">
        <f t="shared" si="13"/>
        <v>0</v>
      </c>
      <c r="AW18" s="40">
        <f t="shared" si="14"/>
        <v>0</v>
      </c>
      <c r="AZ18" s="40">
        <f t="shared" si="15"/>
        <v>0</v>
      </c>
      <c r="BC18" s="40">
        <f t="shared" si="16"/>
        <v>0</v>
      </c>
      <c r="BF18" s="40">
        <f t="shared" si="17"/>
        <v>0</v>
      </c>
      <c r="BI18" s="40">
        <f t="shared" si="18"/>
        <v>0</v>
      </c>
      <c r="BL18" s="40">
        <f t="shared" si="19"/>
        <v>0</v>
      </c>
      <c r="BO18" s="40">
        <f t="shared" si="20"/>
        <v>0</v>
      </c>
      <c r="BR18" s="40">
        <f t="shared" si="21"/>
        <v>0</v>
      </c>
      <c r="BU18" s="40">
        <f t="shared" si="22"/>
        <v>0</v>
      </c>
      <c r="BX18" s="40">
        <f t="shared" si="23"/>
        <v>0</v>
      </c>
      <c r="CA18" s="40">
        <f t="shared" si="24"/>
        <v>0</v>
      </c>
      <c r="CD18" s="40">
        <f t="shared" si="25"/>
        <v>0</v>
      </c>
      <c r="CG18" s="40">
        <f t="shared" si="26"/>
        <v>0</v>
      </c>
      <c r="CJ18" s="40">
        <f t="shared" si="27"/>
        <v>0</v>
      </c>
      <c r="CM18" s="40">
        <f t="shared" si="28"/>
        <v>0</v>
      </c>
      <c r="CP18" s="40">
        <f t="shared" si="29"/>
        <v>0</v>
      </c>
      <c r="CS18" s="40">
        <f t="shared" si="30"/>
        <v>0</v>
      </c>
      <c r="CV18" s="40">
        <f t="shared" si="31"/>
        <v>0</v>
      </c>
      <c r="CY18" s="40">
        <f t="shared" si="32"/>
        <v>0</v>
      </c>
      <c r="DB18" s="40">
        <f t="shared" si="33"/>
        <v>0</v>
      </c>
      <c r="DE18" s="40">
        <f t="shared" si="34"/>
        <v>0</v>
      </c>
      <c r="DH18" s="40">
        <f t="shared" si="35"/>
        <v>0</v>
      </c>
      <c r="DK18" s="40">
        <f t="shared" si="36"/>
        <v>0</v>
      </c>
      <c r="DN18" s="40">
        <f t="shared" si="37"/>
        <v>0</v>
      </c>
      <c r="DQ18" s="40">
        <f t="shared" si="38"/>
        <v>0</v>
      </c>
      <c r="DT18" s="40">
        <f t="shared" si="39"/>
        <v>0</v>
      </c>
      <c r="DW18" s="40">
        <f t="shared" si="40"/>
        <v>0</v>
      </c>
      <c r="DZ18" s="40"/>
      <c r="EA18" s="40"/>
      <c r="EB18" s="75">
        <f t="shared" si="41"/>
        <v>93425000</v>
      </c>
      <c r="EC18" s="75">
        <f t="shared" si="42"/>
        <v>0</v>
      </c>
      <c r="ED18" s="40">
        <f t="shared" si="43"/>
        <v>7427.7847222222226</v>
      </c>
      <c r="EE18" s="41">
        <f t="shared" si="44"/>
        <v>2.8621915975381322E-2</v>
      </c>
      <c r="EG18" s="75">
        <f t="shared" si="45"/>
        <v>0</v>
      </c>
      <c r="EH18" s="40">
        <f t="shared" si="46"/>
        <v>0</v>
      </c>
      <c r="EI18" s="41">
        <f t="shared" si="47"/>
        <v>0</v>
      </c>
      <c r="EJ18" s="41"/>
      <c r="EK18" s="75">
        <f t="shared" si="48"/>
        <v>93425000</v>
      </c>
      <c r="EL18" s="75">
        <f t="shared" si="49"/>
        <v>0</v>
      </c>
      <c r="EM18" s="75">
        <f t="shared" si="50"/>
        <v>7427.7847222222226</v>
      </c>
      <c r="EN18" s="41">
        <f t="shared" si="51"/>
        <v>2.8621915975381322E-2</v>
      </c>
    </row>
    <row r="19" spans="1:144" x14ac:dyDescent="0.25">
      <c r="A19" s="25">
        <f t="shared" si="52"/>
        <v>43473</v>
      </c>
      <c r="D19" s="40">
        <f t="shared" si="1"/>
        <v>0</v>
      </c>
      <c r="G19" s="40">
        <f t="shared" si="2"/>
        <v>0</v>
      </c>
      <c r="J19" s="40">
        <f t="shared" si="3"/>
        <v>0</v>
      </c>
      <c r="M19" s="40">
        <f t="shared" si="4"/>
        <v>0</v>
      </c>
      <c r="P19" s="40">
        <f t="shared" si="5"/>
        <v>0</v>
      </c>
      <c r="S19" s="40">
        <f t="shared" si="6"/>
        <v>0</v>
      </c>
      <c r="V19" s="40">
        <f t="shared" si="7"/>
        <v>0</v>
      </c>
      <c r="Y19" s="40">
        <f t="shared" si="8"/>
        <v>0</v>
      </c>
      <c r="AB19" s="40">
        <f t="shared" si="9"/>
        <v>0</v>
      </c>
      <c r="AE19" s="40">
        <v>0</v>
      </c>
      <c r="AH19" s="40">
        <v>0</v>
      </c>
      <c r="AI19" s="73">
        <f>38275000</f>
        <v>38275000</v>
      </c>
      <c r="AJ19" s="74">
        <v>2.7199999999999998E-2</v>
      </c>
      <c r="AK19" s="40">
        <f t="shared" si="10"/>
        <v>2891.8888888888887</v>
      </c>
      <c r="AL19" s="73">
        <f t="shared" si="0"/>
        <v>5000000</v>
      </c>
      <c r="AM19" s="74">
        <v>2.8000000000000001E-2</v>
      </c>
      <c r="AN19" s="40">
        <f t="shared" si="11"/>
        <v>388.88888888888891</v>
      </c>
      <c r="AO19" s="73">
        <f t="shared" si="53"/>
        <v>50000000</v>
      </c>
      <c r="AP19" s="74">
        <v>2.9700000000000001E-2</v>
      </c>
      <c r="AQ19" s="40">
        <f t="shared" si="12"/>
        <v>4125</v>
      </c>
      <c r="AR19" s="73"/>
      <c r="AS19" s="74"/>
      <c r="AT19" s="40">
        <f t="shared" si="13"/>
        <v>0</v>
      </c>
      <c r="AW19" s="40">
        <f t="shared" si="14"/>
        <v>0</v>
      </c>
      <c r="AZ19" s="40">
        <f t="shared" si="15"/>
        <v>0</v>
      </c>
      <c r="BC19" s="40">
        <f t="shared" si="16"/>
        <v>0</v>
      </c>
      <c r="BF19" s="40">
        <f t="shared" si="17"/>
        <v>0</v>
      </c>
      <c r="BI19" s="40">
        <f t="shared" si="18"/>
        <v>0</v>
      </c>
      <c r="BL19" s="40">
        <f t="shared" si="19"/>
        <v>0</v>
      </c>
      <c r="BO19" s="40">
        <f t="shared" si="20"/>
        <v>0</v>
      </c>
      <c r="BR19" s="40">
        <f t="shared" si="21"/>
        <v>0</v>
      </c>
      <c r="BU19" s="40">
        <f t="shared" si="22"/>
        <v>0</v>
      </c>
      <c r="BX19" s="40">
        <f t="shared" si="23"/>
        <v>0</v>
      </c>
      <c r="CA19" s="40">
        <f t="shared" si="24"/>
        <v>0</v>
      </c>
      <c r="CD19" s="40">
        <f t="shared" si="25"/>
        <v>0</v>
      </c>
      <c r="CG19" s="40">
        <f t="shared" si="26"/>
        <v>0</v>
      </c>
      <c r="CJ19" s="40">
        <f t="shared" si="27"/>
        <v>0</v>
      </c>
      <c r="CM19" s="40">
        <f t="shared" si="28"/>
        <v>0</v>
      </c>
      <c r="CP19" s="40">
        <f t="shared" si="29"/>
        <v>0</v>
      </c>
      <c r="CS19" s="40">
        <f t="shared" si="30"/>
        <v>0</v>
      </c>
      <c r="CV19" s="40">
        <f t="shared" si="31"/>
        <v>0</v>
      </c>
      <c r="CY19" s="40">
        <f t="shared" si="32"/>
        <v>0</v>
      </c>
      <c r="DB19" s="40">
        <f t="shared" si="33"/>
        <v>0</v>
      </c>
      <c r="DE19" s="40">
        <f t="shared" si="34"/>
        <v>0</v>
      </c>
      <c r="DH19" s="40">
        <f t="shared" si="35"/>
        <v>0</v>
      </c>
      <c r="DK19" s="40">
        <f t="shared" si="36"/>
        <v>0</v>
      </c>
      <c r="DN19" s="40">
        <f t="shared" si="37"/>
        <v>0</v>
      </c>
      <c r="DQ19" s="40">
        <f t="shared" si="38"/>
        <v>0</v>
      </c>
      <c r="DT19" s="40">
        <f t="shared" si="39"/>
        <v>0</v>
      </c>
      <c r="DW19" s="40">
        <f t="shared" si="40"/>
        <v>0</v>
      </c>
      <c r="DZ19" s="40"/>
      <c r="EA19" s="40"/>
      <c r="EB19" s="75">
        <f t="shared" si="41"/>
        <v>93275000</v>
      </c>
      <c r="EC19" s="75">
        <f t="shared" si="42"/>
        <v>0</v>
      </c>
      <c r="ED19" s="40">
        <f t="shared" si="43"/>
        <v>7405.7777777777774</v>
      </c>
      <c r="EE19" s="41">
        <f t="shared" si="44"/>
        <v>2.8583007236665771E-2</v>
      </c>
      <c r="EG19" s="75">
        <f t="shared" si="45"/>
        <v>0</v>
      </c>
      <c r="EH19" s="40">
        <f t="shared" si="46"/>
        <v>0</v>
      </c>
      <c r="EI19" s="41">
        <f t="shared" si="47"/>
        <v>0</v>
      </c>
      <c r="EJ19" s="41"/>
      <c r="EK19" s="75">
        <f t="shared" si="48"/>
        <v>93275000</v>
      </c>
      <c r="EL19" s="75">
        <f t="shared" si="49"/>
        <v>0</v>
      </c>
      <c r="EM19" s="75">
        <f t="shared" si="50"/>
        <v>7405.7777777777774</v>
      </c>
      <c r="EN19" s="41">
        <f t="shared" si="51"/>
        <v>2.8583007236665771E-2</v>
      </c>
    </row>
    <row r="20" spans="1:144" x14ac:dyDescent="0.25">
      <c r="A20" s="25">
        <f t="shared" si="52"/>
        <v>43474</v>
      </c>
      <c r="D20" s="40">
        <f t="shared" si="1"/>
        <v>0</v>
      </c>
      <c r="G20" s="40">
        <f t="shared" si="2"/>
        <v>0</v>
      </c>
      <c r="J20" s="40">
        <f t="shared" si="3"/>
        <v>0</v>
      </c>
      <c r="M20" s="40">
        <f t="shared" si="4"/>
        <v>0</v>
      </c>
      <c r="P20" s="40">
        <f t="shared" si="5"/>
        <v>0</v>
      </c>
      <c r="S20" s="40">
        <f t="shared" si="6"/>
        <v>0</v>
      </c>
      <c r="V20" s="40">
        <f t="shared" si="7"/>
        <v>0</v>
      </c>
      <c r="Y20" s="40">
        <f t="shared" si="8"/>
        <v>0</v>
      </c>
      <c r="AB20" s="40">
        <f t="shared" si="9"/>
        <v>0</v>
      </c>
      <c r="AE20" s="40">
        <v>0</v>
      </c>
      <c r="AH20" s="40">
        <v>0</v>
      </c>
      <c r="AI20" s="73">
        <f>41875000</f>
        <v>41875000</v>
      </c>
      <c r="AJ20" s="74">
        <v>2.7E-2</v>
      </c>
      <c r="AK20" s="40">
        <f t="shared" si="10"/>
        <v>3140.625</v>
      </c>
      <c r="AL20" s="73">
        <f t="shared" si="0"/>
        <v>5000000</v>
      </c>
      <c r="AM20" s="74">
        <v>2.8000000000000001E-2</v>
      </c>
      <c r="AN20" s="40">
        <f t="shared" si="11"/>
        <v>388.88888888888891</v>
      </c>
      <c r="AO20" s="73">
        <f t="shared" si="53"/>
        <v>50000000</v>
      </c>
      <c r="AP20" s="74">
        <v>2.9700000000000001E-2</v>
      </c>
      <c r="AQ20" s="40">
        <f t="shared" si="12"/>
        <v>4125</v>
      </c>
      <c r="AR20" s="73"/>
      <c r="AS20" s="74"/>
      <c r="AT20" s="40">
        <f t="shared" si="13"/>
        <v>0</v>
      </c>
      <c r="AW20" s="40">
        <f t="shared" si="14"/>
        <v>0</v>
      </c>
      <c r="AZ20" s="40">
        <f t="shared" si="15"/>
        <v>0</v>
      </c>
      <c r="BC20" s="40">
        <f t="shared" si="16"/>
        <v>0</v>
      </c>
      <c r="BF20" s="40">
        <f t="shared" si="17"/>
        <v>0</v>
      </c>
      <c r="BI20" s="40">
        <f t="shared" si="18"/>
        <v>0</v>
      </c>
      <c r="BL20" s="40">
        <f t="shared" si="19"/>
        <v>0</v>
      </c>
      <c r="BO20" s="40">
        <f t="shared" si="20"/>
        <v>0</v>
      </c>
      <c r="BR20" s="40">
        <f t="shared" si="21"/>
        <v>0</v>
      </c>
      <c r="BU20" s="40">
        <f t="shared" si="22"/>
        <v>0</v>
      </c>
      <c r="BX20" s="40">
        <f t="shared" si="23"/>
        <v>0</v>
      </c>
      <c r="CA20" s="40">
        <f t="shared" si="24"/>
        <v>0</v>
      </c>
      <c r="CD20" s="40">
        <f t="shared" si="25"/>
        <v>0</v>
      </c>
      <c r="CG20" s="40">
        <f t="shared" si="26"/>
        <v>0</v>
      </c>
      <c r="CJ20" s="40">
        <f t="shared" si="27"/>
        <v>0</v>
      </c>
      <c r="CM20" s="40">
        <f t="shared" si="28"/>
        <v>0</v>
      </c>
      <c r="CP20" s="40">
        <f t="shared" si="29"/>
        <v>0</v>
      </c>
      <c r="CS20" s="40">
        <f t="shared" si="30"/>
        <v>0</v>
      </c>
      <c r="CV20" s="40">
        <f t="shared" si="31"/>
        <v>0</v>
      </c>
      <c r="CY20" s="40">
        <f t="shared" si="32"/>
        <v>0</v>
      </c>
      <c r="DB20" s="40">
        <f t="shared" si="33"/>
        <v>0</v>
      </c>
      <c r="DE20" s="40">
        <f t="shared" si="34"/>
        <v>0</v>
      </c>
      <c r="DH20" s="40">
        <f t="shared" si="35"/>
        <v>0</v>
      </c>
      <c r="DK20" s="40">
        <f t="shared" si="36"/>
        <v>0</v>
      </c>
      <c r="DN20" s="40">
        <f t="shared" si="37"/>
        <v>0</v>
      </c>
      <c r="DQ20" s="40">
        <f t="shared" si="38"/>
        <v>0</v>
      </c>
      <c r="DT20" s="40">
        <f t="shared" si="39"/>
        <v>0</v>
      </c>
      <c r="DW20" s="40">
        <f t="shared" si="40"/>
        <v>0</v>
      </c>
      <c r="DZ20" s="40"/>
      <c r="EA20" s="40"/>
      <c r="EB20" s="75">
        <f t="shared" si="41"/>
        <v>96875000</v>
      </c>
      <c r="EC20" s="75">
        <f t="shared" si="42"/>
        <v>0</v>
      </c>
      <c r="ED20" s="40">
        <f t="shared" si="43"/>
        <v>7654.5138888888887</v>
      </c>
      <c r="EE20" s="41">
        <f t="shared" si="44"/>
        <v>2.8445161290322582E-2</v>
      </c>
      <c r="EG20" s="75">
        <f t="shared" si="45"/>
        <v>0</v>
      </c>
      <c r="EH20" s="40">
        <f t="shared" si="46"/>
        <v>0</v>
      </c>
      <c r="EI20" s="41">
        <f t="shared" si="47"/>
        <v>0</v>
      </c>
      <c r="EJ20" s="41"/>
      <c r="EK20" s="75">
        <f t="shared" si="48"/>
        <v>96875000</v>
      </c>
      <c r="EL20" s="75">
        <f t="shared" si="49"/>
        <v>0</v>
      </c>
      <c r="EM20" s="75">
        <f t="shared" si="50"/>
        <v>7654.5138888888887</v>
      </c>
      <c r="EN20" s="41">
        <f t="shared" si="51"/>
        <v>2.8445161290322582E-2</v>
      </c>
    </row>
    <row r="21" spans="1:144" x14ac:dyDescent="0.25">
      <c r="A21" s="25">
        <f t="shared" si="52"/>
        <v>43475</v>
      </c>
      <c r="D21" s="40">
        <f t="shared" si="1"/>
        <v>0</v>
      </c>
      <c r="G21" s="40">
        <f t="shared" si="2"/>
        <v>0</v>
      </c>
      <c r="J21" s="40">
        <f t="shared" si="3"/>
        <v>0</v>
      </c>
      <c r="M21" s="40">
        <f t="shared" si="4"/>
        <v>0</v>
      </c>
      <c r="P21" s="40">
        <f t="shared" si="5"/>
        <v>0</v>
      </c>
      <c r="S21" s="40">
        <f t="shared" si="6"/>
        <v>0</v>
      </c>
      <c r="V21" s="40">
        <f t="shared" si="7"/>
        <v>0</v>
      </c>
      <c r="Y21" s="40">
        <f t="shared" si="8"/>
        <v>0</v>
      </c>
      <c r="AB21" s="40">
        <f t="shared" si="9"/>
        <v>0</v>
      </c>
      <c r="AE21" s="40">
        <v>0</v>
      </c>
      <c r="AH21" s="40">
        <v>0</v>
      </c>
      <c r="AI21" s="73">
        <f>37400000</f>
        <v>37400000</v>
      </c>
      <c r="AJ21" s="74">
        <v>2.7E-2</v>
      </c>
      <c r="AK21" s="40">
        <f t="shared" si="10"/>
        <v>2805</v>
      </c>
      <c r="AL21" s="73">
        <f t="shared" si="0"/>
        <v>5000000</v>
      </c>
      <c r="AM21" s="74">
        <v>2.8000000000000001E-2</v>
      </c>
      <c r="AN21" s="40">
        <f t="shared" si="11"/>
        <v>388.88888888888891</v>
      </c>
      <c r="AO21" s="73">
        <f t="shared" si="53"/>
        <v>50000000</v>
      </c>
      <c r="AP21" s="74">
        <v>2.9700000000000001E-2</v>
      </c>
      <c r="AQ21" s="40">
        <f t="shared" si="12"/>
        <v>4125</v>
      </c>
      <c r="AR21" s="73"/>
      <c r="AS21" s="74"/>
      <c r="AT21" s="40">
        <f t="shared" si="13"/>
        <v>0</v>
      </c>
      <c r="AW21" s="40">
        <f t="shared" si="14"/>
        <v>0</v>
      </c>
      <c r="AZ21" s="40">
        <f t="shared" si="15"/>
        <v>0</v>
      </c>
      <c r="BC21" s="40">
        <f t="shared" si="16"/>
        <v>0</v>
      </c>
      <c r="BF21" s="40">
        <f t="shared" si="17"/>
        <v>0</v>
      </c>
      <c r="BI21" s="40">
        <f t="shared" si="18"/>
        <v>0</v>
      </c>
      <c r="BL21" s="40">
        <f t="shared" si="19"/>
        <v>0</v>
      </c>
      <c r="BO21" s="40">
        <f t="shared" si="20"/>
        <v>0</v>
      </c>
      <c r="BR21" s="40">
        <f t="shared" si="21"/>
        <v>0</v>
      </c>
      <c r="BU21" s="40">
        <f t="shared" si="22"/>
        <v>0</v>
      </c>
      <c r="BX21" s="40">
        <f t="shared" si="23"/>
        <v>0</v>
      </c>
      <c r="CA21" s="40">
        <f t="shared" si="24"/>
        <v>0</v>
      </c>
      <c r="CD21" s="40">
        <f t="shared" si="25"/>
        <v>0</v>
      </c>
      <c r="CG21" s="40">
        <f t="shared" si="26"/>
        <v>0</v>
      </c>
      <c r="CJ21" s="40">
        <f t="shared" si="27"/>
        <v>0</v>
      </c>
      <c r="CM21" s="40">
        <f t="shared" si="28"/>
        <v>0</v>
      </c>
      <c r="CP21" s="40">
        <f t="shared" si="29"/>
        <v>0</v>
      </c>
      <c r="CS21" s="40">
        <f t="shared" si="30"/>
        <v>0</v>
      </c>
      <c r="CV21" s="40">
        <f t="shared" si="31"/>
        <v>0</v>
      </c>
      <c r="CY21" s="40">
        <f t="shared" si="32"/>
        <v>0</v>
      </c>
      <c r="DB21" s="40">
        <f t="shared" si="33"/>
        <v>0</v>
      </c>
      <c r="DE21" s="40">
        <f t="shared" si="34"/>
        <v>0</v>
      </c>
      <c r="DH21" s="40">
        <f t="shared" si="35"/>
        <v>0</v>
      </c>
      <c r="DK21" s="40">
        <f t="shared" si="36"/>
        <v>0</v>
      </c>
      <c r="DN21" s="40">
        <f t="shared" si="37"/>
        <v>0</v>
      </c>
      <c r="DQ21" s="40">
        <f t="shared" si="38"/>
        <v>0</v>
      </c>
      <c r="DT21" s="40">
        <f t="shared" si="39"/>
        <v>0</v>
      </c>
      <c r="DW21" s="40">
        <f t="shared" si="40"/>
        <v>0</v>
      </c>
      <c r="DZ21" s="40"/>
      <c r="EA21" s="40"/>
      <c r="EB21" s="75">
        <f t="shared" si="41"/>
        <v>92400000</v>
      </c>
      <c r="EC21" s="75">
        <f t="shared" si="42"/>
        <v>0</v>
      </c>
      <c r="ED21" s="40">
        <f t="shared" si="43"/>
        <v>7318.8888888888887</v>
      </c>
      <c r="EE21" s="41">
        <f t="shared" si="44"/>
        <v>2.8515151515151518E-2</v>
      </c>
      <c r="EG21" s="75">
        <f t="shared" si="45"/>
        <v>0</v>
      </c>
      <c r="EH21" s="40">
        <f t="shared" si="46"/>
        <v>0</v>
      </c>
      <c r="EI21" s="41">
        <f t="shared" si="47"/>
        <v>0</v>
      </c>
      <c r="EJ21" s="41"/>
      <c r="EK21" s="75">
        <f t="shared" si="48"/>
        <v>92400000</v>
      </c>
      <c r="EL21" s="75">
        <f t="shared" si="49"/>
        <v>0</v>
      </c>
      <c r="EM21" s="75">
        <f t="shared" si="50"/>
        <v>7318.8888888888887</v>
      </c>
      <c r="EN21" s="41">
        <f t="shared" si="51"/>
        <v>2.8515151515151518E-2</v>
      </c>
    </row>
    <row r="22" spans="1:144" x14ac:dyDescent="0.25">
      <c r="A22" s="25">
        <f t="shared" si="52"/>
        <v>43476</v>
      </c>
      <c r="D22" s="40">
        <f t="shared" si="1"/>
        <v>0</v>
      </c>
      <c r="G22" s="40">
        <f t="shared" si="2"/>
        <v>0</v>
      </c>
      <c r="J22" s="40">
        <f t="shared" si="3"/>
        <v>0</v>
      </c>
      <c r="M22" s="40">
        <f t="shared" si="4"/>
        <v>0</v>
      </c>
      <c r="P22" s="40">
        <f t="shared" si="5"/>
        <v>0</v>
      </c>
      <c r="S22" s="40">
        <f t="shared" si="6"/>
        <v>0</v>
      </c>
      <c r="V22" s="40">
        <f t="shared" si="7"/>
        <v>0</v>
      </c>
      <c r="Y22" s="40">
        <f t="shared" si="8"/>
        <v>0</v>
      </c>
      <c r="AB22" s="40">
        <f t="shared" si="9"/>
        <v>0</v>
      </c>
      <c r="AE22" s="40">
        <v>0</v>
      </c>
      <c r="AH22" s="40">
        <v>0</v>
      </c>
      <c r="AI22" s="73">
        <f>31575000</f>
        <v>31575000</v>
      </c>
      <c r="AJ22" s="74">
        <v>2.7E-2</v>
      </c>
      <c r="AK22" s="40">
        <f t="shared" si="10"/>
        <v>2368.125</v>
      </c>
      <c r="AL22" s="73">
        <f t="shared" si="0"/>
        <v>5000000</v>
      </c>
      <c r="AM22" s="74">
        <v>2.8000000000000001E-2</v>
      </c>
      <c r="AN22" s="40">
        <f t="shared" si="11"/>
        <v>388.88888888888891</v>
      </c>
      <c r="AO22" s="73">
        <f t="shared" si="53"/>
        <v>50000000</v>
      </c>
      <c r="AP22" s="74">
        <v>2.9700000000000001E-2</v>
      </c>
      <c r="AQ22" s="40">
        <f t="shared" si="12"/>
        <v>4125</v>
      </c>
      <c r="AR22" s="73"/>
      <c r="AS22" s="74"/>
      <c r="AT22" s="40">
        <f t="shared" si="13"/>
        <v>0</v>
      </c>
      <c r="AW22" s="40">
        <f t="shared" si="14"/>
        <v>0</v>
      </c>
      <c r="AZ22" s="40">
        <f t="shared" si="15"/>
        <v>0</v>
      </c>
      <c r="BC22" s="40">
        <f t="shared" si="16"/>
        <v>0</v>
      </c>
      <c r="BF22" s="40">
        <f t="shared" si="17"/>
        <v>0</v>
      </c>
      <c r="BI22" s="40">
        <f t="shared" si="18"/>
        <v>0</v>
      </c>
      <c r="BL22" s="40">
        <f t="shared" si="19"/>
        <v>0</v>
      </c>
      <c r="BO22" s="40">
        <f t="shared" si="20"/>
        <v>0</v>
      </c>
      <c r="BR22" s="40">
        <f t="shared" si="21"/>
        <v>0</v>
      </c>
      <c r="BU22" s="40">
        <f t="shared" si="22"/>
        <v>0</v>
      </c>
      <c r="BX22" s="40">
        <f t="shared" si="23"/>
        <v>0</v>
      </c>
      <c r="CA22" s="40">
        <f t="shared" si="24"/>
        <v>0</v>
      </c>
      <c r="CD22" s="40">
        <f t="shared" si="25"/>
        <v>0</v>
      </c>
      <c r="CG22" s="40">
        <f t="shared" si="26"/>
        <v>0</v>
      </c>
      <c r="CJ22" s="40">
        <f t="shared" si="27"/>
        <v>0</v>
      </c>
      <c r="CM22" s="40">
        <f t="shared" si="28"/>
        <v>0</v>
      </c>
      <c r="CP22" s="40">
        <f t="shared" si="29"/>
        <v>0</v>
      </c>
      <c r="CS22" s="40">
        <f t="shared" si="30"/>
        <v>0</v>
      </c>
      <c r="CV22" s="40">
        <f t="shared" si="31"/>
        <v>0</v>
      </c>
      <c r="CY22" s="40">
        <f t="shared" si="32"/>
        <v>0</v>
      </c>
      <c r="DB22" s="40">
        <f t="shared" si="33"/>
        <v>0</v>
      </c>
      <c r="DE22" s="40">
        <f t="shared" si="34"/>
        <v>0</v>
      </c>
      <c r="DH22" s="40">
        <f t="shared" si="35"/>
        <v>0</v>
      </c>
      <c r="DK22" s="40">
        <f t="shared" si="36"/>
        <v>0</v>
      </c>
      <c r="DN22" s="40">
        <f t="shared" si="37"/>
        <v>0</v>
      </c>
      <c r="DQ22" s="40">
        <f t="shared" si="38"/>
        <v>0</v>
      </c>
      <c r="DT22" s="40">
        <f t="shared" si="39"/>
        <v>0</v>
      </c>
      <c r="DW22" s="40">
        <f t="shared" si="40"/>
        <v>0</v>
      </c>
      <c r="DZ22" s="40"/>
      <c r="EA22" s="40"/>
      <c r="EB22" s="75">
        <f t="shared" si="41"/>
        <v>86575000</v>
      </c>
      <c r="EC22" s="75">
        <f t="shared" si="42"/>
        <v>0</v>
      </c>
      <c r="ED22" s="40">
        <f t="shared" si="43"/>
        <v>6882.0138888888887</v>
      </c>
      <c r="EE22" s="41">
        <f t="shared" si="44"/>
        <v>2.8617095004331503E-2</v>
      </c>
      <c r="EG22" s="75">
        <f t="shared" si="45"/>
        <v>0</v>
      </c>
      <c r="EH22" s="40">
        <f t="shared" si="46"/>
        <v>0</v>
      </c>
      <c r="EI22" s="41">
        <f t="shared" si="47"/>
        <v>0</v>
      </c>
      <c r="EJ22" s="41"/>
      <c r="EK22" s="75">
        <f t="shared" si="48"/>
        <v>86575000</v>
      </c>
      <c r="EL22" s="75">
        <f t="shared" si="49"/>
        <v>0</v>
      </c>
      <c r="EM22" s="75">
        <f t="shared" si="50"/>
        <v>6882.0138888888887</v>
      </c>
      <c r="EN22" s="41">
        <f t="shared" si="51"/>
        <v>2.8617095004331503E-2</v>
      </c>
    </row>
    <row r="23" spans="1:144" x14ac:dyDescent="0.25">
      <c r="A23" s="25">
        <f t="shared" si="52"/>
        <v>43477</v>
      </c>
      <c r="D23" s="40">
        <f t="shared" si="1"/>
        <v>0</v>
      </c>
      <c r="G23" s="40">
        <f t="shared" si="2"/>
        <v>0</v>
      </c>
      <c r="J23" s="40">
        <f t="shared" si="3"/>
        <v>0</v>
      </c>
      <c r="M23" s="40">
        <f t="shared" si="4"/>
        <v>0</v>
      </c>
      <c r="P23" s="40">
        <f t="shared" si="5"/>
        <v>0</v>
      </c>
      <c r="S23" s="40">
        <f t="shared" si="6"/>
        <v>0</v>
      </c>
      <c r="V23" s="40">
        <f t="shared" si="7"/>
        <v>0</v>
      </c>
      <c r="Y23" s="40">
        <f t="shared" si="8"/>
        <v>0</v>
      </c>
      <c r="AB23" s="40">
        <f t="shared" si="9"/>
        <v>0</v>
      </c>
      <c r="AE23" s="40">
        <v>0</v>
      </c>
      <c r="AH23" s="40">
        <v>0</v>
      </c>
      <c r="AI23" s="73">
        <f>31575000</f>
        <v>31575000</v>
      </c>
      <c r="AJ23" s="74">
        <v>2.7E-2</v>
      </c>
      <c r="AK23" s="40">
        <f t="shared" si="10"/>
        <v>2368.125</v>
      </c>
      <c r="AL23" s="73">
        <f t="shared" si="0"/>
        <v>5000000</v>
      </c>
      <c r="AM23" s="74">
        <v>2.8000000000000001E-2</v>
      </c>
      <c r="AN23" s="40">
        <f t="shared" si="11"/>
        <v>388.88888888888891</v>
      </c>
      <c r="AO23" s="73">
        <f t="shared" si="53"/>
        <v>50000000</v>
      </c>
      <c r="AP23" s="74">
        <v>2.9700000000000001E-2</v>
      </c>
      <c r="AQ23" s="40">
        <f t="shared" si="12"/>
        <v>4125</v>
      </c>
      <c r="AR23" s="73"/>
      <c r="AS23" s="74"/>
      <c r="AT23" s="40">
        <f t="shared" si="13"/>
        <v>0</v>
      </c>
      <c r="AW23" s="40">
        <f t="shared" si="14"/>
        <v>0</v>
      </c>
      <c r="AZ23" s="40">
        <f t="shared" si="15"/>
        <v>0</v>
      </c>
      <c r="BC23" s="40">
        <f t="shared" si="16"/>
        <v>0</v>
      </c>
      <c r="BF23" s="40">
        <f t="shared" si="17"/>
        <v>0</v>
      </c>
      <c r="BI23" s="40">
        <f t="shared" si="18"/>
        <v>0</v>
      </c>
      <c r="BL23" s="40">
        <f t="shared" si="19"/>
        <v>0</v>
      </c>
      <c r="BO23" s="40">
        <f t="shared" si="20"/>
        <v>0</v>
      </c>
      <c r="BR23" s="40">
        <f t="shared" si="21"/>
        <v>0</v>
      </c>
      <c r="BU23" s="40">
        <f t="shared" si="22"/>
        <v>0</v>
      </c>
      <c r="BX23" s="40">
        <f t="shared" si="23"/>
        <v>0</v>
      </c>
      <c r="CA23" s="40">
        <f t="shared" si="24"/>
        <v>0</v>
      </c>
      <c r="CD23" s="40">
        <f t="shared" si="25"/>
        <v>0</v>
      </c>
      <c r="CG23" s="40">
        <f t="shared" si="26"/>
        <v>0</v>
      </c>
      <c r="CJ23" s="40">
        <f t="shared" si="27"/>
        <v>0</v>
      </c>
      <c r="CM23" s="40">
        <f t="shared" si="28"/>
        <v>0</v>
      </c>
      <c r="CP23" s="40">
        <f t="shared" si="29"/>
        <v>0</v>
      </c>
      <c r="CS23" s="40">
        <f t="shared" si="30"/>
        <v>0</v>
      </c>
      <c r="CV23" s="40">
        <f t="shared" si="31"/>
        <v>0</v>
      </c>
      <c r="CY23" s="40">
        <f t="shared" si="32"/>
        <v>0</v>
      </c>
      <c r="DB23" s="40">
        <f t="shared" si="33"/>
        <v>0</v>
      </c>
      <c r="DE23" s="40">
        <f t="shared" si="34"/>
        <v>0</v>
      </c>
      <c r="DH23" s="40">
        <f t="shared" si="35"/>
        <v>0</v>
      </c>
      <c r="DK23" s="40">
        <f t="shared" si="36"/>
        <v>0</v>
      </c>
      <c r="DN23" s="40">
        <f t="shared" si="37"/>
        <v>0</v>
      </c>
      <c r="DQ23" s="40">
        <f t="shared" si="38"/>
        <v>0</v>
      </c>
      <c r="DT23" s="40">
        <f t="shared" si="39"/>
        <v>0</v>
      </c>
      <c r="DW23" s="40">
        <f t="shared" si="40"/>
        <v>0</v>
      </c>
      <c r="DZ23" s="40"/>
      <c r="EA23" s="40"/>
      <c r="EB23" s="75">
        <f t="shared" si="41"/>
        <v>86575000</v>
      </c>
      <c r="EC23" s="75">
        <f t="shared" si="42"/>
        <v>0</v>
      </c>
      <c r="ED23" s="40">
        <f t="shared" si="43"/>
        <v>6882.0138888888887</v>
      </c>
      <c r="EE23" s="41">
        <f t="shared" si="44"/>
        <v>2.8617095004331503E-2</v>
      </c>
      <c r="EG23" s="75">
        <f t="shared" si="45"/>
        <v>0</v>
      </c>
      <c r="EH23" s="40">
        <f t="shared" si="46"/>
        <v>0</v>
      </c>
      <c r="EI23" s="41">
        <f t="shared" si="47"/>
        <v>0</v>
      </c>
      <c r="EJ23" s="41"/>
      <c r="EK23" s="75">
        <f t="shared" si="48"/>
        <v>86575000</v>
      </c>
      <c r="EL23" s="75">
        <f t="shared" si="49"/>
        <v>0</v>
      </c>
      <c r="EM23" s="75">
        <f t="shared" si="50"/>
        <v>6882.0138888888887</v>
      </c>
      <c r="EN23" s="41">
        <f t="shared" si="51"/>
        <v>2.8617095004331503E-2</v>
      </c>
    </row>
    <row r="24" spans="1:144" x14ac:dyDescent="0.25">
      <c r="A24" s="25">
        <f t="shared" si="52"/>
        <v>43478</v>
      </c>
      <c r="D24" s="40">
        <f t="shared" si="1"/>
        <v>0</v>
      </c>
      <c r="G24" s="40">
        <f t="shared" si="2"/>
        <v>0</v>
      </c>
      <c r="J24" s="40">
        <f t="shared" si="3"/>
        <v>0</v>
      </c>
      <c r="M24" s="40">
        <f t="shared" si="4"/>
        <v>0</v>
      </c>
      <c r="P24" s="40">
        <f t="shared" si="5"/>
        <v>0</v>
      </c>
      <c r="S24" s="40">
        <f t="shared" si="6"/>
        <v>0</v>
      </c>
      <c r="V24" s="40">
        <f t="shared" si="7"/>
        <v>0</v>
      </c>
      <c r="Y24" s="40">
        <f t="shared" si="8"/>
        <v>0</v>
      </c>
      <c r="AB24" s="40">
        <f t="shared" si="9"/>
        <v>0</v>
      </c>
      <c r="AE24" s="40">
        <v>0</v>
      </c>
      <c r="AH24" s="40">
        <v>0</v>
      </c>
      <c r="AI24" s="73">
        <f>31575000</f>
        <v>31575000</v>
      </c>
      <c r="AJ24" s="74">
        <v>2.7E-2</v>
      </c>
      <c r="AK24" s="40">
        <f t="shared" si="10"/>
        <v>2368.125</v>
      </c>
      <c r="AL24" s="73">
        <f t="shared" si="0"/>
        <v>5000000</v>
      </c>
      <c r="AM24" s="74">
        <v>2.8000000000000001E-2</v>
      </c>
      <c r="AN24" s="40">
        <f t="shared" si="11"/>
        <v>388.88888888888891</v>
      </c>
      <c r="AO24" s="73">
        <f t="shared" si="53"/>
        <v>50000000</v>
      </c>
      <c r="AP24" s="74">
        <v>2.9700000000000001E-2</v>
      </c>
      <c r="AQ24" s="40">
        <f t="shared" si="12"/>
        <v>4125</v>
      </c>
      <c r="AR24" s="73"/>
      <c r="AS24" s="74"/>
      <c r="AT24" s="40">
        <f t="shared" si="13"/>
        <v>0</v>
      </c>
      <c r="AW24" s="40">
        <f t="shared" si="14"/>
        <v>0</v>
      </c>
      <c r="AZ24" s="40">
        <f t="shared" si="15"/>
        <v>0</v>
      </c>
      <c r="BC24" s="40">
        <f t="shared" si="16"/>
        <v>0</v>
      </c>
      <c r="BF24" s="40">
        <f t="shared" si="17"/>
        <v>0</v>
      </c>
      <c r="BI24" s="40">
        <f t="shared" si="18"/>
        <v>0</v>
      </c>
      <c r="BL24" s="40">
        <f t="shared" si="19"/>
        <v>0</v>
      </c>
      <c r="BO24" s="40">
        <f t="shared" si="20"/>
        <v>0</v>
      </c>
      <c r="BR24" s="40">
        <f t="shared" si="21"/>
        <v>0</v>
      </c>
      <c r="BU24" s="40">
        <f t="shared" si="22"/>
        <v>0</v>
      </c>
      <c r="BX24" s="40">
        <f t="shared" si="23"/>
        <v>0</v>
      </c>
      <c r="CA24" s="40">
        <f t="shared" si="24"/>
        <v>0</v>
      </c>
      <c r="CD24" s="40">
        <f t="shared" si="25"/>
        <v>0</v>
      </c>
      <c r="CG24" s="40">
        <f t="shared" si="26"/>
        <v>0</v>
      </c>
      <c r="CJ24" s="40">
        <f t="shared" si="27"/>
        <v>0</v>
      </c>
      <c r="CM24" s="40">
        <f t="shared" si="28"/>
        <v>0</v>
      </c>
      <c r="CP24" s="40">
        <f t="shared" si="29"/>
        <v>0</v>
      </c>
      <c r="CS24" s="40">
        <f t="shared" si="30"/>
        <v>0</v>
      </c>
      <c r="CV24" s="40">
        <f t="shared" si="31"/>
        <v>0</v>
      </c>
      <c r="CY24" s="40">
        <f t="shared" si="32"/>
        <v>0</v>
      </c>
      <c r="DB24" s="40">
        <f t="shared" si="33"/>
        <v>0</v>
      </c>
      <c r="DE24" s="40">
        <f t="shared" si="34"/>
        <v>0</v>
      </c>
      <c r="DH24" s="40">
        <f t="shared" si="35"/>
        <v>0</v>
      </c>
      <c r="DK24" s="40">
        <f t="shared" si="36"/>
        <v>0</v>
      </c>
      <c r="DN24" s="40">
        <f t="shared" si="37"/>
        <v>0</v>
      </c>
      <c r="DQ24" s="40">
        <f t="shared" si="38"/>
        <v>0</v>
      </c>
      <c r="DT24" s="40">
        <f t="shared" si="39"/>
        <v>0</v>
      </c>
      <c r="DW24" s="40">
        <f t="shared" si="40"/>
        <v>0</v>
      </c>
      <c r="DZ24" s="40"/>
      <c r="EA24" s="40"/>
      <c r="EB24" s="75">
        <f t="shared" si="41"/>
        <v>86575000</v>
      </c>
      <c r="EC24" s="75">
        <f t="shared" si="42"/>
        <v>0</v>
      </c>
      <c r="ED24" s="40">
        <f t="shared" si="43"/>
        <v>6882.0138888888887</v>
      </c>
      <c r="EE24" s="41">
        <f t="shared" si="44"/>
        <v>2.8617095004331503E-2</v>
      </c>
      <c r="EG24" s="75">
        <f t="shared" si="45"/>
        <v>0</v>
      </c>
      <c r="EH24" s="40">
        <f t="shared" si="46"/>
        <v>0</v>
      </c>
      <c r="EI24" s="41">
        <f t="shared" si="47"/>
        <v>0</v>
      </c>
      <c r="EJ24" s="41"/>
      <c r="EK24" s="75">
        <f t="shared" si="48"/>
        <v>86575000</v>
      </c>
      <c r="EL24" s="75">
        <f t="shared" si="49"/>
        <v>0</v>
      </c>
      <c r="EM24" s="75">
        <f t="shared" si="50"/>
        <v>6882.0138888888887</v>
      </c>
      <c r="EN24" s="41">
        <f t="shared" si="51"/>
        <v>2.8617095004331503E-2</v>
      </c>
    </row>
    <row r="25" spans="1:144" x14ac:dyDescent="0.25">
      <c r="A25" s="25">
        <f t="shared" si="52"/>
        <v>43479</v>
      </c>
      <c r="D25" s="40">
        <f t="shared" si="1"/>
        <v>0</v>
      </c>
      <c r="G25" s="40">
        <f t="shared" si="2"/>
        <v>0</v>
      </c>
      <c r="J25" s="40">
        <f t="shared" si="3"/>
        <v>0</v>
      </c>
      <c r="M25" s="40">
        <f t="shared" si="4"/>
        <v>0</v>
      </c>
      <c r="P25" s="40">
        <f t="shared" si="5"/>
        <v>0</v>
      </c>
      <c r="S25" s="40">
        <f t="shared" si="6"/>
        <v>0</v>
      </c>
      <c r="V25" s="40">
        <f t="shared" si="7"/>
        <v>0</v>
      </c>
      <c r="Y25" s="40">
        <f t="shared" si="8"/>
        <v>0</v>
      </c>
      <c r="AB25" s="40">
        <f t="shared" si="9"/>
        <v>0</v>
      </c>
      <c r="AE25" s="40">
        <v>0</v>
      </c>
      <c r="AH25" s="40">
        <v>0</v>
      </c>
      <c r="AI25" s="73">
        <f>37225000</f>
        <v>37225000</v>
      </c>
      <c r="AJ25" s="74">
        <v>2.7E-2</v>
      </c>
      <c r="AK25" s="40">
        <f t="shared" si="10"/>
        <v>2791.875</v>
      </c>
      <c r="AL25" s="73">
        <f t="shared" si="0"/>
        <v>5000000</v>
      </c>
      <c r="AM25" s="74">
        <v>2.8000000000000001E-2</v>
      </c>
      <c r="AN25" s="40">
        <f t="shared" si="11"/>
        <v>388.88888888888891</v>
      </c>
      <c r="AO25" s="73">
        <f t="shared" si="53"/>
        <v>50000000</v>
      </c>
      <c r="AP25" s="74">
        <v>2.9700000000000001E-2</v>
      </c>
      <c r="AQ25" s="40">
        <f t="shared" si="12"/>
        <v>4125</v>
      </c>
      <c r="AR25" s="73">
        <f t="shared" ref="AR25:AR42" si="54">50000000</f>
        <v>50000000</v>
      </c>
      <c r="AS25" s="74">
        <v>2.9499999999999998E-2</v>
      </c>
      <c r="AT25" s="40">
        <f t="shared" si="13"/>
        <v>4097.2222222222226</v>
      </c>
      <c r="AW25" s="40">
        <f t="shared" si="14"/>
        <v>0</v>
      </c>
      <c r="AZ25" s="40">
        <f t="shared" si="15"/>
        <v>0</v>
      </c>
      <c r="BC25" s="40">
        <f t="shared" si="16"/>
        <v>0</v>
      </c>
      <c r="BF25" s="40">
        <f t="shared" si="17"/>
        <v>0</v>
      </c>
      <c r="BI25" s="40">
        <f t="shared" si="18"/>
        <v>0</v>
      </c>
      <c r="BL25" s="40">
        <f t="shared" si="19"/>
        <v>0</v>
      </c>
      <c r="BO25" s="40">
        <f t="shared" si="20"/>
        <v>0</v>
      </c>
      <c r="BR25" s="40">
        <f t="shared" si="21"/>
        <v>0</v>
      </c>
      <c r="BU25" s="40">
        <f t="shared" si="22"/>
        <v>0</v>
      </c>
      <c r="BX25" s="40">
        <f t="shared" si="23"/>
        <v>0</v>
      </c>
      <c r="CA25" s="40">
        <f t="shared" si="24"/>
        <v>0</v>
      </c>
      <c r="CD25" s="40">
        <f t="shared" si="25"/>
        <v>0</v>
      </c>
      <c r="CG25" s="40">
        <f t="shared" si="26"/>
        <v>0</v>
      </c>
      <c r="CJ25" s="40">
        <f t="shared" si="27"/>
        <v>0</v>
      </c>
      <c r="CM25" s="40">
        <f t="shared" si="28"/>
        <v>0</v>
      </c>
      <c r="CP25" s="40">
        <f t="shared" si="29"/>
        <v>0</v>
      </c>
      <c r="CS25" s="40">
        <f t="shared" si="30"/>
        <v>0</v>
      </c>
      <c r="CV25" s="40">
        <f t="shared" si="31"/>
        <v>0</v>
      </c>
      <c r="CY25" s="40">
        <f t="shared" si="32"/>
        <v>0</v>
      </c>
      <c r="DB25" s="40">
        <f t="shared" si="33"/>
        <v>0</v>
      </c>
      <c r="DE25" s="40">
        <f t="shared" si="34"/>
        <v>0</v>
      </c>
      <c r="DH25" s="40">
        <f t="shared" si="35"/>
        <v>0</v>
      </c>
      <c r="DK25" s="40">
        <f t="shared" si="36"/>
        <v>0</v>
      </c>
      <c r="DN25" s="40">
        <f t="shared" si="37"/>
        <v>0</v>
      </c>
      <c r="DQ25" s="40">
        <f t="shared" si="38"/>
        <v>0</v>
      </c>
      <c r="DT25" s="40">
        <f t="shared" si="39"/>
        <v>0</v>
      </c>
      <c r="DW25" s="40">
        <f t="shared" si="40"/>
        <v>0</v>
      </c>
      <c r="DZ25" s="40"/>
      <c r="EA25" s="40"/>
      <c r="EB25" s="75">
        <f t="shared" si="41"/>
        <v>142225000</v>
      </c>
      <c r="EC25" s="75">
        <f t="shared" si="42"/>
        <v>0</v>
      </c>
      <c r="ED25" s="40">
        <f t="shared" si="43"/>
        <v>11402.986111111111</v>
      </c>
      <c r="EE25" s="41">
        <f t="shared" si="44"/>
        <v>2.8863244858498855E-2</v>
      </c>
      <c r="EG25" s="75">
        <f t="shared" si="45"/>
        <v>0</v>
      </c>
      <c r="EH25" s="40">
        <f t="shared" si="46"/>
        <v>0</v>
      </c>
      <c r="EI25" s="41">
        <f t="shared" si="47"/>
        <v>0</v>
      </c>
      <c r="EJ25" s="41"/>
      <c r="EK25" s="75">
        <f t="shared" si="48"/>
        <v>142225000</v>
      </c>
      <c r="EL25" s="75">
        <f t="shared" si="49"/>
        <v>0</v>
      </c>
      <c r="EM25" s="75">
        <f t="shared" si="50"/>
        <v>11402.986111111111</v>
      </c>
      <c r="EN25" s="41">
        <f t="shared" si="51"/>
        <v>2.8863244858498855E-2</v>
      </c>
    </row>
    <row r="26" spans="1:144" x14ac:dyDescent="0.25">
      <c r="A26" s="25">
        <f t="shared" si="52"/>
        <v>43480</v>
      </c>
      <c r="D26" s="40">
        <f t="shared" si="1"/>
        <v>0</v>
      </c>
      <c r="G26" s="40">
        <f t="shared" si="2"/>
        <v>0</v>
      </c>
      <c r="J26" s="40">
        <f t="shared" si="3"/>
        <v>0</v>
      </c>
      <c r="M26" s="40">
        <f t="shared" si="4"/>
        <v>0</v>
      </c>
      <c r="P26" s="40">
        <f t="shared" si="5"/>
        <v>0</v>
      </c>
      <c r="S26" s="40">
        <f t="shared" si="6"/>
        <v>0</v>
      </c>
      <c r="V26" s="40">
        <f t="shared" si="7"/>
        <v>0</v>
      </c>
      <c r="Y26" s="40">
        <f t="shared" si="8"/>
        <v>0</v>
      </c>
      <c r="AB26" s="40">
        <f t="shared" si="9"/>
        <v>0</v>
      </c>
      <c r="AE26" s="40">
        <v>0</v>
      </c>
      <c r="AH26" s="40">
        <v>0</v>
      </c>
      <c r="AI26" s="73">
        <f>76000000</f>
        <v>76000000</v>
      </c>
      <c r="AJ26" s="74">
        <v>2.7E-2</v>
      </c>
      <c r="AK26" s="40">
        <f t="shared" si="10"/>
        <v>5700</v>
      </c>
      <c r="AL26" s="73"/>
      <c r="AM26" s="74"/>
      <c r="AN26" s="40">
        <f t="shared" si="11"/>
        <v>0</v>
      </c>
      <c r="AO26" s="73">
        <f t="shared" si="53"/>
        <v>50000000</v>
      </c>
      <c r="AP26" s="74">
        <v>2.9700000000000001E-2</v>
      </c>
      <c r="AQ26" s="40">
        <f t="shared" si="12"/>
        <v>4125</v>
      </c>
      <c r="AR26" s="73">
        <f t="shared" si="54"/>
        <v>50000000</v>
      </c>
      <c r="AS26" s="74">
        <v>2.9499999999999998E-2</v>
      </c>
      <c r="AT26" s="40">
        <f t="shared" si="13"/>
        <v>4097.2222222222226</v>
      </c>
      <c r="AW26" s="40">
        <f t="shared" si="14"/>
        <v>0</v>
      </c>
      <c r="AZ26" s="40">
        <f t="shared" si="15"/>
        <v>0</v>
      </c>
      <c r="BC26" s="40">
        <f t="shared" si="16"/>
        <v>0</v>
      </c>
      <c r="BF26" s="40">
        <f t="shared" si="17"/>
        <v>0</v>
      </c>
      <c r="BI26" s="40">
        <f t="shared" si="18"/>
        <v>0</v>
      </c>
      <c r="BL26" s="40">
        <f t="shared" si="19"/>
        <v>0</v>
      </c>
      <c r="BO26" s="40">
        <f t="shared" si="20"/>
        <v>0</v>
      </c>
      <c r="BR26" s="40">
        <f t="shared" si="21"/>
        <v>0</v>
      </c>
      <c r="BU26" s="40">
        <f t="shared" si="22"/>
        <v>0</v>
      </c>
      <c r="BX26" s="40">
        <f t="shared" si="23"/>
        <v>0</v>
      </c>
      <c r="CA26" s="40">
        <f t="shared" si="24"/>
        <v>0</v>
      </c>
      <c r="CD26" s="40">
        <f t="shared" si="25"/>
        <v>0</v>
      </c>
      <c r="CG26" s="40">
        <f t="shared" si="26"/>
        <v>0</v>
      </c>
      <c r="CJ26" s="40">
        <f t="shared" si="27"/>
        <v>0</v>
      </c>
      <c r="CM26" s="40">
        <f t="shared" si="28"/>
        <v>0</v>
      </c>
      <c r="CP26" s="40">
        <f t="shared" si="29"/>
        <v>0</v>
      </c>
      <c r="CS26" s="40">
        <f t="shared" si="30"/>
        <v>0</v>
      </c>
      <c r="CV26" s="40">
        <f t="shared" si="31"/>
        <v>0</v>
      </c>
      <c r="CY26" s="40">
        <f t="shared" si="32"/>
        <v>0</v>
      </c>
      <c r="DB26" s="40">
        <f t="shared" si="33"/>
        <v>0</v>
      </c>
      <c r="DE26" s="40">
        <f t="shared" si="34"/>
        <v>0</v>
      </c>
      <c r="DH26" s="40">
        <f t="shared" si="35"/>
        <v>0</v>
      </c>
      <c r="DK26" s="40">
        <f t="shared" si="36"/>
        <v>0</v>
      </c>
      <c r="DN26" s="40">
        <f t="shared" si="37"/>
        <v>0</v>
      </c>
      <c r="DQ26" s="40">
        <f t="shared" si="38"/>
        <v>0</v>
      </c>
      <c r="DT26" s="40">
        <f t="shared" si="39"/>
        <v>0</v>
      </c>
      <c r="DW26" s="40">
        <f t="shared" si="40"/>
        <v>0</v>
      </c>
      <c r="DZ26" s="40"/>
      <c r="EA26" s="40"/>
      <c r="EB26" s="75">
        <f t="shared" si="41"/>
        <v>176000000</v>
      </c>
      <c r="EC26" s="75">
        <f t="shared" si="42"/>
        <v>0</v>
      </c>
      <c r="ED26" s="40">
        <f t="shared" si="43"/>
        <v>13922.222222222223</v>
      </c>
      <c r="EE26" s="41">
        <f t="shared" si="44"/>
        <v>2.8477272727272726E-2</v>
      </c>
      <c r="EG26" s="75">
        <f t="shared" si="45"/>
        <v>0</v>
      </c>
      <c r="EH26" s="40">
        <f t="shared" si="46"/>
        <v>0</v>
      </c>
      <c r="EI26" s="41">
        <f t="shared" si="47"/>
        <v>0</v>
      </c>
      <c r="EJ26" s="41"/>
      <c r="EK26" s="75">
        <f t="shared" si="48"/>
        <v>176000000</v>
      </c>
      <c r="EL26" s="75">
        <f t="shared" si="49"/>
        <v>0</v>
      </c>
      <c r="EM26" s="75">
        <f t="shared" si="50"/>
        <v>13922.222222222223</v>
      </c>
      <c r="EN26" s="41">
        <f t="shared" si="51"/>
        <v>2.8477272727272726E-2</v>
      </c>
    </row>
    <row r="27" spans="1:144" x14ac:dyDescent="0.25">
      <c r="A27" s="25">
        <f t="shared" si="52"/>
        <v>43481</v>
      </c>
      <c r="D27" s="40">
        <f t="shared" si="1"/>
        <v>0</v>
      </c>
      <c r="G27" s="40">
        <f t="shared" si="2"/>
        <v>0</v>
      </c>
      <c r="J27" s="40">
        <f t="shared" si="3"/>
        <v>0</v>
      </c>
      <c r="M27" s="40">
        <f t="shared" si="4"/>
        <v>0</v>
      </c>
      <c r="P27" s="40">
        <f t="shared" si="5"/>
        <v>0</v>
      </c>
      <c r="S27" s="40">
        <f t="shared" si="6"/>
        <v>0</v>
      </c>
      <c r="V27" s="40">
        <f t="shared" si="7"/>
        <v>0</v>
      </c>
      <c r="Y27" s="40">
        <f t="shared" si="8"/>
        <v>0</v>
      </c>
      <c r="AB27" s="40">
        <f t="shared" si="9"/>
        <v>0</v>
      </c>
      <c r="AE27" s="40">
        <v>0</v>
      </c>
      <c r="AH27" s="40">
        <v>0</v>
      </c>
      <c r="AI27" s="73">
        <f>66450000</f>
        <v>66450000</v>
      </c>
      <c r="AJ27" s="74">
        <v>2.7E-2</v>
      </c>
      <c r="AK27" s="40">
        <f t="shared" si="10"/>
        <v>4983.75</v>
      </c>
      <c r="AL27" s="73"/>
      <c r="AM27" s="74"/>
      <c r="AN27" s="40">
        <f t="shared" si="11"/>
        <v>0</v>
      </c>
      <c r="AO27" s="73">
        <f t="shared" si="53"/>
        <v>50000000</v>
      </c>
      <c r="AP27" s="74">
        <v>2.9700000000000001E-2</v>
      </c>
      <c r="AQ27" s="40">
        <f t="shared" si="12"/>
        <v>4125</v>
      </c>
      <c r="AR27" s="73">
        <f t="shared" si="54"/>
        <v>50000000</v>
      </c>
      <c r="AS27" s="74">
        <v>2.9499999999999998E-2</v>
      </c>
      <c r="AT27" s="40">
        <f t="shared" si="13"/>
        <v>4097.2222222222226</v>
      </c>
      <c r="AW27" s="40">
        <f t="shared" si="14"/>
        <v>0</v>
      </c>
      <c r="AZ27" s="40">
        <f t="shared" si="15"/>
        <v>0</v>
      </c>
      <c r="BC27" s="40">
        <f t="shared" si="16"/>
        <v>0</v>
      </c>
      <c r="BF27" s="40">
        <f t="shared" si="17"/>
        <v>0</v>
      </c>
      <c r="BI27" s="40">
        <f t="shared" si="18"/>
        <v>0</v>
      </c>
      <c r="BL27" s="40">
        <f t="shared" si="19"/>
        <v>0</v>
      </c>
      <c r="BO27" s="40">
        <f t="shared" si="20"/>
        <v>0</v>
      </c>
      <c r="BR27" s="40">
        <f t="shared" si="21"/>
        <v>0</v>
      </c>
      <c r="BU27" s="40">
        <f t="shared" si="22"/>
        <v>0</v>
      </c>
      <c r="BX27" s="40">
        <f t="shared" si="23"/>
        <v>0</v>
      </c>
      <c r="CA27" s="40">
        <f t="shared" si="24"/>
        <v>0</v>
      </c>
      <c r="CD27" s="40">
        <f t="shared" si="25"/>
        <v>0</v>
      </c>
      <c r="CG27" s="40">
        <f t="shared" si="26"/>
        <v>0</v>
      </c>
      <c r="CJ27" s="40">
        <f t="shared" si="27"/>
        <v>0</v>
      </c>
      <c r="CM27" s="40">
        <f t="shared" si="28"/>
        <v>0</v>
      </c>
      <c r="CP27" s="40">
        <f t="shared" si="29"/>
        <v>0</v>
      </c>
      <c r="CS27" s="40">
        <f t="shared" si="30"/>
        <v>0</v>
      </c>
      <c r="CV27" s="40">
        <f t="shared" si="31"/>
        <v>0</v>
      </c>
      <c r="CY27" s="40">
        <f t="shared" si="32"/>
        <v>0</v>
      </c>
      <c r="DB27" s="40">
        <f t="shared" si="33"/>
        <v>0</v>
      </c>
      <c r="DE27" s="40">
        <f t="shared" si="34"/>
        <v>0</v>
      </c>
      <c r="DH27" s="40">
        <f t="shared" si="35"/>
        <v>0</v>
      </c>
      <c r="DK27" s="40">
        <f t="shared" si="36"/>
        <v>0</v>
      </c>
      <c r="DN27" s="40">
        <f t="shared" si="37"/>
        <v>0</v>
      </c>
      <c r="DQ27" s="40">
        <f t="shared" si="38"/>
        <v>0</v>
      </c>
      <c r="DT27" s="40">
        <f t="shared" si="39"/>
        <v>0</v>
      </c>
      <c r="DW27" s="40">
        <f t="shared" si="40"/>
        <v>0</v>
      </c>
      <c r="DZ27" s="40"/>
      <c r="EA27" s="40"/>
      <c r="EB27" s="75">
        <f t="shared" si="41"/>
        <v>166450000</v>
      </c>
      <c r="EC27" s="75">
        <f t="shared" si="42"/>
        <v>0</v>
      </c>
      <c r="ED27" s="40">
        <f t="shared" si="43"/>
        <v>13205.972222222223</v>
      </c>
      <c r="EE27" s="41">
        <f t="shared" si="44"/>
        <v>2.856203063983178E-2</v>
      </c>
      <c r="EG27" s="75">
        <f t="shared" si="45"/>
        <v>0</v>
      </c>
      <c r="EH27" s="40">
        <f t="shared" si="46"/>
        <v>0</v>
      </c>
      <c r="EI27" s="41">
        <f t="shared" si="47"/>
        <v>0</v>
      </c>
      <c r="EJ27" s="41"/>
      <c r="EK27" s="75">
        <f t="shared" si="48"/>
        <v>166450000</v>
      </c>
      <c r="EL27" s="75">
        <f t="shared" si="49"/>
        <v>0</v>
      </c>
      <c r="EM27" s="75">
        <f t="shared" si="50"/>
        <v>13205.972222222223</v>
      </c>
      <c r="EN27" s="41">
        <f t="shared" si="51"/>
        <v>2.856203063983178E-2</v>
      </c>
    </row>
    <row r="28" spans="1:144" x14ac:dyDescent="0.25">
      <c r="A28" s="25">
        <f t="shared" si="52"/>
        <v>43482</v>
      </c>
      <c r="D28" s="40">
        <f t="shared" si="1"/>
        <v>0</v>
      </c>
      <c r="G28" s="40">
        <f t="shared" si="2"/>
        <v>0</v>
      </c>
      <c r="J28" s="40">
        <f t="shared" si="3"/>
        <v>0</v>
      </c>
      <c r="M28" s="40">
        <f t="shared" si="4"/>
        <v>0</v>
      </c>
      <c r="P28" s="40">
        <f t="shared" si="5"/>
        <v>0</v>
      </c>
      <c r="S28" s="40">
        <f t="shared" si="6"/>
        <v>0</v>
      </c>
      <c r="V28" s="40">
        <f t="shared" si="7"/>
        <v>0</v>
      </c>
      <c r="Y28" s="40">
        <f t="shared" si="8"/>
        <v>0</v>
      </c>
      <c r="AB28" s="40">
        <f t="shared" si="9"/>
        <v>0</v>
      </c>
      <c r="AE28" s="40">
        <v>0</v>
      </c>
      <c r="AH28" s="40">
        <v>0</v>
      </c>
      <c r="AI28" s="73">
        <f>53475000</f>
        <v>53475000</v>
      </c>
      <c r="AJ28" s="74">
        <v>2.7E-2</v>
      </c>
      <c r="AK28" s="40">
        <f t="shared" si="10"/>
        <v>4010.625</v>
      </c>
      <c r="AL28" s="73"/>
      <c r="AM28" s="74"/>
      <c r="AN28" s="40">
        <f t="shared" si="11"/>
        <v>0</v>
      </c>
      <c r="AO28" s="73">
        <f t="shared" si="53"/>
        <v>50000000</v>
      </c>
      <c r="AP28" s="74">
        <v>2.9700000000000001E-2</v>
      </c>
      <c r="AQ28" s="40">
        <f t="shared" si="12"/>
        <v>4125</v>
      </c>
      <c r="AR28" s="73">
        <f t="shared" si="54"/>
        <v>50000000</v>
      </c>
      <c r="AS28" s="74">
        <v>2.9499999999999998E-2</v>
      </c>
      <c r="AT28" s="40">
        <f t="shared" si="13"/>
        <v>4097.2222222222226</v>
      </c>
      <c r="AW28" s="40">
        <f t="shared" si="14"/>
        <v>0</v>
      </c>
      <c r="AZ28" s="40">
        <f t="shared" si="15"/>
        <v>0</v>
      </c>
      <c r="BC28" s="40">
        <f t="shared" si="16"/>
        <v>0</v>
      </c>
      <c r="BF28" s="40">
        <f t="shared" si="17"/>
        <v>0</v>
      </c>
      <c r="BI28" s="40">
        <f t="shared" si="18"/>
        <v>0</v>
      </c>
      <c r="BL28" s="40">
        <f t="shared" si="19"/>
        <v>0</v>
      </c>
      <c r="BO28" s="40">
        <f t="shared" si="20"/>
        <v>0</v>
      </c>
      <c r="BR28" s="40">
        <f t="shared" si="21"/>
        <v>0</v>
      </c>
      <c r="BU28" s="40">
        <f t="shared" si="22"/>
        <v>0</v>
      </c>
      <c r="BX28" s="40">
        <f t="shared" si="23"/>
        <v>0</v>
      </c>
      <c r="CA28" s="40">
        <f t="shared" si="24"/>
        <v>0</v>
      </c>
      <c r="CD28" s="40">
        <f t="shared" si="25"/>
        <v>0</v>
      </c>
      <c r="CG28" s="40">
        <f t="shared" si="26"/>
        <v>0</v>
      </c>
      <c r="CJ28" s="40">
        <f t="shared" si="27"/>
        <v>0</v>
      </c>
      <c r="CM28" s="40">
        <f t="shared" si="28"/>
        <v>0</v>
      </c>
      <c r="CP28" s="40">
        <f t="shared" si="29"/>
        <v>0</v>
      </c>
      <c r="CS28" s="40">
        <f t="shared" si="30"/>
        <v>0</v>
      </c>
      <c r="CV28" s="40">
        <f t="shared" si="31"/>
        <v>0</v>
      </c>
      <c r="CY28" s="40">
        <f t="shared" si="32"/>
        <v>0</v>
      </c>
      <c r="DB28" s="40">
        <f t="shared" si="33"/>
        <v>0</v>
      </c>
      <c r="DE28" s="40">
        <f t="shared" si="34"/>
        <v>0</v>
      </c>
      <c r="DH28" s="40">
        <f t="shared" si="35"/>
        <v>0</v>
      </c>
      <c r="DK28" s="40">
        <f t="shared" si="36"/>
        <v>0</v>
      </c>
      <c r="DN28" s="40">
        <f t="shared" si="37"/>
        <v>0</v>
      </c>
      <c r="DQ28" s="40">
        <f t="shared" si="38"/>
        <v>0</v>
      </c>
      <c r="DT28" s="40">
        <f t="shared" si="39"/>
        <v>0</v>
      </c>
      <c r="DW28" s="40">
        <f t="shared" si="40"/>
        <v>0</v>
      </c>
      <c r="DZ28" s="40"/>
      <c r="EA28" s="40"/>
      <c r="EB28" s="75">
        <f t="shared" si="41"/>
        <v>153475000</v>
      </c>
      <c r="EC28" s="75">
        <f t="shared" si="42"/>
        <v>0</v>
      </c>
      <c r="ED28" s="40">
        <f t="shared" si="43"/>
        <v>12232.847222222223</v>
      </c>
      <c r="EE28" s="41">
        <f t="shared" si="44"/>
        <v>2.8694086984850955E-2</v>
      </c>
      <c r="EG28" s="75">
        <f t="shared" si="45"/>
        <v>0</v>
      </c>
      <c r="EH28" s="40">
        <f t="shared" si="46"/>
        <v>0</v>
      </c>
      <c r="EI28" s="41">
        <f t="shared" si="47"/>
        <v>0</v>
      </c>
      <c r="EJ28" s="41"/>
      <c r="EK28" s="75">
        <f t="shared" si="48"/>
        <v>153475000</v>
      </c>
      <c r="EL28" s="75">
        <f t="shared" si="49"/>
        <v>0</v>
      </c>
      <c r="EM28" s="75">
        <f t="shared" si="50"/>
        <v>12232.847222222223</v>
      </c>
      <c r="EN28" s="41">
        <f t="shared" si="51"/>
        <v>2.8694086984850955E-2</v>
      </c>
    </row>
    <row r="29" spans="1:144" x14ac:dyDescent="0.25">
      <c r="A29" s="25">
        <f t="shared" si="52"/>
        <v>43483</v>
      </c>
      <c r="D29" s="40">
        <f t="shared" si="1"/>
        <v>0</v>
      </c>
      <c r="G29" s="40">
        <f t="shared" si="2"/>
        <v>0</v>
      </c>
      <c r="J29" s="40">
        <f t="shared" si="3"/>
        <v>0</v>
      </c>
      <c r="M29" s="40">
        <f t="shared" si="4"/>
        <v>0</v>
      </c>
      <c r="P29" s="40">
        <f t="shared" si="5"/>
        <v>0</v>
      </c>
      <c r="S29" s="40">
        <f t="shared" si="6"/>
        <v>0</v>
      </c>
      <c r="V29" s="40">
        <f t="shared" si="7"/>
        <v>0</v>
      </c>
      <c r="Y29" s="40">
        <f t="shared" si="8"/>
        <v>0</v>
      </c>
      <c r="AB29" s="40">
        <f t="shared" si="9"/>
        <v>0</v>
      </c>
      <c r="AE29" s="40">
        <v>0</v>
      </c>
      <c r="AH29" s="40">
        <v>0</v>
      </c>
      <c r="AI29" s="73">
        <f>33875000</f>
        <v>33875000</v>
      </c>
      <c r="AJ29" s="74">
        <v>2.7E-2</v>
      </c>
      <c r="AK29" s="40">
        <f t="shared" si="10"/>
        <v>2540.625</v>
      </c>
      <c r="AL29" s="73">
        <f t="shared" ref="AL29:AL42" si="55">30000000</f>
        <v>30000000</v>
      </c>
      <c r="AM29" s="74">
        <v>2.9000000000000001E-2</v>
      </c>
      <c r="AN29" s="40">
        <f t="shared" si="11"/>
        <v>2416.6666666666665</v>
      </c>
      <c r="AO29" s="73">
        <f t="shared" si="53"/>
        <v>50000000</v>
      </c>
      <c r="AP29" s="74">
        <v>2.9700000000000001E-2</v>
      </c>
      <c r="AQ29" s="40">
        <f t="shared" si="12"/>
        <v>4125</v>
      </c>
      <c r="AR29" s="73">
        <f t="shared" si="54"/>
        <v>50000000</v>
      </c>
      <c r="AS29" s="74">
        <v>2.9499999999999998E-2</v>
      </c>
      <c r="AT29" s="40">
        <f t="shared" si="13"/>
        <v>4097.2222222222226</v>
      </c>
      <c r="AW29" s="40">
        <f t="shared" si="14"/>
        <v>0</v>
      </c>
      <c r="AZ29" s="40">
        <f t="shared" si="15"/>
        <v>0</v>
      </c>
      <c r="BC29" s="40">
        <f t="shared" si="16"/>
        <v>0</v>
      </c>
      <c r="BF29" s="40">
        <f t="shared" si="17"/>
        <v>0</v>
      </c>
      <c r="BI29" s="40">
        <f t="shared" si="18"/>
        <v>0</v>
      </c>
      <c r="BL29" s="40">
        <f t="shared" si="19"/>
        <v>0</v>
      </c>
      <c r="BO29" s="40">
        <f t="shared" si="20"/>
        <v>0</v>
      </c>
      <c r="BR29" s="40">
        <f t="shared" si="21"/>
        <v>0</v>
      </c>
      <c r="BU29" s="40">
        <f t="shared" si="22"/>
        <v>0</v>
      </c>
      <c r="BX29" s="40">
        <f t="shared" si="23"/>
        <v>0</v>
      </c>
      <c r="CA29" s="40">
        <f t="shared" si="24"/>
        <v>0</v>
      </c>
      <c r="CD29" s="40">
        <f t="shared" si="25"/>
        <v>0</v>
      </c>
      <c r="CG29" s="40">
        <f t="shared" si="26"/>
        <v>0</v>
      </c>
      <c r="CJ29" s="40">
        <f t="shared" si="27"/>
        <v>0</v>
      </c>
      <c r="CM29" s="40">
        <f t="shared" si="28"/>
        <v>0</v>
      </c>
      <c r="CP29" s="40">
        <f t="shared" si="29"/>
        <v>0</v>
      </c>
      <c r="CS29" s="40">
        <f t="shared" si="30"/>
        <v>0</v>
      </c>
      <c r="CV29" s="40">
        <f t="shared" si="31"/>
        <v>0</v>
      </c>
      <c r="CY29" s="40">
        <f t="shared" si="32"/>
        <v>0</v>
      </c>
      <c r="DB29" s="40">
        <f t="shared" si="33"/>
        <v>0</v>
      </c>
      <c r="DE29" s="40">
        <f t="shared" si="34"/>
        <v>0</v>
      </c>
      <c r="DH29" s="40">
        <f t="shared" si="35"/>
        <v>0</v>
      </c>
      <c r="DK29" s="40">
        <f t="shared" si="36"/>
        <v>0</v>
      </c>
      <c r="DN29" s="40">
        <f t="shared" si="37"/>
        <v>0</v>
      </c>
      <c r="DQ29" s="40">
        <f t="shared" si="38"/>
        <v>0</v>
      </c>
      <c r="DT29" s="40">
        <f t="shared" si="39"/>
        <v>0</v>
      </c>
      <c r="DW29" s="40">
        <f t="shared" si="40"/>
        <v>0</v>
      </c>
      <c r="DZ29" s="40"/>
      <c r="EA29" s="40"/>
      <c r="EB29" s="75">
        <f t="shared" si="41"/>
        <v>163875000</v>
      </c>
      <c r="EC29" s="75">
        <f t="shared" si="42"/>
        <v>0</v>
      </c>
      <c r="ED29" s="40">
        <f t="shared" si="43"/>
        <v>13179.513888888889</v>
      </c>
      <c r="EE29" s="41">
        <f t="shared" si="44"/>
        <v>2.8952707856598016E-2</v>
      </c>
      <c r="EG29" s="75">
        <f t="shared" si="45"/>
        <v>0</v>
      </c>
      <c r="EH29" s="40">
        <f t="shared" si="46"/>
        <v>0</v>
      </c>
      <c r="EI29" s="41">
        <f t="shared" si="47"/>
        <v>0</v>
      </c>
      <c r="EJ29" s="41"/>
      <c r="EK29" s="75">
        <f t="shared" si="48"/>
        <v>163875000</v>
      </c>
      <c r="EL29" s="75">
        <f t="shared" si="49"/>
        <v>0</v>
      </c>
      <c r="EM29" s="75">
        <f t="shared" si="50"/>
        <v>13179.513888888889</v>
      </c>
      <c r="EN29" s="41">
        <f t="shared" si="51"/>
        <v>2.8952707856598016E-2</v>
      </c>
    </row>
    <row r="30" spans="1:144" x14ac:dyDescent="0.25">
      <c r="A30" s="25">
        <f t="shared" si="52"/>
        <v>43484</v>
      </c>
      <c r="D30" s="40">
        <f t="shared" si="1"/>
        <v>0</v>
      </c>
      <c r="G30" s="40">
        <f t="shared" si="2"/>
        <v>0</v>
      </c>
      <c r="J30" s="40">
        <f t="shared" si="3"/>
        <v>0</v>
      </c>
      <c r="M30" s="40">
        <f t="shared" si="4"/>
        <v>0</v>
      </c>
      <c r="P30" s="40">
        <f t="shared" si="5"/>
        <v>0</v>
      </c>
      <c r="S30" s="40">
        <f t="shared" si="6"/>
        <v>0</v>
      </c>
      <c r="V30" s="40">
        <f t="shared" si="7"/>
        <v>0</v>
      </c>
      <c r="Y30" s="40">
        <f t="shared" si="8"/>
        <v>0</v>
      </c>
      <c r="AB30" s="40">
        <f t="shared" si="9"/>
        <v>0</v>
      </c>
      <c r="AE30" s="40">
        <v>0</v>
      </c>
      <c r="AH30" s="40">
        <v>0</v>
      </c>
      <c r="AI30" s="73">
        <f>33875000</f>
        <v>33875000</v>
      </c>
      <c r="AJ30" s="74">
        <v>2.7E-2</v>
      </c>
      <c r="AK30" s="40">
        <f t="shared" si="10"/>
        <v>2540.625</v>
      </c>
      <c r="AL30" s="73">
        <f t="shared" si="55"/>
        <v>30000000</v>
      </c>
      <c r="AM30" s="74">
        <v>2.9000000000000001E-2</v>
      </c>
      <c r="AN30" s="40">
        <f t="shared" si="11"/>
        <v>2416.6666666666665</v>
      </c>
      <c r="AO30" s="73">
        <f t="shared" si="53"/>
        <v>50000000</v>
      </c>
      <c r="AP30" s="74">
        <v>2.9700000000000001E-2</v>
      </c>
      <c r="AQ30" s="40">
        <f t="shared" si="12"/>
        <v>4125</v>
      </c>
      <c r="AR30" s="73">
        <f t="shared" si="54"/>
        <v>50000000</v>
      </c>
      <c r="AS30" s="74">
        <v>2.9499999999999998E-2</v>
      </c>
      <c r="AT30" s="40">
        <f t="shared" si="13"/>
        <v>4097.2222222222226</v>
      </c>
      <c r="AW30" s="40">
        <f t="shared" si="14"/>
        <v>0</v>
      </c>
      <c r="AZ30" s="40">
        <f t="shared" si="15"/>
        <v>0</v>
      </c>
      <c r="BC30" s="40">
        <f t="shared" si="16"/>
        <v>0</v>
      </c>
      <c r="BF30" s="40">
        <f t="shared" si="17"/>
        <v>0</v>
      </c>
      <c r="BI30" s="40">
        <f t="shared" si="18"/>
        <v>0</v>
      </c>
      <c r="BL30" s="40">
        <f t="shared" si="19"/>
        <v>0</v>
      </c>
      <c r="BO30" s="40">
        <f t="shared" si="20"/>
        <v>0</v>
      </c>
      <c r="BR30" s="40">
        <f t="shared" si="21"/>
        <v>0</v>
      </c>
      <c r="BU30" s="40">
        <f t="shared" si="22"/>
        <v>0</v>
      </c>
      <c r="BX30" s="40">
        <f t="shared" si="23"/>
        <v>0</v>
      </c>
      <c r="CA30" s="40">
        <f t="shared" si="24"/>
        <v>0</v>
      </c>
      <c r="CD30" s="40">
        <f t="shared" si="25"/>
        <v>0</v>
      </c>
      <c r="CG30" s="40">
        <f t="shared" si="26"/>
        <v>0</v>
      </c>
      <c r="CJ30" s="40">
        <f t="shared" si="27"/>
        <v>0</v>
      </c>
      <c r="CM30" s="40">
        <f t="shared" si="28"/>
        <v>0</v>
      </c>
      <c r="CP30" s="40">
        <f t="shared" si="29"/>
        <v>0</v>
      </c>
      <c r="CS30" s="40">
        <f t="shared" si="30"/>
        <v>0</v>
      </c>
      <c r="CV30" s="40">
        <f t="shared" si="31"/>
        <v>0</v>
      </c>
      <c r="CY30" s="40">
        <f t="shared" si="32"/>
        <v>0</v>
      </c>
      <c r="DB30" s="40">
        <f t="shared" si="33"/>
        <v>0</v>
      </c>
      <c r="DE30" s="40">
        <f t="shared" si="34"/>
        <v>0</v>
      </c>
      <c r="DH30" s="40">
        <f t="shared" si="35"/>
        <v>0</v>
      </c>
      <c r="DK30" s="40">
        <f t="shared" si="36"/>
        <v>0</v>
      </c>
      <c r="DN30" s="40">
        <f t="shared" si="37"/>
        <v>0</v>
      </c>
      <c r="DQ30" s="40">
        <f t="shared" si="38"/>
        <v>0</v>
      </c>
      <c r="DT30" s="40">
        <f t="shared" si="39"/>
        <v>0</v>
      </c>
      <c r="DW30" s="40">
        <f t="shared" si="40"/>
        <v>0</v>
      </c>
      <c r="DZ30" s="40"/>
      <c r="EA30" s="40"/>
      <c r="EB30" s="75">
        <f t="shared" si="41"/>
        <v>163875000</v>
      </c>
      <c r="EC30" s="75">
        <f t="shared" si="42"/>
        <v>0</v>
      </c>
      <c r="ED30" s="40">
        <f t="shared" si="43"/>
        <v>13179.513888888889</v>
      </c>
      <c r="EE30" s="41">
        <f t="shared" si="44"/>
        <v>2.8952707856598016E-2</v>
      </c>
      <c r="EG30" s="75">
        <f t="shared" si="45"/>
        <v>0</v>
      </c>
      <c r="EH30" s="40">
        <f t="shared" si="46"/>
        <v>0</v>
      </c>
      <c r="EI30" s="41">
        <f t="shared" si="47"/>
        <v>0</v>
      </c>
      <c r="EJ30" s="41"/>
      <c r="EK30" s="75">
        <f t="shared" si="48"/>
        <v>163875000</v>
      </c>
      <c r="EL30" s="75">
        <f t="shared" si="49"/>
        <v>0</v>
      </c>
      <c r="EM30" s="75">
        <f t="shared" si="50"/>
        <v>13179.513888888889</v>
      </c>
      <c r="EN30" s="41">
        <f t="shared" si="51"/>
        <v>2.8952707856598016E-2</v>
      </c>
    </row>
    <row r="31" spans="1:144" x14ac:dyDescent="0.25">
      <c r="A31" s="25">
        <f t="shared" si="52"/>
        <v>43485</v>
      </c>
      <c r="D31" s="40">
        <f t="shared" si="1"/>
        <v>0</v>
      </c>
      <c r="G31" s="40">
        <f t="shared" si="2"/>
        <v>0</v>
      </c>
      <c r="J31" s="40">
        <f t="shared" si="3"/>
        <v>0</v>
      </c>
      <c r="M31" s="40">
        <f t="shared" si="4"/>
        <v>0</v>
      </c>
      <c r="P31" s="40">
        <f t="shared" si="5"/>
        <v>0</v>
      </c>
      <c r="S31" s="40">
        <f t="shared" si="6"/>
        <v>0</v>
      </c>
      <c r="V31" s="40">
        <f t="shared" si="7"/>
        <v>0</v>
      </c>
      <c r="Y31" s="40">
        <f t="shared" si="8"/>
        <v>0</v>
      </c>
      <c r="AB31" s="40">
        <f t="shared" si="9"/>
        <v>0</v>
      </c>
      <c r="AE31" s="40">
        <v>0</v>
      </c>
      <c r="AH31" s="40">
        <v>0</v>
      </c>
      <c r="AI31" s="73">
        <f>33875000</f>
        <v>33875000</v>
      </c>
      <c r="AJ31" s="74">
        <v>2.7E-2</v>
      </c>
      <c r="AK31" s="40">
        <f t="shared" si="10"/>
        <v>2540.625</v>
      </c>
      <c r="AL31" s="73">
        <f t="shared" si="55"/>
        <v>30000000</v>
      </c>
      <c r="AM31" s="74">
        <v>2.9000000000000001E-2</v>
      </c>
      <c r="AN31" s="40">
        <f t="shared" si="11"/>
        <v>2416.6666666666665</v>
      </c>
      <c r="AO31" s="73">
        <f t="shared" si="53"/>
        <v>50000000</v>
      </c>
      <c r="AP31" s="74">
        <v>2.9700000000000001E-2</v>
      </c>
      <c r="AQ31" s="40">
        <f t="shared" si="12"/>
        <v>4125</v>
      </c>
      <c r="AR31" s="73">
        <f t="shared" si="54"/>
        <v>50000000</v>
      </c>
      <c r="AS31" s="74">
        <v>2.9499999999999998E-2</v>
      </c>
      <c r="AT31" s="40">
        <f t="shared" si="13"/>
        <v>4097.2222222222226</v>
      </c>
      <c r="AW31" s="40">
        <f t="shared" si="14"/>
        <v>0</v>
      </c>
      <c r="AZ31" s="40">
        <f t="shared" si="15"/>
        <v>0</v>
      </c>
      <c r="BC31" s="40">
        <f t="shared" si="16"/>
        <v>0</v>
      </c>
      <c r="BF31" s="40">
        <f t="shared" si="17"/>
        <v>0</v>
      </c>
      <c r="BI31" s="40">
        <f t="shared" si="18"/>
        <v>0</v>
      </c>
      <c r="BL31" s="40">
        <f t="shared" si="19"/>
        <v>0</v>
      </c>
      <c r="BO31" s="40">
        <f t="shared" si="20"/>
        <v>0</v>
      </c>
      <c r="BR31" s="40">
        <f t="shared" si="21"/>
        <v>0</v>
      </c>
      <c r="BU31" s="40">
        <f t="shared" si="22"/>
        <v>0</v>
      </c>
      <c r="BX31" s="40">
        <f t="shared" si="23"/>
        <v>0</v>
      </c>
      <c r="CA31" s="40">
        <f t="shared" si="24"/>
        <v>0</v>
      </c>
      <c r="CD31" s="40">
        <f t="shared" si="25"/>
        <v>0</v>
      </c>
      <c r="CG31" s="40">
        <f t="shared" si="26"/>
        <v>0</v>
      </c>
      <c r="CJ31" s="40">
        <f t="shared" si="27"/>
        <v>0</v>
      </c>
      <c r="CM31" s="40">
        <f t="shared" si="28"/>
        <v>0</v>
      </c>
      <c r="CP31" s="40">
        <f t="shared" si="29"/>
        <v>0</v>
      </c>
      <c r="CS31" s="40">
        <f t="shared" si="30"/>
        <v>0</v>
      </c>
      <c r="CV31" s="40">
        <f t="shared" si="31"/>
        <v>0</v>
      </c>
      <c r="CY31" s="40">
        <f t="shared" si="32"/>
        <v>0</v>
      </c>
      <c r="DB31" s="40">
        <f t="shared" si="33"/>
        <v>0</v>
      </c>
      <c r="DE31" s="40">
        <f t="shared" si="34"/>
        <v>0</v>
      </c>
      <c r="DH31" s="40">
        <f t="shared" si="35"/>
        <v>0</v>
      </c>
      <c r="DK31" s="40">
        <f t="shared" si="36"/>
        <v>0</v>
      </c>
      <c r="DN31" s="40">
        <f t="shared" si="37"/>
        <v>0</v>
      </c>
      <c r="DQ31" s="40">
        <f t="shared" si="38"/>
        <v>0</v>
      </c>
      <c r="DT31" s="40">
        <f t="shared" si="39"/>
        <v>0</v>
      </c>
      <c r="DW31" s="40">
        <f t="shared" si="40"/>
        <v>0</v>
      </c>
      <c r="DZ31" s="40"/>
      <c r="EA31" s="40"/>
      <c r="EB31" s="75">
        <f t="shared" si="41"/>
        <v>163875000</v>
      </c>
      <c r="EC31" s="75">
        <f t="shared" si="42"/>
        <v>0</v>
      </c>
      <c r="ED31" s="40">
        <f t="shared" si="43"/>
        <v>13179.513888888889</v>
      </c>
      <c r="EE31" s="41">
        <f t="shared" si="44"/>
        <v>2.8952707856598016E-2</v>
      </c>
      <c r="EG31" s="75">
        <f t="shared" si="45"/>
        <v>0</v>
      </c>
      <c r="EH31" s="40">
        <f t="shared" si="46"/>
        <v>0</v>
      </c>
      <c r="EI31" s="41">
        <f t="shared" si="47"/>
        <v>0</v>
      </c>
      <c r="EJ31" s="41"/>
      <c r="EK31" s="75">
        <f t="shared" si="48"/>
        <v>163875000</v>
      </c>
      <c r="EL31" s="75">
        <f t="shared" si="49"/>
        <v>0</v>
      </c>
      <c r="EM31" s="75">
        <f t="shared" si="50"/>
        <v>13179.513888888889</v>
      </c>
      <c r="EN31" s="41">
        <f t="shared" si="51"/>
        <v>2.8952707856598016E-2</v>
      </c>
    </row>
    <row r="32" spans="1:144" x14ac:dyDescent="0.25">
      <c r="A32" s="25">
        <f t="shared" si="52"/>
        <v>43486</v>
      </c>
      <c r="D32" s="40">
        <f t="shared" si="1"/>
        <v>0</v>
      </c>
      <c r="G32" s="40">
        <f t="shared" si="2"/>
        <v>0</v>
      </c>
      <c r="J32" s="40">
        <f t="shared" si="3"/>
        <v>0</v>
      </c>
      <c r="M32" s="40">
        <f t="shared" si="4"/>
        <v>0</v>
      </c>
      <c r="P32" s="40">
        <f t="shared" si="5"/>
        <v>0</v>
      </c>
      <c r="S32" s="40">
        <f t="shared" si="6"/>
        <v>0</v>
      </c>
      <c r="V32" s="40">
        <f t="shared" si="7"/>
        <v>0</v>
      </c>
      <c r="Y32" s="40">
        <f t="shared" si="8"/>
        <v>0</v>
      </c>
      <c r="AB32" s="40">
        <f t="shared" si="9"/>
        <v>0</v>
      </c>
      <c r="AE32" s="40">
        <v>0</v>
      </c>
      <c r="AH32" s="40">
        <v>0</v>
      </c>
      <c r="AI32" s="73">
        <f>33875000</f>
        <v>33875000</v>
      </c>
      <c r="AJ32" s="74">
        <v>2.7E-2</v>
      </c>
      <c r="AK32" s="40">
        <f t="shared" si="10"/>
        <v>2540.625</v>
      </c>
      <c r="AL32" s="73">
        <f t="shared" si="55"/>
        <v>30000000</v>
      </c>
      <c r="AM32" s="74">
        <v>2.9000000000000001E-2</v>
      </c>
      <c r="AN32" s="40">
        <f t="shared" si="11"/>
        <v>2416.6666666666665</v>
      </c>
      <c r="AO32" s="73">
        <f t="shared" si="53"/>
        <v>50000000</v>
      </c>
      <c r="AP32" s="74">
        <v>2.9700000000000001E-2</v>
      </c>
      <c r="AQ32" s="40">
        <f t="shared" si="12"/>
        <v>4125</v>
      </c>
      <c r="AR32" s="73">
        <f t="shared" si="54"/>
        <v>50000000</v>
      </c>
      <c r="AS32" s="74">
        <v>2.9499999999999998E-2</v>
      </c>
      <c r="AT32" s="40">
        <f t="shared" si="13"/>
        <v>4097.2222222222226</v>
      </c>
      <c r="AW32" s="40">
        <f t="shared" si="14"/>
        <v>0</v>
      </c>
      <c r="AZ32" s="40">
        <f t="shared" si="15"/>
        <v>0</v>
      </c>
      <c r="BC32" s="40">
        <f t="shared" si="16"/>
        <v>0</v>
      </c>
      <c r="BF32" s="40">
        <f t="shared" si="17"/>
        <v>0</v>
      </c>
      <c r="BI32" s="40">
        <f t="shared" si="18"/>
        <v>0</v>
      </c>
      <c r="BL32" s="40">
        <f t="shared" si="19"/>
        <v>0</v>
      </c>
      <c r="BO32" s="40">
        <f t="shared" si="20"/>
        <v>0</v>
      </c>
      <c r="BR32" s="40">
        <f t="shared" si="21"/>
        <v>0</v>
      </c>
      <c r="BU32" s="40">
        <f t="shared" si="22"/>
        <v>0</v>
      </c>
      <c r="BX32" s="40">
        <f t="shared" si="23"/>
        <v>0</v>
      </c>
      <c r="CA32" s="40">
        <f t="shared" si="24"/>
        <v>0</v>
      </c>
      <c r="CD32" s="40">
        <f t="shared" si="25"/>
        <v>0</v>
      </c>
      <c r="CG32" s="40">
        <f t="shared" si="26"/>
        <v>0</v>
      </c>
      <c r="CJ32" s="40">
        <f t="shared" si="27"/>
        <v>0</v>
      </c>
      <c r="CM32" s="40">
        <f t="shared" si="28"/>
        <v>0</v>
      </c>
      <c r="CP32" s="40">
        <f t="shared" si="29"/>
        <v>0</v>
      </c>
      <c r="CS32" s="40">
        <f t="shared" si="30"/>
        <v>0</v>
      </c>
      <c r="CV32" s="40">
        <f t="shared" si="31"/>
        <v>0</v>
      </c>
      <c r="CY32" s="40">
        <f t="shared" si="32"/>
        <v>0</v>
      </c>
      <c r="DB32" s="40">
        <f t="shared" si="33"/>
        <v>0</v>
      </c>
      <c r="DE32" s="40">
        <f t="shared" si="34"/>
        <v>0</v>
      </c>
      <c r="DH32" s="40">
        <f t="shared" si="35"/>
        <v>0</v>
      </c>
      <c r="DK32" s="40">
        <f t="shared" si="36"/>
        <v>0</v>
      </c>
      <c r="DN32" s="40">
        <f t="shared" si="37"/>
        <v>0</v>
      </c>
      <c r="DQ32" s="40">
        <f t="shared" si="38"/>
        <v>0</v>
      </c>
      <c r="DT32" s="40">
        <f t="shared" si="39"/>
        <v>0</v>
      </c>
      <c r="DW32" s="40">
        <f t="shared" si="40"/>
        <v>0</v>
      </c>
      <c r="DZ32" s="40"/>
      <c r="EA32" s="40"/>
      <c r="EB32" s="75">
        <f t="shared" si="41"/>
        <v>163875000</v>
      </c>
      <c r="EC32" s="75">
        <f t="shared" si="42"/>
        <v>0</v>
      </c>
      <c r="ED32" s="40">
        <f t="shared" si="43"/>
        <v>13179.513888888889</v>
      </c>
      <c r="EE32" s="41">
        <f t="shared" si="44"/>
        <v>2.8952707856598016E-2</v>
      </c>
      <c r="EG32" s="75">
        <f t="shared" si="45"/>
        <v>0</v>
      </c>
      <c r="EH32" s="40">
        <f t="shared" si="46"/>
        <v>0</v>
      </c>
      <c r="EI32" s="41">
        <f t="shared" si="47"/>
        <v>0</v>
      </c>
      <c r="EJ32" s="41"/>
      <c r="EK32" s="75">
        <f t="shared" si="48"/>
        <v>163875000</v>
      </c>
      <c r="EL32" s="75">
        <f t="shared" si="49"/>
        <v>0</v>
      </c>
      <c r="EM32" s="75">
        <f t="shared" si="50"/>
        <v>13179.513888888889</v>
      </c>
      <c r="EN32" s="41">
        <f t="shared" si="51"/>
        <v>2.8952707856598016E-2</v>
      </c>
    </row>
    <row r="33" spans="1:144" x14ac:dyDescent="0.25">
      <c r="A33" s="25">
        <f t="shared" si="52"/>
        <v>43487</v>
      </c>
      <c r="D33" s="40">
        <f t="shared" si="1"/>
        <v>0</v>
      </c>
      <c r="G33" s="40">
        <f t="shared" si="2"/>
        <v>0</v>
      </c>
      <c r="J33" s="40">
        <f t="shared" si="3"/>
        <v>0</v>
      </c>
      <c r="M33" s="40">
        <f t="shared" si="4"/>
        <v>0</v>
      </c>
      <c r="P33" s="40">
        <f t="shared" si="5"/>
        <v>0</v>
      </c>
      <c r="S33" s="40">
        <f t="shared" si="6"/>
        <v>0</v>
      </c>
      <c r="V33" s="40">
        <f t="shared" si="7"/>
        <v>0</v>
      </c>
      <c r="Y33" s="40">
        <f t="shared" si="8"/>
        <v>0</v>
      </c>
      <c r="AB33" s="40">
        <f t="shared" si="9"/>
        <v>0</v>
      </c>
      <c r="AE33" s="40">
        <v>0</v>
      </c>
      <c r="AH33" s="40">
        <v>0</v>
      </c>
      <c r="AI33" s="73">
        <f>65900000</f>
        <v>65900000</v>
      </c>
      <c r="AJ33" s="74">
        <v>2.7E-2</v>
      </c>
      <c r="AK33" s="40">
        <f t="shared" si="10"/>
        <v>4942.5</v>
      </c>
      <c r="AL33" s="73">
        <f t="shared" si="55"/>
        <v>30000000</v>
      </c>
      <c r="AM33" s="74">
        <v>2.9000000000000001E-2</v>
      </c>
      <c r="AN33" s="40">
        <f t="shared" si="11"/>
        <v>2416.6666666666665</v>
      </c>
      <c r="AO33" s="73">
        <f t="shared" si="53"/>
        <v>50000000</v>
      </c>
      <c r="AP33" s="74">
        <v>2.9700000000000001E-2</v>
      </c>
      <c r="AQ33" s="40">
        <f t="shared" si="12"/>
        <v>4125</v>
      </c>
      <c r="AR33" s="73">
        <f t="shared" si="54"/>
        <v>50000000</v>
      </c>
      <c r="AS33" s="74">
        <v>2.9499999999999998E-2</v>
      </c>
      <c r="AT33" s="40">
        <f t="shared" si="13"/>
        <v>4097.2222222222226</v>
      </c>
      <c r="AW33" s="40">
        <f t="shared" si="14"/>
        <v>0</v>
      </c>
      <c r="AZ33" s="40">
        <f t="shared" si="15"/>
        <v>0</v>
      </c>
      <c r="BC33" s="40">
        <f t="shared" si="16"/>
        <v>0</v>
      </c>
      <c r="BF33" s="40">
        <f t="shared" si="17"/>
        <v>0</v>
      </c>
      <c r="BI33" s="40">
        <f t="shared" si="18"/>
        <v>0</v>
      </c>
      <c r="BL33" s="40">
        <f t="shared" si="19"/>
        <v>0</v>
      </c>
      <c r="BO33" s="40">
        <f t="shared" si="20"/>
        <v>0</v>
      </c>
      <c r="BR33" s="40">
        <f t="shared" si="21"/>
        <v>0</v>
      </c>
      <c r="BU33" s="40">
        <f t="shared" si="22"/>
        <v>0</v>
      </c>
      <c r="BX33" s="40">
        <f t="shared" si="23"/>
        <v>0</v>
      </c>
      <c r="CA33" s="40">
        <f t="shared" si="24"/>
        <v>0</v>
      </c>
      <c r="CD33" s="40">
        <f t="shared" si="25"/>
        <v>0</v>
      </c>
      <c r="CG33" s="40">
        <f t="shared" si="26"/>
        <v>0</v>
      </c>
      <c r="CJ33" s="40">
        <f t="shared" si="27"/>
        <v>0</v>
      </c>
      <c r="CM33" s="40">
        <f t="shared" si="28"/>
        <v>0</v>
      </c>
      <c r="CP33" s="40">
        <f t="shared" si="29"/>
        <v>0</v>
      </c>
      <c r="CS33" s="40">
        <f t="shared" si="30"/>
        <v>0</v>
      </c>
      <c r="CV33" s="40">
        <f t="shared" si="31"/>
        <v>0</v>
      </c>
      <c r="CY33" s="40">
        <f t="shared" si="32"/>
        <v>0</v>
      </c>
      <c r="DB33" s="40">
        <f t="shared" si="33"/>
        <v>0</v>
      </c>
      <c r="DE33" s="40">
        <f t="shared" si="34"/>
        <v>0</v>
      </c>
      <c r="DH33" s="40">
        <f t="shared" si="35"/>
        <v>0</v>
      </c>
      <c r="DK33" s="40">
        <f t="shared" si="36"/>
        <v>0</v>
      </c>
      <c r="DN33" s="40">
        <f t="shared" si="37"/>
        <v>0</v>
      </c>
      <c r="DQ33" s="40">
        <f t="shared" si="38"/>
        <v>0</v>
      </c>
      <c r="DT33" s="40">
        <f t="shared" si="39"/>
        <v>0</v>
      </c>
      <c r="DW33" s="40">
        <f t="shared" si="40"/>
        <v>0</v>
      </c>
      <c r="DZ33" s="40"/>
      <c r="EA33" s="40"/>
      <c r="EB33" s="75">
        <f t="shared" si="41"/>
        <v>195900000</v>
      </c>
      <c r="EC33" s="75">
        <f t="shared" si="42"/>
        <v>0</v>
      </c>
      <c r="ED33" s="40">
        <f t="shared" si="43"/>
        <v>15581.388888888889</v>
      </c>
      <c r="EE33" s="41">
        <f t="shared" si="44"/>
        <v>2.8633486472690147E-2</v>
      </c>
      <c r="EG33" s="75">
        <f t="shared" si="45"/>
        <v>0</v>
      </c>
      <c r="EH33" s="40">
        <f t="shared" si="46"/>
        <v>0</v>
      </c>
      <c r="EI33" s="41">
        <f t="shared" si="47"/>
        <v>0</v>
      </c>
      <c r="EJ33" s="41"/>
      <c r="EK33" s="75">
        <f t="shared" si="48"/>
        <v>195900000</v>
      </c>
      <c r="EL33" s="75">
        <f t="shared" si="49"/>
        <v>0</v>
      </c>
      <c r="EM33" s="75">
        <f t="shared" si="50"/>
        <v>15581.388888888889</v>
      </c>
      <c r="EN33" s="41">
        <f t="shared" si="51"/>
        <v>2.8633486472690147E-2</v>
      </c>
    </row>
    <row r="34" spans="1:144" x14ac:dyDescent="0.25">
      <c r="A34" s="25">
        <f t="shared" si="52"/>
        <v>43488</v>
      </c>
      <c r="D34" s="40">
        <f t="shared" si="1"/>
        <v>0</v>
      </c>
      <c r="G34" s="40">
        <f t="shared" si="2"/>
        <v>0</v>
      </c>
      <c r="J34" s="40">
        <f t="shared" si="3"/>
        <v>0</v>
      </c>
      <c r="M34" s="40">
        <f t="shared" si="4"/>
        <v>0</v>
      </c>
      <c r="P34" s="40">
        <f t="shared" si="5"/>
        <v>0</v>
      </c>
      <c r="S34" s="40">
        <f t="shared" si="6"/>
        <v>0</v>
      </c>
      <c r="V34" s="40">
        <f t="shared" si="7"/>
        <v>0</v>
      </c>
      <c r="Y34" s="40">
        <f t="shared" si="8"/>
        <v>0</v>
      </c>
      <c r="AB34" s="40">
        <f t="shared" si="9"/>
        <v>0</v>
      </c>
      <c r="AE34" s="40">
        <v>0</v>
      </c>
      <c r="AH34" s="40">
        <v>0</v>
      </c>
      <c r="AI34" s="73">
        <f>52625000</f>
        <v>52625000</v>
      </c>
      <c r="AJ34" s="74">
        <v>2.7E-2</v>
      </c>
      <c r="AK34" s="40">
        <f t="shared" si="10"/>
        <v>3946.875</v>
      </c>
      <c r="AL34" s="73">
        <f t="shared" si="55"/>
        <v>30000000</v>
      </c>
      <c r="AM34" s="74">
        <v>2.9000000000000001E-2</v>
      </c>
      <c r="AN34" s="40">
        <f t="shared" si="11"/>
        <v>2416.6666666666665</v>
      </c>
      <c r="AO34" s="73">
        <f t="shared" si="53"/>
        <v>50000000</v>
      </c>
      <c r="AP34" s="74">
        <v>2.9700000000000001E-2</v>
      </c>
      <c r="AQ34" s="40">
        <f t="shared" si="12"/>
        <v>4125</v>
      </c>
      <c r="AR34" s="73">
        <f t="shared" si="54"/>
        <v>50000000</v>
      </c>
      <c r="AS34" s="74">
        <v>2.9499999999999998E-2</v>
      </c>
      <c r="AT34" s="40">
        <f t="shared" si="13"/>
        <v>4097.2222222222226</v>
      </c>
      <c r="AW34" s="40">
        <f t="shared" si="14"/>
        <v>0</v>
      </c>
      <c r="AZ34" s="40">
        <f t="shared" si="15"/>
        <v>0</v>
      </c>
      <c r="BC34" s="40">
        <f t="shared" si="16"/>
        <v>0</v>
      </c>
      <c r="BF34" s="40">
        <f t="shared" si="17"/>
        <v>0</v>
      </c>
      <c r="BI34" s="40">
        <f t="shared" si="18"/>
        <v>0</v>
      </c>
      <c r="BL34" s="40">
        <f t="shared" si="19"/>
        <v>0</v>
      </c>
      <c r="BO34" s="40">
        <f t="shared" si="20"/>
        <v>0</v>
      </c>
      <c r="BR34" s="40">
        <f t="shared" si="21"/>
        <v>0</v>
      </c>
      <c r="BU34" s="40">
        <f t="shared" si="22"/>
        <v>0</v>
      </c>
      <c r="BX34" s="40">
        <f t="shared" si="23"/>
        <v>0</v>
      </c>
      <c r="CA34" s="40">
        <f t="shared" si="24"/>
        <v>0</v>
      </c>
      <c r="CD34" s="40">
        <f t="shared" si="25"/>
        <v>0</v>
      </c>
      <c r="CG34" s="40">
        <f t="shared" si="26"/>
        <v>0</v>
      </c>
      <c r="CJ34" s="40">
        <f t="shared" si="27"/>
        <v>0</v>
      </c>
      <c r="CM34" s="40">
        <f t="shared" si="28"/>
        <v>0</v>
      </c>
      <c r="CP34" s="40">
        <f t="shared" si="29"/>
        <v>0</v>
      </c>
      <c r="CS34" s="40">
        <f t="shared" si="30"/>
        <v>0</v>
      </c>
      <c r="CV34" s="40">
        <f t="shared" si="31"/>
        <v>0</v>
      </c>
      <c r="CY34" s="40">
        <f t="shared" si="32"/>
        <v>0</v>
      </c>
      <c r="DB34" s="40">
        <f t="shared" si="33"/>
        <v>0</v>
      </c>
      <c r="DE34" s="40">
        <f t="shared" si="34"/>
        <v>0</v>
      </c>
      <c r="DH34" s="40">
        <f t="shared" si="35"/>
        <v>0</v>
      </c>
      <c r="DK34" s="40">
        <f t="shared" si="36"/>
        <v>0</v>
      </c>
      <c r="DN34" s="40">
        <f t="shared" si="37"/>
        <v>0</v>
      </c>
      <c r="DQ34" s="40">
        <f t="shared" si="38"/>
        <v>0</v>
      </c>
      <c r="DT34" s="40">
        <f t="shared" si="39"/>
        <v>0</v>
      </c>
      <c r="DW34" s="40">
        <f t="shared" si="40"/>
        <v>0</v>
      </c>
      <c r="DZ34" s="40"/>
      <c r="EA34" s="40"/>
      <c r="EB34" s="75">
        <f t="shared" si="41"/>
        <v>182625000</v>
      </c>
      <c r="EC34" s="75">
        <f t="shared" si="42"/>
        <v>0</v>
      </c>
      <c r="ED34" s="40">
        <f t="shared" si="43"/>
        <v>14585.763888888889</v>
      </c>
      <c r="EE34" s="41">
        <f t="shared" si="44"/>
        <v>2.8752224503764544E-2</v>
      </c>
      <c r="EG34" s="75">
        <f t="shared" si="45"/>
        <v>0</v>
      </c>
      <c r="EH34" s="40">
        <f t="shared" si="46"/>
        <v>0</v>
      </c>
      <c r="EI34" s="41">
        <f t="shared" si="47"/>
        <v>0</v>
      </c>
      <c r="EJ34" s="41"/>
      <c r="EK34" s="75">
        <f t="shared" si="48"/>
        <v>182625000</v>
      </c>
      <c r="EL34" s="75">
        <f t="shared" si="49"/>
        <v>0</v>
      </c>
      <c r="EM34" s="75">
        <f t="shared" si="50"/>
        <v>14585.763888888889</v>
      </c>
      <c r="EN34" s="41">
        <f t="shared" si="51"/>
        <v>2.8752224503764544E-2</v>
      </c>
    </row>
    <row r="35" spans="1:144" x14ac:dyDescent="0.25">
      <c r="A35" s="25">
        <f t="shared" si="52"/>
        <v>43489</v>
      </c>
      <c r="D35" s="40">
        <f t="shared" si="1"/>
        <v>0</v>
      </c>
      <c r="G35" s="40">
        <f t="shared" si="2"/>
        <v>0</v>
      </c>
      <c r="J35" s="40">
        <f t="shared" si="3"/>
        <v>0</v>
      </c>
      <c r="M35" s="40">
        <f t="shared" si="4"/>
        <v>0</v>
      </c>
      <c r="P35" s="40">
        <f t="shared" si="5"/>
        <v>0</v>
      </c>
      <c r="S35" s="40">
        <f t="shared" si="6"/>
        <v>0</v>
      </c>
      <c r="V35" s="40">
        <f t="shared" si="7"/>
        <v>0</v>
      </c>
      <c r="Y35" s="40">
        <f t="shared" si="8"/>
        <v>0</v>
      </c>
      <c r="AB35" s="40">
        <f t="shared" si="9"/>
        <v>0</v>
      </c>
      <c r="AE35" s="40">
        <v>0</v>
      </c>
      <c r="AH35" s="40">
        <v>0</v>
      </c>
      <c r="AI35" s="73">
        <f>34300000</f>
        <v>34300000</v>
      </c>
      <c r="AJ35" s="74">
        <v>2.7E-2</v>
      </c>
      <c r="AK35" s="40">
        <f t="shared" si="10"/>
        <v>2572.5</v>
      </c>
      <c r="AL35" s="73">
        <f t="shared" si="55"/>
        <v>30000000</v>
      </c>
      <c r="AM35" s="74">
        <v>2.9000000000000001E-2</v>
      </c>
      <c r="AN35" s="40">
        <f t="shared" si="11"/>
        <v>2416.6666666666665</v>
      </c>
      <c r="AO35" s="73">
        <f t="shared" si="53"/>
        <v>50000000</v>
      </c>
      <c r="AP35" s="74">
        <v>2.9700000000000001E-2</v>
      </c>
      <c r="AQ35" s="40">
        <f t="shared" si="12"/>
        <v>4125</v>
      </c>
      <c r="AR35" s="73">
        <f t="shared" si="54"/>
        <v>50000000</v>
      </c>
      <c r="AS35" s="74">
        <v>2.9499999999999998E-2</v>
      </c>
      <c r="AT35" s="40">
        <f t="shared" si="13"/>
        <v>4097.2222222222226</v>
      </c>
      <c r="AW35" s="40">
        <f t="shared" si="14"/>
        <v>0</v>
      </c>
      <c r="AZ35" s="40">
        <f t="shared" si="15"/>
        <v>0</v>
      </c>
      <c r="BC35" s="40">
        <f t="shared" si="16"/>
        <v>0</v>
      </c>
      <c r="BF35" s="40">
        <f t="shared" si="17"/>
        <v>0</v>
      </c>
      <c r="BI35" s="40">
        <f t="shared" si="18"/>
        <v>0</v>
      </c>
      <c r="BL35" s="40">
        <f t="shared" si="19"/>
        <v>0</v>
      </c>
      <c r="BO35" s="40">
        <f t="shared" si="20"/>
        <v>0</v>
      </c>
      <c r="BR35" s="40">
        <f t="shared" si="21"/>
        <v>0</v>
      </c>
      <c r="BU35" s="40">
        <f t="shared" si="22"/>
        <v>0</v>
      </c>
      <c r="BX35" s="40">
        <f t="shared" si="23"/>
        <v>0</v>
      </c>
      <c r="CA35" s="40">
        <f t="shared" si="24"/>
        <v>0</v>
      </c>
      <c r="CD35" s="40">
        <f t="shared" si="25"/>
        <v>0</v>
      </c>
      <c r="CG35" s="40">
        <f t="shared" si="26"/>
        <v>0</v>
      </c>
      <c r="CJ35" s="40">
        <f t="shared" si="27"/>
        <v>0</v>
      </c>
      <c r="CM35" s="40">
        <f t="shared" si="28"/>
        <v>0</v>
      </c>
      <c r="CP35" s="40">
        <f t="shared" si="29"/>
        <v>0</v>
      </c>
      <c r="CS35" s="40">
        <f t="shared" si="30"/>
        <v>0</v>
      </c>
      <c r="CV35" s="40">
        <f t="shared" si="31"/>
        <v>0</v>
      </c>
      <c r="CY35" s="40">
        <f t="shared" si="32"/>
        <v>0</v>
      </c>
      <c r="DB35" s="40">
        <f t="shared" si="33"/>
        <v>0</v>
      </c>
      <c r="DE35" s="40">
        <f t="shared" si="34"/>
        <v>0</v>
      </c>
      <c r="DH35" s="40">
        <f t="shared" si="35"/>
        <v>0</v>
      </c>
      <c r="DK35" s="40">
        <f t="shared" si="36"/>
        <v>0</v>
      </c>
      <c r="DN35" s="40">
        <f t="shared" si="37"/>
        <v>0</v>
      </c>
      <c r="DQ35" s="40">
        <f t="shared" si="38"/>
        <v>0</v>
      </c>
      <c r="DT35" s="40">
        <f t="shared" si="39"/>
        <v>0</v>
      </c>
      <c r="DW35" s="40">
        <f t="shared" si="40"/>
        <v>0</v>
      </c>
      <c r="DZ35" s="40"/>
      <c r="EA35" s="40"/>
      <c r="EB35" s="75">
        <f t="shared" si="41"/>
        <v>164300000</v>
      </c>
      <c r="EC35" s="75">
        <f t="shared" si="42"/>
        <v>0</v>
      </c>
      <c r="ED35" s="40">
        <f t="shared" si="43"/>
        <v>13211.388888888889</v>
      </c>
      <c r="EE35" s="41">
        <f t="shared" si="44"/>
        <v>2.8947656725502133E-2</v>
      </c>
      <c r="EG35" s="75">
        <f t="shared" si="45"/>
        <v>0</v>
      </c>
      <c r="EH35" s="40">
        <f t="shared" si="46"/>
        <v>0</v>
      </c>
      <c r="EI35" s="41">
        <f t="shared" si="47"/>
        <v>0</v>
      </c>
      <c r="EJ35" s="41"/>
      <c r="EK35" s="75">
        <f t="shared" si="48"/>
        <v>164300000</v>
      </c>
      <c r="EL35" s="75">
        <f t="shared" si="49"/>
        <v>0</v>
      </c>
      <c r="EM35" s="75">
        <f t="shared" si="50"/>
        <v>13211.388888888889</v>
      </c>
      <c r="EN35" s="41">
        <f t="shared" si="51"/>
        <v>2.8947656725502133E-2</v>
      </c>
    </row>
    <row r="36" spans="1:144" x14ac:dyDescent="0.25">
      <c r="A36" s="25">
        <f t="shared" si="52"/>
        <v>43490</v>
      </c>
      <c r="D36" s="40">
        <f t="shared" si="1"/>
        <v>0</v>
      </c>
      <c r="G36" s="40">
        <f t="shared" si="2"/>
        <v>0</v>
      </c>
      <c r="J36" s="40">
        <f t="shared" si="3"/>
        <v>0</v>
      </c>
      <c r="M36" s="40">
        <f t="shared" si="4"/>
        <v>0</v>
      </c>
      <c r="P36" s="40">
        <f t="shared" si="5"/>
        <v>0</v>
      </c>
      <c r="S36" s="40">
        <f t="shared" si="6"/>
        <v>0</v>
      </c>
      <c r="V36" s="40">
        <f t="shared" si="7"/>
        <v>0</v>
      </c>
      <c r="Y36" s="40">
        <f t="shared" si="8"/>
        <v>0</v>
      </c>
      <c r="AB36" s="40">
        <f t="shared" si="9"/>
        <v>0</v>
      </c>
      <c r="AE36" s="40">
        <v>0</v>
      </c>
      <c r="AH36" s="40">
        <v>0</v>
      </c>
      <c r="AI36" s="73">
        <f>42425000+175000</f>
        <v>42600000</v>
      </c>
      <c r="AJ36" s="74">
        <v>2.7E-2</v>
      </c>
      <c r="AK36" s="40">
        <f t="shared" si="10"/>
        <v>3195</v>
      </c>
      <c r="AL36" s="73">
        <f t="shared" si="55"/>
        <v>30000000</v>
      </c>
      <c r="AM36" s="74">
        <v>2.9000000000000001E-2</v>
      </c>
      <c r="AN36" s="40">
        <f t="shared" si="11"/>
        <v>2416.6666666666665</v>
      </c>
      <c r="AO36" s="73">
        <f t="shared" si="53"/>
        <v>50000000</v>
      </c>
      <c r="AP36" s="74">
        <v>2.9700000000000001E-2</v>
      </c>
      <c r="AQ36" s="40">
        <f t="shared" si="12"/>
        <v>4125</v>
      </c>
      <c r="AR36" s="73">
        <f t="shared" si="54"/>
        <v>50000000</v>
      </c>
      <c r="AS36" s="74">
        <v>2.9499999999999998E-2</v>
      </c>
      <c r="AT36" s="40">
        <f t="shared" si="13"/>
        <v>4097.2222222222226</v>
      </c>
      <c r="AW36" s="40">
        <f t="shared" si="14"/>
        <v>0</v>
      </c>
      <c r="AZ36" s="40">
        <f t="shared" si="15"/>
        <v>0</v>
      </c>
      <c r="BC36" s="40">
        <f t="shared" si="16"/>
        <v>0</v>
      </c>
      <c r="BF36" s="40">
        <f t="shared" si="17"/>
        <v>0</v>
      </c>
      <c r="BI36" s="40">
        <f t="shared" si="18"/>
        <v>0</v>
      </c>
      <c r="BL36" s="40">
        <f t="shared" si="19"/>
        <v>0</v>
      </c>
      <c r="BO36" s="40">
        <f t="shared" si="20"/>
        <v>0</v>
      </c>
      <c r="BR36" s="40">
        <f t="shared" si="21"/>
        <v>0</v>
      </c>
      <c r="BU36" s="40">
        <f t="shared" si="22"/>
        <v>0</v>
      </c>
      <c r="BX36" s="40">
        <f t="shared" si="23"/>
        <v>0</v>
      </c>
      <c r="CA36" s="40">
        <f t="shared" si="24"/>
        <v>0</v>
      </c>
      <c r="CD36" s="40">
        <f t="shared" si="25"/>
        <v>0</v>
      </c>
      <c r="CG36" s="40">
        <f t="shared" si="26"/>
        <v>0</v>
      </c>
      <c r="CJ36" s="40">
        <f t="shared" si="27"/>
        <v>0</v>
      </c>
      <c r="CM36" s="40">
        <f t="shared" si="28"/>
        <v>0</v>
      </c>
      <c r="CP36" s="40">
        <f t="shared" si="29"/>
        <v>0</v>
      </c>
      <c r="CS36" s="40">
        <f t="shared" si="30"/>
        <v>0</v>
      </c>
      <c r="CV36" s="40">
        <f t="shared" si="31"/>
        <v>0</v>
      </c>
      <c r="CY36" s="40">
        <f t="shared" si="32"/>
        <v>0</v>
      </c>
      <c r="DB36" s="40">
        <f t="shared" si="33"/>
        <v>0</v>
      </c>
      <c r="DE36" s="40">
        <f t="shared" si="34"/>
        <v>0</v>
      </c>
      <c r="DH36" s="40">
        <f t="shared" si="35"/>
        <v>0</v>
      </c>
      <c r="DK36" s="40">
        <f t="shared" si="36"/>
        <v>0</v>
      </c>
      <c r="DN36" s="40">
        <f t="shared" si="37"/>
        <v>0</v>
      </c>
      <c r="DQ36" s="40">
        <f t="shared" si="38"/>
        <v>0</v>
      </c>
      <c r="DT36" s="40">
        <f t="shared" si="39"/>
        <v>0</v>
      </c>
      <c r="DW36" s="40">
        <f t="shared" si="40"/>
        <v>0</v>
      </c>
      <c r="DZ36" s="40"/>
      <c r="EA36" s="40"/>
      <c r="EB36" s="75">
        <f t="shared" si="41"/>
        <v>172600000</v>
      </c>
      <c r="EC36" s="75">
        <f t="shared" si="42"/>
        <v>0</v>
      </c>
      <c r="ED36" s="40">
        <f t="shared" si="43"/>
        <v>13833.888888888889</v>
      </c>
      <c r="EE36" s="41">
        <f t="shared" si="44"/>
        <v>2.8853997682502897E-2</v>
      </c>
      <c r="EG36" s="75">
        <f t="shared" si="45"/>
        <v>0</v>
      </c>
      <c r="EH36" s="40">
        <f t="shared" si="46"/>
        <v>0</v>
      </c>
      <c r="EI36" s="41">
        <f t="shared" si="47"/>
        <v>0</v>
      </c>
      <c r="EJ36" s="41"/>
      <c r="EK36" s="75">
        <f t="shared" si="48"/>
        <v>172600000</v>
      </c>
      <c r="EL36" s="75">
        <f t="shared" si="49"/>
        <v>0</v>
      </c>
      <c r="EM36" s="75">
        <f t="shared" si="50"/>
        <v>13833.888888888889</v>
      </c>
      <c r="EN36" s="41">
        <f t="shared" si="51"/>
        <v>2.8853997682502897E-2</v>
      </c>
    </row>
    <row r="37" spans="1:144" x14ac:dyDescent="0.25">
      <c r="A37" s="25">
        <f t="shared" si="52"/>
        <v>43491</v>
      </c>
      <c r="D37" s="40">
        <f t="shared" si="1"/>
        <v>0</v>
      </c>
      <c r="G37" s="40">
        <f t="shared" si="2"/>
        <v>0</v>
      </c>
      <c r="J37" s="40">
        <f t="shared" si="3"/>
        <v>0</v>
      </c>
      <c r="M37" s="40">
        <f t="shared" si="4"/>
        <v>0</v>
      </c>
      <c r="P37" s="40">
        <f t="shared" si="5"/>
        <v>0</v>
      </c>
      <c r="S37" s="40">
        <f t="shared" si="6"/>
        <v>0</v>
      </c>
      <c r="V37" s="40">
        <f t="shared" si="7"/>
        <v>0</v>
      </c>
      <c r="Y37" s="40">
        <f t="shared" si="8"/>
        <v>0</v>
      </c>
      <c r="AB37" s="40">
        <f t="shared" si="9"/>
        <v>0</v>
      </c>
      <c r="AE37" s="40">
        <v>0</v>
      </c>
      <c r="AH37" s="40">
        <v>0</v>
      </c>
      <c r="AI37" s="73">
        <f>42425000+175000</f>
        <v>42600000</v>
      </c>
      <c r="AJ37" s="74">
        <v>2.7E-2</v>
      </c>
      <c r="AK37" s="40">
        <f t="shared" si="10"/>
        <v>3195</v>
      </c>
      <c r="AL37" s="73">
        <f t="shared" si="55"/>
        <v>30000000</v>
      </c>
      <c r="AM37" s="74">
        <v>2.9000000000000001E-2</v>
      </c>
      <c r="AN37" s="40">
        <f t="shared" si="11"/>
        <v>2416.6666666666665</v>
      </c>
      <c r="AO37" s="73">
        <f t="shared" si="53"/>
        <v>50000000</v>
      </c>
      <c r="AP37" s="74">
        <v>2.9700000000000001E-2</v>
      </c>
      <c r="AQ37" s="40">
        <f t="shared" si="12"/>
        <v>4125</v>
      </c>
      <c r="AR37" s="73">
        <f t="shared" si="54"/>
        <v>50000000</v>
      </c>
      <c r="AS37" s="74">
        <v>2.9499999999999998E-2</v>
      </c>
      <c r="AT37" s="40">
        <f t="shared" si="13"/>
        <v>4097.2222222222226</v>
      </c>
      <c r="AW37" s="40">
        <f t="shared" si="14"/>
        <v>0</v>
      </c>
      <c r="AZ37" s="40">
        <f t="shared" si="15"/>
        <v>0</v>
      </c>
      <c r="BC37" s="40">
        <f t="shared" si="16"/>
        <v>0</v>
      </c>
      <c r="BF37" s="40">
        <f t="shared" si="17"/>
        <v>0</v>
      </c>
      <c r="BI37" s="40">
        <f t="shared" si="18"/>
        <v>0</v>
      </c>
      <c r="BL37" s="40">
        <f t="shared" si="19"/>
        <v>0</v>
      </c>
      <c r="BO37" s="40">
        <f t="shared" si="20"/>
        <v>0</v>
      </c>
      <c r="BR37" s="40">
        <f t="shared" si="21"/>
        <v>0</v>
      </c>
      <c r="BU37" s="40">
        <f t="shared" si="22"/>
        <v>0</v>
      </c>
      <c r="BX37" s="40">
        <f t="shared" si="23"/>
        <v>0</v>
      </c>
      <c r="CA37" s="40">
        <f t="shared" si="24"/>
        <v>0</v>
      </c>
      <c r="CD37" s="40">
        <f t="shared" si="25"/>
        <v>0</v>
      </c>
      <c r="CG37" s="40">
        <f t="shared" si="26"/>
        <v>0</v>
      </c>
      <c r="CJ37" s="40">
        <f t="shared" si="27"/>
        <v>0</v>
      </c>
      <c r="CM37" s="40">
        <f t="shared" si="28"/>
        <v>0</v>
      </c>
      <c r="CP37" s="40">
        <f t="shared" si="29"/>
        <v>0</v>
      </c>
      <c r="CS37" s="40">
        <f t="shared" si="30"/>
        <v>0</v>
      </c>
      <c r="CV37" s="40">
        <f t="shared" si="31"/>
        <v>0</v>
      </c>
      <c r="CY37" s="40">
        <f t="shared" si="32"/>
        <v>0</v>
      </c>
      <c r="DB37" s="40">
        <f t="shared" si="33"/>
        <v>0</v>
      </c>
      <c r="DE37" s="40">
        <f t="shared" si="34"/>
        <v>0</v>
      </c>
      <c r="DH37" s="40">
        <f t="shared" si="35"/>
        <v>0</v>
      </c>
      <c r="DK37" s="40">
        <f t="shared" si="36"/>
        <v>0</v>
      </c>
      <c r="DN37" s="40">
        <f t="shared" si="37"/>
        <v>0</v>
      </c>
      <c r="DQ37" s="40">
        <f t="shared" si="38"/>
        <v>0</v>
      </c>
      <c r="DT37" s="40">
        <f t="shared" si="39"/>
        <v>0</v>
      </c>
      <c r="DW37" s="40">
        <f t="shared" si="40"/>
        <v>0</v>
      </c>
      <c r="DZ37" s="40"/>
      <c r="EA37" s="40"/>
      <c r="EB37" s="75">
        <f t="shared" si="41"/>
        <v>172600000</v>
      </c>
      <c r="EC37" s="75">
        <f t="shared" si="42"/>
        <v>0</v>
      </c>
      <c r="ED37" s="40">
        <f t="shared" si="43"/>
        <v>13833.888888888889</v>
      </c>
      <c r="EE37" s="41">
        <f t="shared" si="44"/>
        <v>2.8853997682502897E-2</v>
      </c>
      <c r="EG37" s="75">
        <f t="shared" si="45"/>
        <v>0</v>
      </c>
      <c r="EH37" s="40">
        <f t="shared" si="46"/>
        <v>0</v>
      </c>
      <c r="EI37" s="41">
        <f t="shared" si="47"/>
        <v>0</v>
      </c>
      <c r="EJ37" s="41"/>
      <c r="EK37" s="75">
        <f t="shared" si="48"/>
        <v>172600000</v>
      </c>
      <c r="EL37" s="75">
        <f t="shared" si="49"/>
        <v>0</v>
      </c>
      <c r="EM37" s="75">
        <f t="shared" si="50"/>
        <v>13833.888888888889</v>
      </c>
      <c r="EN37" s="41">
        <f t="shared" si="51"/>
        <v>2.8853997682502897E-2</v>
      </c>
    </row>
    <row r="38" spans="1:144" x14ac:dyDescent="0.25">
      <c r="A38" s="25">
        <f t="shared" si="52"/>
        <v>43492</v>
      </c>
      <c r="D38" s="40">
        <f t="shared" si="1"/>
        <v>0</v>
      </c>
      <c r="G38" s="40">
        <f t="shared" si="2"/>
        <v>0</v>
      </c>
      <c r="J38" s="40">
        <f t="shared" si="3"/>
        <v>0</v>
      </c>
      <c r="M38" s="40">
        <f t="shared" si="4"/>
        <v>0</v>
      </c>
      <c r="P38" s="40">
        <f t="shared" si="5"/>
        <v>0</v>
      </c>
      <c r="S38" s="40">
        <f t="shared" si="6"/>
        <v>0</v>
      </c>
      <c r="V38" s="40">
        <f t="shared" si="7"/>
        <v>0</v>
      </c>
      <c r="Y38" s="40">
        <f t="shared" si="8"/>
        <v>0</v>
      </c>
      <c r="AB38" s="40">
        <f t="shared" si="9"/>
        <v>0</v>
      </c>
      <c r="AE38" s="40">
        <v>0</v>
      </c>
      <c r="AH38" s="40">
        <v>0</v>
      </c>
      <c r="AI38" s="73">
        <f>42425000+175000</f>
        <v>42600000</v>
      </c>
      <c r="AJ38" s="74">
        <v>2.7E-2</v>
      </c>
      <c r="AK38" s="40">
        <f t="shared" si="10"/>
        <v>3195</v>
      </c>
      <c r="AL38" s="73">
        <f t="shared" si="55"/>
        <v>30000000</v>
      </c>
      <c r="AM38" s="74">
        <v>2.9000000000000001E-2</v>
      </c>
      <c r="AN38" s="40">
        <f t="shared" si="11"/>
        <v>2416.6666666666665</v>
      </c>
      <c r="AO38" s="73">
        <f t="shared" si="53"/>
        <v>50000000</v>
      </c>
      <c r="AP38" s="74">
        <v>2.9700000000000001E-2</v>
      </c>
      <c r="AQ38" s="40">
        <f t="shared" si="12"/>
        <v>4125</v>
      </c>
      <c r="AR38" s="73">
        <f t="shared" si="54"/>
        <v>50000000</v>
      </c>
      <c r="AS38" s="74">
        <v>2.9499999999999998E-2</v>
      </c>
      <c r="AT38" s="40">
        <f t="shared" si="13"/>
        <v>4097.2222222222226</v>
      </c>
      <c r="AW38" s="40">
        <f t="shared" si="14"/>
        <v>0</v>
      </c>
      <c r="AZ38" s="40">
        <f t="shared" si="15"/>
        <v>0</v>
      </c>
      <c r="BC38" s="40">
        <f t="shared" si="16"/>
        <v>0</v>
      </c>
      <c r="BF38" s="40">
        <f t="shared" si="17"/>
        <v>0</v>
      </c>
      <c r="BI38" s="40">
        <f t="shared" si="18"/>
        <v>0</v>
      </c>
      <c r="BL38" s="40">
        <f t="shared" si="19"/>
        <v>0</v>
      </c>
      <c r="BO38" s="40">
        <f t="shared" si="20"/>
        <v>0</v>
      </c>
      <c r="BR38" s="40">
        <f t="shared" si="21"/>
        <v>0</v>
      </c>
      <c r="BU38" s="40">
        <f t="shared" si="22"/>
        <v>0</v>
      </c>
      <c r="BX38" s="40">
        <f t="shared" si="23"/>
        <v>0</v>
      </c>
      <c r="CA38" s="40">
        <f t="shared" si="24"/>
        <v>0</v>
      </c>
      <c r="CD38" s="40">
        <f t="shared" si="25"/>
        <v>0</v>
      </c>
      <c r="CG38" s="40">
        <f t="shared" si="26"/>
        <v>0</v>
      </c>
      <c r="CJ38" s="40">
        <f t="shared" si="27"/>
        <v>0</v>
      </c>
      <c r="CM38" s="40">
        <f t="shared" si="28"/>
        <v>0</v>
      </c>
      <c r="CP38" s="40">
        <f t="shared" si="29"/>
        <v>0</v>
      </c>
      <c r="CS38" s="40">
        <f t="shared" si="30"/>
        <v>0</v>
      </c>
      <c r="CV38" s="40">
        <f t="shared" si="31"/>
        <v>0</v>
      </c>
      <c r="CY38" s="40">
        <f t="shared" si="32"/>
        <v>0</v>
      </c>
      <c r="DB38" s="40">
        <f t="shared" si="33"/>
        <v>0</v>
      </c>
      <c r="DE38" s="40">
        <f t="shared" si="34"/>
        <v>0</v>
      </c>
      <c r="DH38" s="40">
        <f t="shared" si="35"/>
        <v>0</v>
      </c>
      <c r="DK38" s="40">
        <f t="shared" si="36"/>
        <v>0</v>
      </c>
      <c r="DN38" s="40">
        <f t="shared" si="37"/>
        <v>0</v>
      </c>
      <c r="DQ38" s="40">
        <f t="shared" si="38"/>
        <v>0</v>
      </c>
      <c r="DT38" s="40">
        <f t="shared" si="39"/>
        <v>0</v>
      </c>
      <c r="DW38" s="40">
        <f t="shared" si="40"/>
        <v>0</v>
      </c>
      <c r="DZ38" s="40"/>
      <c r="EA38" s="40"/>
      <c r="EB38" s="75">
        <f t="shared" si="41"/>
        <v>172600000</v>
      </c>
      <c r="EC38" s="75">
        <f t="shared" si="42"/>
        <v>0</v>
      </c>
      <c r="ED38" s="40">
        <f t="shared" si="43"/>
        <v>13833.888888888889</v>
      </c>
      <c r="EE38" s="41">
        <f t="shared" si="44"/>
        <v>2.8853997682502897E-2</v>
      </c>
      <c r="EG38" s="75">
        <f t="shared" si="45"/>
        <v>0</v>
      </c>
      <c r="EH38" s="40">
        <f t="shared" si="46"/>
        <v>0</v>
      </c>
      <c r="EI38" s="41">
        <f t="shared" si="47"/>
        <v>0</v>
      </c>
      <c r="EJ38" s="41"/>
      <c r="EK38" s="75">
        <f t="shared" si="48"/>
        <v>172600000</v>
      </c>
      <c r="EL38" s="75">
        <f t="shared" si="49"/>
        <v>0</v>
      </c>
      <c r="EM38" s="75">
        <f t="shared" si="50"/>
        <v>13833.888888888889</v>
      </c>
      <c r="EN38" s="41">
        <f t="shared" si="51"/>
        <v>2.8853997682502897E-2</v>
      </c>
    </row>
    <row r="39" spans="1:144" x14ac:dyDescent="0.25">
      <c r="A39" s="25">
        <f t="shared" si="52"/>
        <v>43493</v>
      </c>
      <c r="D39" s="40">
        <f t="shared" si="1"/>
        <v>0</v>
      </c>
      <c r="G39" s="40">
        <f t="shared" si="2"/>
        <v>0</v>
      </c>
      <c r="J39" s="40">
        <f t="shared" si="3"/>
        <v>0</v>
      </c>
      <c r="M39" s="40">
        <f t="shared" si="4"/>
        <v>0</v>
      </c>
      <c r="P39" s="40">
        <f t="shared" si="5"/>
        <v>0</v>
      </c>
      <c r="S39" s="40">
        <f t="shared" si="6"/>
        <v>0</v>
      </c>
      <c r="V39" s="40">
        <f t="shared" si="7"/>
        <v>0</v>
      </c>
      <c r="Y39" s="40">
        <f t="shared" si="8"/>
        <v>0</v>
      </c>
      <c r="AB39" s="40">
        <f t="shared" si="9"/>
        <v>0</v>
      </c>
      <c r="AE39" s="40">
        <v>0</v>
      </c>
      <c r="AH39" s="40">
        <v>0</v>
      </c>
      <c r="AI39" s="73">
        <f>62400000</f>
        <v>62400000</v>
      </c>
      <c r="AJ39" s="74">
        <v>2.7E-2</v>
      </c>
      <c r="AK39" s="40">
        <f t="shared" si="10"/>
        <v>4680</v>
      </c>
      <c r="AL39" s="73">
        <f t="shared" si="55"/>
        <v>30000000</v>
      </c>
      <c r="AM39" s="74">
        <v>2.9000000000000001E-2</v>
      </c>
      <c r="AN39" s="40">
        <f t="shared" si="11"/>
        <v>2416.6666666666665</v>
      </c>
      <c r="AO39" s="73">
        <f t="shared" si="53"/>
        <v>50000000</v>
      </c>
      <c r="AP39" s="74">
        <v>2.9700000000000001E-2</v>
      </c>
      <c r="AQ39" s="40">
        <f t="shared" si="12"/>
        <v>4125</v>
      </c>
      <c r="AR39" s="73">
        <f t="shared" si="54"/>
        <v>50000000</v>
      </c>
      <c r="AS39" s="74">
        <v>2.9499999999999998E-2</v>
      </c>
      <c r="AT39" s="40">
        <f t="shared" si="13"/>
        <v>4097.2222222222226</v>
      </c>
      <c r="AW39" s="40">
        <f t="shared" si="14"/>
        <v>0</v>
      </c>
      <c r="AZ39" s="40">
        <f t="shared" si="15"/>
        <v>0</v>
      </c>
      <c r="BC39" s="40">
        <f t="shared" si="16"/>
        <v>0</v>
      </c>
      <c r="BF39" s="40">
        <f t="shared" si="17"/>
        <v>0</v>
      </c>
      <c r="BI39" s="40">
        <f t="shared" si="18"/>
        <v>0</v>
      </c>
      <c r="BL39" s="40">
        <f t="shared" si="19"/>
        <v>0</v>
      </c>
      <c r="BO39" s="40">
        <f t="shared" si="20"/>
        <v>0</v>
      </c>
      <c r="BR39" s="40">
        <f t="shared" si="21"/>
        <v>0</v>
      </c>
      <c r="BU39" s="40">
        <f t="shared" si="22"/>
        <v>0</v>
      </c>
      <c r="BX39" s="40">
        <f t="shared" si="23"/>
        <v>0</v>
      </c>
      <c r="CA39" s="40">
        <f t="shared" si="24"/>
        <v>0</v>
      </c>
      <c r="CD39" s="40">
        <f t="shared" si="25"/>
        <v>0</v>
      </c>
      <c r="CG39" s="40">
        <f t="shared" si="26"/>
        <v>0</v>
      </c>
      <c r="CJ39" s="40">
        <f t="shared" si="27"/>
        <v>0</v>
      </c>
      <c r="CM39" s="40">
        <f t="shared" si="28"/>
        <v>0</v>
      </c>
      <c r="CP39" s="40">
        <f t="shared" si="29"/>
        <v>0</v>
      </c>
      <c r="CS39" s="40">
        <f t="shared" si="30"/>
        <v>0</v>
      </c>
      <c r="CV39" s="40">
        <f t="shared" si="31"/>
        <v>0</v>
      </c>
      <c r="CY39" s="40">
        <f t="shared" si="32"/>
        <v>0</v>
      </c>
      <c r="DB39" s="40">
        <f t="shared" si="33"/>
        <v>0</v>
      </c>
      <c r="DE39" s="40">
        <f t="shared" si="34"/>
        <v>0</v>
      </c>
      <c r="DH39" s="40">
        <f t="shared" si="35"/>
        <v>0</v>
      </c>
      <c r="DK39" s="40">
        <f t="shared" si="36"/>
        <v>0</v>
      </c>
      <c r="DN39" s="40">
        <f t="shared" si="37"/>
        <v>0</v>
      </c>
      <c r="DQ39" s="40">
        <f t="shared" si="38"/>
        <v>0</v>
      </c>
      <c r="DT39" s="40">
        <f t="shared" si="39"/>
        <v>0</v>
      </c>
      <c r="DW39" s="40">
        <f t="shared" si="40"/>
        <v>0</v>
      </c>
      <c r="DZ39" s="40"/>
      <c r="EA39" s="40"/>
      <c r="EB39" s="75">
        <f t="shared" si="41"/>
        <v>192400000</v>
      </c>
      <c r="EC39" s="75">
        <f t="shared" si="42"/>
        <v>0</v>
      </c>
      <c r="ED39" s="40">
        <f t="shared" si="43"/>
        <v>15318.888888888889</v>
      </c>
      <c r="EE39" s="41">
        <f t="shared" si="44"/>
        <v>2.8663201663201663E-2</v>
      </c>
      <c r="EG39" s="75">
        <f t="shared" si="45"/>
        <v>0</v>
      </c>
      <c r="EH39" s="40">
        <f t="shared" si="46"/>
        <v>0</v>
      </c>
      <c r="EI39" s="41">
        <f t="shared" si="47"/>
        <v>0</v>
      </c>
      <c r="EJ39" s="41"/>
      <c r="EK39" s="75">
        <f t="shared" si="48"/>
        <v>192400000</v>
      </c>
      <c r="EL39" s="75">
        <f t="shared" si="49"/>
        <v>0</v>
      </c>
      <c r="EM39" s="75">
        <f t="shared" si="50"/>
        <v>15318.888888888889</v>
      </c>
      <c r="EN39" s="41">
        <f t="shared" si="51"/>
        <v>2.8663201663201663E-2</v>
      </c>
    </row>
    <row r="40" spans="1:144" x14ac:dyDescent="0.25">
      <c r="A40" s="25">
        <f t="shared" si="52"/>
        <v>43494</v>
      </c>
      <c r="D40" s="40">
        <f t="shared" si="1"/>
        <v>0</v>
      </c>
      <c r="G40" s="40">
        <f t="shared" si="2"/>
        <v>0</v>
      </c>
      <c r="J40" s="40">
        <f t="shared" si="3"/>
        <v>0</v>
      </c>
      <c r="M40" s="40">
        <f t="shared" si="4"/>
        <v>0</v>
      </c>
      <c r="P40" s="40">
        <f t="shared" si="5"/>
        <v>0</v>
      </c>
      <c r="S40" s="40">
        <f t="shared" si="6"/>
        <v>0</v>
      </c>
      <c r="V40" s="40">
        <f t="shared" si="7"/>
        <v>0</v>
      </c>
      <c r="Y40" s="40">
        <f t="shared" si="8"/>
        <v>0</v>
      </c>
      <c r="AB40" s="40">
        <f t="shared" si="9"/>
        <v>0</v>
      </c>
      <c r="AE40" s="40">
        <v>0</v>
      </c>
      <c r="AH40" s="40">
        <v>0</v>
      </c>
      <c r="AI40" s="73">
        <f>51050000</f>
        <v>51050000</v>
      </c>
      <c r="AJ40" s="74">
        <v>2.7E-2</v>
      </c>
      <c r="AK40" s="40">
        <f t="shared" si="10"/>
        <v>3828.75</v>
      </c>
      <c r="AL40" s="73">
        <f t="shared" si="55"/>
        <v>30000000</v>
      </c>
      <c r="AM40" s="74">
        <v>2.9000000000000001E-2</v>
      </c>
      <c r="AN40" s="40">
        <f t="shared" si="11"/>
        <v>2416.6666666666665</v>
      </c>
      <c r="AO40" s="73">
        <f t="shared" si="53"/>
        <v>50000000</v>
      </c>
      <c r="AP40" s="74">
        <v>2.9700000000000001E-2</v>
      </c>
      <c r="AQ40" s="40">
        <f t="shared" si="12"/>
        <v>4125</v>
      </c>
      <c r="AR40" s="73">
        <f t="shared" si="54"/>
        <v>50000000</v>
      </c>
      <c r="AS40" s="74">
        <v>2.9499999999999998E-2</v>
      </c>
      <c r="AT40" s="40">
        <f t="shared" si="13"/>
        <v>4097.2222222222226</v>
      </c>
      <c r="AW40" s="40">
        <f t="shared" si="14"/>
        <v>0</v>
      </c>
      <c r="AZ40" s="40">
        <f t="shared" si="15"/>
        <v>0</v>
      </c>
      <c r="BC40" s="40">
        <f t="shared" si="16"/>
        <v>0</v>
      </c>
      <c r="BF40" s="40">
        <f t="shared" si="17"/>
        <v>0</v>
      </c>
      <c r="BI40" s="40">
        <f t="shared" si="18"/>
        <v>0</v>
      </c>
      <c r="BL40" s="40">
        <f t="shared" si="19"/>
        <v>0</v>
      </c>
      <c r="BO40" s="40">
        <f t="shared" si="20"/>
        <v>0</v>
      </c>
      <c r="BR40" s="40">
        <f t="shared" si="21"/>
        <v>0</v>
      </c>
      <c r="BU40" s="40">
        <f t="shared" si="22"/>
        <v>0</v>
      </c>
      <c r="BX40" s="40">
        <f t="shared" si="23"/>
        <v>0</v>
      </c>
      <c r="CA40" s="40">
        <f t="shared" si="24"/>
        <v>0</v>
      </c>
      <c r="CD40" s="40">
        <f t="shared" si="25"/>
        <v>0</v>
      </c>
      <c r="CG40" s="40">
        <f t="shared" si="26"/>
        <v>0</v>
      </c>
      <c r="CJ40" s="40">
        <f t="shared" si="27"/>
        <v>0</v>
      </c>
      <c r="CM40" s="40">
        <f t="shared" si="28"/>
        <v>0</v>
      </c>
      <c r="CP40" s="40">
        <f t="shared" si="29"/>
        <v>0</v>
      </c>
      <c r="CS40" s="40">
        <f t="shared" si="30"/>
        <v>0</v>
      </c>
      <c r="CV40" s="40">
        <f t="shared" si="31"/>
        <v>0</v>
      </c>
      <c r="CY40" s="40">
        <f t="shared" si="32"/>
        <v>0</v>
      </c>
      <c r="DB40" s="40">
        <f t="shared" si="33"/>
        <v>0</v>
      </c>
      <c r="DE40" s="40">
        <f t="shared" si="34"/>
        <v>0</v>
      </c>
      <c r="DH40" s="40">
        <f t="shared" si="35"/>
        <v>0</v>
      </c>
      <c r="DK40" s="40">
        <f t="shared" si="36"/>
        <v>0</v>
      </c>
      <c r="DN40" s="40">
        <f t="shared" si="37"/>
        <v>0</v>
      </c>
      <c r="DQ40" s="40">
        <f t="shared" si="38"/>
        <v>0</v>
      </c>
      <c r="DT40" s="40">
        <f t="shared" si="39"/>
        <v>0</v>
      </c>
      <c r="DW40" s="40">
        <f t="shared" si="40"/>
        <v>0</v>
      </c>
      <c r="DZ40" s="40"/>
      <c r="EA40" s="40"/>
      <c r="EB40" s="75">
        <f t="shared" si="41"/>
        <v>181050000</v>
      </c>
      <c r="EC40" s="75">
        <f t="shared" si="42"/>
        <v>0</v>
      </c>
      <c r="ED40" s="40">
        <f t="shared" si="43"/>
        <v>14467.638888888889</v>
      </c>
      <c r="EE40" s="41">
        <f t="shared" si="44"/>
        <v>2.8767467550400438E-2</v>
      </c>
      <c r="EG40" s="75">
        <f t="shared" si="45"/>
        <v>0</v>
      </c>
      <c r="EH40" s="40">
        <f t="shared" si="46"/>
        <v>0</v>
      </c>
      <c r="EI40" s="41">
        <f t="shared" si="47"/>
        <v>0</v>
      </c>
      <c r="EJ40" s="41"/>
      <c r="EK40" s="75">
        <f t="shared" si="48"/>
        <v>181050000</v>
      </c>
      <c r="EL40" s="75">
        <f t="shared" si="49"/>
        <v>0</v>
      </c>
      <c r="EM40" s="75">
        <f t="shared" si="50"/>
        <v>14467.638888888889</v>
      </c>
      <c r="EN40" s="41">
        <f t="shared" si="51"/>
        <v>2.8767467550400438E-2</v>
      </c>
    </row>
    <row r="41" spans="1:144" x14ac:dyDescent="0.25">
      <c r="A41" s="25">
        <f t="shared" si="52"/>
        <v>43495</v>
      </c>
      <c r="D41" s="40">
        <f t="shared" si="1"/>
        <v>0</v>
      </c>
      <c r="G41" s="40">
        <f t="shared" si="2"/>
        <v>0</v>
      </c>
      <c r="J41" s="40">
        <f t="shared" si="3"/>
        <v>0</v>
      </c>
      <c r="M41" s="40">
        <f t="shared" si="4"/>
        <v>0</v>
      </c>
      <c r="P41" s="40">
        <f t="shared" si="5"/>
        <v>0</v>
      </c>
      <c r="S41" s="40">
        <f t="shared" si="6"/>
        <v>0</v>
      </c>
      <c r="V41" s="40">
        <f t="shared" si="7"/>
        <v>0</v>
      </c>
      <c r="Y41" s="40">
        <f t="shared" si="8"/>
        <v>0</v>
      </c>
      <c r="AB41" s="40">
        <f t="shared" si="9"/>
        <v>0</v>
      </c>
      <c r="AE41" s="40">
        <v>0</v>
      </c>
      <c r="AH41" s="40">
        <v>0</v>
      </c>
      <c r="AI41" s="73">
        <f>68900000</f>
        <v>68900000</v>
      </c>
      <c r="AJ41" s="74">
        <v>2.7E-2</v>
      </c>
      <c r="AK41" s="40">
        <f t="shared" si="10"/>
        <v>5167.5</v>
      </c>
      <c r="AL41" s="73">
        <f t="shared" si="55"/>
        <v>30000000</v>
      </c>
      <c r="AM41" s="74">
        <v>2.9000000000000001E-2</v>
      </c>
      <c r="AN41" s="40">
        <f t="shared" si="11"/>
        <v>2416.6666666666665</v>
      </c>
      <c r="AO41" s="73">
        <f t="shared" si="53"/>
        <v>50000000</v>
      </c>
      <c r="AP41" s="74">
        <v>2.9700000000000001E-2</v>
      </c>
      <c r="AQ41" s="40">
        <f t="shared" si="12"/>
        <v>4125</v>
      </c>
      <c r="AR41" s="73">
        <f t="shared" si="54"/>
        <v>50000000</v>
      </c>
      <c r="AS41" s="74">
        <v>2.9499999999999998E-2</v>
      </c>
      <c r="AT41" s="40">
        <f t="shared" si="13"/>
        <v>4097.2222222222226</v>
      </c>
      <c r="AW41" s="40">
        <f t="shared" si="14"/>
        <v>0</v>
      </c>
      <c r="AZ41" s="40">
        <f t="shared" si="15"/>
        <v>0</v>
      </c>
      <c r="BC41" s="40">
        <f t="shared" si="16"/>
        <v>0</v>
      </c>
      <c r="BF41" s="40">
        <f t="shared" si="17"/>
        <v>0</v>
      </c>
      <c r="BI41" s="40">
        <f t="shared" si="18"/>
        <v>0</v>
      </c>
      <c r="BL41" s="40">
        <f t="shared" si="19"/>
        <v>0</v>
      </c>
      <c r="BO41" s="40">
        <f t="shared" si="20"/>
        <v>0</v>
      </c>
      <c r="BR41" s="40">
        <f t="shared" si="21"/>
        <v>0</v>
      </c>
      <c r="BU41" s="40">
        <f t="shared" si="22"/>
        <v>0</v>
      </c>
      <c r="BX41" s="40">
        <f t="shared" si="23"/>
        <v>0</v>
      </c>
      <c r="CA41" s="40">
        <f t="shared" si="24"/>
        <v>0</v>
      </c>
      <c r="CD41" s="40">
        <f t="shared" si="25"/>
        <v>0</v>
      </c>
      <c r="CG41" s="40">
        <f t="shared" si="26"/>
        <v>0</v>
      </c>
      <c r="CJ41" s="40">
        <f t="shared" si="27"/>
        <v>0</v>
      </c>
      <c r="CM41" s="40">
        <f t="shared" si="28"/>
        <v>0</v>
      </c>
      <c r="CP41" s="40">
        <f t="shared" si="29"/>
        <v>0</v>
      </c>
      <c r="CS41" s="40">
        <f t="shared" si="30"/>
        <v>0</v>
      </c>
      <c r="CV41" s="40">
        <f t="shared" si="31"/>
        <v>0</v>
      </c>
      <c r="CY41" s="40">
        <f t="shared" si="32"/>
        <v>0</v>
      </c>
      <c r="DB41" s="40">
        <f t="shared" si="33"/>
        <v>0</v>
      </c>
      <c r="DE41" s="40">
        <f t="shared" si="34"/>
        <v>0</v>
      </c>
      <c r="DH41" s="40">
        <f t="shared" si="35"/>
        <v>0</v>
      </c>
      <c r="DK41" s="40">
        <f t="shared" si="36"/>
        <v>0</v>
      </c>
      <c r="DN41" s="40">
        <f t="shared" si="37"/>
        <v>0</v>
      </c>
      <c r="DQ41" s="40">
        <f t="shared" si="38"/>
        <v>0</v>
      </c>
      <c r="DT41" s="40">
        <f t="shared" si="39"/>
        <v>0</v>
      </c>
      <c r="DW41" s="40">
        <f t="shared" si="40"/>
        <v>0</v>
      </c>
      <c r="DZ41" s="38"/>
      <c r="EA41" s="40"/>
      <c r="EB41" s="75">
        <f t="shared" si="41"/>
        <v>198900000</v>
      </c>
      <c r="EC41" s="75">
        <f t="shared" si="42"/>
        <v>0</v>
      </c>
      <c r="ED41" s="40">
        <f t="shared" si="43"/>
        <v>15806.388888888889</v>
      </c>
      <c r="EE41" s="41">
        <f t="shared" si="44"/>
        <v>2.8608848667672198E-2</v>
      </c>
      <c r="EG41" s="75">
        <f t="shared" si="45"/>
        <v>0</v>
      </c>
      <c r="EH41" s="40">
        <f t="shared" si="46"/>
        <v>0</v>
      </c>
      <c r="EI41" s="41">
        <f t="shared" si="47"/>
        <v>0</v>
      </c>
      <c r="EJ41" s="41"/>
      <c r="EK41" s="75">
        <f t="shared" si="48"/>
        <v>198900000</v>
      </c>
      <c r="EL41" s="75">
        <f t="shared" si="49"/>
        <v>0</v>
      </c>
      <c r="EM41" s="75">
        <f t="shared" si="50"/>
        <v>15806.388888888889</v>
      </c>
      <c r="EN41" s="41">
        <f t="shared" si="51"/>
        <v>2.8608848667672198E-2</v>
      </c>
    </row>
    <row r="42" spans="1:144" x14ac:dyDescent="0.25">
      <c r="A42" s="25">
        <f t="shared" si="52"/>
        <v>43496</v>
      </c>
      <c r="D42" s="40">
        <f t="shared" si="1"/>
        <v>0</v>
      </c>
      <c r="G42" s="40">
        <f t="shared" si="2"/>
        <v>0</v>
      </c>
      <c r="J42" s="40">
        <f t="shared" si="3"/>
        <v>0</v>
      </c>
      <c r="M42" s="40">
        <f t="shared" si="4"/>
        <v>0</v>
      </c>
      <c r="P42" s="40">
        <f t="shared" si="5"/>
        <v>0</v>
      </c>
      <c r="S42" s="40">
        <f t="shared" si="6"/>
        <v>0</v>
      </c>
      <c r="V42" s="40">
        <f t="shared" si="7"/>
        <v>0</v>
      </c>
      <c r="Y42" s="40">
        <f t="shared" si="8"/>
        <v>0</v>
      </c>
      <c r="AB42" s="40">
        <f t="shared" si="9"/>
        <v>0</v>
      </c>
      <c r="AE42" s="40">
        <v>0</v>
      </c>
      <c r="AH42" s="40">
        <v>0</v>
      </c>
      <c r="AI42" s="73">
        <f>67225000</f>
        <v>67225000</v>
      </c>
      <c r="AJ42" s="74">
        <v>2.7E-2</v>
      </c>
      <c r="AK42" s="40">
        <f t="shared" si="10"/>
        <v>5041.875</v>
      </c>
      <c r="AL42" s="73">
        <f t="shared" si="55"/>
        <v>30000000</v>
      </c>
      <c r="AM42" s="74">
        <v>2.9000000000000001E-2</v>
      </c>
      <c r="AN42" s="40">
        <f t="shared" si="11"/>
        <v>2416.6666666666665</v>
      </c>
      <c r="AO42" s="73">
        <f t="shared" si="53"/>
        <v>50000000</v>
      </c>
      <c r="AP42" s="74">
        <v>2.9700000000000001E-2</v>
      </c>
      <c r="AQ42" s="40">
        <f t="shared" si="12"/>
        <v>4125</v>
      </c>
      <c r="AR42" s="73">
        <f t="shared" si="54"/>
        <v>50000000</v>
      </c>
      <c r="AS42" s="74">
        <v>2.9499999999999998E-2</v>
      </c>
      <c r="AT42" s="40">
        <f t="shared" si="13"/>
        <v>4097.2222222222226</v>
      </c>
      <c r="AW42" s="40">
        <f t="shared" si="14"/>
        <v>0</v>
      </c>
      <c r="AZ42" s="40">
        <f t="shared" si="15"/>
        <v>0</v>
      </c>
      <c r="BC42" s="40">
        <f t="shared" si="16"/>
        <v>0</v>
      </c>
      <c r="BF42" s="40">
        <f t="shared" si="17"/>
        <v>0</v>
      </c>
      <c r="BI42" s="40">
        <f t="shared" si="18"/>
        <v>0</v>
      </c>
      <c r="BL42" s="40">
        <f t="shared" si="19"/>
        <v>0</v>
      </c>
      <c r="BO42" s="40">
        <f t="shared" si="20"/>
        <v>0</v>
      </c>
      <c r="BR42" s="40">
        <f t="shared" si="21"/>
        <v>0</v>
      </c>
      <c r="BU42" s="40">
        <f t="shared" si="22"/>
        <v>0</v>
      </c>
      <c r="BX42" s="40">
        <f t="shared" si="23"/>
        <v>0</v>
      </c>
      <c r="CA42" s="40">
        <f t="shared" si="24"/>
        <v>0</v>
      </c>
      <c r="CD42" s="40">
        <f t="shared" si="25"/>
        <v>0</v>
      </c>
      <c r="CG42" s="40">
        <f t="shared" si="26"/>
        <v>0</v>
      </c>
      <c r="CJ42" s="40">
        <f t="shared" si="27"/>
        <v>0</v>
      </c>
      <c r="CM42" s="40">
        <f t="shared" si="28"/>
        <v>0</v>
      </c>
      <c r="CP42" s="40">
        <f t="shared" si="29"/>
        <v>0</v>
      </c>
      <c r="CS42" s="40">
        <f t="shared" si="30"/>
        <v>0</v>
      </c>
      <c r="CV42" s="40">
        <f t="shared" si="31"/>
        <v>0</v>
      </c>
      <c r="CY42" s="40">
        <f t="shared" si="32"/>
        <v>0</v>
      </c>
      <c r="DB42" s="40">
        <f t="shared" si="33"/>
        <v>0</v>
      </c>
      <c r="DE42" s="40">
        <f t="shared" si="34"/>
        <v>0</v>
      </c>
      <c r="DH42" s="40">
        <f t="shared" si="35"/>
        <v>0</v>
      </c>
      <c r="DK42" s="40">
        <f t="shared" si="36"/>
        <v>0</v>
      </c>
      <c r="DN42" s="40">
        <f t="shared" si="37"/>
        <v>0</v>
      </c>
      <c r="DQ42" s="40">
        <f t="shared" si="38"/>
        <v>0</v>
      </c>
      <c r="DT42" s="40">
        <f t="shared" si="39"/>
        <v>0</v>
      </c>
      <c r="DW42" s="40">
        <f t="shared" si="40"/>
        <v>0</v>
      </c>
      <c r="DZ42" s="38"/>
      <c r="EA42" s="40"/>
      <c r="EB42" s="75">
        <f t="shared" si="41"/>
        <v>197225000</v>
      </c>
      <c r="EC42" s="75">
        <f t="shared" si="42"/>
        <v>0</v>
      </c>
      <c r="ED42" s="40">
        <f t="shared" si="43"/>
        <v>15680.763888888889</v>
      </c>
      <c r="EE42" s="41">
        <f t="shared" si="44"/>
        <v>2.8622512358980858E-2</v>
      </c>
      <c r="EG42" s="75">
        <f t="shared" si="45"/>
        <v>0</v>
      </c>
      <c r="EH42" s="40">
        <f t="shared" si="46"/>
        <v>0</v>
      </c>
      <c r="EI42" s="41">
        <f t="shared" si="47"/>
        <v>0</v>
      </c>
      <c r="EJ42" s="41"/>
      <c r="EK42" s="75">
        <f t="shared" si="48"/>
        <v>197225000</v>
      </c>
      <c r="EL42" s="75">
        <f t="shared" si="49"/>
        <v>0</v>
      </c>
      <c r="EM42" s="75">
        <f t="shared" si="50"/>
        <v>15680.763888888889</v>
      </c>
      <c r="EN42" s="41">
        <f t="shared" si="51"/>
        <v>2.8622512358980858E-2</v>
      </c>
    </row>
    <row r="43" spans="1:144" x14ac:dyDescent="0.25">
      <c r="A43" s="76" t="s">
        <v>75</v>
      </c>
      <c r="D43" s="77">
        <f>SUM(D12:D42)</f>
        <v>0</v>
      </c>
      <c r="G43" s="77">
        <f>SUM(G12:G42)</f>
        <v>0</v>
      </c>
      <c r="J43" s="77">
        <f>SUM(J12:J42)</f>
        <v>0</v>
      </c>
      <c r="M43" s="77">
        <f>SUM(M12:M42)</f>
        <v>0</v>
      </c>
      <c r="P43" s="77">
        <f>SUM(P12:P42)</f>
        <v>0</v>
      </c>
      <c r="S43" s="77">
        <f>SUM(S12:S42)</f>
        <v>0</v>
      </c>
      <c r="V43" s="77">
        <f>SUM(V12:V42)</f>
        <v>0</v>
      </c>
      <c r="Y43" s="77">
        <f>SUM(Y12:Y42)</f>
        <v>0</v>
      </c>
      <c r="AB43" s="77">
        <f>SUM(AB12:AB42)</f>
        <v>0</v>
      </c>
      <c r="AE43" s="77">
        <f>SUM(AE12:AE42)</f>
        <v>0</v>
      </c>
      <c r="AH43" s="77">
        <f>SUM(AH12:AH42)</f>
        <v>0</v>
      </c>
      <c r="AK43" s="77">
        <f>SUM(AK12:AK42)</f>
        <v>103753.04166666666</v>
      </c>
      <c r="AN43" s="77">
        <f>SUM(AN12:AN42)</f>
        <v>39277.777777777774</v>
      </c>
      <c r="AQ43" s="77">
        <f>SUM(AQ12:AQ42)</f>
        <v>115500</v>
      </c>
      <c r="AT43" s="77">
        <f>SUM(AT12:AT42)</f>
        <v>73749.999999999971</v>
      </c>
      <c r="AW43" s="77">
        <f>SUM(AW12:AW42)</f>
        <v>0</v>
      </c>
      <c r="AZ43" s="77">
        <f>SUM(AZ12:AZ42)</f>
        <v>0</v>
      </c>
      <c r="BC43" s="77">
        <f>SUM(BC12:BC42)</f>
        <v>0</v>
      </c>
      <c r="BF43" s="77">
        <f>SUM(BF12:BF42)</f>
        <v>0</v>
      </c>
      <c r="BI43" s="77">
        <f>SUM(BI12:BI42)</f>
        <v>0</v>
      </c>
      <c r="BL43" s="77">
        <f>SUM(BL12:BL42)</f>
        <v>0</v>
      </c>
      <c r="BO43" s="77">
        <f>SUM(BO12:BO42)</f>
        <v>0</v>
      </c>
      <c r="BR43" s="77">
        <f>SUM(BR12:BR42)</f>
        <v>0</v>
      </c>
      <c r="BU43" s="77">
        <f>SUM(BU12:BU42)</f>
        <v>0</v>
      </c>
      <c r="BX43" s="77">
        <f>SUM(BX12:BX42)</f>
        <v>0</v>
      </c>
      <c r="CA43" s="77">
        <f>SUM(CA12:CA42)</f>
        <v>0</v>
      </c>
      <c r="CD43" s="77">
        <f>SUM(CD12:CD42)</f>
        <v>0</v>
      </c>
      <c r="CG43" s="77">
        <f>SUM(CG12:CG42)</f>
        <v>0</v>
      </c>
      <c r="CJ43" s="77">
        <f>SUM(CJ12:CJ42)</f>
        <v>0</v>
      </c>
      <c r="CM43" s="77">
        <f>SUM(CM12:CM42)</f>
        <v>0</v>
      </c>
      <c r="CP43" s="77">
        <f>SUM(CP12:CP42)</f>
        <v>0</v>
      </c>
      <c r="CS43" s="77">
        <f>SUM(CS12:CS42)</f>
        <v>0</v>
      </c>
      <c r="CV43" s="77">
        <f>SUM(CV12:CV42)</f>
        <v>0</v>
      </c>
      <c r="CY43" s="77">
        <f>SUM(CY12:CY42)</f>
        <v>0</v>
      </c>
      <c r="DB43" s="77">
        <f>SUM(DB12:DB42)</f>
        <v>0</v>
      </c>
      <c r="DE43" s="77">
        <f>SUM(DE12:DE42)</f>
        <v>0</v>
      </c>
      <c r="DH43" s="77">
        <f>SUM(DH12:DH42)</f>
        <v>0</v>
      </c>
      <c r="DK43" s="77">
        <f>SUM(DK12:DK42)</f>
        <v>0</v>
      </c>
      <c r="DN43" s="77">
        <f>SUM(DN12:DN42)</f>
        <v>0</v>
      </c>
      <c r="DQ43" s="77">
        <f>SUM(DQ12:DQ42)</f>
        <v>0</v>
      </c>
      <c r="DT43" s="77">
        <f>SUM(DT12:DT42)</f>
        <v>0</v>
      </c>
      <c r="DW43" s="77">
        <f>SUM(DW12:DW42)</f>
        <v>0</v>
      </c>
      <c r="DZ43" s="38"/>
      <c r="EA43" s="38"/>
      <c r="EB43" s="40"/>
      <c r="EC43" s="40"/>
      <c r="ED43" s="77">
        <f>SUM(ED12:ED42)</f>
        <v>332280.81944444426</v>
      </c>
      <c r="EE43" s="41"/>
      <c r="EG43" s="40"/>
      <c r="EH43" s="77">
        <f>SUM(EH12:EH42)</f>
        <v>0</v>
      </c>
      <c r="EI43" s="41"/>
      <c r="EJ43" s="41"/>
      <c r="EK43" s="40"/>
      <c r="EL43" s="40"/>
      <c r="EM43" s="77">
        <f>SUM(EM12:EM42)</f>
        <v>332280.81944444426</v>
      </c>
      <c r="EN43" s="41"/>
    </row>
    <row r="45" spans="1:144" x14ac:dyDescent="0.25">
      <c r="EM45" s="78"/>
    </row>
    <row r="46" spans="1:144" x14ac:dyDescent="0.25">
      <c r="EM46" s="78"/>
    </row>
    <row r="47" spans="1:144" x14ac:dyDescent="0.25">
      <c r="EM47" s="40"/>
    </row>
    <row r="48" spans="1:144" x14ac:dyDescent="0.25">
      <c r="EM48" s="40"/>
    </row>
    <row r="51" spans="143:143" x14ac:dyDescent="0.25">
      <c r="EM51" s="78"/>
    </row>
    <row r="52" spans="143:143" x14ac:dyDescent="0.25">
      <c r="EM52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EQ44"/>
  <sheetViews>
    <sheetView workbookViewId="0">
      <selection activeCell="B5" sqref="B5"/>
    </sheetView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1.7109375" bestFit="1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57031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EB38</f>
        <v>495025000</v>
      </c>
      <c r="EI2" s="38">
        <f>EG40</f>
        <v>0</v>
      </c>
      <c r="EM2" s="38"/>
      <c r="EN2" s="38">
        <f>EK38</f>
        <v>495025000</v>
      </c>
      <c r="EO2" s="31">
        <v>0</v>
      </c>
      <c r="EP2" s="31">
        <v>-173840.28</v>
      </c>
      <c r="EQ2" s="31">
        <f>EE2+EO2</f>
        <v>495025000</v>
      </c>
    </row>
    <row r="3" spans="1:147" ht="16.5" thickTop="1" x14ac:dyDescent="0.25">
      <c r="A3" s="39" t="s">
        <v>168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AVERAGE(EB11:EB38)</f>
        <v>510842857.14285713</v>
      </c>
      <c r="EI3" s="38">
        <f>AVERAGE(EG11:EG40)</f>
        <v>0</v>
      </c>
      <c r="EM3" s="38"/>
      <c r="EN3" s="38">
        <f>AVERAGE(EK11:EK38)</f>
        <v>510842857.14285713</v>
      </c>
    </row>
    <row r="4" spans="1:147" x14ac:dyDescent="0.25">
      <c r="D4" s="24"/>
      <c r="E4" s="48" t="s">
        <v>98</v>
      </c>
      <c r="F4" s="38"/>
      <c r="G4" s="49">
        <f>EQ2</f>
        <v>495025000</v>
      </c>
      <c r="AI4" s="50" t="s">
        <v>102</v>
      </c>
      <c r="EB4" s="24" t="s">
        <v>103</v>
      </c>
      <c r="EC4" s="24"/>
      <c r="ED4" s="46"/>
      <c r="EE4" s="46">
        <f>IF(EE3=0,0,360*(AVERAGE(ED11:ED38)/EE3))</f>
        <v>2.8403912301798138E-2</v>
      </c>
      <c r="EI4" s="46">
        <f>IF(EI3=0,0,360*(AVERAGE(EH11:EH40)/EI3))</f>
        <v>0</v>
      </c>
      <c r="EM4" s="46"/>
      <c r="EN4" s="46">
        <f>IF(EN3=0,0,360*(AVERAGE(EM11:EM38)/EN3))</f>
        <v>2.8403912301798138E-2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510842857.14285713</v>
      </c>
      <c r="AI5" s="53" t="s">
        <v>93</v>
      </c>
      <c r="EB5" s="54" t="s">
        <v>105</v>
      </c>
      <c r="EC5" s="54"/>
      <c r="ED5" s="38"/>
      <c r="EE5" s="38">
        <f>MAX(EB11:EB38)</f>
        <v>549375000</v>
      </c>
      <c r="EI5" s="38">
        <f>MAX(EG11:EG40)</f>
        <v>0</v>
      </c>
      <c r="EM5" s="38"/>
      <c r="EN5" s="38">
        <f>MAX(EK11:EK38)</f>
        <v>549375000</v>
      </c>
    </row>
    <row r="6" spans="1:147" x14ac:dyDescent="0.25">
      <c r="D6" s="24"/>
      <c r="E6" s="48" t="s">
        <v>103</v>
      </c>
      <c r="F6" s="38"/>
      <c r="G6" s="55">
        <f>EE4</f>
        <v>2.8403912301798138E-2</v>
      </c>
    </row>
    <row r="7" spans="1:147" ht="16.5" thickBot="1" x14ac:dyDescent="0.3">
      <c r="D7" s="24"/>
      <c r="E7" s="56" t="s">
        <v>105</v>
      </c>
      <c r="F7" s="57"/>
      <c r="G7" s="58">
        <f>EE5</f>
        <v>549375000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43497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73">
        <f>44275000+100000</f>
        <v>44375000</v>
      </c>
      <c r="AJ11" s="74">
        <v>2.7E-2</v>
      </c>
      <c r="AK11" s="40">
        <f>(AI11*AJ11)/360</f>
        <v>3328.125</v>
      </c>
      <c r="AL11" s="73">
        <f t="shared" ref="AL11:AL24" si="0">30000000</f>
        <v>30000000</v>
      </c>
      <c r="AM11" s="74">
        <v>2.9000000000000001E-2</v>
      </c>
      <c r="AN11" s="40">
        <f>(AL11*AM11)/360</f>
        <v>2416.6666666666665</v>
      </c>
      <c r="AO11" s="73">
        <f t="shared" ref="AO11:AO23" si="1">50000000</f>
        <v>50000000</v>
      </c>
      <c r="AP11" s="74">
        <v>2.9499999999999998E-2</v>
      </c>
      <c r="AQ11" s="40">
        <f>(AO11*AP11)/360</f>
        <v>4097.2222222222226</v>
      </c>
      <c r="AR11" s="73">
        <f>50000000</f>
        <v>50000000</v>
      </c>
      <c r="AS11" s="74">
        <v>2.9700000000000001E-2</v>
      </c>
      <c r="AT11" s="40">
        <f>(AR11*AS11)/360</f>
        <v>4125</v>
      </c>
      <c r="AU11" s="73">
        <f t="shared" ref="AU11:AU38" si="2">130000000+125000000+120000000</f>
        <v>375000000</v>
      </c>
      <c r="AV11" s="74">
        <v>2.8500000000000001E-2</v>
      </c>
      <c r="AW11" s="40">
        <f>(AU11*AV11)/360</f>
        <v>29687.5</v>
      </c>
      <c r="AX11" s="73"/>
      <c r="AY11" s="74"/>
      <c r="AZ11" s="40">
        <f>(AX11*AY11)/360</f>
        <v>0</v>
      </c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549375000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43654.513888888891</v>
      </c>
      <c r="EE11" s="41">
        <f>IF(EB11&lt;&gt;0,((ED11/EB11)*360),0)</f>
        <v>2.8606370875995449E-2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549375000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43654.513888888883</v>
      </c>
      <c r="EN11" s="41">
        <f>IF(EK11&lt;&gt;0,((EM11/EK11)*360),0)</f>
        <v>2.8606370875995445E-2</v>
      </c>
      <c r="EP11" s="40"/>
    </row>
    <row r="12" spans="1:147" x14ac:dyDescent="0.25">
      <c r="A12" s="25">
        <f>1+A11</f>
        <v>43498</v>
      </c>
      <c r="D12" s="40">
        <f t="shared" ref="D12:D38" si="3">(B12*C12)/360</f>
        <v>0</v>
      </c>
      <c r="G12" s="40">
        <f t="shared" ref="G12:G38" si="4">(E12*F12)/360</f>
        <v>0</v>
      </c>
      <c r="J12" s="40">
        <f t="shared" ref="J12:J38" si="5">(H12*I12)/360</f>
        <v>0</v>
      </c>
      <c r="M12" s="40">
        <f t="shared" ref="M12:M38" si="6">(K12*L12)/360</f>
        <v>0</v>
      </c>
      <c r="P12" s="40">
        <f t="shared" ref="P12:P38" si="7">(N12*O12)/360</f>
        <v>0</v>
      </c>
      <c r="S12" s="40">
        <f t="shared" ref="S12:S38" si="8">(Q12*R12)/360</f>
        <v>0</v>
      </c>
      <c r="V12" s="40">
        <f t="shared" ref="V12:V38" si="9">(T12*U12)/360</f>
        <v>0</v>
      </c>
      <c r="Y12" s="40">
        <f t="shared" ref="Y12:Y38" si="10">(W12*X12)/360</f>
        <v>0</v>
      </c>
      <c r="AB12" s="40">
        <f t="shared" ref="AB12:AB38" si="11">(Z12*AA12)/360</f>
        <v>0</v>
      </c>
      <c r="AE12" s="40">
        <v>0</v>
      </c>
      <c r="AH12" s="40">
        <v>0</v>
      </c>
      <c r="AI12" s="73">
        <f>44275000+100000</f>
        <v>44375000</v>
      </c>
      <c r="AJ12" s="74">
        <v>2.7E-2</v>
      </c>
      <c r="AK12" s="40">
        <f t="shared" ref="AK12:AK38" si="12">(AI12*AJ12)/360</f>
        <v>3328.125</v>
      </c>
      <c r="AL12" s="73">
        <f t="shared" si="0"/>
        <v>30000000</v>
      </c>
      <c r="AM12" s="74">
        <v>2.9000000000000001E-2</v>
      </c>
      <c r="AN12" s="40">
        <f t="shared" ref="AN12:AN38" si="13">(AL12*AM12)/360</f>
        <v>2416.6666666666665</v>
      </c>
      <c r="AO12" s="73">
        <f t="shared" si="1"/>
        <v>50000000</v>
      </c>
      <c r="AP12" s="74">
        <v>2.9499999999999998E-2</v>
      </c>
      <c r="AQ12" s="40">
        <f t="shared" ref="AQ12:AQ38" si="14">(AO12*AP12)/360</f>
        <v>4097.2222222222226</v>
      </c>
      <c r="AR12" s="73">
        <f>50000000</f>
        <v>50000000</v>
      </c>
      <c r="AS12" s="74">
        <v>2.9700000000000001E-2</v>
      </c>
      <c r="AT12" s="40">
        <f t="shared" ref="AT12:AT38" si="15">(AR12*AS12)/360</f>
        <v>4125</v>
      </c>
      <c r="AU12" s="73">
        <f t="shared" si="2"/>
        <v>375000000</v>
      </c>
      <c r="AV12" s="74">
        <v>2.8500000000000001E-2</v>
      </c>
      <c r="AW12" s="40">
        <f t="shared" ref="AW12:AW38" si="16">(AU12*AV12)/360</f>
        <v>29687.5</v>
      </c>
      <c r="AX12" s="73"/>
      <c r="AY12" s="74"/>
      <c r="AZ12" s="40">
        <f t="shared" ref="AZ12:AZ38" si="17">(AX12*AY12)/360</f>
        <v>0</v>
      </c>
      <c r="BC12" s="40">
        <f t="shared" ref="BC12:BC38" si="18">(BA12*BB12)/360</f>
        <v>0</v>
      </c>
      <c r="BF12" s="40">
        <f t="shared" ref="BF12:BF38" si="19">(BD12*BE12)/360</f>
        <v>0</v>
      </c>
      <c r="BI12" s="40">
        <f t="shared" ref="BI12:BI38" si="20">(BG12*BH12)/360</f>
        <v>0</v>
      </c>
      <c r="BL12" s="40">
        <f t="shared" ref="BL12:BL38" si="21">(BJ12*BK12)/360</f>
        <v>0</v>
      </c>
      <c r="BO12" s="40">
        <f t="shared" ref="BO12:BO38" si="22">(BM12*BN12)/360</f>
        <v>0</v>
      </c>
      <c r="BR12" s="40">
        <f t="shared" ref="BR12:BR38" si="23">(BP12*BQ12)/360</f>
        <v>0</v>
      </c>
      <c r="BU12" s="40">
        <f t="shared" ref="BU12:BU38" si="24">(BS12*BT12)/360</f>
        <v>0</v>
      </c>
      <c r="BX12" s="40">
        <f t="shared" ref="BX12:BX38" si="25">(BV12*BW12)/360</f>
        <v>0</v>
      </c>
      <c r="CA12" s="40">
        <f t="shared" ref="CA12:CA38" si="26">(BY12*BZ12)/360</f>
        <v>0</v>
      </c>
      <c r="CD12" s="40">
        <f t="shared" ref="CD12:CD38" si="27">(CB12*CC12)/360</f>
        <v>0</v>
      </c>
      <c r="CG12" s="40">
        <f t="shared" ref="CG12:CG38" si="28">(CE12*CF12)/360</f>
        <v>0</v>
      </c>
      <c r="CJ12" s="40">
        <f t="shared" ref="CJ12:CJ38" si="29">(CH12*CI12)/360</f>
        <v>0</v>
      </c>
      <c r="CM12" s="40">
        <f t="shared" ref="CM12:CM38" si="30">(CK12*CL12)/360</f>
        <v>0</v>
      </c>
      <c r="CP12" s="40">
        <f t="shared" ref="CP12:CP38" si="31">(CN12*CO12)/360</f>
        <v>0</v>
      </c>
      <c r="CS12" s="40">
        <f t="shared" ref="CS12:CS38" si="32">(CQ12*CR12)/360</f>
        <v>0</v>
      </c>
      <c r="CV12" s="40">
        <f t="shared" ref="CV12:CV38" si="33">(CT12*CU12)/360</f>
        <v>0</v>
      </c>
      <c r="CY12" s="40">
        <f t="shared" ref="CY12:CY38" si="34">(CW12*CX12)/360</f>
        <v>0</v>
      </c>
      <c r="DB12" s="40">
        <f t="shared" ref="DB12:DB38" si="35">(CZ12*DA12)/360</f>
        <v>0</v>
      </c>
      <c r="DE12" s="40">
        <f t="shared" ref="DE12:DE38" si="36">(DC12*DD12)/360</f>
        <v>0</v>
      </c>
      <c r="DH12" s="40">
        <f t="shared" ref="DH12:DH38" si="37">(DF12*DG12)/360</f>
        <v>0</v>
      </c>
      <c r="DK12" s="40">
        <f t="shared" ref="DK12:DK38" si="38">(DI12*DJ12)/360</f>
        <v>0</v>
      </c>
      <c r="DN12" s="40">
        <f t="shared" ref="DN12:DN38" si="39">(DL12*DM12)/360</f>
        <v>0</v>
      </c>
      <c r="DQ12" s="40">
        <f t="shared" ref="DQ12:DQ38" si="40">(DO12*DP12)/360</f>
        <v>0</v>
      </c>
      <c r="DT12" s="40">
        <f t="shared" ref="DT12:DT38" si="41">(DR12*DS12)/360</f>
        <v>0</v>
      </c>
      <c r="DW12" s="40">
        <f t="shared" ref="DW12:DW38" si="42">(DU12*DV12)/360</f>
        <v>0</v>
      </c>
      <c r="DZ12" s="40"/>
      <c r="EA12" s="40"/>
      <c r="EB12" s="75">
        <f t="shared" ref="EB12:EB38" si="43">B12+E12+H12+K12+N12+Q12+T12+W12+Z12+AC12+AF12+AL12+AO12+AR12+AU12+AX12+BA12+BD12+BG12+DU12+AI12+DR12+DO12+DL12+DI12+DF12+DC12+CZ12+CW12+CT12+CQ12+CN12+CK12+CH12+CE12+CB12+BY12+BV12+BS12+BP12+BM12+BJ12</f>
        <v>549375000</v>
      </c>
      <c r="EC12" s="75">
        <f t="shared" ref="EC12:EC38" si="44">EB12-EK12+EL12</f>
        <v>0</v>
      </c>
      <c r="ED12" s="40">
        <f t="shared" ref="ED12:ED38" si="45">D12+G12+J12+M12+P12+S12+V12+Y12+AB12+AE12+AH12+AK12+AN12+AQ12+AT12+AW12+AZ12+BC12+BF12+BI12+DW12+DT12+DQ12+DN12+DK12+DH12+DE12+DB12+CY12+CV12+CS12+CP12+CM12+CJ12+CG12+CD12+CA12+BX12+BU12+BR12+BO12+BL12</f>
        <v>43654.513888888891</v>
      </c>
      <c r="EE12" s="41">
        <f t="shared" ref="EE12:EE38" si="46">IF(EB12&lt;&gt;0,((ED12/EB12)*360),0)</f>
        <v>2.8606370875995449E-2</v>
      </c>
      <c r="EG12" s="75">
        <f t="shared" ref="EG12:EG38" si="47">Q12+T12+W12+Z12+AC12+AF12</f>
        <v>0</v>
      </c>
      <c r="EH12" s="40">
        <f t="shared" ref="EH12:EH38" si="48">S12+V12+Y12+AB12+AE12+AH12</f>
        <v>0</v>
      </c>
      <c r="EI12" s="41">
        <f t="shared" ref="EI12:EI38" si="49">IF(EG12&lt;&gt;0,((EH12/EG12)*360),0)</f>
        <v>0</v>
      </c>
      <c r="EJ12" s="41"/>
      <c r="EK12" s="75">
        <f t="shared" ref="EK12:EK38" si="50">DR12+DL12+DI12+DF12+DC12+CZ12+CW12+CT12+CQ12+CN12+CK12+CH12+CE12+CB12+BY12+BV12+BS12+BP12+BM12+BJ12+BG12+BD12+BA12+AX12+AU12+AR12+AO12+AL12+AI12+DO12</f>
        <v>549375000</v>
      </c>
      <c r="EL12" s="75">
        <f t="shared" ref="EL12:EL38" si="51">DX12</f>
        <v>0</v>
      </c>
      <c r="EM12" s="75">
        <f t="shared" ref="EM12:EM38" si="52">DT12+DQ12+DN12+DK12+DH12+DE12+DB12+CY12+CV12+CS12+CP12+CM12+CJ12+CG12+CD12+CA12+BX12+BU12+BR12+BO12+BL12+BI12+BF12+BC12+AZ12+AW12+AT12+AQ12+AN12+AK12</f>
        <v>43654.513888888883</v>
      </c>
      <c r="EN12" s="41">
        <f t="shared" ref="EN12:EN38" si="53">IF(EK12&lt;&gt;0,((EM12/EK12)*360),0)</f>
        <v>2.8606370875995445E-2</v>
      </c>
      <c r="EP12" s="40"/>
    </row>
    <row r="13" spans="1:147" x14ac:dyDescent="0.25">
      <c r="A13" s="25">
        <f t="shared" ref="A13:A38" si="54">1+A12</f>
        <v>43499</v>
      </c>
      <c r="D13" s="40">
        <f t="shared" si="3"/>
        <v>0</v>
      </c>
      <c r="G13" s="40">
        <f t="shared" si="4"/>
        <v>0</v>
      </c>
      <c r="J13" s="40">
        <f t="shared" si="5"/>
        <v>0</v>
      </c>
      <c r="M13" s="40">
        <f t="shared" si="6"/>
        <v>0</v>
      </c>
      <c r="P13" s="40">
        <f t="shared" si="7"/>
        <v>0</v>
      </c>
      <c r="S13" s="40">
        <f t="shared" si="8"/>
        <v>0</v>
      </c>
      <c r="V13" s="40">
        <f t="shared" si="9"/>
        <v>0</v>
      </c>
      <c r="Y13" s="40">
        <f t="shared" si="10"/>
        <v>0</v>
      </c>
      <c r="AB13" s="40">
        <f t="shared" si="11"/>
        <v>0</v>
      </c>
      <c r="AE13" s="40">
        <v>0</v>
      </c>
      <c r="AH13" s="40">
        <v>0</v>
      </c>
      <c r="AI13" s="73">
        <f>44275000+100000</f>
        <v>44375000</v>
      </c>
      <c r="AJ13" s="74">
        <v>2.7E-2</v>
      </c>
      <c r="AK13" s="40">
        <f t="shared" si="12"/>
        <v>3328.125</v>
      </c>
      <c r="AL13" s="73">
        <f t="shared" si="0"/>
        <v>30000000</v>
      </c>
      <c r="AM13" s="74">
        <v>2.9000000000000001E-2</v>
      </c>
      <c r="AN13" s="40">
        <f t="shared" si="13"/>
        <v>2416.6666666666665</v>
      </c>
      <c r="AO13" s="73">
        <f t="shared" si="1"/>
        <v>50000000</v>
      </c>
      <c r="AP13" s="74">
        <v>2.9499999999999998E-2</v>
      </c>
      <c r="AQ13" s="40">
        <f t="shared" si="14"/>
        <v>4097.2222222222226</v>
      </c>
      <c r="AR13" s="73">
        <f>50000000</f>
        <v>50000000</v>
      </c>
      <c r="AS13" s="74">
        <v>2.9700000000000001E-2</v>
      </c>
      <c r="AT13" s="40">
        <f t="shared" si="15"/>
        <v>4125</v>
      </c>
      <c r="AU13" s="73">
        <f t="shared" si="2"/>
        <v>375000000</v>
      </c>
      <c r="AV13" s="74">
        <v>2.8500000000000001E-2</v>
      </c>
      <c r="AW13" s="40">
        <f t="shared" si="16"/>
        <v>29687.5</v>
      </c>
      <c r="AX13" s="73"/>
      <c r="AY13" s="74"/>
      <c r="AZ13" s="40">
        <f t="shared" si="17"/>
        <v>0</v>
      </c>
      <c r="BC13" s="40">
        <f t="shared" si="18"/>
        <v>0</v>
      </c>
      <c r="BF13" s="40">
        <f t="shared" si="19"/>
        <v>0</v>
      </c>
      <c r="BI13" s="40">
        <f t="shared" si="20"/>
        <v>0</v>
      </c>
      <c r="BL13" s="40">
        <f t="shared" si="21"/>
        <v>0</v>
      </c>
      <c r="BO13" s="40">
        <f t="shared" si="22"/>
        <v>0</v>
      </c>
      <c r="BR13" s="40">
        <f t="shared" si="23"/>
        <v>0</v>
      </c>
      <c r="BU13" s="40">
        <f t="shared" si="24"/>
        <v>0</v>
      </c>
      <c r="BX13" s="40">
        <f t="shared" si="25"/>
        <v>0</v>
      </c>
      <c r="CA13" s="40">
        <f t="shared" si="26"/>
        <v>0</v>
      </c>
      <c r="CD13" s="40">
        <f t="shared" si="27"/>
        <v>0</v>
      </c>
      <c r="CG13" s="40">
        <f t="shared" si="28"/>
        <v>0</v>
      </c>
      <c r="CJ13" s="40">
        <f t="shared" si="29"/>
        <v>0</v>
      </c>
      <c r="CM13" s="40">
        <f t="shared" si="30"/>
        <v>0</v>
      </c>
      <c r="CP13" s="40">
        <f t="shared" si="31"/>
        <v>0</v>
      </c>
      <c r="CS13" s="40">
        <f t="shared" si="32"/>
        <v>0</v>
      </c>
      <c r="CV13" s="40">
        <f t="shared" si="33"/>
        <v>0</v>
      </c>
      <c r="CY13" s="40">
        <f t="shared" si="34"/>
        <v>0</v>
      </c>
      <c r="DB13" s="40">
        <f t="shared" si="35"/>
        <v>0</v>
      </c>
      <c r="DE13" s="40">
        <f t="shared" si="36"/>
        <v>0</v>
      </c>
      <c r="DH13" s="40">
        <f t="shared" si="37"/>
        <v>0</v>
      </c>
      <c r="DK13" s="40">
        <f t="shared" si="38"/>
        <v>0</v>
      </c>
      <c r="DN13" s="40">
        <f t="shared" si="39"/>
        <v>0</v>
      </c>
      <c r="DQ13" s="40">
        <f t="shared" si="40"/>
        <v>0</v>
      </c>
      <c r="DT13" s="40">
        <f t="shared" si="41"/>
        <v>0</v>
      </c>
      <c r="DW13" s="40">
        <f t="shared" si="42"/>
        <v>0</v>
      </c>
      <c r="DZ13" s="40"/>
      <c r="EA13" s="40"/>
      <c r="EB13" s="75">
        <f t="shared" si="43"/>
        <v>549375000</v>
      </c>
      <c r="EC13" s="75">
        <f t="shared" si="44"/>
        <v>0</v>
      </c>
      <c r="ED13" s="40">
        <f t="shared" si="45"/>
        <v>43654.513888888891</v>
      </c>
      <c r="EE13" s="41">
        <f t="shared" si="46"/>
        <v>2.8606370875995449E-2</v>
      </c>
      <c r="EG13" s="75">
        <f t="shared" si="47"/>
        <v>0</v>
      </c>
      <c r="EH13" s="40">
        <f t="shared" si="48"/>
        <v>0</v>
      </c>
      <c r="EI13" s="41">
        <f t="shared" si="49"/>
        <v>0</v>
      </c>
      <c r="EJ13" s="41"/>
      <c r="EK13" s="75">
        <f t="shared" si="50"/>
        <v>549375000</v>
      </c>
      <c r="EL13" s="75">
        <f t="shared" si="51"/>
        <v>0</v>
      </c>
      <c r="EM13" s="75">
        <f t="shared" si="52"/>
        <v>43654.513888888883</v>
      </c>
      <c r="EN13" s="41">
        <f t="shared" si="53"/>
        <v>2.8606370875995445E-2</v>
      </c>
      <c r="EP13" s="40"/>
    </row>
    <row r="14" spans="1:147" x14ac:dyDescent="0.25">
      <c r="A14" s="25">
        <f t="shared" si="54"/>
        <v>43500</v>
      </c>
      <c r="D14" s="40">
        <f t="shared" si="3"/>
        <v>0</v>
      </c>
      <c r="G14" s="40">
        <f t="shared" si="4"/>
        <v>0</v>
      </c>
      <c r="J14" s="40">
        <f t="shared" si="5"/>
        <v>0</v>
      </c>
      <c r="M14" s="40">
        <f t="shared" si="6"/>
        <v>0</v>
      </c>
      <c r="P14" s="40">
        <f t="shared" si="7"/>
        <v>0</v>
      </c>
      <c r="S14" s="40">
        <f t="shared" si="8"/>
        <v>0</v>
      </c>
      <c r="V14" s="40">
        <f t="shared" si="9"/>
        <v>0</v>
      </c>
      <c r="Y14" s="40">
        <f t="shared" si="10"/>
        <v>0</v>
      </c>
      <c r="AB14" s="40">
        <f t="shared" si="11"/>
        <v>0</v>
      </c>
      <c r="AE14" s="40">
        <v>0</v>
      </c>
      <c r="AH14" s="40">
        <v>0</v>
      </c>
      <c r="AI14" s="73">
        <f>93800000</f>
        <v>93800000</v>
      </c>
      <c r="AJ14" s="74">
        <v>2.7E-2</v>
      </c>
      <c r="AK14" s="40">
        <f t="shared" si="12"/>
        <v>7035</v>
      </c>
      <c r="AL14" s="73">
        <f t="shared" si="0"/>
        <v>30000000</v>
      </c>
      <c r="AM14" s="74">
        <v>2.9000000000000001E-2</v>
      </c>
      <c r="AN14" s="40">
        <f t="shared" si="13"/>
        <v>2416.6666666666665</v>
      </c>
      <c r="AO14" s="73">
        <f t="shared" si="1"/>
        <v>50000000</v>
      </c>
      <c r="AP14" s="74">
        <v>2.9499999999999998E-2</v>
      </c>
      <c r="AQ14" s="40">
        <f t="shared" si="14"/>
        <v>4097.2222222222226</v>
      </c>
      <c r="AR14" s="73"/>
      <c r="AS14" s="74"/>
      <c r="AT14" s="40">
        <f t="shared" si="15"/>
        <v>0</v>
      </c>
      <c r="AU14" s="73">
        <f t="shared" si="2"/>
        <v>375000000</v>
      </c>
      <c r="AV14" s="74">
        <v>2.8500000000000001E-2</v>
      </c>
      <c r="AW14" s="40">
        <f t="shared" si="16"/>
        <v>29687.5</v>
      </c>
      <c r="AX14" s="73"/>
      <c r="AY14" s="74"/>
      <c r="AZ14" s="40">
        <f t="shared" si="17"/>
        <v>0</v>
      </c>
      <c r="BC14" s="40">
        <f t="shared" si="18"/>
        <v>0</v>
      </c>
      <c r="BF14" s="40">
        <f t="shared" si="19"/>
        <v>0</v>
      </c>
      <c r="BI14" s="40">
        <f t="shared" si="20"/>
        <v>0</v>
      </c>
      <c r="BL14" s="40">
        <f t="shared" si="21"/>
        <v>0</v>
      </c>
      <c r="BO14" s="40">
        <f t="shared" si="22"/>
        <v>0</v>
      </c>
      <c r="BR14" s="40">
        <f t="shared" si="23"/>
        <v>0</v>
      </c>
      <c r="BU14" s="40">
        <f t="shared" si="24"/>
        <v>0</v>
      </c>
      <c r="BX14" s="40">
        <f t="shared" si="25"/>
        <v>0</v>
      </c>
      <c r="CA14" s="40">
        <f t="shared" si="26"/>
        <v>0</v>
      </c>
      <c r="CD14" s="40">
        <f t="shared" si="27"/>
        <v>0</v>
      </c>
      <c r="CG14" s="40">
        <f t="shared" si="28"/>
        <v>0</v>
      </c>
      <c r="CJ14" s="40">
        <f t="shared" si="29"/>
        <v>0</v>
      </c>
      <c r="CM14" s="40">
        <f t="shared" si="30"/>
        <v>0</v>
      </c>
      <c r="CP14" s="40">
        <f t="shared" si="31"/>
        <v>0</v>
      </c>
      <c r="CS14" s="40">
        <f t="shared" si="32"/>
        <v>0</v>
      </c>
      <c r="CV14" s="40">
        <f t="shared" si="33"/>
        <v>0</v>
      </c>
      <c r="CY14" s="40">
        <f t="shared" si="34"/>
        <v>0</v>
      </c>
      <c r="DB14" s="40">
        <f t="shared" si="35"/>
        <v>0</v>
      </c>
      <c r="DE14" s="40">
        <f t="shared" si="36"/>
        <v>0</v>
      </c>
      <c r="DH14" s="40">
        <f t="shared" si="37"/>
        <v>0</v>
      </c>
      <c r="DK14" s="40">
        <f t="shared" si="38"/>
        <v>0</v>
      </c>
      <c r="DN14" s="40">
        <f t="shared" si="39"/>
        <v>0</v>
      </c>
      <c r="DQ14" s="40">
        <f t="shared" si="40"/>
        <v>0</v>
      </c>
      <c r="DT14" s="40">
        <f t="shared" si="41"/>
        <v>0</v>
      </c>
      <c r="DW14" s="40">
        <f t="shared" si="42"/>
        <v>0</v>
      </c>
      <c r="DZ14" s="40"/>
      <c r="EA14" s="40"/>
      <c r="EB14" s="75">
        <f t="shared" si="43"/>
        <v>548800000</v>
      </c>
      <c r="EC14" s="75">
        <f t="shared" si="44"/>
        <v>0</v>
      </c>
      <c r="ED14" s="40">
        <f t="shared" si="45"/>
        <v>43236.388888888891</v>
      </c>
      <c r="EE14" s="41">
        <f t="shared" si="46"/>
        <v>2.8362062682215743E-2</v>
      </c>
      <c r="EG14" s="75">
        <f t="shared" si="47"/>
        <v>0</v>
      </c>
      <c r="EH14" s="40">
        <f t="shared" si="48"/>
        <v>0</v>
      </c>
      <c r="EI14" s="41">
        <f t="shared" si="49"/>
        <v>0</v>
      </c>
      <c r="EJ14" s="41"/>
      <c r="EK14" s="75">
        <f t="shared" si="50"/>
        <v>548800000</v>
      </c>
      <c r="EL14" s="75">
        <f t="shared" si="51"/>
        <v>0</v>
      </c>
      <c r="EM14" s="75">
        <f t="shared" si="52"/>
        <v>43236.388888888883</v>
      </c>
      <c r="EN14" s="41">
        <f t="shared" si="53"/>
        <v>2.8362062682215739E-2</v>
      </c>
      <c r="EP14" s="40"/>
    </row>
    <row r="15" spans="1:147" x14ac:dyDescent="0.25">
      <c r="A15" s="25">
        <f t="shared" si="54"/>
        <v>43501</v>
      </c>
      <c r="D15" s="40">
        <f t="shared" si="3"/>
        <v>0</v>
      </c>
      <c r="G15" s="40">
        <f t="shared" si="4"/>
        <v>0</v>
      </c>
      <c r="J15" s="40">
        <f t="shared" si="5"/>
        <v>0</v>
      </c>
      <c r="M15" s="40">
        <f t="shared" si="6"/>
        <v>0</v>
      </c>
      <c r="P15" s="40">
        <f t="shared" si="7"/>
        <v>0</v>
      </c>
      <c r="S15" s="40">
        <f t="shared" si="8"/>
        <v>0</v>
      </c>
      <c r="V15" s="40">
        <f t="shared" si="9"/>
        <v>0</v>
      </c>
      <c r="Y15" s="40">
        <f t="shared" si="10"/>
        <v>0</v>
      </c>
      <c r="AB15" s="40">
        <f t="shared" si="11"/>
        <v>0</v>
      </c>
      <c r="AE15" s="40">
        <v>0</v>
      </c>
      <c r="AH15" s="40">
        <v>0</v>
      </c>
      <c r="AI15" s="73">
        <f>53700000</f>
        <v>53700000</v>
      </c>
      <c r="AJ15" s="74">
        <v>2.7E-2</v>
      </c>
      <c r="AK15" s="40">
        <f t="shared" si="12"/>
        <v>4027.5</v>
      </c>
      <c r="AL15" s="73">
        <f t="shared" si="0"/>
        <v>30000000</v>
      </c>
      <c r="AM15" s="74">
        <v>2.9000000000000001E-2</v>
      </c>
      <c r="AN15" s="40">
        <f t="shared" si="13"/>
        <v>2416.6666666666665</v>
      </c>
      <c r="AO15" s="73">
        <f t="shared" si="1"/>
        <v>50000000</v>
      </c>
      <c r="AP15" s="74">
        <v>2.9499999999999998E-2</v>
      </c>
      <c r="AQ15" s="40">
        <f t="shared" si="14"/>
        <v>4097.2222222222226</v>
      </c>
      <c r="AR15" s="73">
        <f t="shared" ref="AR15:AR38" si="55">30000000</f>
        <v>30000000</v>
      </c>
      <c r="AS15" s="74">
        <v>2.8299999999999999E-2</v>
      </c>
      <c r="AT15" s="40">
        <f t="shared" si="15"/>
        <v>2358.3333333333335</v>
      </c>
      <c r="AU15" s="73">
        <f t="shared" si="2"/>
        <v>375000000</v>
      </c>
      <c r="AV15" s="74">
        <v>2.8500000000000001E-2</v>
      </c>
      <c r="AW15" s="40">
        <f t="shared" si="16"/>
        <v>29687.5</v>
      </c>
      <c r="AX15" s="73"/>
      <c r="AY15" s="74"/>
      <c r="AZ15" s="40">
        <f t="shared" si="17"/>
        <v>0</v>
      </c>
      <c r="BC15" s="40">
        <f t="shared" si="18"/>
        <v>0</v>
      </c>
      <c r="BF15" s="40">
        <f t="shared" si="19"/>
        <v>0</v>
      </c>
      <c r="BI15" s="40">
        <f t="shared" si="20"/>
        <v>0</v>
      </c>
      <c r="BL15" s="40">
        <f t="shared" si="21"/>
        <v>0</v>
      </c>
      <c r="BO15" s="40">
        <f t="shared" si="22"/>
        <v>0</v>
      </c>
      <c r="BR15" s="40">
        <f t="shared" si="23"/>
        <v>0</v>
      </c>
      <c r="BU15" s="40">
        <f t="shared" si="24"/>
        <v>0</v>
      </c>
      <c r="BX15" s="40">
        <f t="shared" si="25"/>
        <v>0</v>
      </c>
      <c r="CA15" s="40">
        <f t="shared" si="26"/>
        <v>0</v>
      </c>
      <c r="CD15" s="40">
        <f t="shared" si="27"/>
        <v>0</v>
      </c>
      <c r="CG15" s="40">
        <f t="shared" si="28"/>
        <v>0</v>
      </c>
      <c r="CJ15" s="40">
        <f t="shared" si="29"/>
        <v>0</v>
      </c>
      <c r="CM15" s="40">
        <f t="shared" si="30"/>
        <v>0</v>
      </c>
      <c r="CP15" s="40">
        <f t="shared" si="31"/>
        <v>0</v>
      </c>
      <c r="CS15" s="40">
        <f t="shared" si="32"/>
        <v>0</v>
      </c>
      <c r="CV15" s="40">
        <f t="shared" si="33"/>
        <v>0</v>
      </c>
      <c r="CY15" s="40">
        <f t="shared" si="34"/>
        <v>0</v>
      </c>
      <c r="DB15" s="40">
        <f t="shared" si="35"/>
        <v>0</v>
      </c>
      <c r="DE15" s="40">
        <f t="shared" si="36"/>
        <v>0</v>
      </c>
      <c r="DH15" s="40">
        <f t="shared" si="37"/>
        <v>0</v>
      </c>
      <c r="DK15" s="40">
        <f t="shared" si="38"/>
        <v>0</v>
      </c>
      <c r="DN15" s="40">
        <f t="shared" si="39"/>
        <v>0</v>
      </c>
      <c r="DQ15" s="40">
        <f t="shared" si="40"/>
        <v>0</v>
      </c>
      <c r="DT15" s="40">
        <f t="shared" si="41"/>
        <v>0</v>
      </c>
      <c r="DW15" s="40">
        <f t="shared" si="42"/>
        <v>0</v>
      </c>
      <c r="DZ15" s="40"/>
      <c r="EA15" s="40"/>
      <c r="EB15" s="75">
        <f t="shared" si="43"/>
        <v>538700000</v>
      </c>
      <c r="EC15" s="75">
        <f t="shared" si="44"/>
        <v>0</v>
      </c>
      <c r="ED15" s="40">
        <f t="shared" si="45"/>
        <v>42587.222222222219</v>
      </c>
      <c r="EE15" s="41">
        <f t="shared" si="46"/>
        <v>2.8459996287358454E-2</v>
      </c>
      <c r="EG15" s="75">
        <f t="shared" si="47"/>
        <v>0</v>
      </c>
      <c r="EH15" s="40">
        <f t="shared" si="48"/>
        <v>0</v>
      </c>
      <c r="EI15" s="41">
        <f t="shared" si="49"/>
        <v>0</v>
      </c>
      <c r="EJ15" s="41"/>
      <c r="EK15" s="75">
        <f t="shared" si="50"/>
        <v>538700000</v>
      </c>
      <c r="EL15" s="75">
        <f t="shared" si="51"/>
        <v>0</v>
      </c>
      <c r="EM15" s="75">
        <f t="shared" si="52"/>
        <v>42587.222222222219</v>
      </c>
      <c r="EN15" s="41">
        <f t="shared" si="53"/>
        <v>2.8459996287358454E-2</v>
      </c>
      <c r="EP15" s="40"/>
    </row>
    <row r="16" spans="1:147" x14ac:dyDescent="0.25">
      <c r="A16" s="25">
        <f t="shared" si="54"/>
        <v>43502</v>
      </c>
      <c r="D16" s="40">
        <f t="shared" si="3"/>
        <v>0</v>
      </c>
      <c r="G16" s="40">
        <f t="shared" si="4"/>
        <v>0</v>
      </c>
      <c r="J16" s="40">
        <f t="shared" si="5"/>
        <v>0</v>
      </c>
      <c r="M16" s="40">
        <f t="shared" si="6"/>
        <v>0</v>
      </c>
      <c r="P16" s="40">
        <f t="shared" si="7"/>
        <v>0</v>
      </c>
      <c r="S16" s="40">
        <f t="shared" si="8"/>
        <v>0</v>
      </c>
      <c r="V16" s="40">
        <f t="shared" si="9"/>
        <v>0</v>
      </c>
      <c r="Y16" s="40">
        <f t="shared" si="10"/>
        <v>0</v>
      </c>
      <c r="AB16" s="40">
        <f t="shared" si="11"/>
        <v>0</v>
      </c>
      <c r="AE16" s="40">
        <v>0</v>
      </c>
      <c r="AH16" s="40">
        <v>0</v>
      </c>
      <c r="AI16" s="73">
        <f>41750000</f>
        <v>41750000</v>
      </c>
      <c r="AJ16" s="74">
        <v>2.7E-2</v>
      </c>
      <c r="AK16" s="40">
        <f t="shared" si="12"/>
        <v>3131.25</v>
      </c>
      <c r="AL16" s="73">
        <f t="shared" si="0"/>
        <v>30000000</v>
      </c>
      <c r="AM16" s="74">
        <v>2.9000000000000001E-2</v>
      </c>
      <c r="AN16" s="40">
        <f t="shared" si="13"/>
        <v>2416.6666666666665</v>
      </c>
      <c r="AO16" s="73">
        <f t="shared" si="1"/>
        <v>50000000</v>
      </c>
      <c r="AP16" s="74">
        <v>2.9499999999999998E-2</v>
      </c>
      <c r="AQ16" s="40">
        <f t="shared" si="14"/>
        <v>4097.2222222222226</v>
      </c>
      <c r="AR16" s="73">
        <f t="shared" si="55"/>
        <v>30000000</v>
      </c>
      <c r="AS16" s="74">
        <v>2.8299999999999999E-2</v>
      </c>
      <c r="AT16" s="40">
        <f t="shared" si="15"/>
        <v>2358.3333333333335</v>
      </c>
      <c r="AU16" s="73">
        <f t="shared" si="2"/>
        <v>375000000</v>
      </c>
      <c r="AV16" s="74">
        <v>2.8500000000000001E-2</v>
      </c>
      <c r="AW16" s="40">
        <f t="shared" si="16"/>
        <v>29687.5</v>
      </c>
      <c r="AX16" s="73"/>
      <c r="AY16" s="74"/>
      <c r="AZ16" s="40">
        <f t="shared" si="17"/>
        <v>0</v>
      </c>
      <c r="BC16" s="40">
        <f t="shared" si="18"/>
        <v>0</v>
      </c>
      <c r="BF16" s="40">
        <f t="shared" si="19"/>
        <v>0</v>
      </c>
      <c r="BI16" s="40">
        <f t="shared" si="20"/>
        <v>0</v>
      </c>
      <c r="BL16" s="40">
        <f t="shared" si="21"/>
        <v>0</v>
      </c>
      <c r="BO16" s="40">
        <f t="shared" si="22"/>
        <v>0</v>
      </c>
      <c r="BR16" s="40">
        <f t="shared" si="23"/>
        <v>0</v>
      </c>
      <c r="BU16" s="40">
        <f t="shared" si="24"/>
        <v>0</v>
      </c>
      <c r="BX16" s="40">
        <f t="shared" si="25"/>
        <v>0</v>
      </c>
      <c r="CA16" s="40">
        <f t="shared" si="26"/>
        <v>0</v>
      </c>
      <c r="CD16" s="40">
        <f t="shared" si="27"/>
        <v>0</v>
      </c>
      <c r="CG16" s="40">
        <f t="shared" si="28"/>
        <v>0</v>
      </c>
      <c r="CJ16" s="40">
        <f t="shared" si="29"/>
        <v>0</v>
      </c>
      <c r="CM16" s="40">
        <f t="shared" si="30"/>
        <v>0</v>
      </c>
      <c r="CP16" s="40">
        <f t="shared" si="31"/>
        <v>0</v>
      </c>
      <c r="CS16" s="40">
        <f t="shared" si="32"/>
        <v>0</v>
      </c>
      <c r="CV16" s="40">
        <f t="shared" si="33"/>
        <v>0</v>
      </c>
      <c r="CY16" s="40">
        <f t="shared" si="34"/>
        <v>0</v>
      </c>
      <c r="DB16" s="40">
        <f t="shared" si="35"/>
        <v>0</v>
      </c>
      <c r="DE16" s="40">
        <f t="shared" si="36"/>
        <v>0</v>
      </c>
      <c r="DH16" s="40">
        <f t="shared" si="37"/>
        <v>0</v>
      </c>
      <c r="DK16" s="40">
        <f t="shared" si="38"/>
        <v>0</v>
      </c>
      <c r="DN16" s="40">
        <f t="shared" si="39"/>
        <v>0</v>
      </c>
      <c r="DQ16" s="40">
        <f t="shared" si="40"/>
        <v>0</v>
      </c>
      <c r="DT16" s="40">
        <f t="shared" si="41"/>
        <v>0</v>
      </c>
      <c r="DW16" s="40">
        <f t="shared" si="42"/>
        <v>0</v>
      </c>
      <c r="DZ16" s="40"/>
      <c r="EA16" s="40"/>
      <c r="EB16" s="75">
        <f t="shared" si="43"/>
        <v>526750000</v>
      </c>
      <c r="EC16" s="75">
        <f t="shared" si="44"/>
        <v>0</v>
      </c>
      <c r="ED16" s="40">
        <f t="shared" si="45"/>
        <v>41690.972222222219</v>
      </c>
      <c r="EE16" s="41">
        <f t="shared" si="46"/>
        <v>2.8493118177503555E-2</v>
      </c>
      <c r="EG16" s="75">
        <f t="shared" si="47"/>
        <v>0</v>
      </c>
      <c r="EH16" s="40">
        <f t="shared" si="48"/>
        <v>0</v>
      </c>
      <c r="EI16" s="41">
        <f t="shared" si="49"/>
        <v>0</v>
      </c>
      <c r="EJ16" s="41"/>
      <c r="EK16" s="75">
        <f t="shared" si="50"/>
        <v>526750000</v>
      </c>
      <c r="EL16" s="75">
        <f t="shared" si="51"/>
        <v>0</v>
      </c>
      <c r="EM16" s="75">
        <f t="shared" si="52"/>
        <v>41690.972222222219</v>
      </c>
      <c r="EN16" s="41">
        <f t="shared" si="53"/>
        <v>2.8493118177503555E-2</v>
      </c>
      <c r="EP16" s="40"/>
    </row>
    <row r="17" spans="1:146" x14ac:dyDescent="0.25">
      <c r="A17" s="25">
        <f t="shared" si="54"/>
        <v>43503</v>
      </c>
      <c r="D17" s="40">
        <f t="shared" si="3"/>
        <v>0</v>
      </c>
      <c r="G17" s="40">
        <f t="shared" si="4"/>
        <v>0</v>
      </c>
      <c r="J17" s="40">
        <f t="shared" si="5"/>
        <v>0</v>
      </c>
      <c r="M17" s="40">
        <f t="shared" si="6"/>
        <v>0</v>
      </c>
      <c r="P17" s="40">
        <f t="shared" si="7"/>
        <v>0</v>
      </c>
      <c r="S17" s="40">
        <f t="shared" si="8"/>
        <v>0</v>
      </c>
      <c r="V17" s="40">
        <f t="shared" si="9"/>
        <v>0</v>
      </c>
      <c r="Y17" s="40">
        <f t="shared" si="10"/>
        <v>0</v>
      </c>
      <c r="AB17" s="40">
        <f t="shared" si="11"/>
        <v>0</v>
      </c>
      <c r="AE17" s="40">
        <v>0</v>
      </c>
      <c r="AH17" s="40">
        <v>0</v>
      </c>
      <c r="AI17" s="73">
        <v>25775000</v>
      </c>
      <c r="AJ17" s="74">
        <v>2.7E-2</v>
      </c>
      <c r="AK17" s="40">
        <f t="shared" si="12"/>
        <v>1933.125</v>
      </c>
      <c r="AL17" s="73">
        <f t="shared" si="0"/>
        <v>30000000</v>
      </c>
      <c r="AM17" s="74">
        <v>2.9000000000000001E-2</v>
      </c>
      <c r="AN17" s="40">
        <f t="shared" si="13"/>
        <v>2416.6666666666665</v>
      </c>
      <c r="AO17" s="73">
        <f t="shared" si="1"/>
        <v>50000000</v>
      </c>
      <c r="AP17" s="74">
        <v>2.9499999999999998E-2</v>
      </c>
      <c r="AQ17" s="40">
        <f t="shared" si="14"/>
        <v>4097.2222222222226</v>
      </c>
      <c r="AR17" s="73">
        <f t="shared" si="55"/>
        <v>30000000</v>
      </c>
      <c r="AS17" s="74">
        <v>2.8299999999999999E-2</v>
      </c>
      <c r="AT17" s="40">
        <f t="shared" si="15"/>
        <v>2358.3333333333335</v>
      </c>
      <c r="AU17" s="73">
        <f t="shared" si="2"/>
        <v>375000000</v>
      </c>
      <c r="AV17" s="74">
        <v>2.8500000000000001E-2</v>
      </c>
      <c r="AW17" s="40">
        <f t="shared" si="16"/>
        <v>29687.5</v>
      </c>
      <c r="AX17" s="73"/>
      <c r="AY17" s="74"/>
      <c r="AZ17" s="40">
        <f t="shared" si="17"/>
        <v>0</v>
      </c>
      <c r="BC17" s="40">
        <f t="shared" si="18"/>
        <v>0</v>
      </c>
      <c r="BF17" s="40">
        <f t="shared" si="19"/>
        <v>0</v>
      </c>
      <c r="BI17" s="40">
        <f t="shared" si="20"/>
        <v>0</v>
      </c>
      <c r="BL17" s="40">
        <f t="shared" si="21"/>
        <v>0</v>
      </c>
      <c r="BO17" s="40">
        <f t="shared" si="22"/>
        <v>0</v>
      </c>
      <c r="BR17" s="40">
        <f t="shared" si="23"/>
        <v>0</v>
      </c>
      <c r="BU17" s="40">
        <f t="shared" si="24"/>
        <v>0</v>
      </c>
      <c r="BX17" s="40">
        <f t="shared" si="25"/>
        <v>0</v>
      </c>
      <c r="CA17" s="40">
        <f t="shared" si="26"/>
        <v>0</v>
      </c>
      <c r="CD17" s="40">
        <f t="shared" si="27"/>
        <v>0</v>
      </c>
      <c r="CG17" s="40">
        <f t="shared" si="28"/>
        <v>0</v>
      </c>
      <c r="CJ17" s="40">
        <f t="shared" si="29"/>
        <v>0</v>
      </c>
      <c r="CM17" s="40">
        <f t="shared" si="30"/>
        <v>0</v>
      </c>
      <c r="CP17" s="40">
        <f t="shared" si="31"/>
        <v>0</v>
      </c>
      <c r="CS17" s="40">
        <f t="shared" si="32"/>
        <v>0</v>
      </c>
      <c r="CV17" s="40">
        <f t="shared" si="33"/>
        <v>0</v>
      </c>
      <c r="CY17" s="40">
        <f t="shared" si="34"/>
        <v>0</v>
      </c>
      <c r="DB17" s="40">
        <f t="shared" si="35"/>
        <v>0</v>
      </c>
      <c r="DE17" s="40">
        <f t="shared" si="36"/>
        <v>0</v>
      </c>
      <c r="DH17" s="40">
        <f t="shared" si="37"/>
        <v>0</v>
      </c>
      <c r="DK17" s="40">
        <f t="shared" si="38"/>
        <v>0</v>
      </c>
      <c r="DN17" s="40">
        <f t="shared" si="39"/>
        <v>0</v>
      </c>
      <c r="DQ17" s="40">
        <f t="shared" si="40"/>
        <v>0</v>
      </c>
      <c r="DT17" s="40">
        <f t="shared" si="41"/>
        <v>0</v>
      </c>
      <c r="DW17" s="40">
        <f t="shared" si="42"/>
        <v>0</v>
      </c>
      <c r="DZ17" s="40"/>
      <c r="EA17" s="40"/>
      <c r="EB17" s="75">
        <f t="shared" si="43"/>
        <v>510775000</v>
      </c>
      <c r="EC17" s="75">
        <f t="shared" si="44"/>
        <v>0</v>
      </c>
      <c r="ED17" s="40">
        <f t="shared" si="45"/>
        <v>40492.847222222219</v>
      </c>
      <c r="EE17" s="41">
        <f t="shared" si="46"/>
        <v>2.853981694483872E-2</v>
      </c>
      <c r="EG17" s="75">
        <f t="shared" si="47"/>
        <v>0</v>
      </c>
      <c r="EH17" s="40">
        <f t="shared" si="48"/>
        <v>0</v>
      </c>
      <c r="EI17" s="41">
        <f t="shared" si="49"/>
        <v>0</v>
      </c>
      <c r="EJ17" s="41"/>
      <c r="EK17" s="75">
        <f t="shared" si="50"/>
        <v>510775000</v>
      </c>
      <c r="EL17" s="75">
        <f t="shared" si="51"/>
        <v>0</v>
      </c>
      <c r="EM17" s="75">
        <f t="shared" si="52"/>
        <v>40492.847222222219</v>
      </c>
      <c r="EN17" s="41">
        <f t="shared" si="53"/>
        <v>2.853981694483872E-2</v>
      </c>
      <c r="EP17" s="40"/>
    </row>
    <row r="18" spans="1:146" x14ac:dyDescent="0.25">
      <c r="A18" s="25">
        <f t="shared" si="54"/>
        <v>43504</v>
      </c>
      <c r="D18" s="40">
        <f t="shared" si="3"/>
        <v>0</v>
      </c>
      <c r="G18" s="40">
        <f t="shared" si="4"/>
        <v>0</v>
      </c>
      <c r="J18" s="40">
        <f t="shared" si="5"/>
        <v>0</v>
      </c>
      <c r="M18" s="40">
        <f t="shared" si="6"/>
        <v>0</v>
      </c>
      <c r="P18" s="40">
        <f t="shared" si="7"/>
        <v>0</v>
      </c>
      <c r="S18" s="40">
        <f t="shared" si="8"/>
        <v>0</v>
      </c>
      <c r="V18" s="40">
        <f t="shared" si="9"/>
        <v>0</v>
      </c>
      <c r="Y18" s="40">
        <f t="shared" si="10"/>
        <v>0</v>
      </c>
      <c r="AB18" s="40">
        <f t="shared" si="11"/>
        <v>0</v>
      </c>
      <c r="AE18" s="40">
        <v>0</v>
      </c>
      <c r="AH18" s="40">
        <v>0</v>
      </c>
      <c r="AI18" s="73">
        <f>26225000</f>
        <v>26225000</v>
      </c>
      <c r="AJ18" s="74">
        <v>2.7E-2</v>
      </c>
      <c r="AK18" s="40">
        <f t="shared" si="12"/>
        <v>1966.875</v>
      </c>
      <c r="AL18" s="73">
        <f t="shared" si="0"/>
        <v>30000000</v>
      </c>
      <c r="AM18" s="74">
        <v>2.9000000000000001E-2</v>
      </c>
      <c r="AN18" s="40">
        <f t="shared" si="13"/>
        <v>2416.6666666666665</v>
      </c>
      <c r="AO18" s="73">
        <f t="shared" si="1"/>
        <v>50000000</v>
      </c>
      <c r="AP18" s="74">
        <v>2.9499999999999998E-2</v>
      </c>
      <c r="AQ18" s="40">
        <f t="shared" si="14"/>
        <v>4097.2222222222226</v>
      </c>
      <c r="AR18" s="73">
        <f t="shared" si="55"/>
        <v>30000000</v>
      </c>
      <c r="AS18" s="74">
        <v>2.8299999999999999E-2</v>
      </c>
      <c r="AT18" s="40">
        <f t="shared" si="15"/>
        <v>2358.3333333333335</v>
      </c>
      <c r="AU18" s="73">
        <f t="shared" si="2"/>
        <v>375000000</v>
      </c>
      <c r="AV18" s="74">
        <v>2.8500000000000001E-2</v>
      </c>
      <c r="AW18" s="40">
        <f t="shared" si="16"/>
        <v>29687.5</v>
      </c>
      <c r="AX18" s="73"/>
      <c r="AY18" s="74"/>
      <c r="AZ18" s="40">
        <f t="shared" si="17"/>
        <v>0</v>
      </c>
      <c r="BC18" s="40">
        <f t="shared" si="18"/>
        <v>0</v>
      </c>
      <c r="BF18" s="40">
        <f t="shared" si="19"/>
        <v>0</v>
      </c>
      <c r="BI18" s="40">
        <f t="shared" si="20"/>
        <v>0</v>
      </c>
      <c r="BL18" s="40">
        <f t="shared" si="21"/>
        <v>0</v>
      </c>
      <c r="BO18" s="40">
        <f t="shared" si="22"/>
        <v>0</v>
      </c>
      <c r="BR18" s="40">
        <f t="shared" si="23"/>
        <v>0</v>
      </c>
      <c r="BU18" s="40">
        <f t="shared" si="24"/>
        <v>0</v>
      </c>
      <c r="BX18" s="40">
        <f t="shared" si="25"/>
        <v>0</v>
      </c>
      <c r="CA18" s="40">
        <f t="shared" si="26"/>
        <v>0</v>
      </c>
      <c r="CD18" s="40">
        <f t="shared" si="27"/>
        <v>0</v>
      </c>
      <c r="CG18" s="40">
        <f t="shared" si="28"/>
        <v>0</v>
      </c>
      <c r="CJ18" s="40">
        <f t="shared" si="29"/>
        <v>0</v>
      </c>
      <c r="CM18" s="40">
        <f t="shared" si="30"/>
        <v>0</v>
      </c>
      <c r="CP18" s="40">
        <f t="shared" si="31"/>
        <v>0</v>
      </c>
      <c r="CS18" s="40">
        <f t="shared" si="32"/>
        <v>0</v>
      </c>
      <c r="CV18" s="40">
        <f t="shared" si="33"/>
        <v>0</v>
      </c>
      <c r="CY18" s="40">
        <f t="shared" si="34"/>
        <v>0</v>
      </c>
      <c r="DB18" s="40">
        <f t="shared" si="35"/>
        <v>0</v>
      </c>
      <c r="DE18" s="40">
        <f t="shared" si="36"/>
        <v>0</v>
      </c>
      <c r="DH18" s="40">
        <f t="shared" si="37"/>
        <v>0</v>
      </c>
      <c r="DK18" s="40">
        <f t="shared" si="38"/>
        <v>0</v>
      </c>
      <c r="DN18" s="40">
        <f t="shared" si="39"/>
        <v>0</v>
      </c>
      <c r="DQ18" s="40">
        <f t="shared" si="40"/>
        <v>0</v>
      </c>
      <c r="DT18" s="40">
        <f t="shared" si="41"/>
        <v>0</v>
      </c>
      <c r="DW18" s="40">
        <f t="shared" si="42"/>
        <v>0</v>
      </c>
      <c r="DZ18" s="40"/>
      <c r="EA18" s="40"/>
      <c r="EB18" s="75">
        <f t="shared" si="43"/>
        <v>511225000</v>
      </c>
      <c r="EC18" s="75">
        <f t="shared" si="44"/>
        <v>0</v>
      </c>
      <c r="ED18" s="40">
        <f t="shared" si="45"/>
        <v>40526.597222222219</v>
      </c>
      <c r="EE18" s="41">
        <f t="shared" si="46"/>
        <v>2.8538461538461537E-2</v>
      </c>
      <c r="EG18" s="75">
        <f t="shared" si="47"/>
        <v>0</v>
      </c>
      <c r="EH18" s="40">
        <f t="shared" si="48"/>
        <v>0</v>
      </c>
      <c r="EI18" s="41">
        <f t="shared" si="49"/>
        <v>0</v>
      </c>
      <c r="EJ18" s="41"/>
      <c r="EK18" s="75">
        <f t="shared" si="50"/>
        <v>511225000</v>
      </c>
      <c r="EL18" s="75">
        <f t="shared" si="51"/>
        <v>0</v>
      </c>
      <c r="EM18" s="75">
        <f t="shared" si="52"/>
        <v>40526.597222222219</v>
      </c>
      <c r="EN18" s="41">
        <f t="shared" si="53"/>
        <v>2.8538461538461537E-2</v>
      </c>
      <c r="EP18" s="40"/>
    </row>
    <row r="19" spans="1:146" x14ac:dyDescent="0.25">
      <c r="A19" s="25">
        <f t="shared" si="54"/>
        <v>43505</v>
      </c>
      <c r="D19" s="40">
        <f t="shared" si="3"/>
        <v>0</v>
      </c>
      <c r="G19" s="40">
        <f t="shared" si="4"/>
        <v>0</v>
      </c>
      <c r="J19" s="40">
        <f t="shared" si="5"/>
        <v>0</v>
      </c>
      <c r="M19" s="40">
        <f t="shared" si="6"/>
        <v>0</v>
      </c>
      <c r="P19" s="40">
        <f t="shared" si="7"/>
        <v>0</v>
      </c>
      <c r="S19" s="40">
        <f t="shared" si="8"/>
        <v>0</v>
      </c>
      <c r="V19" s="40">
        <f t="shared" si="9"/>
        <v>0</v>
      </c>
      <c r="Y19" s="40">
        <f t="shared" si="10"/>
        <v>0</v>
      </c>
      <c r="AB19" s="40">
        <f t="shared" si="11"/>
        <v>0</v>
      </c>
      <c r="AE19" s="40">
        <v>0</v>
      </c>
      <c r="AH19" s="40">
        <v>0</v>
      </c>
      <c r="AI19" s="73">
        <f>26225000</f>
        <v>26225000</v>
      </c>
      <c r="AJ19" s="74">
        <v>2.7E-2</v>
      </c>
      <c r="AK19" s="40">
        <f t="shared" si="12"/>
        <v>1966.875</v>
      </c>
      <c r="AL19" s="73">
        <f t="shared" si="0"/>
        <v>30000000</v>
      </c>
      <c r="AM19" s="74">
        <v>2.9000000000000001E-2</v>
      </c>
      <c r="AN19" s="40">
        <f t="shared" si="13"/>
        <v>2416.6666666666665</v>
      </c>
      <c r="AO19" s="73">
        <f t="shared" si="1"/>
        <v>50000000</v>
      </c>
      <c r="AP19" s="74">
        <v>2.9499999999999998E-2</v>
      </c>
      <c r="AQ19" s="40">
        <f t="shared" si="14"/>
        <v>4097.2222222222226</v>
      </c>
      <c r="AR19" s="73">
        <f t="shared" si="55"/>
        <v>30000000</v>
      </c>
      <c r="AS19" s="74">
        <v>2.8299999999999999E-2</v>
      </c>
      <c r="AT19" s="40">
        <f t="shared" si="15"/>
        <v>2358.3333333333335</v>
      </c>
      <c r="AU19" s="73">
        <f t="shared" si="2"/>
        <v>375000000</v>
      </c>
      <c r="AV19" s="74">
        <v>2.8500000000000001E-2</v>
      </c>
      <c r="AW19" s="40">
        <f t="shared" si="16"/>
        <v>29687.5</v>
      </c>
      <c r="AX19" s="73"/>
      <c r="AY19" s="74"/>
      <c r="AZ19" s="40">
        <f t="shared" si="17"/>
        <v>0</v>
      </c>
      <c r="BC19" s="40">
        <f t="shared" si="18"/>
        <v>0</v>
      </c>
      <c r="BF19" s="40">
        <f t="shared" si="19"/>
        <v>0</v>
      </c>
      <c r="BI19" s="40">
        <f t="shared" si="20"/>
        <v>0</v>
      </c>
      <c r="BL19" s="40">
        <f t="shared" si="21"/>
        <v>0</v>
      </c>
      <c r="BO19" s="40">
        <f t="shared" si="22"/>
        <v>0</v>
      </c>
      <c r="BR19" s="40">
        <f t="shared" si="23"/>
        <v>0</v>
      </c>
      <c r="BU19" s="40">
        <f t="shared" si="24"/>
        <v>0</v>
      </c>
      <c r="BX19" s="40">
        <f t="shared" si="25"/>
        <v>0</v>
      </c>
      <c r="CA19" s="40">
        <f t="shared" si="26"/>
        <v>0</v>
      </c>
      <c r="CD19" s="40">
        <f t="shared" si="27"/>
        <v>0</v>
      </c>
      <c r="CG19" s="40">
        <f t="shared" si="28"/>
        <v>0</v>
      </c>
      <c r="CJ19" s="40">
        <f t="shared" si="29"/>
        <v>0</v>
      </c>
      <c r="CM19" s="40">
        <f t="shared" si="30"/>
        <v>0</v>
      </c>
      <c r="CP19" s="40">
        <f t="shared" si="31"/>
        <v>0</v>
      </c>
      <c r="CS19" s="40">
        <f t="shared" si="32"/>
        <v>0</v>
      </c>
      <c r="CV19" s="40">
        <f t="shared" si="33"/>
        <v>0</v>
      </c>
      <c r="CY19" s="40">
        <f t="shared" si="34"/>
        <v>0</v>
      </c>
      <c r="DB19" s="40">
        <f t="shared" si="35"/>
        <v>0</v>
      </c>
      <c r="DE19" s="40">
        <f t="shared" si="36"/>
        <v>0</v>
      </c>
      <c r="DH19" s="40">
        <f t="shared" si="37"/>
        <v>0</v>
      </c>
      <c r="DK19" s="40">
        <f t="shared" si="38"/>
        <v>0</v>
      </c>
      <c r="DN19" s="40">
        <f t="shared" si="39"/>
        <v>0</v>
      </c>
      <c r="DQ19" s="40">
        <f t="shared" si="40"/>
        <v>0</v>
      </c>
      <c r="DT19" s="40">
        <f t="shared" si="41"/>
        <v>0</v>
      </c>
      <c r="DW19" s="40">
        <f t="shared" si="42"/>
        <v>0</v>
      </c>
      <c r="DZ19" s="40"/>
      <c r="EA19" s="40"/>
      <c r="EB19" s="75">
        <f t="shared" si="43"/>
        <v>511225000</v>
      </c>
      <c r="EC19" s="75">
        <f t="shared" si="44"/>
        <v>0</v>
      </c>
      <c r="ED19" s="40">
        <f t="shared" si="45"/>
        <v>40526.597222222219</v>
      </c>
      <c r="EE19" s="41">
        <f t="shared" si="46"/>
        <v>2.8538461538461537E-2</v>
      </c>
      <c r="EG19" s="75">
        <f t="shared" si="47"/>
        <v>0</v>
      </c>
      <c r="EH19" s="40">
        <f t="shared" si="48"/>
        <v>0</v>
      </c>
      <c r="EI19" s="41">
        <f t="shared" si="49"/>
        <v>0</v>
      </c>
      <c r="EJ19" s="41"/>
      <c r="EK19" s="75">
        <f t="shared" si="50"/>
        <v>511225000</v>
      </c>
      <c r="EL19" s="75">
        <f t="shared" si="51"/>
        <v>0</v>
      </c>
      <c r="EM19" s="75">
        <f t="shared" si="52"/>
        <v>40526.597222222219</v>
      </c>
      <c r="EN19" s="41">
        <f t="shared" si="53"/>
        <v>2.8538461538461537E-2</v>
      </c>
      <c r="EP19" s="40"/>
    </row>
    <row r="20" spans="1:146" x14ac:dyDescent="0.25">
      <c r="A20" s="25">
        <f t="shared" si="54"/>
        <v>43506</v>
      </c>
      <c r="D20" s="40">
        <f t="shared" si="3"/>
        <v>0</v>
      </c>
      <c r="G20" s="40">
        <f t="shared" si="4"/>
        <v>0</v>
      </c>
      <c r="J20" s="40">
        <f t="shared" si="5"/>
        <v>0</v>
      </c>
      <c r="M20" s="40">
        <f t="shared" si="6"/>
        <v>0</v>
      </c>
      <c r="P20" s="40">
        <f t="shared" si="7"/>
        <v>0</v>
      </c>
      <c r="S20" s="40">
        <f t="shared" si="8"/>
        <v>0</v>
      </c>
      <c r="V20" s="40">
        <f t="shared" si="9"/>
        <v>0</v>
      </c>
      <c r="Y20" s="40">
        <f t="shared" si="10"/>
        <v>0</v>
      </c>
      <c r="AB20" s="40">
        <f t="shared" si="11"/>
        <v>0</v>
      </c>
      <c r="AE20" s="40">
        <v>0</v>
      </c>
      <c r="AH20" s="40">
        <v>0</v>
      </c>
      <c r="AI20" s="73">
        <f>26225000</f>
        <v>26225000</v>
      </c>
      <c r="AJ20" s="74">
        <v>2.7E-2</v>
      </c>
      <c r="AK20" s="40">
        <f t="shared" si="12"/>
        <v>1966.875</v>
      </c>
      <c r="AL20" s="73">
        <f t="shared" si="0"/>
        <v>30000000</v>
      </c>
      <c r="AM20" s="74">
        <v>2.9000000000000001E-2</v>
      </c>
      <c r="AN20" s="40">
        <f t="shared" si="13"/>
        <v>2416.6666666666665</v>
      </c>
      <c r="AO20" s="73">
        <f t="shared" si="1"/>
        <v>50000000</v>
      </c>
      <c r="AP20" s="74">
        <v>2.9499999999999998E-2</v>
      </c>
      <c r="AQ20" s="40">
        <f t="shared" si="14"/>
        <v>4097.2222222222226</v>
      </c>
      <c r="AR20" s="73">
        <f t="shared" si="55"/>
        <v>30000000</v>
      </c>
      <c r="AS20" s="74">
        <v>2.8299999999999999E-2</v>
      </c>
      <c r="AT20" s="40">
        <f t="shared" si="15"/>
        <v>2358.3333333333335</v>
      </c>
      <c r="AU20" s="73">
        <f t="shared" si="2"/>
        <v>375000000</v>
      </c>
      <c r="AV20" s="74">
        <v>2.8500000000000001E-2</v>
      </c>
      <c r="AW20" s="40">
        <f t="shared" si="16"/>
        <v>29687.5</v>
      </c>
      <c r="AX20" s="73"/>
      <c r="AY20" s="74"/>
      <c r="AZ20" s="40">
        <f t="shared" si="17"/>
        <v>0</v>
      </c>
      <c r="BC20" s="40">
        <f t="shared" si="18"/>
        <v>0</v>
      </c>
      <c r="BF20" s="40">
        <f t="shared" si="19"/>
        <v>0</v>
      </c>
      <c r="BI20" s="40">
        <f t="shared" si="20"/>
        <v>0</v>
      </c>
      <c r="BL20" s="40">
        <f t="shared" si="21"/>
        <v>0</v>
      </c>
      <c r="BO20" s="40">
        <f t="shared" si="22"/>
        <v>0</v>
      </c>
      <c r="BR20" s="40">
        <f t="shared" si="23"/>
        <v>0</v>
      </c>
      <c r="BU20" s="40">
        <f t="shared" si="24"/>
        <v>0</v>
      </c>
      <c r="BX20" s="40">
        <f t="shared" si="25"/>
        <v>0</v>
      </c>
      <c r="CA20" s="40">
        <f t="shared" si="26"/>
        <v>0</v>
      </c>
      <c r="CD20" s="40">
        <f t="shared" si="27"/>
        <v>0</v>
      </c>
      <c r="CG20" s="40">
        <f t="shared" si="28"/>
        <v>0</v>
      </c>
      <c r="CJ20" s="40">
        <f t="shared" si="29"/>
        <v>0</v>
      </c>
      <c r="CM20" s="40">
        <f t="shared" si="30"/>
        <v>0</v>
      </c>
      <c r="CP20" s="40">
        <f t="shared" si="31"/>
        <v>0</v>
      </c>
      <c r="CS20" s="40">
        <f t="shared" si="32"/>
        <v>0</v>
      </c>
      <c r="CV20" s="40">
        <f t="shared" si="33"/>
        <v>0</v>
      </c>
      <c r="CY20" s="40">
        <f t="shared" si="34"/>
        <v>0</v>
      </c>
      <c r="DB20" s="40">
        <f t="shared" si="35"/>
        <v>0</v>
      </c>
      <c r="DE20" s="40">
        <f t="shared" si="36"/>
        <v>0</v>
      </c>
      <c r="DH20" s="40">
        <f t="shared" si="37"/>
        <v>0</v>
      </c>
      <c r="DK20" s="40">
        <f t="shared" si="38"/>
        <v>0</v>
      </c>
      <c r="DN20" s="40">
        <f t="shared" si="39"/>
        <v>0</v>
      </c>
      <c r="DQ20" s="40">
        <f t="shared" si="40"/>
        <v>0</v>
      </c>
      <c r="DT20" s="40">
        <f t="shared" si="41"/>
        <v>0</v>
      </c>
      <c r="DW20" s="40">
        <f t="shared" si="42"/>
        <v>0</v>
      </c>
      <c r="DZ20" s="40"/>
      <c r="EA20" s="40"/>
      <c r="EB20" s="75">
        <f t="shared" si="43"/>
        <v>511225000</v>
      </c>
      <c r="EC20" s="75">
        <f t="shared" si="44"/>
        <v>0</v>
      </c>
      <c r="ED20" s="40">
        <f t="shared" si="45"/>
        <v>40526.597222222219</v>
      </c>
      <c r="EE20" s="41">
        <f t="shared" si="46"/>
        <v>2.8538461538461537E-2</v>
      </c>
      <c r="EG20" s="75">
        <f t="shared" si="47"/>
        <v>0</v>
      </c>
      <c r="EH20" s="40">
        <f t="shared" si="48"/>
        <v>0</v>
      </c>
      <c r="EI20" s="41">
        <f t="shared" si="49"/>
        <v>0</v>
      </c>
      <c r="EJ20" s="41"/>
      <c r="EK20" s="75">
        <f t="shared" si="50"/>
        <v>511225000</v>
      </c>
      <c r="EL20" s="75">
        <f t="shared" si="51"/>
        <v>0</v>
      </c>
      <c r="EM20" s="75">
        <f t="shared" si="52"/>
        <v>40526.597222222219</v>
      </c>
      <c r="EN20" s="41">
        <f t="shared" si="53"/>
        <v>2.8538461538461537E-2</v>
      </c>
      <c r="EP20" s="40"/>
    </row>
    <row r="21" spans="1:146" x14ac:dyDescent="0.25">
      <c r="A21" s="25">
        <f t="shared" si="54"/>
        <v>43507</v>
      </c>
      <c r="D21" s="40">
        <f t="shared" si="3"/>
        <v>0</v>
      </c>
      <c r="G21" s="40">
        <f t="shared" si="4"/>
        <v>0</v>
      </c>
      <c r="J21" s="40">
        <f t="shared" si="5"/>
        <v>0</v>
      </c>
      <c r="M21" s="40">
        <f t="shared" si="6"/>
        <v>0</v>
      </c>
      <c r="P21" s="40">
        <f t="shared" si="7"/>
        <v>0</v>
      </c>
      <c r="S21" s="40">
        <f t="shared" si="8"/>
        <v>0</v>
      </c>
      <c r="V21" s="40">
        <f t="shared" si="9"/>
        <v>0</v>
      </c>
      <c r="Y21" s="40">
        <f t="shared" si="10"/>
        <v>0</v>
      </c>
      <c r="AB21" s="40">
        <f t="shared" si="11"/>
        <v>0</v>
      </c>
      <c r="AE21" s="40">
        <v>0</v>
      </c>
      <c r="AH21" s="40">
        <v>0</v>
      </c>
      <c r="AI21" s="73">
        <f>19650000</f>
        <v>19650000</v>
      </c>
      <c r="AJ21" s="74">
        <v>2.7E-2</v>
      </c>
      <c r="AK21" s="40">
        <f t="shared" si="12"/>
        <v>1473.75</v>
      </c>
      <c r="AL21" s="73">
        <f t="shared" si="0"/>
        <v>30000000</v>
      </c>
      <c r="AM21" s="74">
        <v>2.9000000000000001E-2</v>
      </c>
      <c r="AN21" s="40">
        <f t="shared" si="13"/>
        <v>2416.6666666666665</v>
      </c>
      <c r="AO21" s="73">
        <f t="shared" si="1"/>
        <v>50000000</v>
      </c>
      <c r="AP21" s="74">
        <v>2.9499999999999998E-2</v>
      </c>
      <c r="AQ21" s="40">
        <f t="shared" si="14"/>
        <v>4097.2222222222226</v>
      </c>
      <c r="AR21" s="73">
        <f t="shared" si="55"/>
        <v>30000000</v>
      </c>
      <c r="AS21" s="74">
        <v>2.8299999999999999E-2</v>
      </c>
      <c r="AT21" s="40">
        <f t="shared" si="15"/>
        <v>2358.3333333333335</v>
      </c>
      <c r="AU21" s="73">
        <f t="shared" si="2"/>
        <v>375000000</v>
      </c>
      <c r="AV21" s="74">
        <v>2.8500000000000001E-2</v>
      </c>
      <c r="AW21" s="40">
        <f t="shared" si="16"/>
        <v>29687.5</v>
      </c>
      <c r="AX21" s="73"/>
      <c r="AY21" s="74"/>
      <c r="AZ21" s="40">
        <f t="shared" si="17"/>
        <v>0</v>
      </c>
      <c r="BC21" s="40">
        <f t="shared" si="18"/>
        <v>0</v>
      </c>
      <c r="BF21" s="40">
        <f t="shared" si="19"/>
        <v>0</v>
      </c>
      <c r="BI21" s="40">
        <f t="shared" si="20"/>
        <v>0</v>
      </c>
      <c r="BL21" s="40">
        <f t="shared" si="21"/>
        <v>0</v>
      </c>
      <c r="BO21" s="40">
        <f t="shared" si="22"/>
        <v>0</v>
      </c>
      <c r="BR21" s="40">
        <f t="shared" si="23"/>
        <v>0</v>
      </c>
      <c r="BU21" s="40">
        <f t="shared" si="24"/>
        <v>0</v>
      </c>
      <c r="BX21" s="40">
        <f t="shared" si="25"/>
        <v>0</v>
      </c>
      <c r="CA21" s="40">
        <f t="shared" si="26"/>
        <v>0</v>
      </c>
      <c r="CD21" s="40">
        <f t="shared" si="27"/>
        <v>0</v>
      </c>
      <c r="CG21" s="40">
        <f t="shared" si="28"/>
        <v>0</v>
      </c>
      <c r="CJ21" s="40">
        <f t="shared" si="29"/>
        <v>0</v>
      </c>
      <c r="CM21" s="40">
        <f t="shared" si="30"/>
        <v>0</v>
      </c>
      <c r="CP21" s="40">
        <f t="shared" si="31"/>
        <v>0</v>
      </c>
      <c r="CS21" s="40">
        <f t="shared" si="32"/>
        <v>0</v>
      </c>
      <c r="CV21" s="40">
        <f t="shared" si="33"/>
        <v>0</v>
      </c>
      <c r="CY21" s="40">
        <f t="shared" si="34"/>
        <v>0</v>
      </c>
      <c r="DB21" s="40">
        <f t="shared" si="35"/>
        <v>0</v>
      </c>
      <c r="DE21" s="40">
        <f t="shared" si="36"/>
        <v>0</v>
      </c>
      <c r="DH21" s="40">
        <f t="shared" si="37"/>
        <v>0</v>
      </c>
      <c r="DK21" s="40">
        <f t="shared" si="38"/>
        <v>0</v>
      </c>
      <c r="DN21" s="40">
        <f t="shared" si="39"/>
        <v>0</v>
      </c>
      <c r="DQ21" s="40">
        <f t="shared" si="40"/>
        <v>0</v>
      </c>
      <c r="DT21" s="40">
        <f t="shared" si="41"/>
        <v>0</v>
      </c>
      <c r="DW21" s="40">
        <f t="shared" si="42"/>
        <v>0</v>
      </c>
      <c r="DZ21" s="40"/>
      <c r="EA21" s="40"/>
      <c r="EB21" s="75">
        <f t="shared" si="43"/>
        <v>504650000</v>
      </c>
      <c r="EC21" s="75">
        <f t="shared" si="44"/>
        <v>0</v>
      </c>
      <c r="ED21" s="40">
        <f t="shared" si="45"/>
        <v>40033.472222222219</v>
      </c>
      <c r="EE21" s="41">
        <f t="shared" si="46"/>
        <v>2.8558505895174873E-2</v>
      </c>
      <c r="EG21" s="75">
        <f t="shared" si="47"/>
        <v>0</v>
      </c>
      <c r="EH21" s="40">
        <f t="shared" si="48"/>
        <v>0</v>
      </c>
      <c r="EI21" s="41">
        <f t="shared" si="49"/>
        <v>0</v>
      </c>
      <c r="EJ21" s="41"/>
      <c r="EK21" s="75">
        <f t="shared" si="50"/>
        <v>504650000</v>
      </c>
      <c r="EL21" s="75">
        <f t="shared" si="51"/>
        <v>0</v>
      </c>
      <c r="EM21" s="75">
        <f t="shared" si="52"/>
        <v>40033.472222222219</v>
      </c>
      <c r="EN21" s="41">
        <f t="shared" si="53"/>
        <v>2.8558505895174873E-2</v>
      </c>
      <c r="EP21" s="40"/>
    </row>
    <row r="22" spans="1:146" x14ac:dyDescent="0.25">
      <c r="A22" s="25">
        <f t="shared" si="54"/>
        <v>43508</v>
      </c>
      <c r="D22" s="40">
        <f t="shared" si="3"/>
        <v>0</v>
      </c>
      <c r="G22" s="40">
        <f t="shared" si="4"/>
        <v>0</v>
      </c>
      <c r="J22" s="40">
        <f t="shared" si="5"/>
        <v>0</v>
      </c>
      <c r="M22" s="40">
        <f t="shared" si="6"/>
        <v>0</v>
      </c>
      <c r="P22" s="40">
        <f t="shared" si="7"/>
        <v>0</v>
      </c>
      <c r="S22" s="40">
        <f t="shared" si="8"/>
        <v>0</v>
      </c>
      <c r="V22" s="40">
        <f t="shared" si="9"/>
        <v>0</v>
      </c>
      <c r="Y22" s="40">
        <f t="shared" si="10"/>
        <v>0</v>
      </c>
      <c r="AB22" s="40">
        <f t="shared" si="11"/>
        <v>0</v>
      </c>
      <c r="AE22" s="40">
        <v>0</v>
      </c>
      <c r="AH22" s="40">
        <v>0</v>
      </c>
      <c r="AI22" s="73">
        <f>13350000</f>
        <v>13350000</v>
      </c>
      <c r="AJ22" s="74">
        <v>2.7E-2</v>
      </c>
      <c r="AK22" s="40">
        <f t="shared" si="12"/>
        <v>1001.25</v>
      </c>
      <c r="AL22" s="73">
        <f t="shared" si="0"/>
        <v>30000000</v>
      </c>
      <c r="AM22" s="74">
        <v>2.9000000000000001E-2</v>
      </c>
      <c r="AN22" s="40">
        <f t="shared" si="13"/>
        <v>2416.6666666666665</v>
      </c>
      <c r="AO22" s="73">
        <f t="shared" si="1"/>
        <v>50000000</v>
      </c>
      <c r="AP22" s="74">
        <v>2.9499999999999998E-2</v>
      </c>
      <c r="AQ22" s="40">
        <f t="shared" si="14"/>
        <v>4097.2222222222226</v>
      </c>
      <c r="AR22" s="73">
        <f t="shared" si="55"/>
        <v>30000000</v>
      </c>
      <c r="AS22" s="74">
        <v>2.8299999999999999E-2</v>
      </c>
      <c r="AT22" s="40">
        <f t="shared" si="15"/>
        <v>2358.3333333333335</v>
      </c>
      <c r="AU22" s="73">
        <f t="shared" si="2"/>
        <v>375000000</v>
      </c>
      <c r="AV22" s="74">
        <v>2.8500000000000001E-2</v>
      </c>
      <c r="AW22" s="40">
        <f t="shared" si="16"/>
        <v>29687.5</v>
      </c>
      <c r="AX22" s="73"/>
      <c r="AY22" s="74"/>
      <c r="AZ22" s="40">
        <f t="shared" si="17"/>
        <v>0</v>
      </c>
      <c r="BC22" s="40">
        <f t="shared" si="18"/>
        <v>0</v>
      </c>
      <c r="BF22" s="40">
        <f t="shared" si="19"/>
        <v>0</v>
      </c>
      <c r="BI22" s="40">
        <f t="shared" si="20"/>
        <v>0</v>
      </c>
      <c r="BL22" s="40">
        <f t="shared" si="21"/>
        <v>0</v>
      </c>
      <c r="BO22" s="40">
        <f t="shared" si="22"/>
        <v>0</v>
      </c>
      <c r="BR22" s="40">
        <f t="shared" si="23"/>
        <v>0</v>
      </c>
      <c r="BU22" s="40">
        <f t="shared" si="24"/>
        <v>0</v>
      </c>
      <c r="BX22" s="40">
        <f t="shared" si="25"/>
        <v>0</v>
      </c>
      <c r="CA22" s="40">
        <f t="shared" si="26"/>
        <v>0</v>
      </c>
      <c r="CD22" s="40">
        <f t="shared" si="27"/>
        <v>0</v>
      </c>
      <c r="CG22" s="40">
        <f t="shared" si="28"/>
        <v>0</v>
      </c>
      <c r="CJ22" s="40">
        <f t="shared" si="29"/>
        <v>0</v>
      </c>
      <c r="CM22" s="40">
        <f t="shared" si="30"/>
        <v>0</v>
      </c>
      <c r="CP22" s="40">
        <f t="shared" si="31"/>
        <v>0</v>
      </c>
      <c r="CS22" s="40">
        <f t="shared" si="32"/>
        <v>0</v>
      </c>
      <c r="CV22" s="40">
        <f t="shared" si="33"/>
        <v>0</v>
      </c>
      <c r="CY22" s="40">
        <f t="shared" si="34"/>
        <v>0</v>
      </c>
      <c r="DB22" s="40">
        <f t="shared" si="35"/>
        <v>0</v>
      </c>
      <c r="DE22" s="40">
        <f t="shared" si="36"/>
        <v>0</v>
      </c>
      <c r="DH22" s="40">
        <f t="shared" si="37"/>
        <v>0</v>
      </c>
      <c r="DK22" s="40">
        <f t="shared" si="38"/>
        <v>0</v>
      </c>
      <c r="DN22" s="40">
        <f t="shared" si="39"/>
        <v>0</v>
      </c>
      <c r="DQ22" s="40">
        <f t="shared" si="40"/>
        <v>0</v>
      </c>
      <c r="DT22" s="40">
        <f t="shared" si="41"/>
        <v>0</v>
      </c>
      <c r="DW22" s="40">
        <f t="shared" si="42"/>
        <v>0</v>
      </c>
      <c r="DZ22" s="40"/>
      <c r="EA22" s="40"/>
      <c r="EB22" s="75">
        <f t="shared" si="43"/>
        <v>498350000</v>
      </c>
      <c r="EC22" s="75">
        <f t="shared" si="44"/>
        <v>0</v>
      </c>
      <c r="ED22" s="40">
        <f t="shared" si="45"/>
        <v>39560.972222222219</v>
      </c>
      <c r="EE22" s="41">
        <f t="shared" si="46"/>
        <v>2.8578208086686058E-2</v>
      </c>
      <c r="EG22" s="75">
        <f t="shared" si="47"/>
        <v>0</v>
      </c>
      <c r="EH22" s="40">
        <f t="shared" si="48"/>
        <v>0</v>
      </c>
      <c r="EI22" s="41">
        <f t="shared" si="49"/>
        <v>0</v>
      </c>
      <c r="EJ22" s="41"/>
      <c r="EK22" s="75">
        <f t="shared" si="50"/>
        <v>498350000</v>
      </c>
      <c r="EL22" s="75">
        <f t="shared" si="51"/>
        <v>0</v>
      </c>
      <c r="EM22" s="75">
        <f t="shared" si="52"/>
        <v>39560.972222222219</v>
      </c>
      <c r="EN22" s="41">
        <f t="shared" si="53"/>
        <v>2.8578208086686058E-2</v>
      </c>
      <c r="EP22" s="40"/>
    </row>
    <row r="23" spans="1:146" x14ac:dyDescent="0.25">
      <c r="A23" s="25">
        <f t="shared" si="54"/>
        <v>43509</v>
      </c>
      <c r="D23" s="40">
        <f t="shared" si="3"/>
        <v>0</v>
      </c>
      <c r="G23" s="40">
        <f t="shared" si="4"/>
        <v>0</v>
      </c>
      <c r="J23" s="40">
        <f t="shared" si="5"/>
        <v>0</v>
      </c>
      <c r="M23" s="40">
        <f t="shared" si="6"/>
        <v>0</v>
      </c>
      <c r="P23" s="40">
        <f t="shared" si="7"/>
        <v>0</v>
      </c>
      <c r="S23" s="40">
        <f t="shared" si="8"/>
        <v>0</v>
      </c>
      <c r="V23" s="40">
        <f t="shared" si="9"/>
        <v>0</v>
      </c>
      <c r="Y23" s="40">
        <f t="shared" si="10"/>
        <v>0</v>
      </c>
      <c r="AB23" s="40">
        <f t="shared" si="11"/>
        <v>0</v>
      </c>
      <c r="AE23" s="40">
        <v>0</v>
      </c>
      <c r="AH23" s="40">
        <v>0</v>
      </c>
      <c r="AI23" s="73">
        <f>13675000</f>
        <v>13675000</v>
      </c>
      <c r="AJ23" s="74">
        <v>2.7E-2</v>
      </c>
      <c r="AK23" s="40">
        <f t="shared" si="12"/>
        <v>1025.625</v>
      </c>
      <c r="AL23" s="73">
        <f t="shared" si="0"/>
        <v>30000000</v>
      </c>
      <c r="AM23" s="74">
        <v>2.9000000000000001E-2</v>
      </c>
      <c r="AN23" s="40">
        <f t="shared" si="13"/>
        <v>2416.6666666666665</v>
      </c>
      <c r="AO23" s="73">
        <f t="shared" si="1"/>
        <v>50000000</v>
      </c>
      <c r="AP23" s="74">
        <v>2.9499999999999998E-2</v>
      </c>
      <c r="AQ23" s="40">
        <f t="shared" si="14"/>
        <v>4097.2222222222226</v>
      </c>
      <c r="AR23" s="73">
        <f t="shared" si="55"/>
        <v>30000000</v>
      </c>
      <c r="AS23" s="74">
        <v>2.8299999999999999E-2</v>
      </c>
      <c r="AT23" s="40">
        <f t="shared" si="15"/>
        <v>2358.3333333333335</v>
      </c>
      <c r="AU23" s="73">
        <f t="shared" si="2"/>
        <v>375000000</v>
      </c>
      <c r="AV23" s="74">
        <v>2.8500000000000001E-2</v>
      </c>
      <c r="AW23" s="40">
        <f t="shared" si="16"/>
        <v>29687.5</v>
      </c>
      <c r="AX23" s="73"/>
      <c r="AY23" s="74"/>
      <c r="AZ23" s="40">
        <f t="shared" si="17"/>
        <v>0</v>
      </c>
      <c r="BC23" s="40">
        <f t="shared" si="18"/>
        <v>0</v>
      </c>
      <c r="BF23" s="40">
        <f t="shared" si="19"/>
        <v>0</v>
      </c>
      <c r="BI23" s="40">
        <f t="shared" si="20"/>
        <v>0</v>
      </c>
      <c r="BL23" s="40">
        <f t="shared" si="21"/>
        <v>0</v>
      </c>
      <c r="BO23" s="40">
        <f t="shared" si="22"/>
        <v>0</v>
      </c>
      <c r="BR23" s="40">
        <f t="shared" si="23"/>
        <v>0</v>
      </c>
      <c r="BU23" s="40">
        <f t="shared" si="24"/>
        <v>0</v>
      </c>
      <c r="BX23" s="40">
        <f t="shared" si="25"/>
        <v>0</v>
      </c>
      <c r="CA23" s="40">
        <f t="shared" si="26"/>
        <v>0</v>
      </c>
      <c r="CD23" s="40">
        <f t="shared" si="27"/>
        <v>0</v>
      </c>
      <c r="CG23" s="40">
        <f t="shared" si="28"/>
        <v>0</v>
      </c>
      <c r="CJ23" s="40">
        <f t="shared" si="29"/>
        <v>0</v>
      </c>
      <c r="CM23" s="40">
        <f t="shared" si="30"/>
        <v>0</v>
      </c>
      <c r="CP23" s="40">
        <f t="shared" si="31"/>
        <v>0</v>
      </c>
      <c r="CS23" s="40">
        <f t="shared" si="32"/>
        <v>0</v>
      </c>
      <c r="CV23" s="40">
        <f t="shared" si="33"/>
        <v>0</v>
      </c>
      <c r="CY23" s="40">
        <f t="shared" si="34"/>
        <v>0</v>
      </c>
      <c r="DB23" s="40">
        <f t="shared" si="35"/>
        <v>0</v>
      </c>
      <c r="DE23" s="40">
        <f t="shared" si="36"/>
        <v>0</v>
      </c>
      <c r="DH23" s="40">
        <f t="shared" si="37"/>
        <v>0</v>
      </c>
      <c r="DK23" s="40">
        <f t="shared" si="38"/>
        <v>0</v>
      </c>
      <c r="DN23" s="40">
        <f t="shared" si="39"/>
        <v>0</v>
      </c>
      <c r="DQ23" s="40">
        <f t="shared" si="40"/>
        <v>0</v>
      </c>
      <c r="DT23" s="40">
        <f t="shared" si="41"/>
        <v>0</v>
      </c>
      <c r="DW23" s="40">
        <f t="shared" si="42"/>
        <v>0</v>
      </c>
      <c r="DZ23" s="40"/>
      <c r="EA23" s="40"/>
      <c r="EB23" s="75">
        <f t="shared" si="43"/>
        <v>498675000</v>
      </c>
      <c r="EC23" s="75">
        <f t="shared" si="44"/>
        <v>0</v>
      </c>
      <c r="ED23" s="40">
        <f t="shared" si="45"/>
        <v>39585.347222222219</v>
      </c>
      <c r="EE23" s="41">
        <f t="shared" si="46"/>
        <v>2.8577179525743217E-2</v>
      </c>
      <c r="EG23" s="75">
        <f t="shared" si="47"/>
        <v>0</v>
      </c>
      <c r="EH23" s="40">
        <f t="shared" si="48"/>
        <v>0</v>
      </c>
      <c r="EI23" s="41">
        <f t="shared" si="49"/>
        <v>0</v>
      </c>
      <c r="EJ23" s="41"/>
      <c r="EK23" s="75">
        <f t="shared" si="50"/>
        <v>498675000</v>
      </c>
      <c r="EL23" s="75">
        <f t="shared" si="51"/>
        <v>0</v>
      </c>
      <c r="EM23" s="75">
        <f t="shared" si="52"/>
        <v>39585.347222222219</v>
      </c>
      <c r="EN23" s="41">
        <f t="shared" si="53"/>
        <v>2.8577179525743217E-2</v>
      </c>
      <c r="EP23" s="40"/>
    </row>
    <row r="24" spans="1:146" x14ac:dyDescent="0.25">
      <c r="A24" s="25">
        <f t="shared" si="54"/>
        <v>43510</v>
      </c>
      <c r="D24" s="40">
        <f t="shared" si="3"/>
        <v>0</v>
      </c>
      <c r="G24" s="40">
        <f t="shared" si="4"/>
        <v>0</v>
      </c>
      <c r="J24" s="40">
        <f t="shared" si="5"/>
        <v>0</v>
      </c>
      <c r="M24" s="40">
        <f t="shared" si="6"/>
        <v>0</v>
      </c>
      <c r="P24" s="40">
        <f t="shared" si="7"/>
        <v>0</v>
      </c>
      <c r="S24" s="40">
        <f t="shared" si="8"/>
        <v>0</v>
      </c>
      <c r="V24" s="40">
        <f t="shared" si="9"/>
        <v>0</v>
      </c>
      <c r="Y24" s="40">
        <f t="shared" si="10"/>
        <v>0</v>
      </c>
      <c r="AB24" s="40">
        <f t="shared" si="11"/>
        <v>0</v>
      </c>
      <c r="AE24" s="40">
        <v>0</v>
      </c>
      <c r="AH24" s="40">
        <v>0</v>
      </c>
      <c r="AI24" s="73">
        <f>30300000</f>
        <v>30300000</v>
      </c>
      <c r="AJ24" s="74">
        <v>2.7E-2</v>
      </c>
      <c r="AK24" s="40">
        <f t="shared" si="12"/>
        <v>2272.5</v>
      </c>
      <c r="AL24" s="73">
        <f t="shared" si="0"/>
        <v>30000000</v>
      </c>
      <c r="AM24" s="74">
        <v>2.9000000000000001E-2</v>
      </c>
      <c r="AN24" s="40">
        <f t="shared" si="13"/>
        <v>2416.6666666666665</v>
      </c>
      <c r="AO24" s="73"/>
      <c r="AP24" s="74"/>
      <c r="AQ24" s="40">
        <f t="shared" si="14"/>
        <v>0</v>
      </c>
      <c r="AR24" s="73">
        <f t="shared" si="55"/>
        <v>30000000</v>
      </c>
      <c r="AS24" s="74">
        <v>2.8299999999999999E-2</v>
      </c>
      <c r="AT24" s="40">
        <f t="shared" si="15"/>
        <v>2358.3333333333335</v>
      </c>
      <c r="AU24" s="73">
        <f t="shared" si="2"/>
        <v>375000000</v>
      </c>
      <c r="AV24" s="74">
        <v>2.8500000000000001E-2</v>
      </c>
      <c r="AW24" s="40">
        <f t="shared" si="16"/>
        <v>29687.5</v>
      </c>
      <c r="AX24" s="73">
        <f t="shared" ref="AX24:AX38" si="56">35000000</f>
        <v>35000000</v>
      </c>
      <c r="AY24" s="74">
        <v>2.8000000000000001E-2</v>
      </c>
      <c r="AZ24" s="40">
        <f t="shared" si="17"/>
        <v>2722.2222222222222</v>
      </c>
      <c r="BC24" s="40">
        <f t="shared" si="18"/>
        <v>0</v>
      </c>
      <c r="BF24" s="40">
        <f t="shared" si="19"/>
        <v>0</v>
      </c>
      <c r="BI24" s="40">
        <f t="shared" si="20"/>
        <v>0</v>
      </c>
      <c r="BL24" s="40">
        <f t="shared" si="21"/>
        <v>0</v>
      </c>
      <c r="BO24" s="40">
        <f t="shared" si="22"/>
        <v>0</v>
      </c>
      <c r="BR24" s="40">
        <f t="shared" si="23"/>
        <v>0</v>
      </c>
      <c r="BU24" s="40">
        <f t="shared" si="24"/>
        <v>0</v>
      </c>
      <c r="BX24" s="40">
        <f t="shared" si="25"/>
        <v>0</v>
      </c>
      <c r="CA24" s="40">
        <f t="shared" si="26"/>
        <v>0</v>
      </c>
      <c r="CD24" s="40">
        <f t="shared" si="27"/>
        <v>0</v>
      </c>
      <c r="CG24" s="40">
        <f t="shared" si="28"/>
        <v>0</v>
      </c>
      <c r="CJ24" s="40">
        <f t="shared" si="29"/>
        <v>0</v>
      </c>
      <c r="CM24" s="40">
        <f t="shared" si="30"/>
        <v>0</v>
      </c>
      <c r="CP24" s="40">
        <f t="shared" si="31"/>
        <v>0</v>
      </c>
      <c r="CS24" s="40">
        <f t="shared" si="32"/>
        <v>0</v>
      </c>
      <c r="CV24" s="40">
        <f t="shared" si="33"/>
        <v>0</v>
      </c>
      <c r="CY24" s="40">
        <f t="shared" si="34"/>
        <v>0</v>
      </c>
      <c r="DB24" s="40">
        <f t="shared" si="35"/>
        <v>0</v>
      </c>
      <c r="DE24" s="40">
        <f t="shared" si="36"/>
        <v>0</v>
      </c>
      <c r="DH24" s="40">
        <f t="shared" si="37"/>
        <v>0</v>
      </c>
      <c r="DK24" s="40">
        <f t="shared" si="38"/>
        <v>0</v>
      </c>
      <c r="DN24" s="40">
        <f t="shared" si="39"/>
        <v>0</v>
      </c>
      <c r="DQ24" s="40">
        <f t="shared" si="40"/>
        <v>0</v>
      </c>
      <c r="DT24" s="40">
        <f t="shared" si="41"/>
        <v>0</v>
      </c>
      <c r="DW24" s="40">
        <f t="shared" si="42"/>
        <v>0</v>
      </c>
      <c r="DZ24" s="40"/>
      <c r="EA24" s="40"/>
      <c r="EB24" s="75">
        <f t="shared" si="43"/>
        <v>500300000</v>
      </c>
      <c r="EC24" s="75">
        <f t="shared" si="44"/>
        <v>0</v>
      </c>
      <c r="ED24" s="40">
        <f t="shared" si="45"/>
        <v>39457.222222222219</v>
      </c>
      <c r="EE24" s="41">
        <f t="shared" si="46"/>
        <v>2.8392164701179293E-2</v>
      </c>
      <c r="EG24" s="75">
        <f t="shared" si="47"/>
        <v>0</v>
      </c>
      <c r="EH24" s="40">
        <f t="shared" si="48"/>
        <v>0</v>
      </c>
      <c r="EI24" s="41">
        <f t="shared" si="49"/>
        <v>0</v>
      </c>
      <c r="EJ24" s="41"/>
      <c r="EK24" s="75">
        <f t="shared" si="50"/>
        <v>500300000</v>
      </c>
      <c r="EL24" s="75">
        <f t="shared" si="51"/>
        <v>0</v>
      </c>
      <c r="EM24" s="75">
        <f t="shared" si="52"/>
        <v>39457.222222222219</v>
      </c>
      <c r="EN24" s="41">
        <f t="shared" si="53"/>
        <v>2.8392164701179293E-2</v>
      </c>
      <c r="EP24" s="40"/>
    </row>
    <row r="25" spans="1:146" x14ac:dyDescent="0.25">
      <c r="A25" s="25">
        <f t="shared" si="54"/>
        <v>43511</v>
      </c>
      <c r="D25" s="40">
        <f t="shared" si="3"/>
        <v>0</v>
      </c>
      <c r="G25" s="40">
        <f t="shared" si="4"/>
        <v>0</v>
      </c>
      <c r="J25" s="40">
        <f t="shared" si="5"/>
        <v>0</v>
      </c>
      <c r="M25" s="40">
        <f t="shared" si="6"/>
        <v>0</v>
      </c>
      <c r="P25" s="40">
        <f t="shared" si="7"/>
        <v>0</v>
      </c>
      <c r="S25" s="40">
        <f t="shared" si="8"/>
        <v>0</v>
      </c>
      <c r="V25" s="40">
        <f t="shared" si="9"/>
        <v>0</v>
      </c>
      <c r="Y25" s="40">
        <f t="shared" si="10"/>
        <v>0</v>
      </c>
      <c r="AB25" s="40">
        <f t="shared" si="11"/>
        <v>0</v>
      </c>
      <c r="AE25" s="40">
        <v>0</v>
      </c>
      <c r="AH25" s="40">
        <v>0</v>
      </c>
      <c r="AI25" s="73">
        <f>75300000</f>
        <v>75300000</v>
      </c>
      <c r="AJ25" s="74">
        <v>2.7E-2</v>
      </c>
      <c r="AK25" s="40">
        <f t="shared" si="12"/>
        <v>5647.5</v>
      </c>
      <c r="AL25" s="73"/>
      <c r="AM25" s="74"/>
      <c r="AN25" s="40">
        <f t="shared" si="13"/>
        <v>0</v>
      </c>
      <c r="AO25" s="73"/>
      <c r="AP25" s="74"/>
      <c r="AQ25" s="40">
        <f t="shared" si="14"/>
        <v>0</v>
      </c>
      <c r="AR25" s="73">
        <f t="shared" si="55"/>
        <v>30000000</v>
      </c>
      <c r="AS25" s="74">
        <v>2.8299999999999999E-2</v>
      </c>
      <c r="AT25" s="40">
        <f t="shared" si="15"/>
        <v>2358.3333333333335</v>
      </c>
      <c r="AU25" s="73">
        <f t="shared" si="2"/>
        <v>375000000</v>
      </c>
      <c r="AV25" s="74">
        <v>2.8500000000000001E-2</v>
      </c>
      <c r="AW25" s="40">
        <f t="shared" si="16"/>
        <v>29687.5</v>
      </c>
      <c r="AX25" s="73">
        <f t="shared" si="56"/>
        <v>35000000</v>
      </c>
      <c r="AY25" s="74">
        <v>2.8000000000000001E-2</v>
      </c>
      <c r="AZ25" s="40">
        <f t="shared" si="17"/>
        <v>2722.2222222222222</v>
      </c>
      <c r="BC25" s="40">
        <f t="shared" si="18"/>
        <v>0</v>
      </c>
      <c r="BF25" s="40">
        <f t="shared" si="19"/>
        <v>0</v>
      </c>
      <c r="BI25" s="40">
        <f t="shared" si="20"/>
        <v>0</v>
      </c>
      <c r="BL25" s="40">
        <f t="shared" si="21"/>
        <v>0</v>
      </c>
      <c r="BO25" s="40">
        <f t="shared" si="22"/>
        <v>0</v>
      </c>
      <c r="BR25" s="40">
        <f t="shared" si="23"/>
        <v>0</v>
      </c>
      <c r="BU25" s="40">
        <f t="shared" si="24"/>
        <v>0</v>
      </c>
      <c r="BX25" s="40">
        <f t="shared" si="25"/>
        <v>0</v>
      </c>
      <c r="CA25" s="40">
        <f t="shared" si="26"/>
        <v>0</v>
      </c>
      <c r="CD25" s="40">
        <f t="shared" si="27"/>
        <v>0</v>
      </c>
      <c r="CG25" s="40">
        <f t="shared" si="28"/>
        <v>0</v>
      </c>
      <c r="CJ25" s="40">
        <f t="shared" si="29"/>
        <v>0</v>
      </c>
      <c r="CM25" s="40">
        <f t="shared" si="30"/>
        <v>0</v>
      </c>
      <c r="CP25" s="40">
        <f t="shared" si="31"/>
        <v>0</v>
      </c>
      <c r="CS25" s="40">
        <f t="shared" si="32"/>
        <v>0</v>
      </c>
      <c r="CV25" s="40">
        <f t="shared" si="33"/>
        <v>0</v>
      </c>
      <c r="CY25" s="40">
        <f t="shared" si="34"/>
        <v>0</v>
      </c>
      <c r="DB25" s="40">
        <f t="shared" si="35"/>
        <v>0</v>
      </c>
      <c r="DE25" s="40">
        <f t="shared" si="36"/>
        <v>0</v>
      </c>
      <c r="DH25" s="40">
        <f t="shared" si="37"/>
        <v>0</v>
      </c>
      <c r="DK25" s="40">
        <f t="shared" si="38"/>
        <v>0</v>
      </c>
      <c r="DN25" s="40">
        <f t="shared" si="39"/>
        <v>0</v>
      </c>
      <c r="DQ25" s="40">
        <f t="shared" si="40"/>
        <v>0</v>
      </c>
      <c r="DT25" s="40">
        <f t="shared" si="41"/>
        <v>0</v>
      </c>
      <c r="DW25" s="40">
        <f t="shared" si="42"/>
        <v>0</v>
      </c>
      <c r="DZ25" s="40"/>
      <c r="EA25" s="40"/>
      <c r="EB25" s="75">
        <f t="shared" si="43"/>
        <v>515300000</v>
      </c>
      <c r="EC25" s="75">
        <f t="shared" si="44"/>
        <v>0</v>
      </c>
      <c r="ED25" s="40">
        <f t="shared" si="45"/>
        <v>40415.555555555555</v>
      </c>
      <c r="EE25" s="41">
        <f t="shared" si="46"/>
        <v>2.8235202794488649E-2</v>
      </c>
      <c r="EG25" s="75">
        <f t="shared" si="47"/>
        <v>0</v>
      </c>
      <c r="EH25" s="40">
        <f t="shared" si="48"/>
        <v>0</v>
      </c>
      <c r="EI25" s="41">
        <f t="shared" si="49"/>
        <v>0</v>
      </c>
      <c r="EJ25" s="41"/>
      <c r="EK25" s="75">
        <f t="shared" si="50"/>
        <v>515300000</v>
      </c>
      <c r="EL25" s="75">
        <f t="shared" si="51"/>
        <v>0</v>
      </c>
      <c r="EM25" s="75">
        <f t="shared" si="52"/>
        <v>40415.555555555555</v>
      </c>
      <c r="EN25" s="41">
        <f t="shared" si="53"/>
        <v>2.8235202794488649E-2</v>
      </c>
      <c r="EP25" s="40"/>
    </row>
    <row r="26" spans="1:146" x14ac:dyDescent="0.25">
      <c r="A26" s="25">
        <f t="shared" si="54"/>
        <v>43512</v>
      </c>
      <c r="D26" s="40">
        <f t="shared" si="3"/>
        <v>0</v>
      </c>
      <c r="G26" s="40">
        <f t="shared" si="4"/>
        <v>0</v>
      </c>
      <c r="J26" s="40">
        <f t="shared" si="5"/>
        <v>0</v>
      </c>
      <c r="M26" s="40">
        <f t="shared" si="6"/>
        <v>0</v>
      </c>
      <c r="P26" s="40">
        <f t="shared" si="7"/>
        <v>0</v>
      </c>
      <c r="S26" s="40">
        <f t="shared" si="8"/>
        <v>0</v>
      </c>
      <c r="V26" s="40">
        <f t="shared" si="9"/>
        <v>0</v>
      </c>
      <c r="Y26" s="40">
        <f t="shared" si="10"/>
        <v>0</v>
      </c>
      <c r="AB26" s="40">
        <f t="shared" si="11"/>
        <v>0</v>
      </c>
      <c r="AE26" s="40">
        <v>0</v>
      </c>
      <c r="AH26" s="40">
        <v>0</v>
      </c>
      <c r="AI26" s="73">
        <f>75300000</f>
        <v>75300000</v>
      </c>
      <c r="AJ26" s="74">
        <v>2.7E-2</v>
      </c>
      <c r="AK26" s="40">
        <f t="shared" si="12"/>
        <v>5647.5</v>
      </c>
      <c r="AL26" s="73"/>
      <c r="AM26" s="74"/>
      <c r="AN26" s="40">
        <f t="shared" si="13"/>
        <v>0</v>
      </c>
      <c r="AO26" s="73"/>
      <c r="AP26" s="74"/>
      <c r="AQ26" s="40">
        <f t="shared" si="14"/>
        <v>0</v>
      </c>
      <c r="AR26" s="73">
        <f t="shared" si="55"/>
        <v>30000000</v>
      </c>
      <c r="AS26" s="74">
        <v>2.8299999999999999E-2</v>
      </c>
      <c r="AT26" s="40">
        <f t="shared" si="15"/>
        <v>2358.3333333333335</v>
      </c>
      <c r="AU26" s="73">
        <f t="shared" si="2"/>
        <v>375000000</v>
      </c>
      <c r="AV26" s="74">
        <v>2.8500000000000001E-2</v>
      </c>
      <c r="AW26" s="40">
        <f t="shared" si="16"/>
        <v>29687.5</v>
      </c>
      <c r="AX26" s="73">
        <f t="shared" si="56"/>
        <v>35000000</v>
      </c>
      <c r="AY26" s="74">
        <v>2.8000000000000001E-2</v>
      </c>
      <c r="AZ26" s="40">
        <f t="shared" si="17"/>
        <v>2722.2222222222222</v>
      </c>
      <c r="BC26" s="40">
        <f t="shared" si="18"/>
        <v>0</v>
      </c>
      <c r="BF26" s="40">
        <f t="shared" si="19"/>
        <v>0</v>
      </c>
      <c r="BI26" s="40">
        <f t="shared" si="20"/>
        <v>0</v>
      </c>
      <c r="BL26" s="40">
        <f t="shared" si="21"/>
        <v>0</v>
      </c>
      <c r="BO26" s="40">
        <f t="shared" si="22"/>
        <v>0</v>
      </c>
      <c r="BR26" s="40">
        <f t="shared" si="23"/>
        <v>0</v>
      </c>
      <c r="BU26" s="40">
        <f t="shared" si="24"/>
        <v>0</v>
      </c>
      <c r="BX26" s="40">
        <f t="shared" si="25"/>
        <v>0</v>
      </c>
      <c r="CA26" s="40">
        <f t="shared" si="26"/>
        <v>0</v>
      </c>
      <c r="CD26" s="40">
        <f t="shared" si="27"/>
        <v>0</v>
      </c>
      <c r="CG26" s="40">
        <f t="shared" si="28"/>
        <v>0</v>
      </c>
      <c r="CJ26" s="40">
        <f t="shared" si="29"/>
        <v>0</v>
      </c>
      <c r="CM26" s="40">
        <f t="shared" si="30"/>
        <v>0</v>
      </c>
      <c r="CP26" s="40">
        <f t="shared" si="31"/>
        <v>0</v>
      </c>
      <c r="CS26" s="40">
        <f t="shared" si="32"/>
        <v>0</v>
      </c>
      <c r="CV26" s="40">
        <f t="shared" si="33"/>
        <v>0</v>
      </c>
      <c r="CY26" s="40">
        <f t="shared" si="34"/>
        <v>0</v>
      </c>
      <c r="DB26" s="40">
        <f t="shared" si="35"/>
        <v>0</v>
      </c>
      <c r="DE26" s="40">
        <f t="shared" si="36"/>
        <v>0</v>
      </c>
      <c r="DH26" s="40">
        <f t="shared" si="37"/>
        <v>0</v>
      </c>
      <c r="DK26" s="40">
        <f t="shared" si="38"/>
        <v>0</v>
      </c>
      <c r="DN26" s="40">
        <f t="shared" si="39"/>
        <v>0</v>
      </c>
      <c r="DQ26" s="40">
        <f t="shared" si="40"/>
        <v>0</v>
      </c>
      <c r="DT26" s="40">
        <f t="shared" si="41"/>
        <v>0</v>
      </c>
      <c r="DW26" s="40">
        <f t="shared" si="42"/>
        <v>0</v>
      </c>
      <c r="DZ26" s="40"/>
      <c r="EA26" s="40"/>
      <c r="EB26" s="75">
        <f t="shared" si="43"/>
        <v>515300000</v>
      </c>
      <c r="EC26" s="75">
        <f t="shared" si="44"/>
        <v>0</v>
      </c>
      <c r="ED26" s="40">
        <f t="shared" si="45"/>
        <v>40415.555555555555</v>
      </c>
      <c r="EE26" s="41">
        <f t="shared" si="46"/>
        <v>2.8235202794488649E-2</v>
      </c>
      <c r="EG26" s="75">
        <f t="shared" si="47"/>
        <v>0</v>
      </c>
      <c r="EH26" s="40">
        <f t="shared" si="48"/>
        <v>0</v>
      </c>
      <c r="EI26" s="41">
        <f t="shared" si="49"/>
        <v>0</v>
      </c>
      <c r="EJ26" s="41"/>
      <c r="EK26" s="75">
        <f t="shared" si="50"/>
        <v>515300000</v>
      </c>
      <c r="EL26" s="75">
        <f t="shared" si="51"/>
        <v>0</v>
      </c>
      <c r="EM26" s="75">
        <f t="shared" si="52"/>
        <v>40415.555555555555</v>
      </c>
      <c r="EN26" s="41">
        <f t="shared" si="53"/>
        <v>2.8235202794488649E-2</v>
      </c>
      <c r="EP26" s="40"/>
    </row>
    <row r="27" spans="1:146" x14ac:dyDescent="0.25">
      <c r="A27" s="25">
        <f t="shared" si="54"/>
        <v>43513</v>
      </c>
      <c r="D27" s="40">
        <f t="shared" si="3"/>
        <v>0</v>
      </c>
      <c r="G27" s="40">
        <f t="shared" si="4"/>
        <v>0</v>
      </c>
      <c r="J27" s="40">
        <f t="shared" si="5"/>
        <v>0</v>
      </c>
      <c r="M27" s="40">
        <f t="shared" si="6"/>
        <v>0</v>
      </c>
      <c r="P27" s="40">
        <f t="shared" si="7"/>
        <v>0</v>
      </c>
      <c r="S27" s="40">
        <f t="shared" si="8"/>
        <v>0</v>
      </c>
      <c r="V27" s="40">
        <f t="shared" si="9"/>
        <v>0</v>
      </c>
      <c r="Y27" s="40">
        <f t="shared" si="10"/>
        <v>0</v>
      </c>
      <c r="AB27" s="40">
        <f t="shared" si="11"/>
        <v>0</v>
      </c>
      <c r="AE27" s="40">
        <v>0</v>
      </c>
      <c r="AH27" s="40">
        <v>0</v>
      </c>
      <c r="AI27" s="73">
        <f>75300000</f>
        <v>75300000</v>
      </c>
      <c r="AJ27" s="74">
        <v>2.7E-2</v>
      </c>
      <c r="AK27" s="40">
        <f t="shared" si="12"/>
        <v>5647.5</v>
      </c>
      <c r="AL27" s="73"/>
      <c r="AM27" s="74"/>
      <c r="AN27" s="40">
        <f t="shared" si="13"/>
        <v>0</v>
      </c>
      <c r="AO27" s="73"/>
      <c r="AP27" s="74"/>
      <c r="AQ27" s="40">
        <f t="shared" si="14"/>
        <v>0</v>
      </c>
      <c r="AR27" s="73">
        <f t="shared" si="55"/>
        <v>30000000</v>
      </c>
      <c r="AS27" s="74">
        <v>2.8299999999999999E-2</v>
      </c>
      <c r="AT27" s="40">
        <f t="shared" si="15"/>
        <v>2358.3333333333335</v>
      </c>
      <c r="AU27" s="73">
        <f t="shared" si="2"/>
        <v>375000000</v>
      </c>
      <c r="AV27" s="74">
        <v>2.8500000000000001E-2</v>
      </c>
      <c r="AW27" s="40">
        <f t="shared" si="16"/>
        <v>29687.5</v>
      </c>
      <c r="AX27" s="73">
        <f t="shared" si="56"/>
        <v>35000000</v>
      </c>
      <c r="AY27" s="74">
        <v>2.8000000000000001E-2</v>
      </c>
      <c r="AZ27" s="40">
        <f t="shared" si="17"/>
        <v>2722.2222222222222</v>
      </c>
      <c r="BC27" s="40">
        <f t="shared" si="18"/>
        <v>0</v>
      </c>
      <c r="BF27" s="40">
        <f t="shared" si="19"/>
        <v>0</v>
      </c>
      <c r="BI27" s="40">
        <f t="shared" si="20"/>
        <v>0</v>
      </c>
      <c r="BL27" s="40">
        <f t="shared" si="21"/>
        <v>0</v>
      </c>
      <c r="BO27" s="40">
        <f t="shared" si="22"/>
        <v>0</v>
      </c>
      <c r="BR27" s="40">
        <f t="shared" si="23"/>
        <v>0</v>
      </c>
      <c r="BU27" s="40">
        <f t="shared" si="24"/>
        <v>0</v>
      </c>
      <c r="BX27" s="40">
        <f t="shared" si="25"/>
        <v>0</v>
      </c>
      <c r="CA27" s="40">
        <f t="shared" si="26"/>
        <v>0</v>
      </c>
      <c r="CD27" s="40">
        <f t="shared" si="27"/>
        <v>0</v>
      </c>
      <c r="CG27" s="40">
        <f t="shared" si="28"/>
        <v>0</v>
      </c>
      <c r="CJ27" s="40">
        <f t="shared" si="29"/>
        <v>0</v>
      </c>
      <c r="CM27" s="40">
        <f t="shared" si="30"/>
        <v>0</v>
      </c>
      <c r="CP27" s="40">
        <f t="shared" si="31"/>
        <v>0</v>
      </c>
      <c r="CS27" s="40">
        <f t="shared" si="32"/>
        <v>0</v>
      </c>
      <c r="CV27" s="40">
        <f t="shared" si="33"/>
        <v>0</v>
      </c>
      <c r="CY27" s="40">
        <f t="shared" si="34"/>
        <v>0</v>
      </c>
      <c r="DB27" s="40">
        <f t="shared" si="35"/>
        <v>0</v>
      </c>
      <c r="DE27" s="40">
        <f t="shared" si="36"/>
        <v>0</v>
      </c>
      <c r="DH27" s="40">
        <f t="shared" si="37"/>
        <v>0</v>
      </c>
      <c r="DK27" s="40">
        <f t="shared" si="38"/>
        <v>0</v>
      </c>
      <c r="DN27" s="40">
        <f t="shared" si="39"/>
        <v>0</v>
      </c>
      <c r="DQ27" s="40">
        <f t="shared" si="40"/>
        <v>0</v>
      </c>
      <c r="DT27" s="40">
        <f t="shared" si="41"/>
        <v>0</v>
      </c>
      <c r="DW27" s="40">
        <f t="shared" si="42"/>
        <v>0</v>
      </c>
      <c r="DZ27" s="40"/>
      <c r="EA27" s="40"/>
      <c r="EB27" s="75">
        <f t="shared" si="43"/>
        <v>515300000</v>
      </c>
      <c r="EC27" s="75">
        <f t="shared" si="44"/>
        <v>0</v>
      </c>
      <c r="ED27" s="40">
        <f t="shared" si="45"/>
        <v>40415.555555555555</v>
      </c>
      <c r="EE27" s="41">
        <f t="shared" si="46"/>
        <v>2.8235202794488649E-2</v>
      </c>
      <c r="EG27" s="75">
        <f t="shared" si="47"/>
        <v>0</v>
      </c>
      <c r="EH27" s="40">
        <f t="shared" si="48"/>
        <v>0</v>
      </c>
      <c r="EI27" s="41">
        <f t="shared" si="49"/>
        <v>0</v>
      </c>
      <c r="EJ27" s="41"/>
      <c r="EK27" s="75">
        <f t="shared" si="50"/>
        <v>515300000</v>
      </c>
      <c r="EL27" s="75">
        <f t="shared" si="51"/>
        <v>0</v>
      </c>
      <c r="EM27" s="75">
        <f t="shared" si="52"/>
        <v>40415.555555555555</v>
      </c>
      <c r="EN27" s="41">
        <f t="shared" si="53"/>
        <v>2.8235202794488649E-2</v>
      </c>
      <c r="EP27" s="40"/>
    </row>
    <row r="28" spans="1:146" x14ac:dyDescent="0.25">
      <c r="A28" s="25">
        <f t="shared" si="54"/>
        <v>43514</v>
      </c>
      <c r="D28" s="40">
        <f t="shared" si="3"/>
        <v>0</v>
      </c>
      <c r="G28" s="40">
        <f t="shared" si="4"/>
        <v>0</v>
      </c>
      <c r="J28" s="40">
        <f t="shared" si="5"/>
        <v>0</v>
      </c>
      <c r="M28" s="40">
        <f t="shared" si="6"/>
        <v>0</v>
      </c>
      <c r="P28" s="40">
        <f t="shared" si="7"/>
        <v>0</v>
      </c>
      <c r="S28" s="40">
        <f t="shared" si="8"/>
        <v>0</v>
      </c>
      <c r="V28" s="40">
        <f t="shared" si="9"/>
        <v>0</v>
      </c>
      <c r="Y28" s="40">
        <f t="shared" si="10"/>
        <v>0</v>
      </c>
      <c r="AB28" s="40">
        <f t="shared" si="11"/>
        <v>0</v>
      </c>
      <c r="AE28" s="40">
        <v>0</v>
      </c>
      <c r="AH28" s="40">
        <v>0</v>
      </c>
      <c r="AI28" s="73">
        <f>75300000</f>
        <v>75300000</v>
      </c>
      <c r="AJ28" s="74">
        <v>2.7E-2</v>
      </c>
      <c r="AK28" s="40">
        <f t="shared" si="12"/>
        <v>5647.5</v>
      </c>
      <c r="AL28" s="73"/>
      <c r="AM28" s="74"/>
      <c r="AN28" s="40">
        <f t="shared" si="13"/>
        <v>0</v>
      </c>
      <c r="AO28" s="73"/>
      <c r="AP28" s="74"/>
      <c r="AQ28" s="40">
        <f t="shared" si="14"/>
        <v>0</v>
      </c>
      <c r="AR28" s="73">
        <f t="shared" si="55"/>
        <v>30000000</v>
      </c>
      <c r="AS28" s="74">
        <v>2.8299999999999999E-2</v>
      </c>
      <c r="AT28" s="40">
        <f t="shared" si="15"/>
        <v>2358.3333333333335</v>
      </c>
      <c r="AU28" s="73">
        <f t="shared" si="2"/>
        <v>375000000</v>
      </c>
      <c r="AV28" s="74">
        <v>2.8500000000000001E-2</v>
      </c>
      <c r="AW28" s="40">
        <f t="shared" si="16"/>
        <v>29687.5</v>
      </c>
      <c r="AX28" s="73">
        <f t="shared" si="56"/>
        <v>35000000</v>
      </c>
      <c r="AY28" s="74">
        <v>2.8000000000000001E-2</v>
      </c>
      <c r="AZ28" s="40">
        <f t="shared" si="17"/>
        <v>2722.2222222222222</v>
      </c>
      <c r="BC28" s="40">
        <f t="shared" si="18"/>
        <v>0</v>
      </c>
      <c r="BF28" s="40">
        <f t="shared" si="19"/>
        <v>0</v>
      </c>
      <c r="BI28" s="40">
        <f t="shared" si="20"/>
        <v>0</v>
      </c>
      <c r="BL28" s="40">
        <f t="shared" si="21"/>
        <v>0</v>
      </c>
      <c r="BO28" s="40">
        <f t="shared" si="22"/>
        <v>0</v>
      </c>
      <c r="BR28" s="40">
        <f t="shared" si="23"/>
        <v>0</v>
      </c>
      <c r="BU28" s="40">
        <f t="shared" si="24"/>
        <v>0</v>
      </c>
      <c r="BX28" s="40">
        <f t="shared" si="25"/>
        <v>0</v>
      </c>
      <c r="CA28" s="40">
        <f t="shared" si="26"/>
        <v>0</v>
      </c>
      <c r="CD28" s="40">
        <f t="shared" si="27"/>
        <v>0</v>
      </c>
      <c r="CG28" s="40">
        <f t="shared" si="28"/>
        <v>0</v>
      </c>
      <c r="CJ28" s="40">
        <f t="shared" si="29"/>
        <v>0</v>
      </c>
      <c r="CM28" s="40">
        <f t="shared" si="30"/>
        <v>0</v>
      </c>
      <c r="CP28" s="40">
        <f t="shared" si="31"/>
        <v>0</v>
      </c>
      <c r="CS28" s="40">
        <f t="shared" si="32"/>
        <v>0</v>
      </c>
      <c r="CV28" s="40">
        <f t="shared" si="33"/>
        <v>0</v>
      </c>
      <c r="CY28" s="40">
        <f t="shared" si="34"/>
        <v>0</v>
      </c>
      <c r="DB28" s="40">
        <f t="shared" si="35"/>
        <v>0</v>
      </c>
      <c r="DE28" s="40">
        <f t="shared" si="36"/>
        <v>0</v>
      </c>
      <c r="DH28" s="40">
        <f t="shared" si="37"/>
        <v>0</v>
      </c>
      <c r="DK28" s="40">
        <f t="shared" si="38"/>
        <v>0</v>
      </c>
      <c r="DN28" s="40">
        <f t="shared" si="39"/>
        <v>0</v>
      </c>
      <c r="DQ28" s="40">
        <f t="shared" si="40"/>
        <v>0</v>
      </c>
      <c r="DT28" s="40">
        <f t="shared" si="41"/>
        <v>0</v>
      </c>
      <c r="DW28" s="40">
        <f t="shared" si="42"/>
        <v>0</v>
      </c>
      <c r="DZ28" s="40"/>
      <c r="EA28" s="40"/>
      <c r="EB28" s="75">
        <f t="shared" si="43"/>
        <v>515300000</v>
      </c>
      <c r="EC28" s="75">
        <f t="shared" si="44"/>
        <v>0</v>
      </c>
      <c r="ED28" s="40">
        <f t="shared" si="45"/>
        <v>40415.555555555555</v>
      </c>
      <c r="EE28" s="41">
        <f t="shared" si="46"/>
        <v>2.8235202794488649E-2</v>
      </c>
      <c r="EG28" s="75">
        <f t="shared" si="47"/>
        <v>0</v>
      </c>
      <c r="EH28" s="40">
        <f t="shared" si="48"/>
        <v>0</v>
      </c>
      <c r="EI28" s="41">
        <f t="shared" si="49"/>
        <v>0</v>
      </c>
      <c r="EJ28" s="41"/>
      <c r="EK28" s="75">
        <f t="shared" si="50"/>
        <v>515300000</v>
      </c>
      <c r="EL28" s="75">
        <f t="shared" si="51"/>
        <v>0</v>
      </c>
      <c r="EM28" s="75">
        <f t="shared" si="52"/>
        <v>40415.555555555555</v>
      </c>
      <c r="EN28" s="41">
        <f t="shared" si="53"/>
        <v>2.8235202794488649E-2</v>
      </c>
      <c r="EP28" s="40"/>
    </row>
    <row r="29" spans="1:146" x14ac:dyDescent="0.25">
      <c r="A29" s="25">
        <f t="shared" si="54"/>
        <v>43515</v>
      </c>
      <c r="D29" s="40">
        <f t="shared" si="3"/>
        <v>0</v>
      </c>
      <c r="G29" s="40">
        <f t="shared" si="4"/>
        <v>0</v>
      </c>
      <c r="J29" s="40">
        <f t="shared" si="5"/>
        <v>0</v>
      </c>
      <c r="M29" s="40">
        <f t="shared" si="6"/>
        <v>0</v>
      </c>
      <c r="P29" s="40">
        <f t="shared" si="7"/>
        <v>0</v>
      </c>
      <c r="S29" s="40">
        <f t="shared" si="8"/>
        <v>0</v>
      </c>
      <c r="V29" s="40">
        <f t="shared" si="9"/>
        <v>0</v>
      </c>
      <c r="Y29" s="40">
        <f t="shared" si="10"/>
        <v>0</v>
      </c>
      <c r="AB29" s="40">
        <f t="shared" si="11"/>
        <v>0</v>
      </c>
      <c r="AE29" s="40">
        <v>0</v>
      </c>
      <c r="AH29" s="40">
        <v>0</v>
      </c>
      <c r="AI29" s="73">
        <f>62200000</f>
        <v>62200000</v>
      </c>
      <c r="AJ29" s="74">
        <v>2.7E-2</v>
      </c>
      <c r="AK29" s="40">
        <f t="shared" si="12"/>
        <v>4665</v>
      </c>
      <c r="AL29" s="73"/>
      <c r="AM29" s="74"/>
      <c r="AN29" s="40">
        <f t="shared" si="13"/>
        <v>0</v>
      </c>
      <c r="AO29" s="73"/>
      <c r="AP29" s="74"/>
      <c r="AQ29" s="40">
        <f t="shared" si="14"/>
        <v>0</v>
      </c>
      <c r="AR29" s="73">
        <f t="shared" si="55"/>
        <v>30000000</v>
      </c>
      <c r="AS29" s="74">
        <v>2.8299999999999999E-2</v>
      </c>
      <c r="AT29" s="40">
        <f t="shared" si="15"/>
        <v>2358.3333333333335</v>
      </c>
      <c r="AU29" s="73">
        <f t="shared" si="2"/>
        <v>375000000</v>
      </c>
      <c r="AV29" s="74">
        <v>2.8500000000000001E-2</v>
      </c>
      <c r="AW29" s="40">
        <f t="shared" si="16"/>
        <v>29687.5</v>
      </c>
      <c r="AX29" s="73">
        <f t="shared" si="56"/>
        <v>35000000</v>
      </c>
      <c r="AY29" s="74">
        <v>2.8000000000000001E-2</v>
      </c>
      <c r="AZ29" s="40">
        <f t="shared" si="17"/>
        <v>2722.2222222222222</v>
      </c>
      <c r="BC29" s="40">
        <f t="shared" si="18"/>
        <v>0</v>
      </c>
      <c r="BF29" s="40">
        <f t="shared" si="19"/>
        <v>0</v>
      </c>
      <c r="BI29" s="40">
        <f t="shared" si="20"/>
        <v>0</v>
      </c>
      <c r="BL29" s="40">
        <f t="shared" si="21"/>
        <v>0</v>
      </c>
      <c r="BO29" s="40">
        <f t="shared" si="22"/>
        <v>0</v>
      </c>
      <c r="BR29" s="40">
        <f t="shared" si="23"/>
        <v>0</v>
      </c>
      <c r="BU29" s="40">
        <f t="shared" si="24"/>
        <v>0</v>
      </c>
      <c r="BX29" s="40">
        <f t="shared" si="25"/>
        <v>0</v>
      </c>
      <c r="CA29" s="40">
        <f t="shared" si="26"/>
        <v>0</v>
      </c>
      <c r="CD29" s="40">
        <f t="shared" si="27"/>
        <v>0</v>
      </c>
      <c r="CG29" s="40">
        <f t="shared" si="28"/>
        <v>0</v>
      </c>
      <c r="CJ29" s="40">
        <f t="shared" si="29"/>
        <v>0</v>
      </c>
      <c r="CM29" s="40">
        <f t="shared" si="30"/>
        <v>0</v>
      </c>
      <c r="CP29" s="40">
        <f t="shared" si="31"/>
        <v>0</v>
      </c>
      <c r="CS29" s="40">
        <f t="shared" si="32"/>
        <v>0</v>
      </c>
      <c r="CV29" s="40">
        <f t="shared" si="33"/>
        <v>0</v>
      </c>
      <c r="CY29" s="40">
        <f t="shared" si="34"/>
        <v>0</v>
      </c>
      <c r="DB29" s="40">
        <f t="shared" si="35"/>
        <v>0</v>
      </c>
      <c r="DE29" s="40">
        <f t="shared" si="36"/>
        <v>0</v>
      </c>
      <c r="DH29" s="40">
        <f t="shared" si="37"/>
        <v>0</v>
      </c>
      <c r="DK29" s="40">
        <f t="shared" si="38"/>
        <v>0</v>
      </c>
      <c r="DN29" s="40">
        <f t="shared" si="39"/>
        <v>0</v>
      </c>
      <c r="DQ29" s="40">
        <f t="shared" si="40"/>
        <v>0</v>
      </c>
      <c r="DT29" s="40">
        <f t="shared" si="41"/>
        <v>0</v>
      </c>
      <c r="DW29" s="40">
        <f t="shared" si="42"/>
        <v>0</v>
      </c>
      <c r="DZ29" s="40"/>
      <c r="EA29" s="40"/>
      <c r="EB29" s="75">
        <f t="shared" si="43"/>
        <v>502200000</v>
      </c>
      <c r="EC29" s="75">
        <f t="shared" si="44"/>
        <v>0</v>
      </c>
      <c r="ED29" s="40">
        <f t="shared" si="45"/>
        <v>39433.055555555555</v>
      </c>
      <c r="EE29" s="41">
        <f t="shared" si="46"/>
        <v>2.8267423337315811E-2</v>
      </c>
      <c r="EG29" s="75">
        <f t="shared" si="47"/>
        <v>0</v>
      </c>
      <c r="EH29" s="40">
        <f t="shared" si="48"/>
        <v>0</v>
      </c>
      <c r="EI29" s="41">
        <f t="shared" si="49"/>
        <v>0</v>
      </c>
      <c r="EJ29" s="41"/>
      <c r="EK29" s="75">
        <f t="shared" si="50"/>
        <v>502200000</v>
      </c>
      <c r="EL29" s="75">
        <f t="shared" si="51"/>
        <v>0</v>
      </c>
      <c r="EM29" s="75">
        <f t="shared" si="52"/>
        <v>39433.055555555555</v>
      </c>
      <c r="EN29" s="41">
        <f t="shared" si="53"/>
        <v>2.8267423337315811E-2</v>
      </c>
      <c r="EP29" s="40"/>
    </row>
    <row r="30" spans="1:146" x14ac:dyDescent="0.25">
      <c r="A30" s="25">
        <f t="shared" si="54"/>
        <v>43516</v>
      </c>
      <c r="D30" s="40">
        <f t="shared" si="3"/>
        <v>0</v>
      </c>
      <c r="G30" s="40">
        <f t="shared" si="4"/>
        <v>0</v>
      </c>
      <c r="J30" s="40">
        <f t="shared" si="5"/>
        <v>0</v>
      </c>
      <c r="M30" s="40">
        <f t="shared" si="6"/>
        <v>0</v>
      </c>
      <c r="P30" s="40">
        <f t="shared" si="7"/>
        <v>0</v>
      </c>
      <c r="S30" s="40">
        <f t="shared" si="8"/>
        <v>0</v>
      </c>
      <c r="V30" s="40">
        <f t="shared" si="9"/>
        <v>0</v>
      </c>
      <c r="Y30" s="40">
        <f t="shared" si="10"/>
        <v>0</v>
      </c>
      <c r="AB30" s="40">
        <f t="shared" si="11"/>
        <v>0</v>
      </c>
      <c r="AE30" s="40">
        <v>0</v>
      </c>
      <c r="AH30" s="40">
        <v>0</v>
      </c>
      <c r="AI30" s="73">
        <f>63075000</f>
        <v>63075000</v>
      </c>
      <c r="AJ30" s="74">
        <v>2.7E-2</v>
      </c>
      <c r="AK30" s="40">
        <f t="shared" si="12"/>
        <v>4730.625</v>
      </c>
      <c r="AL30" s="73"/>
      <c r="AM30" s="74"/>
      <c r="AN30" s="40">
        <f t="shared" si="13"/>
        <v>0</v>
      </c>
      <c r="AO30" s="73"/>
      <c r="AP30" s="74"/>
      <c r="AQ30" s="40">
        <f t="shared" si="14"/>
        <v>0</v>
      </c>
      <c r="AR30" s="73">
        <f t="shared" si="55"/>
        <v>30000000</v>
      </c>
      <c r="AS30" s="74">
        <v>2.8299999999999999E-2</v>
      </c>
      <c r="AT30" s="40">
        <f t="shared" si="15"/>
        <v>2358.3333333333335</v>
      </c>
      <c r="AU30" s="73">
        <f t="shared" si="2"/>
        <v>375000000</v>
      </c>
      <c r="AV30" s="74">
        <v>2.8500000000000001E-2</v>
      </c>
      <c r="AW30" s="40">
        <f t="shared" si="16"/>
        <v>29687.5</v>
      </c>
      <c r="AX30" s="73">
        <f t="shared" si="56"/>
        <v>35000000</v>
      </c>
      <c r="AY30" s="74">
        <v>2.8000000000000001E-2</v>
      </c>
      <c r="AZ30" s="40">
        <f t="shared" si="17"/>
        <v>2722.2222222222222</v>
      </c>
      <c r="BC30" s="40">
        <f t="shared" si="18"/>
        <v>0</v>
      </c>
      <c r="BF30" s="40">
        <f t="shared" si="19"/>
        <v>0</v>
      </c>
      <c r="BI30" s="40">
        <f t="shared" si="20"/>
        <v>0</v>
      </c>
      <c r="BL30" s="40">
        <f t="shared" si="21"/>
        <v>0</v>
      </c>
      <c r="BO30" s="40">
        <f t="shared" si="22"/>
        <v>0</v>
      </c>
      <c r="BR30" s="40">
        <f t="shared" si="23"/>
        <v>0</v>
      </c>
      <c r="BU30" s="40">
        <f t="shared" si="24"/>
        <v>0</v>
      </c>
      <c r="BX30" s="40">
        <f t="shared" si="25"/>
        <v>0</v>
      </c>
      <c r="CA30" s="40">
        <f t="shared" si="26"/>
        <v>0</v>
      </c>
      <c r="CD30" s="40">
        <f t="shared" si="27"/>
        <v>0</v>
      </c>
      <c r="CG30" s="40">
        <f t="shared" si="28"/>
        <v>0</v>
      </c>
      <c r="CJ30" s="40">
        <f t="shared" si="29"/>
        <v>0</v>
      </c>
      <c r="CM30" s="40">
        <f t="shared" si="30"/>
        <v>0</v>
      </c>
      <c r="CP30" s="40">
        <f t="shared" si="31"/>
        <v>0</v>
      </c>
      <c r="CS30" s="40">
        <f t="shared" si="32"/>
        <v>0</v>
      </c>
      <c r="CV30" s="40">
        <f t="shared" si="33"/>
        <v>0</v>
      </c>
      <c r="CY30" s="40">
        <f t="shared" si="34"/>
        <v>0</v>
      </c>
      <c r="DB30" s="40">
        <f t="shared" si="35"/>
        <v>0</v>
      </c>
      <c r="DE30" s="40">
        <f t="shared" si="36"/>
        <v>0</v>
      </c>
      <c r="DH30" s="40">
        <f t="shared" si="37"/>
        <v>0</v>
      </c>
      <c r="DK30" s="40">
        <f t="shared" si="38"/>
        <v>0</v>
      </c>
      <c r="DN30" s="40">
        <f t="shared" si="39"/>
        <v>0</v>
      </c>
      <c r="DQ30" s="40">
        <f t="shared" si="40"/>
        <v>0</v>
      </c>
      <c r="DT30" s="40">
        <f t="shared" si="41"/>
        <v>0</v>
      </c>
      <c r="DW30" s="40">
        <f t="shared" si="42"/>
        <v>0</v>
      </c>
      <c r="DZ30" s="40"/>
      <c r="EA30" s="40"/>
      <c r="EB30" s="75">
        <f t="shared" si="43"/>
        <v>503075000</v>
      </c>
      <c r="EC30" s="75">
        <f t="shared" si="44"/>
        <v>0</v>
      </c>
      <c r="ED30" s="40">
        <f t="shared" si="45"/>
        <v>39498.680555555555</v>
      </c>
      <c r="EE30" s="41">
        <f t="shared" si="46"/>
        <v>2.8265218903741986E-2</v>
      </c>
      <c r="EG30" s="75">
        <f t="shared" si="47"/>
        <v>0</v>
      </c>
      <c r="EH30" s="40">
        <f t="shared" si="48"/>
        <v>0</v>
      </c>
      <c r="EI30" s="41">
        <f t="shared" si="49"/>
        <v>0</v>
      </c>
      <c r="EJ30" s="41"/>
      <c r="EK30" s="75">
        <f t="shared" si="50"/>
        <v>503075000</v>
      </c>
      <c r="EL30" s="75">
        <f t="shared" si="51"/>
        <v>0</v>
      </c>
      <c r="EM30" s="75">
        <f t="shared" si="52"/>
        <v>39498.680555555555</v>
      </c>
      <c r="EN30" s="41">
        <f t="shared" si="53"/>
        <v>2.8265218903741986E-2</v>
      </c>
      <c r="EP30" s="40"/>
    </row>
    <row r="31" spans="1:146" x14ac:dyDescent="0.25">
      <c r="A31" s="25">
        <f t="shared" si="54"/>
        <v>43517</v>
      </c>
      <c r="D31" s="40">
        <f t="shared" si="3"/>
        <v>0</v>
      </c>
      <c r="G31" s="40">
        <f t="shared" si="4"/>
        <v>0</v>
      </c>
      <c r="J31" s="40">
        <f t="shared" si="5"/>
        <v>0</v>
      </c>
      <c r="M31" s="40">
        <f t="shared" si="6"/>
        <v>0</v>
      </c>
      <c r="P31" s="40">
        <f t="shared" si="7"/>
        <v>0</v>
      </c>
      <c r="S31" s="40">
        <f t="shared" si="8"/>
        <v>0</v>
      </c>
      <c r="V31" s="40">
        <f t="shared" si="9"/>
        <v>0</v>
      </c>
      <c r="Y31" s="40">
        <f t="shared" si="10"/>
        <v>0</v>
      </c>
      <c r="AB31" s="40">
        <f t="shared" si="11"/>
        <v>0</v>
      </c>
      <c r="AE31" s="40">
        <v>0</v>
      </c>
      <c r="AH31" s="40">
        <v>0</v>
      </c>
      <c r="AI31" s="73">
        <f>52900000</f>
        <v>52900000</v>
      </c>
      <c r="AJ31" s="74">
        <v>2.7E-2</v>
      </c>
      <c r="AK31" s="40">
        <f t="shared" si="12"/>
        <v>3967.5</v>
      </c>
      <c r="AL31" s="73"/>
      <c r="AM31" s="74"/>
      <c r="AN31" s="40">
        <f t="shared" si="13"/>
        <v>0</v>
      </c>
      <c r="AO31" s="73"/>
      <c r="AP31" s="74"/>
      <c r="AQ31" s="40">
        <f t="shared" si="14"/>
        <v>0</v>
      </c>
      <c r="AR31" s="73">
        <f t="shared" si="55"/>
        <v>30000000</v>
      </c>
      <c r="AS31" s="74">
        <v>2.8299999999999999E-2</v>
      </c>
      <c r="AT31" s="40">
        <f t="shared" si="15"/>
        <v>2358.3333333333335</v>
      </c>
      <c r="AU31" s="73">
        <f t="shared" si="2"/>
        <v>375000000</v>
      </c>
      <c r="AV31" s="74">
        <v>2.8500000000000001E-2</v>
      </c>
      <c r="AW31" s="40">
        <f t="shared" si="16"/>
        <v>29687.5</v>
      </c>
      <c r="AX31" s="73">
        <f t="shared" si="56"/>
        <v>35000000</v>
      </c>
      <c r="AY31" s="74">
        <v>2.8000000000000001E-2</v>
      </c>
      <c r="AZ31" s="40">
        <f t="shared" si="17"/>
        <v>2722.2222222222222</v>
      </c>
      <c r="BC31" s="40">
        <f t="shared" si="18"/>
        <v>0</v>
      </c>
      <c r="BF31" s="40">
        <f t="shared" si="19"/>
        <v>0</v>
      </c>
      <c r="BI31" s="40">
        <f t="shared" si="20"/>
        <v>0</v>
      </c>
      <c r="BL31" s="40">
        <f t="shared" si="21"/>
        <v>0</v>
      </c>
      <c r="BO31" s="40">
        <f t="shared" si="22"/>
        <v>0</v>
      </c>
      <c r="BR31" s="40">
        <f t="shared" si="23"/>
        <v>0</v>
      </c>
      <c r="BU31" s="40">
        <f t="shared" si="24"/>
        <v>0</v>
      </c>
      <c r="BX31" s="40">
        <f t="shared" si="25"/>
        <v>0</v>
      </c>
      <c r="CA31" s="40">
        <f t="shared" si="26"/>
        <v>0</v>
      </c>
      <c r="CD31" s="40">
        <f t="shared" si="27"/>
        <v>0</v>
      </c>
      <c r="CG31" s="40">
        <f t="shared" si="28"/>
        <v>0</v>
      </c>
      <c r="CJ31" s="40">
        <f t="shared" si="29"/>
        <v>0</v>
      </c>
      <c r="CM31" s="40">
        <f t="shared" si="30"/>
        <v>0</v>
      </c>
      <c r="CP31" s="40">
        <f t="shared" si="31"/>
        <v>0</v>
      </c>
      <c r="CS31" s="40">
        <f t="shared" si="32"/>
        <v>0</v>
      </c>
      <c r="CV31" s="40">
        <f t="shared" si="33"/>
        <v>0</v>
      </c>
      <c r="CY31" s="40">
        <f t="shared" si="34"/>
        <v>0</v>
      </c>
      <c r="DB31" s="40">
        <f t="shared" si="35"/>
        <v>0</v>
      </c>
      <c r="DE31" s="40">
        <f t="shared" si="36"/>
        <v>0</v>
      </c>
      <c r="DH31" s="40">
        <f t="shared" si="37"/>
        <v>0</v>
      </c>
      <c r="DK31" s="40">
        <f t="shared" si="38"/>
        <v>0</v>
      </c>
      <c r="DN31" s="40">
        <f t="shared" si="39"/>
        <v>0</v>
      </c>
      <c r="DQ31" s="40">
        <f t="shared" si="40"/>
        <v>0</v>
      </c>
      <c r="DT31" s="40">
        <f t="shared" si="41"/>
        <v>0</v>
      </c>
      <c r="DW31" s="40">
        <f t="shared" si="42"/>
        <v>0</v>
      </c>
      <c r="DZ31" s="40"/>
      <c r="EA31" s="40"/>
      <c r="EB31" s="75">
        <f t="shared" si="43"/>
        <v>492900000</v>
      </c>
      <c r="EC31" s="75">
        <f t="shared" si="44"/>
        <v>0</v>
      </c>
      <c r="ED31" s="40">
        <f t="shared" si="45"/>
        <v>38735.555555555555</v>
      </c>
      <c r="EE31" s="41">
        <f t="shared" si="46"/>
        <v>2.8291336985189694E-2</v>
      </c>
      <c r="EG31" s="75">
        <f t="shared" si="47"/>
        <v>0</v>
      </c>
      <c r="EH31" s="40">
        <f t="shared" si="48"/>
        <v>0</v>
      </c>
      <c r="EI31" s="41">
        <f t="shared" si="49"/>
        <v>0</v>
      </c>
      <c r="EJ31" s="41"/>
      <c r="EK31" s="75">
        <f t="shared" si="50"/>
        <v>492900000</v>
      </c>
      <c r="EL31" s="75">
        <f t="shared" si="51"/>
        <v>0</v>
      </c>
      <c r="EM31" s="75">
        <f t="shared" si="52"/>
        <v>38735.555555555555</v>
      </c>
      <c r="EN31" s="41">
        <f t="shared" si="53"/>
        <v>2.8291336985189694E-2</v>
      </c>
      <c r="EP31" s="40"/>
    </row>
    <row r="32" spans="1:146" x14ac:dyDescent="0.25">
      <c r="A32" s="25">
        <f t="shared" si="54"/>
        <v>43518</v>
      </c>
      <c r="D32" s="40">
        <f t="shared" si="3"/>
        <v>0</v>
      </c>
      <c r="G32" s="40">
        <f t="shared" si="4"/>
        <v>0</v>
      </c>
      <c r="J32" s="40">
        <f t="shared" si="5"/>
        <v>0</v>
      </c>
      <c r="M32" s="40">
        <f t="shared" si="6"/>
        <v>0</v>
      </c>
      <c r="P32" s="40">
        <f t="shared" si="7"/>
        <v>0</v>
      </c>
      <c r="S32" s="40">
        <f t="shared" si="8"/>
        <v>0</v>
      </c>
      <c r="V32" s="40">
        <f t="shared" si="9"/>
        <v>0</v>
      </c>
      <c r="Y32" s="40">
        <f t="shared" si="10"/>
        <v>0</v>
      </c>
      <c r="AB32" s="40">
        <f t="shared" si="11"/>
        <v>0</v>
      </c>
      <c r="AE32" s="40">
        <v>0</v>
      </c>
      <c r="AH32" s="40">
        <v>0</v>
      </c>
      <c r="AI32" s="73">
        <f>49525000</f>
        <v>49525000</v>
      </c>
      <c r="AJ32" s="74">
        <v>2.7E-2</v>
      </c>
      <c r="AK32" s="40">
        <f t="shared" si="12"/>
        <v>3714.375</v>
      </c>
      <c r="AL32" s="73"/>
      <c r="AM32" s="74"/>
      <c r="AN32" s="40">
        <f t="shared" si="13"/>
        <v>0</v>
      </c>
      <c r="AO32" s="73"/>
      <c r="AP32" s="74"/>
      <c r="AQ32" s="40">
        <f t="shared" si="14"/>
        <v>0</v>
      </c>
      <c r="AR32" s="73">
        <f t="shared" si="55"/>
        <v>30000000</v>
      </c>
      <c r="AS32" s="74">
        <v>2.8299999999999999E-2</v>
      </c>
      <c r="AT32" s="40">
        <f t="shared" si="15"/>
        <v>2358.3333333333335</v>
      </c>
      <c r="AU32" s="73">
        <f t="shared" si="2"/>
        <v>375000000</v>
      </c>
      <c r="AV32" s="74">
        <v>2.8500000000000001E-2</v>
      </c>
      <c r="AW32" s="40">
        <f t="shared" si="16"/>
        <v>29687.5</v>
      </c>
      <c r="AX32" s="73">
        <f t="shared" si="56"/>
        <v>35000000</v>
      </c>
      <c r="AY32" s="74">
        <v>2.8000000000000001E-2</v>
      </c>
      <c r="AZ32" s="40">
        <f t="shared" si="17"/>
        <v>2722.2222222222222</v>
      </c>
      <c r="BC32" s="40">
        <f t="shared" si="18"/>
        <v>0</v>
      </c>
      <c r="BF32" s="40">
        <f t="shared" si="19"/>
        <v>0</v>
      </c>
      <c r="BI32" s="40">
        <f t="shared" si="20"/>
        <v>0</v>
      </c>
      <c r="BL32" s="40">
        <f t="shared" si="21"/>
        <v>0</v>
      </c>
      <c r="BO32" s="40">
        <f t="shared" si="22"/>
        <v>0</v>
      </c>
      <c r="BR32" s="40">
        <f t="shared" si="23"/>
        <v>0</v>
      </c>
      <c r="BU32" s="40">
        <f t="shared" si="24"/>
        <v>0</v>
      </c>
      <c r="BX32" s="40">
        <f t="shared" si="25"/>
        <v>0</v>
      </c>
      <c r="CA32" s="40">
        <f t="shared" si="26"/>
        <v>0</v>
      </c>
      <c r="CD32" s="40">
        <f t="shared" si="27"/>
        <v>0</v>
      </c>
      <c r="CG32" s="40">
        <f t="shared" si="28"/>
        <v>0</v>
      </c>
      <c r="CJ32" s="40">
        <f t="shared" si="29"/>
        <v>0</v>
      </c>
      <c r="CM32" s="40">
        <f t="shared" si="30"/>
        <v>0</v>
      </c>
      <c r="CP32" s="40">
        <f t="shared" si="31"/>
        <v>0</v>
      </c>
      <c r="CS32" s="40">
        <f t="shared" si="32"/>
        <v>0</v>
      </c>
      <c r="CV32" s="40">
        <f t="shared" si="33"/>
        <v>0</v>
      </c>
      <c r="CY32" s="40">
        <f t="shared" si="34"/>
        <v>0</v>
      </c>
      <c r="DB32" s="40">
        <f t="shared" si="35"/>
        <v>0</v>
      </c>
      <c r="DE32" s="40">
        <f t="shared" si="36"/>
        <v>0</v>
      </c>
      <c r="DH32" s="40">
        <f t="shared" si="37"/>
        <v>0</v>
      </c>
      <c r="DK32" s="40">
        <f t="shared" si="38"/>
        <v>0</v>
      </c>
      <c r="DN32" s="40">
        <f t="shared" si="39"/>
        <v>0</v>
      </c>
      <c r="DQ32" s="40">
        <f t="shared" si="40"/>
        <v>0</v>
      </c>
      <c r="DT32" s="40">
        <f t="shared" si="41"/>
        <v>0</v>
      </c>
      <c r="DW32" s="40">
        <f t="shared" si="42"/>
        <v>0</v>
      </c>
      <c r="DZ32" s="40"/>
      <c r="EA32" s="40"/>
      <c r="EB32" s="75">
        <f t="shared" si="43"/>
        <v>489525000</v>
      </c>
      <c r="EC32" s="75">
        <f t="shared" si="44"/>
        <v>0</v>
      </c>
      <c r="ED32" s="40">
        <f t="shared" si="45"/>
        <v>38482.430555555555</v>
      </c>
      <c r="EE32" s="41">
        <f t="shared" si="46"/>
        <v>2.8300240028599152E-2</v>
      </c>
      <c r="EG32" s="75">
        <f t="shared" si="47"/>
        <v>0</v>
      </c>
      <c r="EH32" s="40">
        <f t="shared" si="48"/>
        <v>0</v>
      </c>
      <c r="EI32" s="41">
        <f t="shared" si="49"/>
        <v>0</v>
      </c>
      <c r="EJ32" s="41"/>
      <c r="EK32" s="75">
        <f t="shared" si="50"/>
        <v>489525000</v>
      </c>
      <c r="EL32" s="75">
        <f t="shared" si="51"/>
        <v>0</v>
      </c>
      <c r="EM32" s="75">
        <f t="shared" si="52"/>
        <v>38482.430555555555</v>
      </c>
      <c r="EN32" s="41">
        <f t="shared" si="53"/>
        <v>2.8300240028599152E-2</v>
      </c>
      <c r="EP32" s="40"/>
    </row>
    <row r="33" spans="1:146" x14ac:dyDescent="0.25">
      <c r="A33" s="25">
        <f t="shared" si="54"/>
        <v>43519</v>
      </c>
      <c r="D33" s="40">
        <f t="shared" si="3"/>
        <v>0</v>
      </c>
      <c r="G33" s="40">
        <f t="shared" si="4"/>
        <v>0</v>
      </c>
      <c r="J33" s="40">
        <f t="shared" si="5"/>
        <v>0</v>
      </c>
      <c r="M33" s="40">
        <f t="shared" si="6"/>
        <v>0</v>
      </c>
      <c r="P33" s="40">
        <f t="shared" si="7"/>
        <v>0</v>
      </c>
      <c r="S33" s="40">
        <f t="shared" si="8"/>
        <v>0</v>
      </c>
      <c r="V33" s="40">
        <f t="shared" si="9"/>
        <v>0</v>
      </c>
      <c r="Y33" s="40">
        <f t="shared" si="10"/>
        <v>0</v>
      </c>
      <c r="AB33" s="40">
        <f t="shared" si="11"/>
        <v>0</v>
      </c>
      <c r="AE33" s="40">
        <v>0</v>
      </c>
      <c r="AH33" s="40">
        <v>0</v>
      </c>
      <c r="AI33" s="73">
        <f>49525000</f>
        <v>49525000</v>
      </c>
      <c r="AJ33" s="74">
        <v>2.7E-2</v>
      </c>
      <c r="AK33" s="40">
        <f t="shared" si="12"/>
        <v>3714.375</v>
      </c>
      <c r="AL33" s="73"/>
      <c r="AM33" s="74"/>
      <c r="AN33" s="40">
        <f t="shared" si="13"/>
        <v>0</v>
      </c>
      <c r="AO33" s="73"/>
      <c r="AP33" s="74"/>
      <c r="AQ33" s="40">
        <f t="shared" si="14"/>
        <v>0</v>
      </c>
      <c r="AR33" s="73">
        <f t="shared" si="55"/>
        <v>30000000</v>
      </c>
      <c r="AS33" s="74">
        <v>2.8299999999999999E-2</v>
      </c>
      <c r="AT33" s="40">
        <f t="shared" si="15"/>
        <v>2358.3333333333335</v>
      </c>
      <c r="AU33" s="73">
        <f t="shared" si="2"/>
        <v>375000000</v>
      </c>
      <c r="AV33" s="74">
        <v>2.8500000000000001E-2</v>
      </c>
      <c r="AW33" s="40">
        <f t="shared" si="16"/>
        <v>29687.5</v>
      </c>
      <c r="AX33" s="73">
        <f t="shared" si="56"/>
        <v>35000000</v>
      </c>
      <c r="AY33" s="74">
        <v>2.8000000000000001E-2</v>
      </c>
      <c r="AZ33" s="40">
        <f t="shared" si="17"/>
        <v>2722.2222222222222</v>
      </c>
      <c r="BC33" s="40">
        <f t="shared" si="18"/>
        <v>0</v>
      </c>
      <c r="BF33" s="40">
        <f t="shared" si="19"/>
        <v>0</v>
      </c>
      <c r="BI33" s="40">
        <f t="shared" si="20"/>
        <v>0</v>
      </c>
      <c r="BL33" s="40">
        <f t="shared" si="21"/>
        <v>0</v>
      </c>
      <c r="BO33" s="40">
        <f t="shared" si="22"/>
        <v>0</v>
      </c>
      <c r="BR33" s="40">
        <f t="shared" si="23"/>
        <v>0</v>
      </c>
      <c r="BU33" s="40">
        <f t="shared" si="24"/>
        <v>0</v>
      </c>
      <c r="BX33" s="40">
        <f t="shared" si="25"/>
        <v>0</v>
      </c>
      <c r="CA33" s="40">
        <f t="shared" si="26"/>
        <v>0</v>
      </c>
      <c r="CD33" s="40">
        <f t="shared" si="27"/>
        <v>0</v>
      </c>
      <c r="CG33" s="40">
        <f t="shared" si="28"/>
        <v>0</v>
      </c>
      <c r="CJ33" s="40">
        <f t="shared" si="29"/>
        <v>0</v>
      </c>
      <c r="CM33" s="40">
        <f t="shared" si="30"/>
        <v>0</v>
      </c>
      <c r="CP33" s="40">
        <f t="shared" si="31"/>
        <v>0</v>
      </c>
      <c r="CS33" s="40">
        <f t="shared" si="32"/>
        <v>0</v>
      </c>
      <c r="CV33" s="40">
        <f t="shared" si="33"/>
        <v>0</v>
      </c>
      <c r="CY33" s="40">
        <f t="shared" si="34"/>
        <v>0</v>
      </c>
      <c r="DB33" s="40">
        <f t="shared" si="35"/>
        <v>0</v>
      </c>
      <c r="DE33" s="40">
        <f t="shared" si="36"/>
        <v>0</v>
      </c>
      <c r="DH33" s="40">
        <f t="shared" si="37"/>
        <v>0</v>
      </c>
      <c r="DK33" s="40">
        <f t="shared" si="38"/>
        <v>0</v>
      </c>
      <c r="DN33" s="40">
        <f t="shared" si="39"/>
        <v>0</v>
      </c>
      <c r="DQ33" s="40">
        <f t="shared" si="40"/>
        <v>0</v>
      </c>
      <c r="DT33" s="40">
        <f t="shared" si="41"/>
        <v>0</v>
      </c>
      <c r="DW33" s="40">
        <f t="shared" si="42"/>
        <v>0</v>
      </c>
      <c r="DZ33" s="40"/>
      <c r="EA33" s="40"/>
      <c r="EB33" s="75">
        <f t="shared" si="43"/>
        <v>489525000</v>
      </c>
      <c r="EC33" s="75">
        <f t="shared" si="44"/>
        <v>0</v>
      </c>
      <c r="ED33" s="40">
        <f t="shared" si="45"/>
        <v>38482.430555555555</v>
      </c>
      <c r="EE33" s="41">
        <f t="shared" si="46"/>
        <v>2.8300240028599152E-2</v>
      </c>
      <c r="EG33" s="75">
        <f t="shared" si="47"/>
        <v>0</v>
      </c>
      <c r="EH33" s="40">
        <f t="shared" si="48"/>
        <v>0</v>
      </c>
      <c r="EI33" s="41">
        <f t="shared" si="49"/>
        <v>0</v>
      </c>
      <c r="EJ33" s="41"/>
      <c r="EK33" s="75">
        <f t="shared" si="50"/>
        <v>489525000</v>
      </c>
      <c r="EL33" s="75">
        <f t="shared" si="51"/>
        <v>0</v>
      </c>
      <c r="EM33" s="75">
        <f t="shared" si="52"/>
        <v>38482.430555555555</v>
      </c>
      <c r="EN33" s="41">
        <f t="shared" si="53"/>
        <v>2.8300240028599152E-2</v>
      </c>
      <c r="EP33" s="40"/>
    </row>
    <row r="34" spans="1:146" x14ac:dyDescent="0.25">
      <c r="A34" s="25">
        <f t="shared" si="54"/>
        <v>43520</v>
      </c>
      <c r="D34" s="40">
        <f t="shared" si="3"/>
        <v>0</v>
      </c>
      <c r="G34" s="40">
        <f t="shared" si="4"/>
        <v>0</v>
      </c>
      <c r="J34" s="40">
        <f t="shared" si="5"/>
        <v>0</v>
      </c>
      <c r="M34" s="40">
        <f t="shared" si="6"/>
        <v>0</v>
      </c>
      <c r="P34" s="40">
        <f t="shared" si="7"/>
        <v>0</v>
      </c>
      <c r="S34" s="40">
        <f t="shared" si="8"/>
        <v>0</v>
      </c>
      <c r="V34" s="40">
        <f t="shared" si="9"/>
        <v>0</v>
      </c>
      <c r="Y34" s="40">
        <f t="shared" si="10"/>
        <v>0</v>
      </c>
      <c r="AB34" s="40">
        <f t="shared" si="11"/>
        <v>0</v>
      </c>
      <c r="AE34" s="40">
        <v>0</v>
      </c>
      <c r="AH34" s="40">
        <v>0</v>
      </c>
      <c r="AI34" s="73">
        <f>49525000</f>
        <v>49525000</v>
      </c>
      <c r="AJ34" s="74">
        <v>2.7E-2</v>
      </c>
      <c r="AK34" s="40">
        <f t="shared" si="12"/>
        <v>3714.375</v>
      </c>
      <c r="AL34" s="73"/>
      <c r="AM34" s="74"/>
      <c r="AN34" s="40">
        <f t="shared" si="13"/>
        <v>0</v>
      </c>
      <c r="AO34" s="73"/>
      <c r="AP34" s="74"/>
      <c r="AQ34" s="40">
        <f t="shared" si="14"/>
        <v>0</v>
      </c>
      <c r="AR34" s="73">
        <f t="shared" si="55"/>
        <v>30000000</v>
      </c>
      <c r="AS34" s="74">
        <v>2.8299999999999999E-2</v>
      </c>
      <c r="AT34" s="40">
        <f t="shared" si="15"/>
        <v>2358.3333333333335</v>
      </c>
      <c r="AU34" s="73">
        <f t="shared" si="2"/>
        <v>375000000</v>
      </c>
      <c r="AV34" s="74">
        <v>2.8500000000000001E-2</v>
      </c>
      <c r="AW34" s="40">
        <f t="shared" si="16"/>
        <v>29687.5</v>
      </c>
      <c r="AX34" s="73">
        <f t="shared" si="56"/>
        <v>35000000</v>
      </c>
      <c r="AY34" s="74">
        <v>2.8000000000000001E-2</v>
      </c>
      <c r="AZ34" s="40">
        <f t="shared" si="17"/>
        <v>2722.2222222222222</v>
      </c>
      <c r="BC34" s="40">
        <f t="shared" si="18"/>
        <v>0</v>
      </c>
      <c r="BF34" s="40">
        <f t="shared" si="19"/>
        <v>0</v>
      </c>
      <c r="BI34" s="40">
        <f t="shared" si="20"/>
        <v>0</v>
      </c>
      <c r="BL34" s="40">
        <f t="shared" si="21"/>
        <v>0</v>
      </c>
      <c r="BO34" s="40">
        <f t="shared" si="22"/>
        <v>0</v>
      </c>
      <c r="BR34" s="40">
        <f t="shared" si="23"/>
        <v>0</v>
      </c>
      <c r="BU34" s="40">
        <f t="shared" si="24"/>
        <v>0</v>
      </c>
      <c r="BX34" s="40">
        <f t="shared" si="25"/>
        <v>0</v>
      </c>
      <c r="CA34" s="40">
        <f t="shared" si="26"/>
        <v>0</v>
      </c>
      <c r="CD34" s="40">
        <f t="shared" si="27"/>
        <v>0</v>
      </c>
      <c r="CG34" s="40">
        <f t="shared" si="28"/>
        <v>0</v>
      </c>
      <c r="CJ34" s="40">
        <f t="shared" si="29"/>
        <v>0</v>
      </c>
      <c r="CM34" s="40">
        <f t="shared" si="30"/>
        <v>0</v>
      </c>
      <c r="CP34" s="40">
        <f t="shared" si="31"/>
        <v>0</v>
      </c>
      <c r="CS34" s="40">
        <f t="shared" si="32"/>
        <v>0</v>
      </c>
      <c r="CV34" s="40">
        <f t="shared" si="33"/>
        <v>0</v>
      </c>
      <c r="CY34" s="40">
        <f t="shared" si="34"/>
        <v>0</v>
      </c>
      <c r="DB34" s="40">
        <f t="shared" si="35"/>
        <v>0</v>
      </c>
      <c r="DE34" s="40">
        <f t="shared" si="36"/>
        <v>0</v>
      </c>
      <c r="DH34" s="40">
        <f t="shared" si="37"/>
        <v>0</v>
      </c>
      <c r="DK34" s="40">
        <f t="shared" si="38"/>
        <v>0</v>
      </c>
      <c r="DN34" s="40">
        <f t="shared" si="39"/>
        <v>0</v>
      </c>
      <c r="DQ34" s="40">
        <f t="shared" si="40"/>
        <v>0</v>
      </c>
      <c r="DT34" s="40">
        <f t="shared" si="41"/>
        <v>0</v>
      </c>
      <c r="DW34" s="40">
        <f t="shared" si="42"/>
        <v>0</v>
      </c>
      <c r="DZ34" s="40"/>
      <c r="EA34" s="40"/>
      <c r="EB34" s="75">
        <f t="shared" si="43"/>
        <v>489525000</v>
      </c>
      <c r="EC34" s="75">
        <f t="shared" si="44"/>
        <v>0</v>
      </c>
      <c r="ED34" s="40">
        <f t="shared" si="45"/>
        <v>38482.430555555555</v>
      </c>
      <c r="EE34" s="41">
        <f t="shared" si="46"/>
        <v>2.8300240028599152E-2</v>
      </c>
      <c r="EG34" s="75">
        <f t="shared" si="47"/>
        <v>0</v>
      </c>
      <c r="EH34" s="40">
        <f t="shared" si="48"/>
        <v>0</v>
      </c>
      <c r="EI34" s="41">
        <f t="shared" si="49"/>
        <v>0</v>
      </c>
      <c r="EJ34" s="41"/>
      <c r="EK34" s="75">
        <f t="shared" si="50"/>
        <v>489525000</v>
      </c>
      <c r="EL34" s="75">
        <f t="shared" si="51"/>
        <v>0</v>
      </c>
      <c r="EM34" s="75">
        <f t="shared" si="52"/>
        <v>38482.430555555555</v>
      </c>
      <c r="EN34" s="41">
        <f t="shared" si="53"/>
        <v>2.8300240028599152E-2</v>
      </c>
      <c r="EP34" s="40"/>
    </row>
    <row r="35" spans="1:146" x14ac:dyDescent="0.25">
      <c r="A35" s="25">
        <f t="shared" si="54"/>
        <v>43521</v>
      </c>
      <c r="D35" s="40">
        <f t="shared" si="3"/>
        <v>0</v>
      </c>
      <c r="G35" s="40">
        <f t="shared" si="4"/>
        <v>0</v>
      </c>
      <c r="J35" s="40">
        <f t="shared" si="5"/>
        <v>0</v>
      </c>
      <c r="M35" s="40">
        <f t="shared" si="6"/>
        <v>0</v>
      </c>
      <c r="P35" s="40">
        <f t="shared" si="7"/>
        <v>0</v>
      </c>
      <c r="S35" s="40">
        <f t="shared" si="8"/>
        <v>0</v>
      </c>
      <c r="V35" s="40">
        <f t="shared" si="9"/>
        <v>0</v>
      </c>
      <c r="Y35" s="40">
        <f t="shared" si="10"/>
        <v>0</v>
      </c>
      <c r="AB35" s="40">
        <f t="shared" si="11"/>
        <v>0</v>
      </c>
      <c r="AE35" s="40">
        <v>0</v>
      </c>
      <c r="AH35" s="40">
        <v>0</v>
      </c>
      <c r="AI35" s="73">
        <f>57700000</f>
        <v>57700000</v>
      </c>
      <c r="AJ35" s="74">
        <v>2.7E-2</v>
      </c>
      <c r="AK35" s="40">
        <f t="shared" si="12"/>
        <v>4327.5</v>
      </c>
      <c r="AL35" s="73"/>
      <c r="AM35" s="74"/>
      <c r="AN35" s="40">
        <f t="shared" si="13"/>
        <v>0</v>
      </c>
      <c r="AO35" s="73"/>
      <c r="AP35" s="74"/>
      <c r="AQ35" s="40">
        <f t="shared" si="14"/>
        <v>0</v>
      </c>
      <c r="AR35" s="73">
        <f t="shared" si="55"/>
        <v>30000000</v>
      </c>
      <c r="AS35" s="74">
        <v>2.8299999999999999E-2</v>
      </c>
      <c r="AT35" s="40">
        <f t="shared" si="15"/>
        <v>2358.3333333333335</v>
      </c>
      <c r="AU35" s="73">
        <f t="shared" si="2"/>
        <v>375000000</v>
      </c>
      <c r="AV35" s="74">
        <v>2.8500000000000001E-2</v>
      </c>
      <c r="AW35" s="40">
        <f t="shared" si="16"/>
        <v>29687.5</v>
      </c>
      <c r="AX35" s="73">
        <f t="shared" si="56"/>
        <v>35000000</v>
      </c>
      <c r="AY35" s="74">
        <v>2.8000000000000001E-2</v>
      </c>
      <c r="AZ35" s="40">
        <f t="shared" si="17"/>
        <v>2722.2222222222222</v>
      </c>
      <c r="BC35" s="40">
        <f t="shared" si="18"/>
        <v>0</v>
      </c>
      <c r="BF35" s="40">
        <f t="shared" si="19"/>
        <v>0</v>
      </c>
      <c r="BI35" s="40">
        <f t="shared" si="20"/>
        <v>0</v>
      </c>
      <c r="BL35" s="40">
        <f t="shared" si="21"/>
        <v>0</v>
      </c>
      <c r="BO35" s="40">
        <f t="shared" si="22"/>
        <v>0</v>
      </c>
      <c r="BR35" s="40">
        <f t="shared" si="23"/>
        <v>0</v>
      </c>
      <c r="BU35" s="40">
        <f t="shared" si="24"/>
        <v>0</v>
      </c>
      <c r="BX35" s="40">
        <f t="shared" si="25"/>
        <v>0</v>
      </c>
      <c r="CA35" s="40">
        <f t="shared" si="26"/>
        <v>0</v>
      </c>
      <c r="CD35" s="40">
        <f t="shared" si="27"/>
        <v>0</v>
      </c>
      <c r="CG35" s="40">
        <f t="shared" si="28"/>
        <v>0</v>
      </c>
      <c r="CJ35" s="40">
        <f t="shared" si="29"/>
        <v>0</v>
      </c>
      <c r="CM35" s="40">
        <f t="shared" si="30"/>
        <v>0</v>
      </c>
      <c r="CP35" s="40">
        <f t="shared" si="31"/>
        <v>0</v>
      </c>
      <c r="CS35" s="40">
        <f t="shared" si="32"/>
        <v>0</v>
      </c>
      <c r="CV35" s="40">
        <f t="shared" si="33"/>
        <v>0</v>
      </c>
      <c r="CY35" s="40">
        <f t="shared" si="34"/>
        <v>0</v>
      </c>
      <c r="DB35" s="40">
        <f t="shared" si="35"/>
        <v>0</v>
      </c>
      <c r="DE35" s="40">
        <f t="shared" si="36"/>
        <v>0</v>
      </c>
      <c r="DH35" s="40">
        <f t="shared" si="37"/>
        <v>0</v>
      </c>
      <c r="DK35" s="40">
        <f t="shared" si="38"/>
        <v>0</v>
      </c>
      <c r="DN35" s="40">
        <f t="shared" si="39"/>
        <v>0</v>
      </c>
      <c r="DQ35" s="40">
        <f t="shared" si="40"/>
        <v>0</v>
      </c>
      <c r="DT35" s="40">
        <f t="shared" si="41"/>
        <v>0</v>
      </c>
      <c r="DW35" s="40">
        <f t="shared" si="42"/>
        <v>0</v>
      </c>
      <c r="DZ35" s="40"/>
      <c r="EA35" s="40"/>
      <c r="EB35" s="75">
        <f t="shared" si="43"/>
        <v>497700000</v>
      </c>
      <c r="EC35" s="75">
        <f t="shared" si="44"/>
        <v>0</v>
      </c>
      <c r="ED35" s="40">
        <f t="shared" si="45"/>
        <v>39095.555555555555</v>
      </c>
      <c r="EE35" s="41">
        <f t="shared" si="46"/>
        <v>2.8278882861161342E-2</v>
      </c>
      <c r="EG35" s="75">
        <f t="shared" si="47"/>
        <v>0</v>
      </c>
      <c r="EH35" s="40">
        <f t="shared" si="48"/>
        <v>0</v>
      </c>
      <c r="EI35" s="41">
        <f t="shared" si="49"/>
        <v>0</v>
      </c>
      <c r="EJ35" s="41"/>
      <c r="EK35" s="75">
        <f t="shared" si="50"/>
        <v>497700000</v>
      </c>
      <c r="EL35" s="75">
        <f t="shared" si="51"/>
        <v>0</v>
      </c>
      <c r="EM35" s="75">
        <f t="shared" si="52"/>
        <v>39095.555555555555</v>
      </c>
      <c r="EN35" s="41">
        <f t="shared" si="53"/>
        <v>2.8278882861161342E-2</v>
      </c>
      <c r="EP35" s="40"/>
    </row>
    <row r="36" spans="1:146" x14ac:dyDescent="0.25">
      <c r="A36" s="25">
        <f t="shared" si="54"/>
        <v>43522</v>
      </c>
      <c r="D36" s="40">
        <f t="shared" si="3"/>
        <v>0</v>
      </c>
      <c r="G36" s="40">
        <f t="shared" si="4"/>
        <v>0</v>
      </c>
      <c r="J36" s="40">
        <f t="shared" si="5"/>
        <v>0</v>
      </c>
      <c r="M36" s="40">
        <f t="shared" si="6"/>
        <v>0</v>
      </c>
      <c r="P36" s="40">
        <f t="shared" si="7"/>
        <v>0</v>
      </c>
      <c r="S36" s="40">
        <f t="shared" si="8"/>
        <v>0</v>
      </c>
      <c r="V36" s="40">
        <f t="shared" si="9"/>
        <v>0</v>
      </c>
      <c r="Y36" s="40">
        <f t="shared" si="10"/>
        <v>0</v>
      </c>
      <c r="AB36" s="40">
        <f t="shared" si="11"/>
        <v>0</v>
      </c>
      <c r="AE36" s="40">
        <v>0</v>
      </c>
      <c r="AH36" s="40">
        <v>0</v>
      </c>
      <c r="AI36" s="73">
        <f>49125000</f>
        <v>49125000</v>
      </c>
      <c r="AJ36" s="74">
        <v>2.7E-2</v>
      </c>
      <c r="AK36" s="40">
        <f t="shared" si="12"/>
        <v>3684.375</v>
      </c>
      <c r="AL36" s="73"/>
      <c r="AM36" s="74"/>
      <c r="AN36" s="40">
        <f t="shared" si="13"/>
        <v>0</v>
      </c>
      <c r="AO36" s="73"/>
      <c r="AP36" s="74"/>
      <c r="AQ36" s="40">
        <f t="shared" si="14"/>
        <v>0</v>
      </c>
      <c r="AR36" s="73">
        <f t="shared" si="55"/>
        <v>30000000</v>
      </c>
      <c r="AS36" s="74">
        <v>2.8299999999999999E-2</v>
      </c>
      <c r="AT36" s="40">
        <f t="shared" si="15"/>
        <v>2358.3333333333335</v>
      </c>
      <c r="AU36" s="73">
        <f t="shared" si="2"/>
        <v>375000000</v>
      </c>
      <c r="AV36" s="74">
        <v>2.8500000000000001E-2</v>
      </c>
      <c r="AW36" s="40">
        <f t="shared" si="16"/>
        <v>29687.5</v>
      </c>
      <c r="AX36" s="73">
        <f t="shared" si="56"/>
        <v>35000000</v>
      </c>
      <c r="AY36" s="74">
        <v>2.8000000000000001E-2</v>
      </c>
      <c r="AZ36" s="40">
        <f t="shared" si="17"/>
        <v>2722.2222222222222</v>
      </c>
      <c r="BC36" s="40">
        <f t="shared" si="18"/>
        <v>0</v>
      </c>
      <c r="BF36" s="40">
        <f t="shared" si="19"/>
        <v>0</v>
      </c>
      <c r="BI36" s="40">
        <f t="shared" si="20"/>
        <v>0</v>
      </c>
      <c r="BL36" s="40">
        <f t="shared" si="21"/>
        <v>0</v>
      </c>
      <c r="BO36" s="40">
        <f t="shared" si="22"/>
        <v>0</v>
      </c>
      <c r="BR36" s="40">
        <f t="shared" si="23"/>
        <v>0</v>
      </c>
      <c r="BU36" s="40">
        <f t="shared" si="24"/>
        <v>0</v>
      </c>
      <c r="BX36" s="40">
        <f t="shared" si="25"/>
        <v>0</v>
      </c>
      <c r="CA36" s="40">
        <f t="shared" si="26"/>
        <v>0</v>
      </c>
      <c r="CD36" s="40">
        <f t="shared" si="27"/>
        <v>0</v>
      </c>
      <c r="CG36" s="40">
        <f t="shared" si="28"/>
        <v>0</v>
      </c>
      <c r="CJ36" s="40">
        <f t="shared" si="29"/>
        <v>0</v>
      </c>
      <c r="CM36" s="40">
        <f t="shared" si="30"/>
        <v>0</v>
      </c>
      <c r="CP36" s="40">
        <f t="shared" si="31"/>
        <v>0</v>
      </c>
      <c r="CS36" s="40">
        <f t="shared" si="32"/>
        <v>0</v>
      </c>
      <c r="CV36" s="40">
        <f t="shared" si="33"/>
        <v>0</v>
      </c>
      <c r="CY36" s="40">
        <f t="shared" si="34"/>
        <v>0</v>
      </c>
      <c r="DB36" s="40">
        <f t="shared" si="35"/>
        <v>0</v>
      </c>
      <c r="DE36" s="40">
        <f t="shared" si="36"/>
        <v>0</v>
      </c>
      <c r="DH36" s="40">
        <f t="shared" si="37"/>
        <v>0</v>
      </c>
      <c r="DK36" s="40">
        <f t="shared" si="38"/>
        <v>0</v>
      </c>
      <c r="DN36" s="40">
        <f t="shared" si="39"/>
        <v>0</v>
      </c>
      <c r="DQ36" s="40">
        <f t="shared" si="40"/>
        <v>0</v>
      </c>
      <c r="DT36" s="40">
        <f t="shared" si="41"/>
        <v>0</v>
      </c>
      <c r="DW36" s="40">
        <f t="shared" si="42"/>
        <v>0</v>
      </c>
      <c r="DZ36" s="40"/>
      <c r="EA36" s="40"/>
      <c r="EB36" s="75">
        <f t="shared" si="43"/>
        <v>489125000</v>
      </c>
      <c r="EC36" s="75">
        <f t="shared" si="44"/>
        <v>0</v>
      </c>
      <c r="ED36" s="40">
        <f t="shared" si="45"/>
        <v>38452.430555555555</v>
      </c>
      <c r="EE36" s="41">
        <f t="shared" si="46"/>
        <v>2.8301303347814978E-2</v>
      </c>
      <c r="EG36" s="75">
        <f t="shared" si="47"/>
        <v>0</v>
      </c>
      <c r="EH36" s="40">
        <f t="shared" si="48"/>
        <v>0</v>
      </c>
      <c r="EI36" s="41">
        <f t="shared" si="49"/>
        <v>0</v>
      </c>
      <c r="EJ36" s="41"/>
      <c r="EK36" s="75">
        <f t="shared" si="50"/>
        <v>489125000</v>
      </c>
      <c r="EL36" s="75">
        <f t="shared" si="51"/>
        <v>0</v>
      </c>
      <c r="EM36" s="75">
        <f t="shared" si="52"/>
        <v>38452.430555555555</v>
      </c>
      <c r="EN36" s="41">
        <f t="shared" si="53"/>
        <v>2.8301303347814978E-2</v>
      </c>
      <c r="EP36" s="40"/>
    </row>
    <row r="37" spans="1:146" x14ac:dyDescent="0.25">
      <c r="A37" s="25">
        <f t="shared" si="54"/>
        <v>43523</v>
      </c>
      <c r="D37" s="40">
        <f t="shared" si="3"/>
        <v>0</v>
      </c>
      <c r="G37" s="40">
        <f t="shared" si="4"/>
        <v>0</v>
      </c>
      <c r="J37" s="40">
        <f t="shared" si="5"/>
        <v>0</v>
      </c>
      <c r="M37" s="40">
        <f t="shared" si="6"/>
        <v>0</v>
      </c>
      <c r="P37" s="40">
        <f t="shared" si="7"/>
        <v>0</v>
      </c>
      <c r="S37" s="40">
        <f t="shared" si="8"/>
        <v>0</v>
      </c>
      <c r="V37" s="40">
        <f t="shared" si="9"/>
        <v>0</v>
      </c>
      <c r="Y37" s="40">
        <f t="shared" si="10"/>
        <v>0</v>
      </c>
      <c r="AB37" s="40">
        <f t="shared" si="11"/>
        <v>0</v>
      </c>
      <c r="AE37" s="40">
        <v>0</v>
      </c>
      <c r="AH37" s="40">
        <v>0</v>
      </c>
      <c r="AI37" s="73">
        <f>45000000</f>
        <v>45000000</v>
      </c>
      <c r="AJ37" s="74">
        <v>2.7E-2</v>
      </c>
      <c r="AK37" s="40">
        <f t="shared" si="12"/>
        <v>3375</v>
      </c>
      <c r="AL37" s="73"/>
      <c r="AM37" s="74"/>
      <c r="AN37" s="40">
        <f t="shared" si="13"/>
        <v>0</v>
      </c>
      <c r="AO37" s="73"/>
      <c r="AP37" s="74"/>
      <c r="AQ37" s="40">
        <f t="shared" si="14"/>
        <v>0</v>
      </c>
      <c r="AR37" s="73">
        <f t="shared" si="55"/>
        <v>30000000</v>
      </c>
      <c r="AS37" s="74">
        <v>2.8299999999999999E-2</v>
      </c>
      <c r="AT37" s="40">
        <f t="shared" si="15"/>
        <v>2358.3333333333335</v>
      </c>
      <c r="AU37" s="73">
        <f t="shared" si="2"/>
        <v>375000000</v>
      </c>
      <c r="AV37" s="74">
        <v>2.8500000000000001E-2</v>
      </c>
      <c r="AW37" s="40">
        <f t="shared" si="16"/>
        <v>29687.5</v>
      </c>
      <c r="AX37" s="73">
        <f t="shared" si="56"/>
        <v>35000000</v>
      </c>
      <c r="AY37" s="74">
        <v>2.8000000000000001E-2</v>
      </c>
      <c r="AZ37" s="40">
        <f t="shared" si="17"/>
        <v>2722.2222222222222</v>
      </c>
      <c r="BC37" s="40">
        <f t="shared" si="18"/>
        <v>0</v>
      </c>
      <c r="BF37" s="40">
        <f t="shared" si="19"/>
        <v>0</v>
      </c>
      <c r="BI37" s="40">
        <f t="shared" si="20"/>
        <v>0</v>
      </c>
      <c r="BL37" s="40">
        <f t="shared" si="21"/>
        <v>0</v>
      </c>
      <c r="BO37" s="40">
        <f t="shared" si="22"/>
        <v>0</v>
      </c>
      <c r="BR37" s="40">
        <f t="shared" si="23"/>
        <v>0</v>
      </c>
      <c r="BU37" s="40">
        <f t="shared" si="24"/>
        <v>0</v>
      </c>
      <c r="BX37" s="40">
        <f t="shared" si="25"/>
        <v>0</v>
      </c>
      <c r="CA37" s="40">
        <f t="shared" si="26"/>
        <v>0</v>
      </c>
      <c r="CD37" s="40">
        <f t="shared" si="27"/>
        <v>0</v>
      </c>
      <c r="CG37" s="40">
        <f t="shared" si="28"/>
        <v>0</v>
      </c>
      <c r="CJ37" s="40">
        <f t="shared" si="29"/>
        <v>0</v>
      </c>
      <c r="CM37" s="40">
        <f t="shared" si="30"/>
        <v>0</v>
      </c>
      <c r="CP37" s="40">
        <f t="shared" si="31"/>
        <v>0</v>
      </c>
      <c r="CS37" s="40">
        <f t="shared" si="32"/>
        <v>0</v>
      </c>
      <c r="CV37" s="40">
        <f t="shared" si="33"/>
        <v>0</v>
      </c>
      <c r="CY37" s="40">
        <f t="shared" si="34"/>
        <v>0</v>
      </c>
      <c r="DB37" s="40">
        <f t="shared" si="35"/>
        <v>0</v>
      </c>
      <c r="DE37" s="40">
        <f t="shared" si="36"/>
        <v>0</v>
      </c>
      <c r="DH37" s="40">
        <f t="shared" si="37"/>
        <v>0</v>
      </c>
      <c r="DK37" s="40">
        <f t="shared" si="38"/>
        <v>0</v>
      </c>
      <c r="DN37" s="40">
        <f t="shared" si="39"/>
        <v>0</v>
      </c>
      <c r="DQ37" s="40">
        <f t="shared" si="40"/>
        <v>0</v>
      </c>
      <c r="DT37" s="40">
        <f t="shared" si="41"/>
        <v>0</v>
      </c>
      <c r="DW37" s="40">
        <f t="shared" si="42"/>
        <v>0</v>
      </c>
      <c r="DZ37" s="40"/>
      <c r="EA37" s="40"/>
      <c r="EB37" s="75">
        <f t="shared" si="43"/>
        <v>485000000</v>
      </c>
      <c r="EC37" s="75">
        <f t="shared" si="44"/>
        <v>0</v>
      </c>
      <c r="ED37" s="40">
        <f t="shared" si="45"/>
        <v>38143.055555555555</v>
      </c>
      <c r="EE37" s="41">
        <f t="shared" si="46"/>
        <v>2.8312371134020617E-2</v>
      </c>
      <c r="EG37" s="75">
        <f t="shared" si="47"/>
        <v>0</v>
      </c>
      <c r="EH37" s="40">
        <f t="shared" si="48"/>
        <v>0</v>
      </c>
      <c r="EI37" s="41">
        <f t="shared" si="49"/>
        <v>0</v>
      </c>
      <c r="EJ37" s="41"/>
      <c r="EK37" s="75">
        <f t="shared" si="50"/>
        <v>485000000</v>
      </c>
      <c r="EL37" s="75">
        <f t="shared" si="51"/>
        <v>0</v>
      </c>
      <c r="EM37" s="75">
        <f t="shared" si="52"/>
        <v>38143.055555555555</v>
      </c>
      <c r="EN37" s="41">
        <f t="shared" si="53"/>
        <v>2.8312371134020617E-2</v>
      </c>
      <c r="EP37" s="40"/>
    </row>
    <row r="38" spans="1:146" x14ac:dyDescent="0.25">
      <c r="A38" s="25">
        <f t="shared" si="54"/>
        <v>43524</v>
      </c>
      <c r="D38" s="40">
        <f t="shared" si="3"/>
        <v>0</v>
      </c>
      <c r="G38" s="40">
        <f t="shared" si="4"/>
        <v>0</v>
      </c>
      <c r="J38" s="40">
        <f t="shared" si="5"/>
        <v>0</v>
      </c>
      <c r="M38" s="40">
        <f t="shared" si="6"/>
        <v>0</v>
      </c>
      <c r="P38" s="40">
        <f t="shared" si="7"/>
        <v>0</v>
      </c>
      <c r="S38" s="40">
        <f t="shared" si="8"/>
        <v>0</v>
      </c>
      <c r="V38" s="40">
        <f t="shared" si="9"/>
        <v>0</v>
      </c>
      <c r="Y38" s="40">
        <f t="shared" si="10"/>
        <v>0</v>
      </c>
      <c r="AB38" s="40">
        <f t="shared" si="11"/>
        <v>0</v>
      </c>
      <c r="AE38" s="40">
        <v>0</v>
      </c>
      <c r="AH38" s="40">
        <v>0</v>
      </c>
      <c r="AI38" s="73">
        <f>55025000</f>
        <v>55025000</v>
      </c>
      <c r="AJ38" s="74">
        <v>2.7E-2</v>
      </c>
      <c r="AK38" s="40">
        <f t="shared" si="12"/>
        <v>4126.875</v>
      </c>
      <c r="AL38" s="73"/>
      <c r="AM38" s="74"/>
      <c r="AN38" s="40">
        <f t="shared" si="13"/>
        <v>0</v>
      </c>
      <c r="AO38" s="73"/>
      <c r="AP38" s="74"/>
      <c r="AQ38" s="40">
        <f t="shared" si="14"/>
        <v>0</v>
      </c>
      <c r="AR38" s="73">
        <f t="shared" si="55"/>
        <v>30000000</v>
      </c>
      <c r="AS38" s="74">
        <v>2.8299999999999999E-2</v>
      </c>
      <c r="AT38" s="40">
        <f t="shared" si="15"/>
        <v>2358.3333333333335</v>
      </c>
      <c r="AU38" s="73">
        <f t="shared" si="2"/>
        <v>375000000</v>
      </c>
      <c r="AV38" s="74">
        <v>2.8500000000000001E-2</v>
      </c>
      <c r="AW38" s="40">
        <f t="shared" si="16"/>
        <v>29687.5</v>
      </c>
      <c r="AX38" s="73">
        <f t="shared" si="56"/>
        <v>35000000</v>
      </c>
      <c r="AY38" s="74">
        <v>2.8000000000000001E-2</v>
      </c>
      <c r="AZ38" s="40">
        <f t="shared" si="17"/>
        <v>2722.2222222222222</v>
      </c>
      <c r="BC38" s="40">
        <f t="shared" si="18"/>
        <v>0</v>
      </c>
      <c r="BF38" s="40">
        <f t="shared" si="19"/>
        <v>0</v>
      </c>
      <c r="BI38" s="40">
        <f t="shared" si="20"/>
        <v>0</v>
      </c>
      <c r="BL38" s="40">
        <f t="shared" si="21"/>
        <v>0</v>
      </c>
      <c r="BO38" s="40">
        <f t="shared" si="22"/>
        <v>0</v>
      </c>
      <c r="BR38" s="40">
        <f t="shared" si="23"/>
        <v>0</v>
      </c>
      <c r="BU38" s="40">
        <f t="shared" si="24"/>
        <v>0</v>
      </c>
      <c r="BX38" s="40">
        <f t="shared" si="25"/>
        <v>0</v>
      </c>
      <c r="CA38" s="40">
        <f t="shared" si="26"/>
        <v>0</v>
      </c>
      <c r="CD38" s="40">
        <f t="shared" si="27"/>
        <v>0</v>
      </c>
      <c r="CG38" s="40">
        <f t="shared" si="28"/>
        <v>0</v>
      </c>
      <c r="CJ38" s="40">
        <f t="shared" si="29"/>
        <v>0</v>
      </c>
      <c r="CM38" s="40">
        <f t="shared" si="30"/>
        <v>0</v>
      </c>
      <c r="CP38" s="40">
        <f t="shared" si="31"/>
        <v>0</v>
      </c>
      <c r="CS38" s="40">
        <f t="shared" si="32"/>
        <v>0</v>
      </c>
      <c r="CV38" s="40">
        <f t="shared" si="33"/>
        <v>0</v>
      </c>
      <c r="CY38" s="40">
        <f t="shared" si="34"/>
        <v>0</v>
      </c>
      <c r="DB38" s="40">
        <f t="shared" si="35"/>
        <v>0</v>
      </c>
      <c r="DE38" s="40">
        <f t="shared" si="36"/>
        <v>0</v>
      </c>
      <c r="DH38" s="40">
        <f t="shared" si="37"/>
        <v>0</v>
      </c>
      <c r="DK38" s="40">
        <f t="shared" si="38"/>
        <v>0</v>
      </c>
      <c r="DN38" s="40">
        <f t="shared" si="39"/>
        <v>0</v>
      </c>
      <c r="DQ38" s="40">
        <f t="shared" si="40"/>
        <v>0</v>
      </c>
      <c r="DT38" s="40">
        <f t="shared" si="41"/>
        <v>0</v>
      </c>
      <c r="DW38" s="40">
        <f t="shared" si="42"/>
        <v>0</v>
      </c>
      <c r="DZ38" s="40"/>
      <c r="EA38" s="40"/>
      <c r="EB38" s="75">
        <f t="shared" si="43"/>
        <v>495025000</v>
      </c>
      <c r="EC38" s="75">
        <f t="shared" si="44"/>
        <v>0</v>
      </c>
      <c r="ED38" s="40">
        <f t="shared" si="45"/>
        <v>38894.930555555555</v>
      </c>
      <c r="EE38" s="41">
        <f t="shared" si="46"/>
        <v>2.8285793646785514E-2</v>
      </c>
      <c r="EG38" s="75">
        <f t="shared" si="47"/>
        <v>0</v>
      </c>
      <c r="EH38" s="40">
        <f t="shared" si="48"/>
        <v>0</v>
      </c>
      <c r="EI38" s="41">
        <f t="shared" si="49"/>
        <v>0</v>
      </c>
      <c r="EJ38" s="41"/>
      <c r="EK38" s="75">
        <f t="shared" si="50"/>
        <v>495025000</v>
      </c>
      <c r="EL38" s="75">
        <f t="shared" si="51"/>
        <v>0</v>
      </c>
      <c r="EM38" s="75">
        <f t="shared" si="52"/>
        <v>38894.930555555555</v>
      </c>
      <c r="EN38" s="41">
        <f t="shared" si="53"/>
        <v>2.8285793646785514E-2</v>
      </c>
      <c r="EP38" s="40"/>
    </row>
    <row r="39" spans="1:146" x14ac:dyDescent="0.25">
      <c r="A39" s="76" t="s">
        <v>75</v>
      </c>
      <c r="D39" s="77">
        <f>SUM(D11:D38)</f>
        <v>0</v>
      </c>
      <c r="G39" s="77">
        <f>SUM(G11:G38)</f>
        <v>0</v>
      </c>
      <c r="J39" s="77">
        <f>SUM(J11:J38)</f>
        <v>0</v>
      </c>
      <c r="M39" s="77">
        <f>SUM(M11:M38)</f>
        <v>0</v>
      </c>
      <c r="P39" s="77">
        <f>SUM(P11:P38)</f>
        <v>0</v>
      </c>
      <c r="S39" s="77">
        <f>SUM(S11:S38)</f>
        <v>0</v>
      </c>
      <c r="V39" s="77">
        <f>SUM(V11:V38)</f>
        <v>0</v>
      </c>
      <c r="Y39" s="77">
        <f>SUM(Y11:Y38)</f>
        <v>0</v>
      </c>
      <c r="AB39" s="77">
        <f>SUM(AB11:AB38)</f>
        <v>0</v>
      </c>
      <c r="AE39" s="77">
        <f>SUM(AE11:AE38)</f>
        <v>0</v>
      </c>
      <c r="AH39" s="77">
        <f>SUM(AH11:AH38)</f>
        <v>0</v>
      </c>
      <c r="AK39" s="77">
        <f>SUM(AK11:AK38)</f>
        <v>100395</v>
      </c>
      <c r="AN39" s="77">
        <f>SUM(AN11:AN38)</f>
        <v>33833.333333333336</v>
      </c>
      <c r="AQ39" s="77">
        <f>SUM(AQ11:AQ38)</f>
        <v>53263.888888888876</v>
      </c>
      <c r="AT39" s="77">
        <f>SUM(AT11:AT38)</f>
        <v>68975.000000000015</v>
      </c>
      <c r="AW39" s="77">
        <f>SUM(AW11:AW38)</f>
        <v>831250</v>
      </c>
      <c r="AZ39" s="77">
        <f>SUM(AZ11:AZ38)</f>
        <v>40833.333333333328</v>
      </c>
      <c r="BC39" s="77">
        <f>SUM(BC11:BC38)</f>
        <v>0</v>
      </c>
      <c r="BF39" s="77">
        <f>SUM(BF11:BF38)</f>
        <v>0</v>
      </c>
      <c r="BI39" s="77">
        <f>SUM(BI11:BI38)</f>
        <v>0</v>
      </c>
      <c r="BL39" s="77">
        <f>SUM(BL11:BL38)</f>
        <v>0</v>
      </c>
      <c r="BO39" s="77">
        <f>SUM(BO11:BO38)</f>
        <v>0</v>
      </c>
      <c r="BR39" s="77">
        <f>SUM(BR11:BR38)</f>
        <v>0</v>
      </c>
      <c r="BU39" s="77">
        <f>SUM(BU11:BU38)</f>
        <v>0</v>
      </c>
      <c r="BX39" s="77">
        <f>SUM(BX11:BX38)</f>
        <v>0</v>
      </c>
      <c r="CA39" s="77">
        <f>SUM(CA11:CA38)</f>
        <v>0</v>
      </c>
      <c r="CD39" s="77">
        <f>SUM(CD11:CD38)</f>
        <v>0</v>
      </c>
      <c r="CG39" s="77">
        <f>SUM(CG11:CG38)</f>
        <v>0</v>
      </c>
      <c r="CJ39" s="77">
        <f>SUM(CJ11:CJ38)</f>
        <v>0</v>
      </c>
      <c r="CM39" s="77">
        <f>SUM(CM11:CM38)</f>
        <v>0</v>
      </c>
      <c r="CP39" s="77">
        <f>SUM(CP11:CP38)</f>
        <v>0</v>
      </c>
      <c r="CS39" s="77">
        <f>SUM(CS11:CS38)</f>
        <v>0</v>
      </c>
      <c r="CV39" s="77">
        <f>SUM(CV11:CV38)</f>
        <v>0</v>
      </c>
      <c r="CY39" s="77">
        <f>SUM(CY11:CY38)</f>
        <v>0</v>
      </c>
      <c r="DB39" s="77">
        <f>SUM(DB11:DB38)</f>
        <v>0</v>
      </c>
      <c r="DE39" s="77">
        <f>SUM(DE11:DE38)</f>
        <v>0</v>
      </c>
      <c r="DH39" s="77">
        <f>SUM(DH11:DH38)</f>
        <v>0</v>
      </c>
      <c r="DK39" s="77">
        <f>SUM(DK11:DK38)</f>
        <v>0</v>
      </c>
      <c r="DN39" s="77">
        <f>SUM(DN11:DN38)</f>
        <v>0</v>
      </c>
      <c r="DQ39" s="77">
        <f>SUM(DQ11:DQ38)</f>
        <v>0</v>
      </c>
      <c r="DT39" s="77">
        <f>SUM(DT11:DT38)</f>
        <v>0</v>
      </c>
      <c r="DW39" s="77">
        <f>SUM(DW11:DW38)</f>
        <v>0</v>
      </c>
      <c r="DZ39" s="38"/>
      <c r="EA39" s="38"/>
      <c r="EB39" s="40"/>
      <c r="EC39" s="40"/>
      <c r="ED39" s="77">
        <f>SUM(ED11:ED38)</f>
        <v>1128550.555555555</v>
      </c>
      <c r="EE39" s="41"/>
      <c r="EG39" s="40"/>
      <c r="EH39" s="77">
        <f>SUM(EH11:EH38)</f>
        <v>0</v>
      </c>
      <c r="EI39" s="41"/>
      <c r="EJ39" s="41"/>
      <c r="EK39" s="40"/>
      <c r="EL39" s="40"/>
      <c r="EM39" s="77">
        <f>SUM(EM11:EM38)</f>
        <v>1128550.555555555</v>
      </c>
      <c r="EN39" s="41"/>
    </row>
    <row r="42" spans="1:146" x14ac:dyDescent="0.25">
      <c r="EM42" s="78"/>
    </row>
    <row r="44" spans="1:146" x14ac:dyDescent="0.25">
      <c r="EM44" s="4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EQ46"/>
  <sheetViews>
    <sheetView workbookViewId="0">
      <selection activeCell="AM29" sqref="AM29"/>
    </sheetView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285156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EB41</f>
        <v>54750000</v>
      </c>
      <c r="EI2" s="38">
        <f>EG40</f>
        <v>0</v>
      </c>
      <c r="EM2" s="38"/>
      <c r="EN2" s="38">
        <f>EK41</f>
        <v>54750000</v>
      </c>
      <c r="EO2" s="31">
        <v>0</v>
      </c>
      <c r="EP2" s="31">
        <v>0</v>
      </c>
      <c r="EQ2" s="31">
        <f>EE2+EO2</f>
        <v>54750000</v>
      </c>
    </row>
    <row r="3" spans="1:147" ht="16.5" thickTop="1" x14ac:dyDescent="0.25">
      <c r="A3" s="39" t="s">
        <v>169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AVERAGE(EB11:EB41)</f>
        <v>116906451.61290322</v>
      </c>
      <c r="EI3" s="38">
        <f>AVERAGE(EG11:EG40)</f>
        <v>0</v>
      </c>
      <c r="EM3" s="38"/>
      <c r="EN3" s="38">
        <f>AVERAGE(EK11:EK41)</f>
        <v>116906451.61290322</v>
      </c>
    </row>
    <row r="4" spans="1:147" x14ac:dyDescent="0.25">
      <c r="D4" s="24"/>
      <c r="E4" s="48" t="s">
        <v>98</v>
      </c>
      <c r="F4" s="38"/>
      <c r="G4" s="49">
        <f>EQ2</f>
        <v>54750000</v>
      </c>
      <c r="AI4" s="50" t="s">
        <v>102</v>
      </c>
      <c r="EB4" s="24" t="s">
        <v>103</v>
      </c>
      <c r="EC4" s="24"/>
      <c r="ED4" s="46"/>
      <c r="EE4" s="46">
        <f>IF(EE3=0,0,360*(AVERAGE(ED11:ED41)/EE3))</f>
        <v>2.7878149057697078E-2</v>
      </c>
      <c r="EI4" s="46">
        <f>IF(EI3=0,0,360*(AVERAGE(EH11:EH40)/EI3))</f>
        <v>0</v>
      </c>
      <c r="EM4" s="46"/>
      <c r="EN4" s="46">
        <f>IF(EN3=0,0,360*(AVERAGE(EM11:EM41)/EN3))</f>
        <v>2.7878149057697078E-2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116906451.61290322</v>
      </c>
      <c r="AI5" s="53" t="s">
        <v>93</v>
      </c>
      <c r="EB5" s="54" t="s">
        <v>105</v>
      </c>
      <c r="EC5" s="54"/>
      <c r="ED5" s="38"/>
      <c r="EE5" s="38">
        <f>MAX(EB11:EB41)</f>
        <v>506375000</v>
      </c>
      <c r="EI5" s="38">
        <f>MAX(EG11:EG40)</f>
        <v>0</v>
      </c>
      <c r="EM5" s="38"/>
      <c r="EN5" s="38">
        <f>MAX(EK11:EK41)</f>
        <v>506375000</v>
      </c>
    </row>
    <row r="6" spans="1:147" x14ac:dyDescent="0.25">
      <c r="D6" s="24"/>
      <c r="E6" s="48" t="s">
        <v>103</v>
      </c>
      <c r="F6" s="38"/>
      <c r="G6" s="55">
        <f>EE4</f>
        <v>2.7878149057697078E-2</v>
      </c>
    </row>
    <row r="7" spans="1:147" ht="16.5" thickBot="1" x14ac:dyDescent="0.3">
      <c r="D7" s="24"/>
      <c r="E7" s="56" t="s">
        <v>105</v>
      </c>
      <c r="F7" s="57"/>
      <c r="G7" s="58">
        <f>EE5</f>
        <v>506375000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43525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73">
        <f>66375000</f>
        <v>66375000</v>
      </c>
      <c r="AJ11" s="74">
        <v>2.7E-2</v>
      </c>
      <c r="AK11" s="40">
        <f>(AI11*AJ11)/360</f>
        <v>4978.125</v>
      </c>
      <c r="AL11" s="73">
        <f>35000000</f>
        <v>35000000</v>
      </c>
      <c r="AM11" s="74">
        <v>2.8000000000000001E-2</v>
      </c>
      <c r="AN11" s="40">
        <f>(AL11*AM11)/360</f>
        <v>2722.2222222222222</v>
      </c>
      <c r="AO11" s="73">
        <f>30000000</f>
        <v>30000000</v>
      </c>
      <c r="AP11" s="74">
        <v>2.8299999999999999E-2</v>
      </c>
      <c r="AQ11" s="40">
        <f>(AO11*AP11)/360</f>
        <v>2358.3333333333335</v>
      </c>
      <c r="AR11" s="73">
        <f>130000000+120000000+125000000</f>
        <v>375000000</v>
      </c>
      <c r="AS11" s="74">
        <v>2.8500000000000001E-2</v>
      </c>
      <c r="AT11" s="40">
        <f>(AR11*AS11)/360</f>
        <v>29687.5</v>
      </c>
      <c r="AW11" s="40">
        <f>(AU11*AV11)/360</f>
        <v>0</v>
      </c>
      <c r="AZ11" s="40">
        <f>(AX11*AY11)/360</f>
        <v>0</v>
      </c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506375000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39746.180555555555</v>
      </c>
      <c r="EE11" s="41">
        <f>IF(EB11&lt;&gt;0,((ED11/EB11)*360),0)</f>
        <v>2.8256973586768697E-2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506375000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39746.180555555555</v>
      </c>
      <c r="EN11" s="41">
        <f>IF(EK11&lt;&gt;0,((EM11/EK11)*360),0)</f>
        <v>2.8256973586768697E-2</v>
      </c>
      <c r="EP11" s="40"/>
    </row>
    <row r="12" spans="1:147" x14ac:dyDescent="0.25">
      <c r="A12" s="25">
        <f>1+A11</f>
        <v>43526</v>
      </c>
      <c r="D12" s="40">
        <f t="shared" ref="D12:D41" si="0">(B12*C12)/360</f>
        <v>0</v>
      </c>
      <c r="G12" s="40">
        <f t="shared" ref="G12:G41" si="1">(E12*F12)/360</f>
        <v>0</v>
      </c>
      <c r="J12" s="40">
        <f t="shared" ref="J12:J41" si="2">(H12*I12)/360</f>
        <v>0</v>
      </c>
      <c r="M12" s="40">
        <f t="shared" ref="M12:M41" si="3">(K12*L12)/360</f>
        <v>0</v>
      </c>
      <c r="P12" s="40">
        <f t="shared" ref="P12:P41" si="4">(N12*O12)/360</f>
        <v>0</v>
      </c>
      <c r="S12" s="40">
        <f t="shared" ref="S12:S41" si="5">(Q12*R12)/360</f>
        <v>0</v>
      </c>
      <c r="V12" s="40">
        <f t="shared" ref="V12:V41" si="6">(T12*U12)/360</f>
        <v>0</v>
      </c>
      <c r="Y12" s="40">
        <f t="shared" ref="Y12:Y41" si="7">(W12*X12)/360</f>
        <v>0</v>
      </c>
      <c r="AB12" s="40">
        <f t="shared" ref="AB12:AB41" si="8">(Z12*AA12)/360</f>
        <v>0</v>
      </c>
      <c r="AE12" s="40">
        <v>0</v>
      </c>
      <c r="AH12" s="40">
        <v>0</v>
      </c>
      <c r="AI12" s="73">
        <f>66375000</f>
        <v>66375000</v>
      </c>
      <c r="AJ12" s="74">
        <v>2.7E-2</v>
      </c>
      <c r="AK12" s="40">
        <f t="shared" ref="AK12:AK41" si="9">(AI12*AJ12)/360</f>
        <v>4978.125</v>
      </c>
      <c r="AL12" s="73">
        <f>35000000</f>
        <v>35000000</v>
      </c>
      <c r="AM12" s="74">
        <v>2.8000000000000001E-2</v>
      </c>
      <c r="AN12" s="40">
        <f t="shared" ref="AN12:AN41" si="10">(AL12*AM12)/360</f>
        <v>2722.2222222222222</v>
      </c>
      <c r="AO12" s="73">
        <f>30000000</f>
        <v>30000000</v>
      </c>
      <c r="AP12" s="74">
        <v>2.8299999999999999E-2</v>
      </c>
      <c r="AQ12" s="40">
        <f t="shared" ref="AQ12:AQ41" si="11">(AO12*AP12)/360</f>
        <v>2358.3333333333335</v>
      </c>
      <c r="AR12" s="73">
        <f>130000000+120000000+125000000</f>
        <v>375000000</v>
      </c>
      <c r="AS12" s="74">
        <v>2.8500000000000001E-2</v>
      </c>
      <c r="AT12" s="40">
        <f t="shared" ref="AT12:AT41" si="12">(AR12*AS12)/360</f>
        <v>29687.5</v>
      </c>
      <c r="AW12" s="40">
        <f t="shared" ref="AW12:AW41" si="13">(AU12*AV12)/360</f>
        <v>0</v>
      </c>
      <c r="AZ12" s="40">
        <f t="shared" ref="AZ12:AZ41" si="14">(AX12*AY12)/360</f>
        <v>0</v>
      </c>
      <c r="BC12" s="40">
        <f t="shared" ref="BC12:BC41" si="15">(BA12*BB12)/360</f>
        <v>0</v>
      </c>
      <c r="BF12" s="40">
        <f t="shared" ref="BF12:BF41" si="16">(BD12*BE12)/360</f>
        <v>0</v>
      </c>
      <c r="BI12" s="40">
        <f t="shared" ref="BI12:BI41" si="17">(BG12*BH12)/360</f>
        <v>0</v>
      </c>
      <c r="BL12" s="40">
        <f t="shared" ref="BL12:BL41" si="18">(BJ12*BK12)/360</f>
        <v>0</v>
      </c>
      <c r="BO12" s="40">
        <f t="shared" ref="BO12:BO41" si="19">(BM12*BN12)/360</f>
        <v>0</v>
      </c>
      <c r="BR12" s="40">
        <f t="shared" ref="BR12:BR41" si="20">(BP12*BQ12)/360</f>
        <v>0</v>
      </c>
      <c r="BU12" s="40">
        <f t="shared" ref="BU12:BU41" si="21">(BS12*BT12)/360</f>
        <v>0</v>
      </c>
      <c r="BX12" s="40">
        <f t="shared" ref="BX12:BX41" si="22">(BV12*BW12)/360</f>
        <v>0</v>
      </c>
      <c r="CA12" s="40">
        <f t="shared" ref="CA12:CA41" si="23">(BY12*BZ12)/360</f>
        <v>0</v>
      </c>
      <c r="CD12" s="40">
        <f t="shared" ref="CD12:CD41" si="24">(CB12*CC12)/360</f>
        <v>0</v>
      </c>
      <c r="CG12" s="40">
        <f t="shared" ref="CG12:CG41" si="25">(CE12*CF12)/360</f>
        <v>0</v>
      </c>
      <c r="CJ12" s="40">
        <f t="shared" ref="CJ12:CJ41" si="26">(CH12*CI12)/360</f>
        <v>0</v>
      </c>
      <c r="CM12" s="40">
        <f t="shared" ref="CM12:CM41" si="27">(CK12*CL12)/360</f>
        <v>0</v>
      </c>
      <c r="CP12" s="40">
        <f t="shared" ref="CP12:CP41" si="28">(CN12*CO12)/360</f>
        <v>0</v>
      </c>
      <c r="CS12" s="40">
        <f t="shared" ref="CS12:CS41" si="29">(CQ12*CR12)/360</f>
        <v>0</v>
      </c>
      <c r="CV12" s="40">
        <f t="shared" ref="CV12:CV41" si="30">(CT12*CU12)/360</f>
        <v>0</v>
      </c>
      <c r="CY12" s="40">
        <f t="shared" ref="CY12:CY41" si="31">(CW12*CX12)/360</f>
        <v>0</v>
      </c>
      <c r="DB12" s="40">
        <f t="shared" ref="DB12:DB41" si="32">(CZ12*DA12)/360</f>
        <v>0</v>
      </c>
      <c r="DE12" s="40">
        <f t="shared" ref="DE12:DE41" si="33">(DC12*DD12)/360</f>
        <v>0</v>
      </c>
      <c r="DH12" s="40">
        <f t="shared" ref="DH12:DH41" si="34">(DF12*DG12)/360</f>
        <v>0</v>
      </c>
      <c r="DK12" s="40">
        <f t="shared" ref="DK12:DK41" si="35">(DI12*DJ12)/360</f>
        <v>0</v>
      </c>
      <c r="DN12" s="40">
        <f t="shared" ref="DN12:DN41" si="36">(DL12*DM12)/360</f>
        <v>0</v>
      </c>
      <c r="DQ12" s="40">
        <f t="shared" ref="DQ12:DQ41" si="37">(DO12*DP12)/360</f>
        <v>0</v>
      </c>
      <c r="DT12" s="40">
        <f t="shared" ref="DT12:DT41" si="38">(DR12*DS12)/360</f>
        <v>0</v>
      </c>
      <c r="DW12" s="40">
        <f t="shared" ref="DW12:DW41" si="39">(DU12*DV12)/360</f>
        <v>0</v>
      </c>
      <c r="DZ12" s="40"/>
      <c r="EA12" s="40"/>
      <c r="EB12" s="75">
        <f t="shared" ref="EB12:EB41" si="40">B12+E12+H12+K12+N12+Q12+T12+W12+Z12+AC12+AF12+AL12+AO12+AR12+AU12+AX12+BA12+BD12+BG12+DU12+AI12+DR12+DO12+DL12+DI12+DF12+DC12+CZ12+CW12+CT12+CQ12+CN12+CK12+CH12+CE12+CB12+BY12+BV12+BS12+BP12+BM12+BJ12</f>
        <v>506375000</v>
      </c>
      <c r="EC12" s="75">
        <f t="shared" ref="EC12:EC41" si="41">EB12-EK12+EL12</f>
        <v>0</v>
      </c>
      <c r="ED12" s="40">
        <f t="shared" ref="ED12:ED41" si="42">D12+G12+J12+M12+P12+S12+V12+Y12+AB12+AE12+AH12+AK12+AN12+AQ12+AT12+AW12+AZ12+BC12+BF12+BI12+DW12+DT12+DQ12+DN12+DK12+DH12+DE12+DB12+CY12+CV12+CS12+CP12+CM12+CJ12+CG12+CD12+CA12+BX12+BU12+BR12+BO12+BL12</f>
        <v>39746.180555555555</v>
      </c>
      <c r="EE12" s="41">
        <f t="shared" ref="EE12:EE41" si="43">IF(EB12&lt;&gt;0,((ED12/EB12)*360),0)</f>
        <v>2.8256973586768697E-2</v>
      </c>
      <c r="EG12" s="75">
        <f t="shared" ref="EG12:EG41" si="44">Q12+T12+W12+Z12+AC12+AF12</f>
        <v>0</v>
      </c>
      <c r="EH12" s="40">
        <f t="shared" ref="EH12:EH41" si="45">S12+V12+Y12+AB12+AE12+AH12</f>
        <v>0</v>
      </c>
      <c r="EI12" s="41">
        <f t="shared" ref="EI12:EI41" si="46">IF(EG12&lt;&gt;0,((EH12/EG12)*360),0)</f>
        <v>0</v>
      </c>
      <c r="EJ12" s="41"/>
      <c r="EK12" s="75">
        <f t="shared" ref="EK12:EK41" si="47">DR12+DL12+DI12+DF12+DC12+CZ12+CW12+CT12+CQ12+CN12+CK12+CH12+CE12+CB12+BY12+BV12+BS12+BP12+BM12+BJ12+BG12+BD12+BA12+AX12+AU12+AR12+AO12+AL12+AI12+DO12</f>
        <v>506375000</v>
      </c>
      <c r="EL12" s="75">
        <f t="shared" ref="EL12:EL41" si="48">DX12</f>
        <v>0</v>
      </c>
      <c r="EM12" s="75">
        <f t="shared" ref="EM12:EM41" si="49">DT12+DQ12+DN12+DK12+DH12+DE12+DB12+CY12+CV12+CS12+CP12+CM12+CJ12+CG12+CD12+CA12+BX12+BU12+BR12+BO12+BL12+BI12+BF12+BC12+AZ12+AW12+AT12+AQ12+AN12+AK12</f>
        <v>39746.180555555555</v>
      </c>
      <c r="EN12" s="41">
        <f t="shared" ref="EN12:EN41" si="50">IF(EK12&lt;&gt;0,((EM12/EK12)*360),0)</f>
        <v>2.8256973586768697E-2</v>
      </c>
      <c r="EP12" s="40"/>
    </row>
    <row r="13" spans="1:147" x14ac:dyDescent="0.25">
      <c r="A13" s="25">
        <f t="shared" ref="A13:A41" si="51">1+A12</f>
        <v>43527</v>
      </c>
      <c r="D13" s="40">
        <f t="shared" si="0"/>
        <v>0</v>
      </c>
      <c r="G13" s="40">
        <f t="shared" si="1"/>
        <v>0</v>
      </c>
      <c r="J13" s="40">
        <f t="shared" si="2"/>
        <v>0</v>
      </c>
      <c r="M13" s="40">
        <f t="shared" si="3"/>
        <v>0</v>
      </c>
      <c r="P13" s="40">
        <f t="shared" si="4"/>
        <v>0</v>
      </c>
      <c r="S13" s="40">
        <f t="shared" si="5"/>
        <v>0</v>
      </c>
      <c r="V13" s="40">
        <f t="shared" si="6"/>
        <v>0</v>
      </c>
      <c r="Y13" s="40">
        <f t="shared" si="7"/>
        <v>0</v>
      </c>
      <c r="AB13" s="40">
        <f t="shared" si="8"/>
        <v>0</v>
      </c>
      <c r="AE13" s="40">
        <v>0</v>
      </c>
      <c r="AH13" s="40">
        <v>0</v>
      </c>
      <c r="AI13" s="73">
        <f>66375000</f>
        <v>66375000</v>
      </c>
      <c r="AJ13" s="74">
        <v>2.7E-2</v>
      </c>
      <c r="AK13" s="40">
        <f t="shared" si="9"/>
        <v>4978.125</v>
      </c>
      <c r="AL13" s="73">
        <f>35000000</f>
        <v>35000000</v>
      </c>
      <c r="AM13" s="74">
        <v>2.8000000000000001E-2</v>
      </c>
      <c r="AN13" s="40">
        <f t="shared" si="10"/>
        <v>2722.2222222222222</v>
      </c>
      <c r="AO13" s="73">
        <f>30000000</f>
        <v>30000000</v>
      </c>
      <c r="AP13" s="74">
        <v>2.8299999999999999E-2</v>
      </c>
      <c r="AQ13" s="40">
        <f t="shared" si="11"/>
        <v>2358.3333333333335</v>
      </c>
      <c r="AR13" s="73">
        <f>130000000+120000000+125000000</f>
        <v>375000000</v>
      </c>
      <c r="AS13" s="74">
        <v>2.8500000000000001E-2</v>
      </c>
      <c r="AT13" s="40">
        <f t="shared" si="12"/>
        <v>29687.5</v>
      </c>
      <c r="AW13" s="40">
        <f t="shared" si="13"/>
        <v>0</v>
      </c>
      <c r="AZ13" s="40">
        <f t="shared" si="14"/>
        <v>0</v>
      </c>
      <c r="BC13" s="40">
        <f t="shared" si="15"/>
        <v>0</v>
      </c>
      <c r="BF13" s="40">
        <f t="shared" si="16"/>
        <v>0</v>
      </c>
      <c r="BI13" s="40">
        <f t="shared" si="17"/>
        <v>0</v>
      </c>
      <c r="BL13" s="40">
        <f t="shared" si="18"/>
        <v>0</v>
      </c>
      <c r="BO13" s="40">
        <f t="shared" si="19"/>
        <v>0</v>
      </c>
      <c r="BR13" s="40">
        <f t="shared" si="20"/>
        <v>0</v>
      </c>
      <c r="BU13" s="40">
        <f t="shared" si="21"/>
        <v>0</v>
      </c>
      <c r="BX13" s="40">
        <f t="shared" si="22"/>
        <v>0</v>
      </c>
      <c r="CA13" s="40">
        <f t="shared" si="23"/>
        <v>0</v>
      </c>
      <c r="CD13" s="40">
        <f t="shared" si="24"/>
        <v>0</v>
      </c>
      <c r="CG13" s="40">
        <f t="shared" si="25"/>
        <v>0</v>
      </c>
      <c r="CJ13" s="40">
        <f t="shared" si="26"/>
        <v>0</v>
      </c>
      <c r="CM13" s="40">
        <f t="shared" si="27"/>
        <v>0</v>
      </c>
      <c r="CP13" s="40">
        <f t="shared" si="28"/>
        <v>0</v>
      </c>
      <c r="CS13" s="40">
        <f t="shared" si="29"/>
        <v>0</v>
      </c>
      <c r="CV13" s="40">
        <f t="shared" si="30"/>
        <v>0</v>
      </c>
      <c r="CY13" s="40">
        <f t="shared" si="31"/>
        <v>0</v>
      </c>
      <c r="DB13" s="40">
        <f t="shared" si="32"/>
        <v>0</v>
      </c>
      <c r="DE13" s="40">
        <f t="shared" si="33"/>
        <v>0</v>
      </c>
      <c r="DH13" s="40">
        <f t="shared" si="34"/>
        <v>0</v>
      </c>
      <c r="DK13" s="40">
        <f t="shared" si="35"/>
        <v>0</v>
      </c>
      <c r="DN13" s="40">
        <f t="shared" si="36"/>
        <v>0</v>
      </c>
      <c r="DQ13" s="40">
        <f t="shared" si="37"/>
        <v>0</v>
      </c>
      <c r="DT13" s="40">
        <f t="shared" si="38"/>
        <v>0</v>
      </c>
      <c r="DW13" s="40">
        <f t="shared" si="39"/>
        <v>0</v>
      </c>
      <c r="DZ13" s="40"/>
      <c r="EA13" s="40"/>
      <c r="EB13" s="75">
        <f t="shared" si="40"/>
        <v>506375000</v>
      </c>
      <c r="EC13" s="75">
        <f t="shared" si="41"/>
        <v>0</v>
      </c>
      <c r="ED13" s="40">
        <f t="shared" si="42"/>
        <v>39746.180555555555</v>
      </c>
      <c r="EE13" s="41">
        <f t="shared" si="43"/>
        <v>2.8256973586768697E-2</v>
      </c>
      <c r="EG13" s="75">
        <f t="shared" si="44"/>
        <v>0</v>
      </c>
      <c r="EH13" s="40">
        <f t="shared" si="45"/>
        <v>0</v>
      </c>
      <c r="EI13" s="41">
        <f t="shared" si="46"/>
        <v>0</v>
      </c>
      <c r="EJ13" s="41"/>
      <c r="EK13" s="75">
        <f t="shared" si="47"/>
        <v>506375000</v>
      </c>
      <c r="EL13" s="75">
        <f t="shared" si="48"/>
        <v>0</v>
      </c>
      <c r="EM13" s="75">
        <f t="shared" si="49"/>
        <v>39746.180555555555</v>
      </c>
      <c r="EN13" s="41">
        <f t="shared" si="50"/>
        <v>2.8256973586768697E-2</v>
      </c>
      <c r="EP13" s="40"/>
    </row>
    <row r="14" spans="1:147" x14ac:dyDescent="0.25">
      <c r="A14" s="25">
        <f t="shared" si="51"/>
        <v>43528</v>
      </c>
      <c r="D14" s="40">
        <f t="shared" si="0"/>
        <v>0</v>
      </c>
      <c r="G14" s="40">
        <f t="shared" si="1"/>
        <v>0</v>
      </c>
      <c r="J14" s="40">
        <f t="shared" si="2"/>
        <v>0</v>
      </c>
      <c r="M14" s="40">
        <f t="shared" si="3"/>
        <v>0</v>
      </c>
      <c r="P14" s="40">
        <f t="shared" si="4"/>
        <v>0</v>
      </c>
      <c r="S14" s="40">
        <f t="shared" si="5"/>
        <v>0</v>
      </c>
      <c r="V14" s="40">
        <f t="shared" si="6"/>
        <v>0</v>
      </c>
      <c r="Y14" s="40">
        <f t="shared" si="7"/>
        <v>0</v>
      </c>
      <c r="AB14" s="40">
        <f t="shared" si="8"/>
        <v>0</v>
      </c>
      <c r="AE14" s="40">
        <v>0</v>
      </c>
      <c r="AH14" s="40">
        <v>0</v>
      </c>
      <c r="AI14" s="73">
        <f>66250000</f>
        <v>66250000</v>
      </c>
      <c r="AJ14" s="74">
        <v>2.7E-2</v>
      </c>
      <c r="AK14" s="40">
        <f t="shared" si="9"/>
        <v>4968.75</v>
      </c>
      <c r="AL14" s="73">
        <f>35000000</f>
        <v>35000000</v>
      </c>
      <c r="AM14" s="74">
        <v>2.8000000000000001E-2</v>
      </c>
      <c r="AN14" s="40">
        <f t="shared" si="10"/>
        <v>2722.2222222222222</v>
      </c>
      <c r="AO14" s="73">
        <f>30000000</f>
        <v>30000000</v>
      </c>
      <c r="AP14" s="74">
        <v>2.8299999999999999E-2</v>
      </c>
      <c r="AQ14" s="40">
        <f t="shared" si="11"/>
        <v>2358.3333333333335</v>
      </c>
      <c r="AR14" s="73">
        <f>130000000+120000000+125000000</f>
        <v>375000000</v>
      </c>
      <c r="AS14" s="74">
        <v>2.8500000000000001E-2</v>
      </c>
      <c r="AT14" s="40">
        <f t="shared" si="12"/>
        <v>29687.5</v>
      </c>
      <c r="AW14" s="40">
        <f t="shared" si="13"/>
        <v>0</v>
      </c>
      <c r="AZ14" s="40">
        <f t="shared" si="14"/>
        <v>0</v>
      </c>
      <c r="BC14" s="40">
        <f t="shared" si="15"/>
        <v>0</v>
      </c>
      <c r="BF14" s="40">
        <f t="shared" si="16"/>
        <v>0</v>
      </c>
      <c r="BI14" s="40">
        <f t="shared" si="17"/>
        <v>0</v>
      </c>
      <c r="BL14" s="40">
        <f t="shared" si="18"/>
        <v>0</v>
      </c>
      <c r="BO14" s="40">
        <f t="shared" si="19"/>
        <v>0</v>
      </c>
      <c r="BR14" s="40">
        <f t="shared" si="20"/>
        <v>0</v>
      </c>
      <c r="BU14" s="40">
        <f t="shared" si="21"/>
        <v>0</v>
      </c>
      <c r="BX14" s="40">
        <f t="shared" si="22"/>
        <v>0</v>
      </c>
      <c r="CA14" s="40">
        <f t="shared" si="23"/>
        <v>0</v>
      </c>
      <c r="CD14" s="40">
        <f t="shared" si="24"/>
        <v>0</v>
      </c>
      <c r="CG14" s="40">
        <f t="shared" si="25"/>
        <v>0</v>
      </c>
      <c r="CJ14" s="40">
        <f t="shared" si="26"/>
        <v>0</v>
      </c>
      <c r="CM14" s="40">
        <f t="shared" si="27"/>
        <v>0</v>
      </c>
      <c r="CP14" s="40">
        <f t="shared" si="28"/>
        <v>0</v>
      </c>
      <c r="CS14" s="40">
        <f t="shared" si="29"/>
        <v>0</v>
      </c>
      <c r="CV14" s="40">
        <f t="shared" si="30"/>
        <v>0</v>
      </c>
      <c r="CY14" s="40">
        <f t="shared" si="31"/>
        <v>0</v>
      </c>
      <c r="DB14" s="40">
        <f t="shared" si="32"/>
        <v>0</v>
      </c>
      <c r="DE14" s="40">
        <f t="shared" si="33"/>
        <v>0</v>
      </c>
      <c r="DH14" s="40">
        <f t="shared" si="34"/>
        <v>0</v>
      </c>
      <c r="DK14" s="40">
        <f t="shared" si="35"/>
        <v>0</v>
      </c>
      <c r="DN14" s="40">
        <f t="shared" si="36"/>
        <v>0</v>
      </c>
      <c r="DQ14" s="40">
        <f t="shared" si="37"/>
        <v>0</v>
      </c>
      <c r="DT14" s="40">
        <f t="shared" si="38"/>
        <v>0</v>
      </c>
      <c r="DW14" s="40">
        <f t="shared" si="39"/>
        <v>0</v>
      </c>
      <c r="DZ14" s="40"/>
      <c r="EA14" s="40"/>
      <c r="EB14" s="75">
        <f t="shared" si="40"/>
        <v>506250000</v>
      </c>
      <c r="EC14" s="75">
        <f t="shared" si="41"/>
        <v>0</v>
      </c>
      <c r="ED14" s="40">
        <f t="shared" si="42"/>
        <v>39736.805555555555</v>
      </c>
      <c r="EE14" s="41">
        <f t="shared" si="43"/>
        <v>2.8257283950617284E-2</v>
      </c>
      <c r="EG14" s="75">
        <f t="shared" si="44"/>
        <v>0</v>
      </c>
      <c r="EH14" s="40">
        <f t="shared" si="45"/>
        <v>0</v>
      </c>
      <c r="EI14" s="41">
        <f t="shared" si="46"/>
        <v>0</v>
      </c>
      <c r="EJ14" s="41"/>
      <c r="EK14" s="75">
        <f t="shared" si="47"/>
        <v>506250000</v>
      </c>
      <c r="EL14" s="75">
        <f t="shared" si="48"/>
        <v>0</v>
      </c>
      <c r="EM14" s="75">
        <f t="shared" si="49"/>
        <v>39736.805555555555</v>
      </c>
      <c r="EN14" s="41">
        <f t="shared" si="50"/>
        <v>2.8257283950617284E-2</v>
      </c>
      <c r="EP14" s="40"/>
    </row>
    <row r="15" spans="1:147" x14ac:dyDescent="0.25">
      <c r="A15" s="25">
        <f t="shared" si="51"/>
        <v>43529</v>
      </c>
      <c r="D15" s="40">
        <f t="shared" si="0"/>
        <v>0</v>
      </c>
      <c r="G15" s="40">
        <f t="shared" si="1"/>
        <v>0</v>
      </c>
      <c r="J15" s="40">
        <f t="shared" si="2"/>
        <v>0</v>
      </c>
      <c r="M15" s="40">
        <f t="shared" si="3"/>
        <v>0</v>
      </c>
      <c r="P15" s="40">
        <f t="shared" si="4"/>
        <v>0</v>
      </c>
      <c r="S15" s="40">
        <f t="shared" si="5"/>
        <v>0</v>
      </c>
      <c r="V15" s="40">
        <f t="shared" si="6"/>
        <v>0</v>
      </c>
      <c r="Y15" s="40">
        <f t="shared" si="7"/>
        <v>0</v>
      </c>
      <c r="AB15" s="40">
        <f t="shared" si="8"/>
        <v>0</v>
      </c>
      <c r="AE15" s="40">
        <v>0</v>
      </c>
      <c r="AH15" s="40">
        <v>0</v>
      </c>
      <c r="AI15" s="73">
        <f>56350000</f>
        <v>56350000</v>
      </c>
      <c r="AJ15" s="74">
        <v>2.7E-2</v>
      </c>
      <c r="AK15" s="40">
        <f t="shared" si="9"/>
        <v>4226.25</v>
      </c>
      <c r="AL15" s="73">
        <f>35000000</f>
        <v>35000000</v>
      </c>
      <c r="AM15" s="74">
        <v>2.8000000000000001E-2</v>
      </c>
      <c r="AN15" s="40">
        <f t="shared" si="10"/>
        <v>2722.2222222222222</v>
      </c>
      <c r="AO15" s="73">
        <f>30000000</f>
        <v>30000000</v>
      </c>
      <c r="AP15" s="74">
        <v>2.8299999999999999E-2</v>
      </c>
      <c r="AQ15" s="40">
        <f t="shared" si="11"/>
        <v>2358.3333333333335</v>
      </c>
      <c r="AR15" s="73">
        <f>130000000+120000000+125000000</f>
        <v>375000000</v>
      </c>
      <c r="AS15" s="74">
        <v>2.8500000000000001E-2</v>
      </c>
      <c r="AT15" s="40">
        <f t="shared" si="12"/>
        <v>29687.5</v>
      </c>
      <c r="AW15" s="40">
        <f t="shared" si="13"/>
        <v>0</v>
      </c>
      <c r="AZ15" s="40">
        <f t="shared" si="14"/>
        <v>0</v>
      </c>
      <c r="BC15" s="40">
        <f t="shared" si="15"/>
        <v>0</v>
      </c>
      <c r="BF15" s="40">
        <f t="shared" si="16"/>
        <v>0</v>
      </c>
      <c r="BI15" s="40">
        <f t="shared" si="17"/>
        <v>0</v>
      </c>
      <c r="BL15" s="40">
        <f t="shared" si="18"/>
        <v>0</v>
      </c>
      <c r="BO15" s="40">
        <f t="shared" si="19"/>
        <v>0</v>
      </c>
      <c r="BR15" s="40">
        <f t="shared" si="20"/>
        <v>0</v>
      </c>
      <c r="BU15" s="40">
        <f t="shared" si="21"/>
        <v>0</v>
      </c>
      <c r="BX15" s="40">
        <f t="shared" si="22"/>
        <v>0</v>
      </c>
      <c r="CA15" s="40">
        <f t="shared" si="23"/>
        <v>0</v>
      </c>
      <c r="CD15" s="40">
        <f t="shared" si="24"/>
        <v>0</v>
      </c>
      <c r="CG15" s="40">
        <f t="shared" si="25"/>
        <v>0</v>
      </c>
      <c r="CJ15" s="40">
        <f t="shared" si="26"/>
        <v>0</v>
      </c>
      <c r="CM15" s="40">
        <f t="shared" si="27"/>
        <v>0</v>
      </c>
      <c r="CP15" s="40">
        <f t="shared" si="28"/>
        <v>0</v>
      </c>
      <c r="CS15" s="40">
        <f t="shared" si="29"/>
        <v>0</v>
      </c>
      <c r="CV15" s="40">
        <f t="shared" si="30"/>
        <v>0</v>
      </c>
      <c r="CY15" s="40">
        <f t="shared" si="31"/>
        <v>0</v>
      </c>
      <c r="DB15" s="40">
        <f t="shared" si="32"/>
        <v>0</v>
      </c>
      <c r="DE15" s="40">
        <f t="shared" si="33"/>
        <v>0</v>
      </c>
      <c r="DH15" s="40">
        <f t="shared" si="34"/>
        <v>0</v>
      </c>
      <c r="DK15" s="40">
        <f t="shared" si="35"/>
        <v>0</v>
      </c>
      <c r="DN15" s="40">
        <f t="shared" si="36"/>
        <v>0</v>
      </c>
      <c r="DQ15" s="40">
        <f t="shared" si="37"/>
        <v>0</v>
      </c>
      <c r="DT15" s="40">
        <f t="shared" si="38"/>
        <v>0</v>
      </c>
      <c r="DW15" s="40">
        <f t="shared" si="39"/>
        <v>0</v>
      </c>
      <c r="DZ15" s="40"/>
      <c r="EA15" s="40"/>
      <c r="EB15" s="75">
        <f t="shared" si="40"/>
        <v>496350000</v>
      </c>
      <c r="EC15" s="75">
        <f t="shared" si="41"/>
        <v>0</v>
      </c>
      <c r="ED15" s="40">
        <f t="shared" si="42"/>
        <v>38994.305555555555</v>
      </c>
      <c r="EE15" s="41">
        <f t="shared" si="43"/>
        <v>2.8282361237030321E-2</v>
      </c>
      <c r="EG15" s="75">
        <f t="shared" si="44"/>
        <v>0</v>
      </c>
      <c r="EH15" s="40">
        <f t="shared" si="45"/>
        <v>0</v>
      </c>
      <c r="EI15" s="41">
        <f t="shared" si="46"/>
        <v>0</v>
      </c>
      <c r="EJ15" s="41"/>
      <c r="EK15" s="75">
        <f t="shared" si="47"/>
        <v>496350000</v>
      </c>
      <c r="EL15" s="75">
        <f t="shared" si="48"/>
        <v>0</v>
      </c>
      <c r="EM15" s="75">
        <f t="shared" si="49"/>
        <v>38994.305555555555</v>
      </c>
      <c r="EN15" s="41">
        <f t="shared" si="50"/>
        <v>2.8282361237030321E-2</v>
      </c>
      <c r="EP15" s="40"/>
    </row>
    <row r="16" spans="1:147" x14ac:dyDescent="0.25">
      <c r="A16" s="25">
        <f t="shared" si="51"/>
        <v>43530</v>
      </c>
      <c r="D16" s="40">
        <f t="shared" si="0"/>
        <v>0</v>
      </c>
      <c r="G16" s="40">
        <f t="shared" si="1"/>
        <v>0</v>
      </c>
      <c r="J16" s="40">
        <f t="shared" si="2"/>
        <v>0</v>
      </c>
      <c r="M16" s="40">
        <f t="shared" si="3"/>
        <v>0</v>
      </c>
      <c r="P16" s="40">
        <f t="shared" si="4"/>
        <v>0</v>
      </c>
      <c r="S16" s="40">
        <f t="shared" si="5"/>
        <v>0</v>
      </c>
      <c r="V16" s="40">
        <f t="shared" si="6"/>
        <v>0</v>
      </c>
      <c r="Y16" s="40">
        <f t="shared" si="7"/>
        <v>0</v>
      </c>
      <c r="AB16" s="40">
        <f t="shared" si="8"/>
        <v>0</v>
      </c>
      <c r="AE16" s="40">
        <v>0</v>
      </c>
      <c r="AH16" s="40">
        <v>0</v>
      </c>
      <c r="AI16" s="73">
        <f>37150000</f>
        <v>37150000</v>
      </c>
      <c r="AJ16" s="74">
        <v>2.7E-2</v>
      </c>
      <c r="AK16" s="40">
        <f t="shared" si="9"/>
        <v>2786.25</v>
      </c>
      <c r="AL16" s="73"/>
      <c r="AM16" s="74"/>
      <c r="AN16" s="40">
        <f t="shared" si="10"/>
        <v>0</v>
      </c>
      <c r="AQ16" s="40">
        <f t="shared" si="11"/>
        <v>0</v>
      </c>
      <c r="AT16" s="40">
        <f t="shared" si="12"/>
        <v>0</v>
      </c>
      <c r="AW16" s="40">
        <f t="shared" si="13"/>
        <v>0</v>
      </c>
      <c r="AZ16" s="40">
        <f t="shared" si="14"/>
        <v>0</v>
      </c>
      <c r="BC16" s="40">
        <f t="shared" si="15"/>
        <v>0</v>
      </c>
      <c r="BF16" s="40">
        <f t="shared" si="16"/>
        <v>0</v>
      </c>
      <c r="BI16" s="40">
        <f t="shared" si="17"/>
        <v>0</v>
      </c>
      <c r="BL16" s="40">
        <f t="shared" si="18"/>
        <v>0</v>
      </c>
      <c r="BO16" s="40">
        <f t="shared" si="19"/>
        <v>0</v>
      </c>
      <c r="BR16" s="40">
        <f t="shared" si="20"/>
        <v>0</v>
      </c>
      <c r="BU16" s="40">
        <f t="shared" si="21"/>
        <v>0</v>
      </c>
      <c r="BX16" s="40">
        <f t="shared" si="22"/>
        <v>0</v>
      </c>
      <c r="CA16" s="40">
        <f t="shared" si="23"/>
        <v>0</v>
      </c>
      <c r="CD16" s="40">
        <f t="shared" si="24"/>
        <v>0</v>
      </c>
      <c r="CG16" s="40">
        <f t="shared" si="25"/>
        <v>0</v>
      </c>
      <c r="CJ16" s="40">
        <f t="shared" si="26"/>
        <v>0</v>
      </c>
      <c r="CM16" s="40">
        <f t="shared" si="27"/>
        <v>0</v>
      </c>
      <c r="CP16" s="40">
        <f t="shared" si="28"/>
        <v>0</v>
      </c>
      <c r="CS16" s="40">
        <f t="shared" si="29"/>
        <v>0</v>
      </c>
      <c r="CV16" s="40">
        <f t="shared" si="30"/>
        <v>0</v>
      </c>
      <c r="CY16" s="40">
        <f t="shared" si="31"/>
        <v>0</v>
      </c>
      <c r="DB16" s="40">
        <f t="shared" si="32"/>
        <v>0</v>
      </c>
      <c r="DE16" s="40">
        <f t="shared" si="33"/>
        <v>0</v>
      </c>
      <c r="DH16" s="40">
        <f t="shared" si="34"/>
        <v>0</v>
      </c>
      <c r="DK16" s="40">
        <f t="shared" si="35"/>
        <v>0</v>
      </c>
      <c r="DN16" s="40">
        <f t="shared" si="36"/>
        <v>0</v>
      </c>
      <c r="DQ16" s="40">
        <f t="shared" si="37"/>
        <v>0</v>
      </c>
      <c r="DT16" s="40">
        <f t="shared" si="38"/>
        <v>0</v>
      </c>
      <c r="DW16" s="40">
        <f t="shared" si="39"/>
        <v>0</v>
      </c>
      <c r="DZ16" s="40"/>
      <c r="EA16" s="40"/>
      <c r="EB16" s="75">
        <f t="shared" si="40"/>
        <v>37150000</v>
      </c>
      <c r="EC16" s="75">
        <f t="shared" si="41"/>
        <v>0</v>
      </c>
      <c r="ED16" s="40">
        <f t="shared" si="42"/>
        <v>2786.25</v>
      </c>
      <c r="EE16" s="41">
        <f t="shared" si="43"/>
        <v>2.6999999999999996E-2</v>
      </c>
      <c r="EG16" s="75">
        <f t="shared" si="44"/>
        <v>0</v>
      </c>
      <c r="EH16" s="40">
        <f t="shared" si="45"/>
        <v>0</v>
      </c>
      <c r="EI16" s="41">
        <f t="shared" si="46"/>
        <v>0</v>
      </c>
      <c r="EJ16" s="41"/>
      <c r="EK16" s="75">
        <f t="shared" si="47"/>
        <v>37150000</v>
      </c>
      <c r="EL16" s="75">
        <f t="shared" si="48"/>
        <v>0</v>
      </c>
      <c r="EM16" s="75">
        <f t="shared" si="49"/>
        <v>2786.25</v>
      </c>
      <c r="EN16" s="41">
        <f t="shared" si="50"/>
        <v>2.6999999999999996E-2</v>
      </c>
      <c r="EP16" s="40"/>
    </row>
    <row r="17" spans="1:146" x14ac:dyDescent="0.25">
      <c r="A17" s="25">
        <f t="shared" si="51"/>
        <v>43531</v>
      </c>
      <c r="D17" s="40">
        <f t="shared" si="0"/>
        <v>0</v>
      </c>
      <c r="G17" s="40">
        <f t="shared" si="1"/>
        <v>0</v>
      </c>
      <c r="J17" s="40">
        <f t="shared" si="2"/>
        <v>0</v>
      </c>
      <c r="M17" s="40">
        <f t="shared" si="3"/>
        <v>0</v>
      </c>
      <c r="P17" s="40">
        <f t="shared" si="4"/>
        <v>0</v>
      </c>
      <c r="S17" s="40">
        <f t="shared" si="5"/>
        <v>0</v>
      </c>
      <c r="V17" s="40">
        <f t="shared" si="6"/>
        <v>0</v>
      </c>
      <c r="Y17" s="40">
        <f t="shared" si="7"/>
        <v>0</v>
      </c>
      <c r="AB17" s="40">
        <f t="shared" si="8"/>
        <v>0</v>
      </c>
      <c r="AE17" s="40">
        <v>0</v>
      </c>
      <c r="AH17" s="40">
        <v>0</v>
      </c>
      <c r="AI17" s="73">
        <f>25950000</f>
        <v>25950000</v>
      </c>
      <c r="AJ17" s="74">
        <v>2.7E-2</v>
      </c>
      <c r="AK17" s="40">
        <f t="shared" si="9"/>
        <v>1946.25</v>
      </c>
      <c r="AL17" s="73"/>
      <c r="AM17" s="74"/>
      <c r="AN17" s="40">
        <f t="shared" si="10"/>
        <v>0</v>
      </c>
      <c r="AQ17" s="40">
        <f t="shared" si="11"/>
        <v>0</v>
      </c>
      <c r="AT17" s="40">
        <f t="shared" si="12"/>
        <v>0</v>
      </c>
      <c r="AW17" s="40">
        <f t="shared" si="13"/>
        <v>0</v>
      </c>
      <c r="AZ17" s="40">
        <f t="shared" si="14"/>
        <v>0</v>
      </c>
      <c r="BC17" s="40">
        <f t="shared" si="15"/>
        <v>0</v>
      </c>
      <c r="BF17" s="40">
        <f t="shared" si="16"/>
        <v>0</v>
      </c>
      <c r="BI17" s="40">
        <f t="shared" si="17"/>
        <v>0</v>
      </c>
      <c r="BL17" s="40">
        <f t="shared" si="18"/>
        <v>0</v>
      </c>
      <c r="BO17" s="40">
        <f t="shared" si="19"/>
        <v>0</v>
      </c>
      <c r="BR17" s="40">
        <f t="shared" si="20"/>
        <v>0</v>
      </c>
      <c r="BU17" s="40">
        <f t="shared" si="21"/>
        <v>0</v>
      </c>
      <c r="BX17" s="40">
        <f t="shared" si="22"/>
        <v>0</v>
      </c>
      <c r="CA17" s="40">
        <f t="shared" si="23"/>
        <v>0</v>
      </c>
      <c r="CD17" s="40">
        <f t="shared" si="24"/>
        <v>0</v>
      </c>
      <c r="CG17" s="40">
        <f t="shared" si="25"/>
        <v>0</v>
      </c>
      <c r="CJ17" s="40">
        <f t="shared" si="26"/>
        <v>0</v>
      </c>
      <c r="CM17" s="40">
        <f t="shared" si="27"/>
        <v>0</v>
      </c>
      <c r="CP17" s="40">
        <f t="shared" si="28"/>
        <v>0</v>
      </c>
      <c r="CS17" s="40">
        <f t="shared" si="29"/>
        <v>0</v>
      </c>
      <c r="CV17" s="40">
        <f t="shared" si="30"/>
        <v>0</v>
      </c>
      <c r="CY17" s="40">
        <f t="shared" si="31"/>
        <v>0</v>
      </c>
      <c r="DB17" s="40">
        <f t="shared" si="32"/>
        <v>0</v>
      </c>
      <c r="DE17" s="40">
        <f t="shared" si="33"/>
        <v>0</v>
      </c>
      <c r="DH17" s="40">
        <f t="shared" si="34"/>
        <v>0</v>
      </c>
      <c r="DK17" s="40">
        <f t="shared" si="35"/>
        <v>0</v>
      </c>
      <c r="DN17" s="40">
        <f t="shared" si="36"/>
        <v>0</v>
      </c>
      <c r="DQ17" s="40">
        <f t="shared" si="37"/>
        <v>0</v>
      </c>
      <c r="DT17" s="40">
        <f t="shared" si="38"/>
        <v>0</v>
      </c>
      <c r="DW17" s="40">
        <f t="shared" si="39"/>
        <v>0</v>
      </c>
      <c r="DZ17" s="40"/>
      <c r="EA17" s="40"/>
      <c r="EB17" s="75">
        <f t="shared" si="40"/>
        <v>25950000</v>
      </c>
      <c r="EC17" s="75">
        <f t="shared" si="41"/>
        <v>0</v>
      </c>
      <c r="ED17" s="40">
        <f t="shared" si="42"/>
        <v>1946.25</v>
      </c>
      <c r="EE17" s="41">
        <f t="shared" si="43"/>
        <v>2.6999999999999996E-2</v>
      </c>
      <c r="EG17" s="75">
        <f t="shared" si="44"/>
        <v>0</v>
      </c>
      <c r="EH17" s="40">
        <f t="shared" si="45"/>
        <v>0</v>
      </c>
      <c r="EI17" s="41">
        <f t="shared" si="46"/>
        <v>0</v>
      </c>
      <c r="EJ17" s="41"/>
      <c r="EK17" s="75">
        <f t="shared" si="47"/>
        <v>25950000</v>
      </c>
      <c r="EL17" s="75">
        <f t="shared" si="48"/>
        <v>0</v>
      </c>
      <c r="EM17" s="75">
        <f t="shared" si="49"/>
        <v>1946.25</v>
      </c>
      <c r="EN17" s="41">
        <f t="shared" si="50"/>
        <v>2.6999999999999996E-2</v>
      </c>
      <c r="EP17" s="40"/>
    </row>
    <row r="18" spans="1:146" x14ac:dyDescent="0.25">
      <c r="A18" s="25">
        <f t="shared" si="51"/>
        <v>43532</v>
      </c>
      <c r="D18" s="40">
        <f t="shared" si="0"/>
        <v>0</v>
      </c>
      <c r="G18" s="40">
        <f t="shared" si="1"/>
        <v>0</v>
      </c>
      <c r="J18" s="40">
        <f t="shared" si="2"/>
        <v>0</v>
      </c>
      <c r="M18" s="40">
        <f t="shared" si="3"/>
        <v>0</v>
      </c>
      <c r="P18" s="40">
        <f t="shared" si="4"/>
        <v>0</v>
      </c>
      <c r="S18" s="40">
        <f t="shared" si="5"/>
        <v>0</v>
      </c>
      <c r="V18" s="40">
        <f t="shared" si="6"/>
        <v>0</v>
      </c>
      <c r="Y18" s="40">
        <f t="shared" si="7"/>
        <v>0</v>
      </c>
      <c r="AB18" s="40">
        <f t="shared" si="8"/>
        <v>0</v>
      </c>
      <c r="AE18" s="40">
        <v>0</v>
      </c>
      <c r="AH18" s="40">
        <v>0</v>
      </c>
      <c r="AI18" s="73">
        <f>27850000</f>
        <v>27850000</v>
      </c>
      <c r="AJ18" s="74">
        <v>2.7E-2</v>
      </c>
      <c r="AK18" s="40">
        <f t="shared" si="9"/>
        <v>2088.75</v>
      </c>
      <c r="AL18" s="73"/>
      <c r="AM18" s="74"/>
      <c r="AN18" s="40">
        <f t="shared" si="10"/>
        <v>0</v>
      </c>
      <c r="AQ18" s="40">
        <f t="shared" si="11"/>
        <v>0</v>
      </c>
      <c r="AT18" s="40">
        <f t="shared" si="12"/>
        <v>0</v>
      </c>
      <c r="AW18" s="40">
        <f t="shared" si="13"/>
        <v>0</v>
      </c>
      <c r="AZ18" s="40">
        <f t="shared" si="14"/>
        <v>0</v>
      </c>
      <c r="BC18" s="40">
        <f t="shared" si="15"/>
        <v>0</v>
      </c>
      <c r="BF18" s="40">
        <f t="shared" si="16"/>
        <v>0</v>
      </c>
      <c r="BI18" s="40">
        <f t="shared" si="17"/>
        <v>0</v>
      </c>
      <c r="BL18" s="40">
        <f t="shared" si="18"/>
        <v>0</v>
      </c>
      <c r="BO18" s="40">
        <f t="shared" si="19"/>
        <v>0</v>
      </c>
      <c r="BR18" s="40">
        <f t="shared" si="20"/>
        <v>0</v>
      </c>
      <c r="BU18" s="40">
        <f t="shared" si="21"/>
        <v>0</v>
      </c>
      <c r="BX18" s="40">
        <f t="shared" si="22"/>
        <v>0</v>
      </c>
      <c r="CA18" s="40">
        <f t="shared" si="23"/>
        <v>0</v>
      </c>
      <c r="CD18" s="40">
        <f t="shared" si="24"/>
        <v>0</v>
      </c>
      <c r="CG18" s="40">
        <f t="shared" si="25"/>
        <v>0</v>
      </c>
      <c r="CJ18" s="40">
        <f t="shared" si="26"/>
        <v>0</v>
      </c>
      <c r="CM18" s="40">
        <f t="shared" si="27"/>
        <v>0</v>
      </c>
      <c r="CP18" s="40">
        <f t="shared" si="28"/>
        <v>0</v>
      </c>
      <c r="CS18" s="40">
        <f t="shared" si="29"/>
        <v>0</v>
      </c>
      <c r="CV18" s="40">
        <f t="shared" si="30"/>
        <v>0</v>
      </c>
      <c r="CY18" s="40">
        <f t="shared" si="31"/>
        <v>0</v>
      </c>
      <c r="DB18" s="40">
        <f t="shared" si="32"/>
        <v>0</v>
      </c>
      <c r="DE18" s="40">
        <f t="shared" si="33"/>
        <v>0</v>
      </c>
      <c r="DH18" s="40">
        <f t="shared" si="34"/>
        <v>0</v>
      </c>
      <c r="DK18" s="40">
        <f t="shared" si="35"/>
        <v>0</v>
      </c>
      <c r="DN18" s="40">
        <f t="shared" si="36"/>
        <v>0</v>
      </c>
      <c r="DQ18" s="40">
        <f t="shared" si="37"/>
        <v>0</v>
      </c>
      <c r="DT18" s="40">
        <f t="shared" si="38"/>
        <v>0</v>
      </c>
      <c r="DW18" s="40">
        <f t="shared" si="39"/>
        <v>0</v>
      </c>
      <c r="DZ18" s="40"/>
      <c r="EA18" s="40"/>
      <c r="EB18" s="75">
        <f t="shared" si="40"/>
        <v>27850000</v>
      </c>
      <c r="EC18" s="75">
        <f t="shared" si="41"/>
        <v>0</v>
      </c>
      <c r="ED18" s="40">
        <f t="shared" si="42"/>
        <v>2088.75</v>
      </c>
      <c r="EE18" s="41">
        <f t="shared" si="43"/>
        <v>2.6999999999999996E-2</v>
      </c>
      <c r="EG18" s="75">
        <f t="shared" si="44"/>
        <v>0</v>
      </c>
      <c r="EH18" s="40">
        <f t="shared" si="45"/>
        <v>0</v>
      </c>
      <c r="EI18" s="41">
        <f t="shared" si="46"/>
        <v>0</v>
      </c>
      <c r="EJ18" s="41"/>
      <c r="EK18" s="75">
        <f t="shared" si="47"/>
        <v>27850000</v>
      </c>
      <c r="EL18" s="75">
        <f t="shared" si="48"/>
        <v>0</v>
      </c>
      <c r="EM18" s="75">
        <f t="shared" si="49"/>
        <v>2088.75</v>
      </c>
      <c r="EN18" s="41">
        <f t="shared" si="50"/>
        <v>2.6999999999999996E-2</v>
      </c>
      <c r="EP18" s="40"/>
    </row>
    <row r="19" spans="1:146" x14ac:dyDescent="0.25">
      <c r="A19" s="25">
        <f t="shared" si="51"/>
        <v>43533</v>
      </c>
      <c r="D19" s="40">
        <f t="shared" si="0"/>
        <v>0</v>
      </c>
      <c r="G19" s="40">
        <f t="shared" si="1"/>
        <v>0</v>
      </c>
      <c r="J19" s="40">
        <f t="shared" si="2"/>
        <v>0</v>
      </c>
      <c r="M19" s="40">
        <f t="shared" si="3"/>
        <v>0</v>
      </c>
      <c r="P19" s="40">
        <f t="shared" si="4"/>
        <v>0</v>
      </c>
      <c r="S19" s="40">
        <f t="shared" si="5"/>
        <v>0</v>
      </c>
      <c r="V19" s="40">
        <f t="shared" si="6"/>
        <v>0</v>
      </c>
      <c r="Y19" s="40">
        <f t="shared" si="7"/>
        <v>0</v>
      </c>
      <c r="AB19" s="40">
        <f t="shared" si="8"/>
        <v>0</v>
      </c>
      <c r="AE19" s="40">
        <v>0</v>
      </c>
      <c r="AH19" s="40">
        <v>0</v>
      </c>
      <c r="AI19" s="73">
        <f>27850000</f>
        <v>27850000</v>
      </c>
      <c r="AJ19" s="74">
        <v>2.7E-2</v>
      </c>
      <c r="AK19" s="40">
        <f t="shared" si="9"/>
        <v>2088.75</v>
      </c>
      <c r="AL19" s="73"/>
      <c r="AM19" s="74"/>
      <c r="AN19" s="40">
        <f t="shared" si="10"/>
        <v>0</v>
      </c>
      <c r="AQ19" s="40">
        <f t="shared" si="11"/>
        <v>0</v>
      </c>
      <c r="AT19" s="40">
        <f t="shared" si="12"/>
        <v>0</v>
      </c>
      <c r="AW19" s="40">
        <f t="shared" si="13"/>
        <v>0</v>
      </c>
      <c r="AZ19" s="40">
        <f t="shared" si="14"/>
        <v>0</v>
      </c>
      <c r="BC19" s="40">
        <f t="shared" si="15"/>
        <v>0</v>
      </c>
      <c r="BF19" s="40">
        <f t="shared" si="16"/>
        <v>0</v>
      </c>
      <c r="BI19" s="40">
        <f t="shared" si="17"/>
        <v>0</v>
      </c>
      <c r="BL19" s="40">
        <f t="shared" si="18"/>
        <v>0</v>
      </c>
      <c r="BO19" s="40">
        <f t="shared" si="19"/>
        <v>0</v>
      </c>
      <c r="BR19" s="40">
        <f t="shared" si="20"/>
        <v>0</v>
      </c>
      <c r="BU19" s="40">
        <f t="shared" si="21"/>
        <v>0</v>
      </c>
      <c r="BX19" s="40">
        <f t="shared" si="22"/>
        <v>0</v>
      </c>
      <c r="CA19" s="40">
        <f t="shared" si="23"/>
        <v>0</v>
      </c>
      <c r="CD19" s="40">
        <f t="shared" si="24"/>
        <v>0</v>
      </c>
      <c r="CG19" s="40">
        <f t="shared" si="25"/>
        <v>0</v>
      </c>
      <c r="CJ19" s="40">
        <f t="shared" si="26"/>
        <v>0</v>
      </c>
      <c r="CM19" s="40">
        <f t="shared" si="27"/>
        <v>0</v>
      </c>
      <c r="CP19" s="40">
        <f t="shared" si="28"/>
        <v>0</v>
      </c>
      <c r="CS19" s="40">
        <f t="shared" si="29"/>
        <v>0</v>
      </c>
      <c r="CV19" s="40">
        <f t="shared" si="30"/>
        <v>0</v>
      </c>
      <c r="CY19" s="40">
        <f t="shared" si="31"/>
        <v>0</v>
      </c>
      <c r="DB19" s="40">
        <f t="shared" si="32"/>
        <v>0</v>
      </c>
      <c r="DE19" s="40">
        <f t="shared" si="33"/>
        <v>0</v>
      </c>
      <c r="DH19" s="40">
        <f t="shared" si="34"/>
        <v>0</v>
      </c>
      <c r="DK19" s="40">
        <f t="shared" si="35"/>
        <v>0</v>
      </c>
      <c r="DN19" s="40">
        <f t="shared" si="36"/>
        <v>0</v>
      </c>
      <c r="DQ19" s="40">
        <f t="shared" si="37"/>
        <v>0</v>
      </c>
      <c r="DT19" s="40">
        <f t="shared" si="38"/>
        <v>0</v>
      </c>
      <c r="DW19" s="40">
        <f t="shared" si="39"/>
        <v>0</v>
      </c>
      <c r="DZ19" s="40"/>
      <c r="EA19" s="40"/>
      <c r="EB19" s="75">
        <f t="shared" si="40"/>
        <v>27850000</v>
      </c>
      <c r="EC19" s="75">
        <f t="shared" si="41"/>
        <v>0</v>
      </c>
      <c r="ED19" s="40">
        <f t="shared" si="42"/>
        <v>2088.75</v>
      </c>
      <c r="EE19" s="41">
        <f t="shared" si="43"/>
        <v>2.6999999999999996E-2</v>
      </c>
      <c r="EG19" s="75">
        <f t="shared" si="44"/>
        <v>0</v>
      </c>
      <c r="EH19" s="40">
        <f t="shared" si="45"/>
        <v>0</v>
      </c>
      <c r="EI19" s="41">
        <f t="shared" si="46"/>
        <v>0</v>
      </c>
      <c r="EJ19" s="41"/>
      <c r="EK19" s="75">
        <f t="shared" si="47"/>
        <v>27850000</v>
      </c>
      <c r="EL19" s="75">
        <f t="shared" si="48"/>
        <v>0</v>
      </c>
      <c r="EM19" s="75">
        <f t="shared" si="49"/>
        <v>2088.75</v>
      </c>
      <c r="EN19" s="41">
        <f t="shared" si="50"/>
        <v>2.6999999999999996E-2</v>
      </c>
      <c r="EP19" s="40"/>
    </row>
    <row r="20" spans="1:146" x14ac:dyDescent="0.25">
      <c r="A20" s="25">
        <f t="shared" si="51"/>
        <v>43534</v>
      </c>
      <c r="D20" s="40">
        <f t="shared" si="0"/>
        <v>0</v>
      </c>
      <c r="G20" s="40">
        <f t="shared" si="1"/>
        <v>0</v>
      </c>
      <c r="J20" s="40">
        <f t="shared" si="2"/>
        <v>0</v>
      </c>
      <c r="M20" s="40">
        <f t="shared" si="3"/>
        <v>0</v>
      </c>
      <c r="P20" s="40">
        <f t="shared" si="4"/>
        <v>0</v>
      </c>
      <c r="S20" s="40">
        <f t="shared" si="5"/>
        <v>0</v>
      </c>
      <c r="V20" s="40">
        <f t="shared" si="6"/>
        <v>0</v>
      </c>
      <c r="Y20" s="40">
        <f t="shared" si="7"/>
        <v>0</v>
      </c>
      <c r="AB20" s="40">
        <f t="shared" si="8"/>
        <v>0</v>
      </c>
      <c r="AE20" s="40">
        <v>0</v>
      </c>
      <c r="AH20" s="40">
        <v>0</v>
      </c>
      <c r="AI20" s="73">
        <f>27850000</f>
        <v>27850000</v>
      </c>
      <c r="AJ20" s="74">
        <v>2.7E-2</v>
      </c>
      <c r="AK20" s="40">
        <f t="shared" si="9"/>
        <v>2088.75</v>
      </c>
      <c r="AL20" s="73"/>
      <c r="AM20" s="74"/>
      <c r="AN20" s="40">
        <f t="shared" si="10"/>
        <v>0</v>
      </c>
      <c r="AQ20" s="40">
        <f t="shared" si="11"/>
        <v>0</v>
      </c>
      <c r="AT20" s="40">
        <f t="shared" si="12"/>
        <v>0</v>
      </c>
      <c r="AW20" s="40">
        <f t="shared" si="13"/>
        <v>0</v>
      </c>
      <c r="AZ20" s="40">
        <f t="shared" si="14"/>
        <v>0</v>
      </c>
      <c r="BC20" s="40">
        <f t="shared" si="15"/>
        <v>0</v>
      </c>
      <c r="BF20" s="40">
        <f t="shared" si="16"/>
        <v>0</v>
      </c>
      <c r="BI20" s="40">
        <f t="shared" si="17"/>
        <v>0</v>
      </c>
      <c r="BL20" s="40">
        <f t="shared" si="18"/>
        <v>0</v>
      </c>
      <c r="BO20" s="40">
        <f t="shared" si="19"/>
        <v>0</v>
      </c>
      <c r="BR20" s="40">
        <f t="shared" si="20"/>
        <v>0</v>
      </c>
      <c r="BU20" s="40">
        <f t="shared" si="21"/>
        <v>0</v>
      </c>
      <c r="BX20" s="40">
        <f t="shared" si="22"/>
        <v>0</v>
      </c>
      <c r="CA20" s="40">
        <f t="shared" si="23"/>
        <v>0</v>
      </c>
      <c r="CD20" s="40">
        <f t="shared" si="24"/>
        <v>0</v>
      </c>
      <c r="CG20" s="40">
        <f t="shared" si="25"/>
        <v>0</v>
      </c>
      <c r="CJ20" s="40">
        <f t="shared" si="26"/>
        <v>0</v>
      </c>
      <c r="CM20" s="40">
        <f t="shared" si="27"/>
        <v>0</v>
      </c>
      <c r="CP20" s="40">
        <f t="shared" si="28"/>
        <v>0</v>
      </c>
      <c r="CS20" s="40">
        <f t="shared" si="29"/>
        <v>0</v>
      </c>
      <c r="CV20" s="40">
        <f t="shared" si="30"/>
        <v>0</v>
      </c>
      <c r="CY20" s="40">
        <f t="shared" si="31"/>
        <v>0</v>
      </c>
      <c r="DB20" s="40">
        <f t="shared" si="32"/>
        <v>0</v>
      </c>
      <c r="DE20" s="40">
        <f t="shared" si="33"/>
        <v>0</v>
      </c>
      <c r="DH20" s="40">
        <f t="shared" si="34"/>
        <v>0</v>
      </c>
      <c r="DK20" s="40">
        <f t="shared" si="35"/>
        <v>0</v>
      </c>
      <c r="DN20" s="40">
        <f t="shared" si="36"/>
        <v>0</v>
      </c>
      <c r="DQ20" s="40">
        <f t="shared" si="37"/>
        <v>0</v>
      </c>
      <c r="DT20" s="40">
        <f t="shared" si="38"/>
        <v>0</v>
      </c>
      <c r="DW20" s="40">
        <f t="shared" si="39"/>
        <v>0</v>
      </c>
      <c r="DZ20" s="40"/>
      <c r="EA20" s="40"/>
      <c r="EB20" s="75">
        <f t="shared" si="40"/>
        <v>27850000</v>
      </c>
      <c r="EC20" s="75">
        <f t="shared" si="41"/>
        <v>0</v>
      </c>
      <c r="ED20" s="40">
        <f t="shared" si="42"/>
        <v>2088.75</v>
      </c>
      <c r="EE20" s="41">
        <f t="shared" si="43"/>
        <v>2.6999999999999996E-2</v>
      </c>
      <c r="EG20" s="75">
        <f t="shared" si="44"/>
        <v>0</v>
      </c>
      <c r="EH20" s="40">
        <f t="shared" si="45"/>
        <v>0</v>
      </c>
      <c r="EI20" s="41">
        <f t="shared" si="46"/>
        <v>0</v>
      </c>
      <c r="EJ20" s="41"/>
      <c r="EK20" s="75">
        <f t="shared" si="47"/>
        <v>27850000</v>
      </c>
      <c r="EL20" s="75">
        <f t="shared" si="48"/>
        <v>0</v>
      </c>
      <c r="EM20" s="75">
        <f t="shared" si="49"/>
        <v>2088.75</v>
      </c>
      <c r="EN20" s="41">
        <f t="shared" si="50"/>
        <v>2.6999999999999996E-2</v>
      </c>
      <c r="EP20" s="40"/>
    </row>
    <row r="21" spans="1:146" x14ac:dyDescent="0.25">
      <c r="A21" s="25">
        <f t="shared" si="51"/>
        <v>43535</v>
      </c>
      <c r="D21" s="40">
        <f t="shared" si="0"/>
        <v>0</v>
      </c>
      <c r="G21" s="40">
        <f t="shared" si="1"/>
        <v>0</v>
      </c>
      <c r="J21" s="40">
        <f t="shared" si="2"/>
        <v>0</v>
      </c>
      <c r="M21" s="40">
        <f t="shared" si="3"/>
        <v>0</v>
      </c>
      <c r="P21" s="40">
        <f t="shared" si="4"/>
        <v>0</v>
      </c>
      <c r="S21" s="40">
        <f t="shared" si="5"/>
        <v>0</v>
      </c>
      <c r="V21" s="40">
        <f t="shared" si="6"/>
        <v>0</v>
      </c>
      <c r="Y21" s="40">
        <f t="shared" si="7"/>
        <v>0</v>
      </c>
      <c r="AB21" s="40">
        <f t="shared" si="8"/>
        <v>0</v>
      </c>
      <c r="AE21" s="40">
        <v>0</v>
      </c>
      <c r="AH21" s="40">
        <v>0</v>
      </c>
      <c r="AI21" s="73">
        <f>15875000</f>
        <v>15875000</v>
      </c>
      <c r="AJ21" s="74">
        <v>2.7E-2</v>
      </c>
      <c r="AK21" s="40">
        <f t="shared" si="9"/>
        <v>1190.625</v>
      </c>
      <c r="AL21" s="73"/>
      <c r="AM21" s="74"/>
      <c r="AN21" s="40">
        <f t="shared" si="10"/>
        <v>0</v>
      </c>
      <c r="AQ21" s="40">
        <f t="shared" si="11"/>
        <v>0</v>
      </c>
      <c r="AT21" s="40">
        <f t="shared" si="12"/>
        <v>0</v>
      </c>
      <c r="AW21" s="40">
        <f t="shared" si="13"/>
        <v>0</v>
      </c>
      <c r="AZ21" s="40">
        <f t="shared" si="14"/>
        <v>0</v>
      </c>
      <c r="BC21" s="40">
        <f t="shared" si="15"/>
        <v>0</v>
      </c>
      <c r="BF21" s="40">
        <f t="shared" si="16"/>
        <v>0</v>
      </c>
      <c r="BI21" s="40">
        <f t="shared" si="17"/>
        <v>0</v>
      </c>
      <c r="BL21" s="40">
        <f t="shared" si="18"/>
        <v>0</v>
      </c>
      <c r="BO21" s="40">
        <f t="shared" si="19"/>
        <v>0</v>
      </c>
      <c r="BR21" s="40">
        <f t="shared" si="20"/>
        <v>0</v>
      </c>
      <c r="BU21" s="40">
        <f t="shared" si="21"/>
        <v>0</v>
      </c>
      <c r="BX21" s="40">
        <f t="shared" si="22"/>
        <v>0</v>
      </c>
      <c r="CA21" s="40">
        <f t="shared" si="23"/>
        <v>0</v>
      </c>
      <c r="CD21" s="40">
        <f t="shared" si="24"/>
        <v>0</v>
      </c>
      <c r="CG21" s="40">
        <f t="shared" si="25"/>
        <v>0</v>
      </c>
      <c r="CJ21" s="40">
        <f t="shared" si="26"/>
        <v>0</v>
      </c>
      <c r="CM21" s="40">
        <f t="shared" si="27"/>
        <v>0</v>
      </c>
      <c r="CP21" s="40">
        <f t="shared" si="28"/>
        <v>0</v>
      </c>
      <c r="CS21" s="40">
        <f t="shared" si="29"/>
        <v>0</v>
      </c>
      <c r="CV21" s="40">
        <f t="shared" si="30"/>
        <v>0</v>
      </c>
      <c r="CY21" s="40">
        <f t="shared" si="31"/>
        <v>0</v>
      </c>
      <c r="DB21" s="40">
        <f t="shared" si="32"/>
        <v>0</v>
      </c>
      <c r="DE21" s="40">
        <f t="shared" si="33"/>
        <v>0</v>
      </c>
      <c r="DH21" s="40">
        <f t="shared" si="34"/>
        <v>0</v>
      </c>
      <c r="DK21" s="40">
        <f t="shared" si="35"/>
        <v>0</v>
      </c>
      <c r="DN21" s="40">
        <f t="shared" si="36"/>
        <v>0</v>
      </c>
      <c r="DQ21" s="40">
        <f t="shared" si="37"/>
        <v>0</v>
      </c>
      <c r="DT21" s="40">
        <f t="shared" si="38"/>
        <v>0</v>
      </c>
      <c r="DW21" s="40">
        <f t="shared" si="39"/>
        <v>0</v>
      </c>
      <c r="DZ21" s="40"/>
      <c r="EA21" s="40"/>
      <c r="EB21" s="75">
        <f t="shared" si="40"/>
        <v>15875000</v>
      </c>
      <c r="EC21" s="75">
        <f t="shared" si="41"/>
        <v>0</v>
      </c>
      <c r="ED21" s="40">
        <f t="shared" si="42"/>
        <v>1190.625</v>
      </c>
      <c r="EE21" s="41">
        <f t="shared" si="43"/>
        <v>2.6999999999999996E-2</v>
      </c>
      <c r="EG21" s="75">
        <f t="shared" si="44"/>
        <v>0</v>
      </c>
      <c r="EH21" s="40">
        <f t="shared" si="45"/>
        <v>0</v>
      </c>
      <c r="EI21" s="41">
        <f t="shared" si="46"/>
        <v>0</v>
      </c>
      <c r="EJ21" s="41"/>
      <c r="EK21" s="75">
        <f t="shared" si="47"/>
        <v>15875000</v>
      </c>
      <c r="EL21" s="75">
        <f t="shared" si="48"/>
        <v>0</v>
      </c>
      <c r="EM21" s="75">
        <f t="shared" si="49"/>
        <v>1190.625</v>
      </c>
      <c r="EN21" s="41">
        <f t="shared" si="50"/>
        <v>2.6999999999999996E-2</v>
      </c>
      <c r="EP21" s="40"/>
    </row>
    <row r="22" spans="1:146" x14ac:dyDescent="0.25">
      <c r="A22" s="25">
        <f t="shared" si="51"/>
        <v>43536</v>
      </c>
      <c r="D22" s="40">
        <f t="shared" si="0"/>
        <v>0</v>
      </c>
      <c r="G22" s="40">
        <f t="shared" si="1"/>
        <v>0</v>
      </c>
      <c r="J22" s="40">
        <f t="shared" si="2"/>
        <v>0</v>
      </c>
      <c r="M22" s="40">
        <f t="shared" si="3"/>
        <v>0</v>
      </c>
      <c r="P22" s="40">
        <f t="shared" si="4"/>
        <v>0</v>
      </c>
      <c r="S22" s="40">
        <f t="shared" si="5"/>
        <v>0</v>
      </c>
      <c r="V22" s="40">
        <f t="shared" si="6"/>
        <v>0</v>
      </c>
      <c r="Y22" s="40">
        <f t="shared" si="7"/>
        <v>0</v>
      </c>
      <c r="AB22" s="40">
        <f t="shared" si="8"/>
        <v>0</v>
      </c>
      <c r="AE22" s="40">
        <v>0</v>
      </c>
      <c r="AH22" s="40">
        <v>0</v>
      </c>
      <c r="AI22" s="73">
        <f>5625000</f>
        <v>5625000</v>
      </c>
      <c r="AJ22" s="74">
        <v>2.7E-2</v>
      </c>
      <c r="AK22" s="40">
        <f t="shared" si="9"/>
        <v>421.875</v>
      </c>
      <c r="AL22" s="73"/>
      <c r="AM22" s="74"/>
      <c r="AN22" s="40">
        <f t="shared" si="10"/>
        <v>0</v>
      </c>
      <c r="AQ22" s="40">
        <f t="shared" si="11"/>
        <v>0</v>
      </c>
      <c r="AT22" s="40">
        <f t="shared" si="12"/>
        <v>0</v>
      </c>
      <c r="AW22" s="40">
        <f t="shared" si="13"/>
        <v>0</v>
      </c>
      <c r="AZ22" s="40">
        <f t="shared" si="14"/>
        <v>0</v>
      </c>
      <c r="BC22" s="40">
        <f t="shared" si="15"/>
        <v>0</v>
      </c>
      <c r="BF22" s="40">
        <f t="shared" si="16"/>
        <v>0</v>
      </c>
      <c r="BI22" s="40">
        <f t="shared" si="17"/>
        <v>0</v>
      </c>
      <c r="BL22" s="40">
        <f t="shared" si="18"/>
        <v>0</v>
      </c>
      <c r="BO22" s="40">
        <f t="shared" si="19"/>
        <v>0</v>
      </c>
      <c r="BR22" s="40">
        <f t="shared" si="20"/>
        <v>0</v>
      </c>
      <c r="BU22" s="40">
        <f t="shared" si="21"/>
        <v>0</v>
      </c>
      <c r="BX22" s="40">
        <f t="shared" si="22"/>
        <v>0</v>
      </c>
      <c r="CA22" s="40">
        <f t="shared" si="23"/>
        <v>0</v>
      </c>
      <c r="CD22" s="40">
        <f t="shared" si="24"/>
        <v>0</v>
      </c>
      <c r="CG22" s="40">
        <f t="shared" si="25"/>
        <v>0</v>
      </c>
      <c r="CJ22" s="40">
        <f t="shared" si="26"/>
        <v>0</v>
      </c>
      <c r="CM22" s="40">
        <f t="shared" si="27"/>
        <v>0</v>
      </c>
      <c r="CP22" s="40">
        <f t="shared" si="28"/>
        <v>0</v>
      </c>
      <c r="CS22" s="40">
        <f t="shared" si="29"/>
        <v>0</v>
      </c>
      <c r="CV22" s="40">
        <f t="shared" si="30"/>
        <v>0</v>
      </c>
      <c r="CY22" s="40">
        <f t="shared" si="31"/>
        <v>0</v>
      </c>
      <c r="DB22" s="40">
        <f t="shared" si="32"/>
        <v>0</v>
      </c>
      <c r="DE22" s="40">
        <f t="shared" si="33"/>
        <v>0</v>
      </c>
      <c r="DH22" s="40">
        <f t="shared" si="34"/>
        <v>0</v>
      </c>
      <c r="DK22" s="40">
        <f t="shared" si="35"/>
        <v>0</v>
      </c>
      <c r="DN22" s="40">
        <f t="shared" si="36"/>
        <v>0</v>
      </c>
      <c r="DQ22" s="40">
        <f t="shared" si="37"/>
        <v>0</v>
      </c>
      <c r="DT22" s="40">
        <f t="shared" si="38"/>
        <v>0</v>
      </c>
      <c r="DW22" s="40">
        <f t="shared" si="39"/>
        <v>0</v>
      </c>
      <c r="DZ22" s="40"/>
      <c r="EA22" s="40"/>
      <c r="EB22" s="75">
        <f t="shared" si="40"/>
        <v>5625000</v>
      </c>
      <c r="EC22" s="75">
        <f t="shared" si="41"/>
        <v>0</v>
      </c>
      <c r="ED22" s="40">
        <f t="shared" si="42"/>
        <v>421.875</v>
      </c>
      <c r="EE22" s="41">
        <f t="shared" si="43"/>
        <v>2.6999999999999996E-2</v>
      </c>
      <c r="EG22" s="75">
        <f t="shared" si="44"/>
        <v>0</v>
      </c>
      <c r="EH22" s="40">
        <f t="shared" si="45"/>
        <v>0</v>
      </c>
      <c r="EI22" s="41">
        <f t="shared" si="46"/>
        <v>0</v>
      </c>
      <c r="EJ22" s="41"/>
      <c r="EK22" s="75">
        <f t="shared" si="47"/>
        <v>5625000</v>
      </c>
      <c r="EL22" s="75">
        <f t="shared" si="48"/>
        <v>0</v>
      </c>
      <c r="EM22" s="75">
        <f t="shared" si="49"/>
        <v>421.875</v>
      </c>
      <c r="EN22" s="41">
        <f t="shared" si="50"/>
        <v>2.6999999999999996E-2</v>
      </c>
      <c r="EP22" s="40"/>
    </row>
    <row r="23" spans="1:146" x14ac:dyDescent="0.25">
      <c r="A23" s="25">
        <f t="shared" si="51"/>
        <v>43537</v>
      </c>
      <c r="D23" s="40">
        <f t="shared" si="0"/>
        <v>0</v>
      </c>
      <c r="G23" s="40">
        <f t="shared" si="1"/>
        <v>0</v>
      </c>
      <c r="J23" s="40">
        <f t="shared" si="2"/>
        <v>0</v>
      </c>
      <c r="M23" s="40">
        <f t="shared" si="3"/>
        <v>0</v>
      </c>
      <c r="P23" s="40">
        <f t="shared" si="4"/>
        <v>0</v>
      </c>
      <c r="S23" s="40">
        <f t="shared" si="5"/>
        <v>0</v>
      </c>
      <c r="V23" s="40">
        <f t="shared" si="6"/>
        <v>0</v>
      </c>
      <c r="Y23" s="40">
        <f t="shared" si="7"/>
        <v>0</v>
      </c>
      <c r="AB23" s="40">
        <f t="shared" si="8"/>
        <v>0</v>
      </c>
      <c r="AE23" s="40">
        <v>0</v>
      </c>
      <c r="AH23" s="40">
        <v>0</v>
      </c>
      <c r="AI23" s="73">
        <f>24175000</f>
        <v>24175000</v>
      </c>
      <c r="AJ23" s="74">
        <v>2.7E-2</v>
      </c>
      <c r="AK23" s="40">
        <f t="shared" si="9"/>
        <v>1813.125</v>
      </c>
      <c r="AL23" s="73"/>
      <c r="AM23" s="74"/>
      <c r="AN23" s="40">
        <f t="shared" si="10"/>
        <v>0</v>
      </c>
      <c r="AQ23" s="40">
        <f t="shared" si="11"/>
        <v>0</v>
      </c>
      <c r="AT23" s="40">
        <f t="shared" si="12"/>
        <v>0</v>
      </c>
      <c r="AW23" s="40">
        <f t="shared" si="13"/>
        <v>0</v>
      </c>
      <c r="AZ23" s="40">
        <f t="shared" si="14"/>
        <v>0</v>
      </c>
      <c r="BC23" s="40">
        <f t="shared" si="15"/>
        <v>0</v>
      </c>
      <c r="BF23" s="40">
        <f t="shared" si="16"/>
        <v>0</v>
      </c>
      <c r="BI23" s="40">
        <f t="shared" si="17"/>
        <v>0</v>
      </c>
      <c r="BL23" s="40">
        <f t="shared" si="18"/>
        <v>0</v>
      </c>
      <c r="BO23" s="40">
        <f t="shared" si="19"/>
        <v>0</v>
      </c>
      <c r="BR23" s="40">
        <f t="shared" si="20"/>
        <v>0</v>
      </c>
      <c r="BU23" s="40">
        <f t="shared" si="21"/>
        <v>0</v>
      </c>
      <c r="BX23" s="40">
        <f t="shared" si="22"/>
        <v>0</v>
      </c>
      <c r="CA23" s="40">
        <f t="shared" si="23"/>
        <v>0</v>
      </c>
      <c r="CD23" s="40">
        <f t="shared" si="24"/>
        <v>0</v>
      </c>
      <c r="CG23" s="40">
        <f t="shared" si="25"/>
        <v>0</v>
      </c>
      <c r="CJ23" s="40">
        <f t="shared" si="26"/>
        <v>0</v>
      </c>
      <c r="CM23" s="40">
        <f t="shared" si="27"/>
        <v>0</v>
      </c>
      <c r="CP23" s="40">
        <f t="shared" si="28"/>
        <v>0</v>
      </c>
      <c r="CS23" s="40">
        <f t="shared" si="29"/>
        <v>0</v>
      </c>
      <c r="CV23" s="40">
        <f t="shared" si="30"/>
        <v>0</v>
      </c>
      <c r="CY23" s="40">
        <f t="shared" si="31"/>
        <v>0</v>
      </c>
      <c r="DB23" s="40">
        <f t="shared" si="32"/>
        <v>0</v>
      </c>
      <c r="DE23" s="40">
        <f t="shared" si="33"/>
        <v>0</v>
      </c>
      <c r="DH23" s="40">
        <f t="shared" si="34"/>
        <v>0</v>
      </c>
      <c r="DK23" s="40">
        <f t="shared" si="35"/>
        <v>0</v>
      </c>
      <c r="DN23" s="40">
        <f t="shared" si="36"/>
        <v>0</v>
      </c>
      <c r="DQ23" s="40">
        <f t="shared" si="37"/>
        <v>0</v>
      </c>
      <c r="DT23" s="40">
        <f t="shared" si="38"/>
        <v>0</v>
      </c>
      <c r="DW23" s="40">
        <f t="shared" si="39"/>
        <v>0</v>
      </c>
      <c r="DZ23" s="40"/>
      <c r="EA23" s="40"/>
      <c r="EB23" s="75">
        <f t="shared" si="40"/>
        <v>24175000</v>
      </c>
      <c r="EC23" s="75">
        <f t="shared" si="41"/>
        <v>0</v>
      </c>
      <c r="ED23" s="40">
        <f t="shared" si="42"/>
        <v>1813.125</v>
      </c>
      <c r="EE23" s="41">
        <f t="shared" si="43"/>
        <v>2.6999999999999996E-2</v>
      </c>
      <c r="EG23" s="75">
        <f t="shared" si="44"/>
        <v>0</v>
      </c>
      <c r="EH23" s="40">
        <f t="shared" si="45"/>
        <v>0</v>
      </c>
      <c r="EI23" s="41">
        <f t="shared" si="46"/>
        <v>0</v>
      </c>
      <c r="EJ23" s="41"/>
      <c r="EK23" s="75">
        <f t="shared" si="47"/>
        <v>24175000</v>
      </c>
      <c r="EL23" s="75">
        <f t="shared" si="48"/>
        <v>0</v>
      </c>
      <c r="EM23" s="75">
        <f t="shared" si="49"/>
        <v>1813.125</v>
      </c>
      <c r="EN23" s="41">
        <f t="shared" si="50"/>
        <v>2.6999999999999996E-2</v>
      </c>
      <c r="EP23" s="40"/>
    </row>
    <row r="24" spans="1:146" x14ac:dyDescent="0.25">
      <c r="A24" s="25">
        <f t="shared" si="51"/>
        <v>43538</v>
      </c>
      <c r="D24" s="40">
        <f t="shared" si="0"/>
        <v>0</v>
      </c>
      <c r="G24" s="40">
        <f t="shared" si="1"/>
        <v>0</v>
      </c>
      <c r="J24" s="40">
        <f t="shared" si="2"/>
        <v>0</v>
      </c>
      <c r="M24" s="40">
        <f t="shared" si="3"/>
        <v>0</v>
      </c>
      <c r="P24" s="40">
        <f t="shared" si="4"/>
        <v>0</v>
      </c>
      <c r="S24" s="40">
        <f t="shared" si="5"/>
        <v>0</v>
      </c>
      <c r="V24" s="40">
        <f t="shared" si="6"/>
        <v>0</v>
      </c>
      <c r="Y24" s="40">
        <f t="shared" si="7"/>
        <v>0</v>
      </c>
      <c r="AB24" s="40">
        <f t="shared" si="8"/>
        <v>0</v>
      </c>
      <c r="AE24" s="40">
        <v>0</v>
      </c>
      <c r="AH24" s="40">
        <v>0</v>
      </c>
      <c r="AI24" s="73">
        <f>21775000</f>
        <v>21775000</v>
      </c>
      <c r="AJ24" s="74">
        <v>2.7E-2</v>
      </c>
      <c r="AK24" s="40">
        <f t="shared" si="9"/>
        <v>1633.125</v>
      </c>
      <c r="AL24" s="73"/>
      <c r="AM24" s="74"/>
      <c r="AN24" s="40">
        <f t="shared" si="10"/>
        <v>0</v>
      </c>
      <c r="AQ24" s="40">
        <f t="shared" si="11"/>
        <v>0</v>
      </c>
      <c r="AT24" s="40">
        <f t="shared" si="12"/>
        <v>0</v>
      </c>
      <c r="AW24" s="40">
        <f t="shared" si="13"/>
        <v>0</v>
      </c>
      <c r="AZ24" s="40">
        <f t="shared" si="14"/>
        <v>0</v>
      </c>
      <c r="BC24" s="40">
        <f t="shared" si="15"/>
        <v>0</v>
      </c>
      <c r="BF24" s="40">
        <f t="shared" si="16"/>
        <v>0</v>
      </c>
      <c r="BI24" s="40">
        <f t="shared" si="17"/>
        <v>0</v>
      </c>
      <c r="BL24" s="40">
        <f t="shared" si="18"/>
        <v>0</v>
      </c>
      <c r="BO24" s="40">
        <f t="shared" si="19"/>
        <v>0</v>
      </c>
      <c r="BR24" s="40">
        <f t="shared" si="20"/>
        <v>0</v>
      </c>
      <c r="BU24" s="40">
        <f t="shared" si="21"/>
        <v>0</v>
      </c>
      <c r="BX24" s="40">
        <f t="shared" si="22"/>
        <v>0</v>
      </c>
      <c r="CA24" s="40">
        <f t="shared" si="23"/>
        <v>0</v>
      </c>
      <c r="CD24" s="40">
        <f t="shared" si="24"/>
        <v>0</v>
      </c>
      <c r="CG24" s="40">
        <f t="shared" si="25"/>
        <v>0</v>
      </c>
      <c r="CJ24" s="40">
        <f t="shared" si="26"/>
        <v>0</v>
      </c>
      <c r="CM24" s="40">
        <f t="shared" si="27"/>
        <v>0</v>
      </c>
      <c r="CP24" s="40">
        <f t="shared" si="28"/>
        <v>0</v>
      </c>
      <c r="CS24" s="40">
        <f t="shared" si="29"/>
        <v>0</v>
      </c>
      <c r="CV24" s="40">
        <f t="shared" si="30"/>
        <v>0</v>
      </c>
      <c r="CY24" s="40">
        <f t="shared" si="31"/>
        <v>0</v>
      </c>
      <c r="DB24" s="40">
        <f t="shared" si="32"/>
        <v>0</v>
      </c>
      <c r="DE24" s="40">
        <f t="shared" si="33"/>
        <v>0</v>
      </c>
      <c r="DH24" s="40">
        <f t="shared" si="34"/>
        <v>0</v>
      </c>
      <c r="DK24" s="40">
        <f t="shared" si="35"/>
        <v>0</v>
      </c>
      <c r="DN24" s="40">
        <f t="shared" si="36"/>
        <v>0</v>
      </c>
      <c r="DQ24" s="40">
        <f t="shared" si="37"/>
        <v>0</v>
      </c>
      <c r="DT24" s="40">
        <f t="shared" si="38"/>
        <v>0</v>
      </c>
      <c r="DW24" s="40">
        <f t="shared" si="39"/>
        <v>0</v>
      </c>
      <c r="DZ24" s="40"/>
      <c r="EA24" s="40"/>
      <c r="EB24" s="75">
        <f t="shared" si="40"/>
        <v>21775000</v>
      </c>
      <c r="EC24" s="75">
        <f t="shared" si="41"/>
        <v>0</v>
      </c>
      <c r="ED24" s="40">
        <f t="shared" si="42"/>
        <v>1633.125</v>
      </c>
      <c r="EE24" s="41">
        <f t="shared" si="43"/>
        <v>2.6999999999999996E-2</v>
      </c>
      <c r="EG24" s="75">
        <f t="shared" si="44"/>
        <v>0</v>
      </c>
      <c r="EH24" s="40">
        <f t="shared" si="45"/>
        <v>0</v>
      </c>
      <c r="EI24" s="41">
        <f t="shared" si="46"/>
        <v>0</v>
      </c>
      <c r="EJ24" s="41"/>
      <c r="EK24" s="75">
        <f t="shared" si="47"/>
        <v>21775000</v>
      </c>
      <c r="EL24" s="75">
        <f t="shared" si="48"/>
        <v>0</v>
      </c>
      <c r="EM24" s="75">
        <f t="shared" si="49"/>
        <v>1633.125</v>
      </c>
      <c r="EN24" s="41">
        <f t="shared" si="50"/>
        <v>2.6999999999999996E-2</v>
      </c>
      <c r="EP24" s="40"/>
    </row>
    <row r="25" spans="1:146" x14ac:dyDescent="0.25">
      <c r="A25" s="25">
        <f t="shared" si="51"/>
        <v>43539</v>
      </c>
      <c r="D25" s="40">
        <f t="shared" si="0"/>
        <v>0</v>
      </c>
      <c r="G25" s="40">
        <f t="shared" si="1"/>
        <v>0</v>
      </c>
      <c r="J25" s="40">
        <f t="shared" si="2"/>
        <v>0</v>
      </c>
      <c r="M25" s="40">
        <f t="shared" si="3"/>
        <v>0</v>
      </c>
      <c r="P25" s="40">
        <f t="shared" si="4"/>
        <v>0</v>
      </c>
      <c r="S25" s="40">
        <f t="shared" si="5"/>
        <v>0</v>
      </c>
      <c r="V25" s="40">
        <f t="shared" si="6"/>
        <v>0</v>
      </c>
      <c r="Y25" s="40">
        <f t="shared" si="7"/>
        <v>0</v>
      </c>
      <c r="AB25" s="40">
        <f t="shared" si="8"/>
        <v>0</v>
      </c>
      <c r="AE25" s="40">
        <v>0</v>
      </c>
      <c r="AH25" s="40">
        <v>0</v>
      </c>
      <c r="AI25" s="73">
        <f>72350000</f>
        <v>72350000</v>
      </c>
      <c r="AJ25" s="74">
        <v>2.7E-2</v>
      </c>
      <c r="AK25" s="40">
        <f t="shared" si="9"/>
        <v>5426.25</v>
      </c>
      <c r="AL25" s="73"/>
      <c r="AM25" s="74"/>
      <c r="AN25" s="40">
        <f t="shared" si="10"/>
        <v>0</v>
      </c>
      <c r="AQ25" s="40">
        <f t="shared" si="11"/>
        <v>0</v>
      </c>
      <c r="AT25" s="40">
        <f t="shared" si="12"/>
        <v>0</v>
      </c>
      <c r="AW25" s="40">
        <f t="shared" si="13"/>
        <v>0</v>
      </c>
      <c r="AZ25" s="40">
        <f t="shared" si="14"/>
        <v>0</v>
      </c>
      <c r="BC25" s="40">
        <f t="shared" si="15"/>
        <v>0</v>
      </c>
      <c r="BF25" s="40">
        <f t="shared" si="16"/>
        <v>0</v>
      </c>
      <c r="BI25" s="40">
        <f t="shared" si="17"/>
        <v>0</v>
      </c>
      <c r="BL25" s="40">
        <f t="shared" si="18"/>
        <v>0</v>
      </c>
      <c r="BO25" s="40">
        <f t="shared" si="19"/>
        <v>0</v>
      </c>
      <c r="BR25" s="40">
        <f t="shared" si="20"/>
        <v>0</v>
      </c>
      <c r="BU25" s="40">
        <f t="shared" si="21"/>
        <v>0</v>
      </c>
      <c r="BX25" s="40">
        <f t="shared" si="22"/>
        <v>0</v>
      </c>
      <c r="CA25" s="40">
        <f t="shared" si="23"/>
        <v>0</v>
      </c>
      <c r="CD25" s="40">
        <f t="shared" si="24"/>
        <v>0</v>
      </c>
      <c r="CG25" s="40">
        <f t="shared" si="25"/>
        <v>0</v>
      </c>
      <c r="CJ25" s="40">
        <f t="shared" si="26"/>
        <v>0</v>
      </c>
      <c r="CM25" s="40">
        <f t="shared" si="27"/>
        <v>0</v>
      </c>
      <c r="CP25" s="40">
        <f t="shared" si="28"/>
        <v>0</v>
      </c>
      <c r="CS25" s="40">
        <f t="shared" si="29"/>
        <v>0</v>
      </c>
      <c r="CV25" s="40">
        <f t="shared" si="30"/>
        <v>0</v>
      </c>
      <c r="CY25" s="40">
        <f t="shared" si="31"/>
        <v>0</v>
      </c>
      <c r="DB25" s="40">
        <f t="shared" si="32"/>
        <v>0</v>
      </c>
      <c r="DE25" s="40">
        <f t="shared" si="33"/>
        <v>0</v>
      </c>
      <c r="DH25" s="40">
        <f t="shared" si="34"/>
        <v>0</v>
      </c>
      <c r="DK25" s="40">
        <f t="shared" si="35"/>
        <v>0</v>
      </c>
      <c r="DN25" s="40">
        <f t="shared" si="36"/>
        <v>0</v>
      </c>
      <c r="DQ25" s="40">
        <f t="shared" si="37"/>
        <v>0</v>
      </c>
      <c r="DT25" s="40">
        <f t="shared" si="38"/>
        <v>0</v>
      </c>
      <c r="DW25" s="40">
        <f t="shared" si="39"/>
        <v>0</v>
      </c>
      <c r="DZ25" s="40"/>
      <c r="EA25" s="40"/>
      <c r="EB25" s="75">
        <f t="shared" si="40"/>
        <v>72350000</v>
      </c>
      <c r="EC25" s="75">
        <f t="shared" si="41"/>
        <v>0</v>
      </c>
      <c r="ED25" s="40">
        <f t="shared" si="42"/>
        <v>5426.25</v>
      </c>
      <c r="EE25" s="41">
        <f t="shared" si="43"/>
        <v>2.6999999999999996E-2</v>
      </c>
      <c r="EG25" s="75">
        <f t="shared" si="44"/>
        <v>0</v>
      </c>
      <c r="EH25" s="40">
        <f t="shared" si="45"/>
        <v>0</v>
      </c>
      <c r="EI25" s="41">
        <f t="shared" si="46"/>
        <v>0</v>
      </c>
      <c r="EJ25" s="41"/>
      <c r="EK25" s="75">
        <f t="shared" si="47"/>
        <v>72350000</v>
      </c>
      <c r="EL25" s="75">
        <f t="shared" si="48"/>
        <v>0</v>
      </c>
      <c r="EM25" s="75">
        <f t="shared" si="49"/>
        <v>5426.25</v>
      </c>
      <c r="EN25" s="41">
        <f t="shared" si="50"/>
        <v>2.6999999999999996E-2</v>
      </c>
      <c r="EP25" s="40"/>
    </row>
    <row r="26" spans="1:146" x14ac:dyDescent="0.25">
      <c r="A26" s="25">
        <f t="shared" si="51"/>
        <v>43540</v>
      </c>
      <c r="D26" s="40">
        <f t="shared" si="0"/>
        <v>0</v>
      </c>
      <c r="G26" s="40">
        <f t="shared" si="1"/>
        <v>0</v>
      </c>
      <c r="J26" s="40">
        <f t="shared" si="2"/>
        <v>0</v>
      </c>
      <c r="M26" s="40">
        <f t="shared" si="3"/>
        <v>0</v>
      </c>
      <c r="P26" s="40">
        <f t="shared" si="4"/>
        <v>0</v>
      </c>
      <c r="S26" s="40">
        <f t="shared" si="5"/>
        <v>0</v>
      </c>
      <c r="V26" s="40">
        <f t="shared" si="6"/>
        <v>0</v>
      </c>
      <c r="Y26" s="40">
        <f t="shared" si="7"/>
        <v>0</v>
      </c>
      <c r="AB26" s="40">
        <f t="shared" si="8"/>
        <v>0</v>
      </c>
      <c r="AE26" s="40">
        <v>0</v>
      </c>
      <c r="AH26" s="40">
        <v>0</v>
      </c>
      <c r="AI26" s="73">
        <f>72350000</f>
        <v>72350000</v>
      </c>
      <c r="AJ26" s="74">
        <v>2.7E-2</v>
      </c>
      <c r="AK26" s="40">
        <f t="shared" si="9"/>
        <v>5426.25</v>
      </c>
      <c r="AL26" s="73"/>
      <c r="AM26" s="74"/>
      <c r="AN26" s="40">
        <f t="shared" si="10"/>
        <v>0</v>
      </c>
      <c r="AQ26" s="40">
        <f t="shared" si="11"/>
        <v>0</v>
      </c>
      <c r="AT26" s="40">
        <f t="shared" si="12"/>
        <v>0</v>
      </c>
      <c r="AW26" s="40">
        <f t="shared" si="13"/>
        <v>0</v>
      </c>
      <c r="AZ26" s="40">
        <f t="shared" si="14"/>
        <v>0</v>
      </c>
      <c r="BC26" s="40">
        <f t="shared" si="15"/>
        <v>0</v>
      </c>
      <c r="BF26" s="40">
        <f t="shared" si="16"/>
        <v>0</v>
      </c>
      <c r="BI26" s="40">
        <f t="shared" si="17"/>
        <v>0</v>
      </c>
      <c r="BL26" s="40">
        <f t="shared" si="18"/>
        <v>0</v>
      </c>
      <c r="BO26" s="40">
        <f t="shared" si="19"/>
        <v>0</v>
      </c>
      <c r="BR26" s="40">
        <f t="shared" si="20"/>
        <v>0</v>
      </c>
      <c r="BU26" s="40">
        <f t="shared" si="21"/>
        <v>0</v>
      </c>
      <c r="BX26" s="40">
        <f t="shared" si="22"/>
        <v>0</v>
      </c>
      <c r="CA26" s="40">
        <f t="shared" si="23"/>
        <v>0</v>
      </c>
      <c r="CD26" s="40">
        <f t="shared" si="24"/>
        <v>0</v>
      </c>
      <c r="CG26" s="40">
        <f t="shared" si="25"/>
        <v>0</v>
      </c>
      <c r="CJ26" s="40">
        <f t="shared" si="26"/>
        <v>0</v>
      </c>
      <c r="CM26" s="40">
        <f t="shared" si="27"/>
        <v>0</v>
      </c>
      <c r="CP26" s="40">
        <f t="shared" si="28"/>
        <v>0</v>
      </c>
      <c r="CS26" s="40">
        <f t="shared" si="29"/>
        <v>0</v>
      </c>
      <c r="CV26" s="40">
        <f t="shared" si="30"/>
        <v>0</v>
      </c>
      <c r="CY26" s="40">
        <f t="shared" si="31"/>
        <v>0</v>
      </c>
      <c r="DB26" s="40">
        <f t="shared" si="32"/>
        <v>0</v>
      </c>
      <c r="DE26" s="40">
        <f t="shared" si="33"/>
        <v>0</v>
      </c>
      <c r="DH26" s="40">
        <f t="shared" si="34"/>
        <v>0</v>
      </c>
      <c r="DK26" s="40">
        <f t="shared" si="35"/>
        <v>0</v>
      </c>
      <c r="DN26" s="40">
        <f t="shared" si="36"/>
        <v>0</v>
      </c>
      <c r="DQ26" s="40">
        <f t="shared" si="37"/>
        <v>0</v>
      </c>
      <c r="DT26" s="40">
        <f t="shared" si="38"/>
        <v>0</v>
      </c>
      <c r="DW26" s="40">
        <f t="shared" si="39"/>
        <v>0</v>
      </c>
      <c r="DZ26" s="40"/>
      <c r="EA26" s="40"/>
      <c r="EB26" s="75">
        <f t="shared" si="40"/>
        <v>72350000</v>
      </c>
      <c r="EC26" s="75">
        <f t="shared" si="41"/>
        <v>0</v>
      </c>
      <c r="ED26" s="40">
        <f t="shared" si="42"/>
        <v>5426.25</v>
      </c>
      <c r="EE26" s="41">
        <f t="shared" si="43"/>
        <v>2.6999999999999996E-2</v>
      </c>
      <c r="EG26" s="75">
        <f t="shared" si="44"/>
        <v>0</v>
      </c>
      <c r="EH26" s="40">
        <f t="shared" si="45"/>
        <v>0</v>
      </c>
      <c r="EI26" s="41">
        <f t="shared" si="46"/>
        <v>0</v>
      </c>
      <c r="EJ26" s="41"/>
      <c r="EK26" s="75">
        <f t="shared" si="47"/>
        <v>72350000</v>
      </c>
      <c r="EL26" s="75">
        <f t="shared" si="48"/>
        <v>0</v>
      </c>
      <c r="EM26" s="75">
        <f t="shared" si="49"/>
        <v>5426.25</v>
      </c>
      <c r="EN26" s="41">
        <f t="shared" si="50"/>
        <v>2.6999999999999996E-2</v>
      </c>
      <c r="EP26" s="40"/>
    </row>
    <row r="27" spans="1:146" x14ac:dyDescent="0.25">
      <c r="A27" s="25">
        <f t="shared" si="51"/>
        <v>43541</v>
      </c>
      <c r="D27" s="40">
        <f t="shared" si="0"/>
        <v>0</v>
      </c>
      <c r="G27" s="40">
        <f t="shared" si="1"/>
        <v>0</v>
      </c>
      <c r="J27" s="40">
        <f t="shared" si="2"/>
        <v>0</v>
      </c>
      <c r="M27" s="40">
        <f t="shared" si="3"/>
        <v>0</v>
      </c>
      <c r="P27" s="40">
        <f t="shared" si="4"/>
        <v>0</v>
      </c>
      <c r="S27" s="40">
        <f t="shared" si="5"/>
        <v>0</v>
      </c>
      <c r="V27" s="40">
        <f t="shared" si="6"/>
        <v>0</v>
      </c>
      <c r="Y27" s="40">
        <f t="shared" si="7"/>
        <v>0</v>
      </c>
      <c r="AB27" s="40">
        <f t="shared" si="8"/>
        <v>0</v>
      </c>
      <c r="AE27" s="40">
        <v>0</v>
      </c>
      <c r="AH27" s="40">
        <v>0</v>
      </c>
      <c r="AI27" s="73">
        <f>72350000</f>
        <v>72350000</v>
      </c>
      <c r="AJ27" s="74">
        <v>2.7E-2</v>
      </c>
      <c r="AK27" s="40">
        <f t="shared" si="9"/>
        <v>5426.25</v>
      </c>
      <c r="AL27" s="73"/>
      <c r="AM27" s="74"/>
      <c r="AN27" s="40">
        <f t="shared" si="10"/>
        <v>0</v>
      </c>
      <c r="AQ27" s="40">
        <f t="shared" si="11"/>
        <v>0</v>
      </c>
      <c r="AT27" s="40">
        <f t="shared" si="12"/>
        <v>0</v>
      </c>
      <c r="AW27" s="40">
        <f t="shared" si="13"/>
        <v>0</v>
      </c>
      <c r="AZ27" s="40">
        <f t="shared" si="14"/>
        <v>0</v>
      </c>
      <c r="BC27" s="40">
        <f t="shared" si="15"/>
        <v>0</v>
      </c>
      <c r="BF27" s="40">
        <f t="shared" si="16"/>
        <v>0</v>
      </c>
      <c r="BI27" s="40">
        <f t="shared" si="17"/>
        <v>0</v>
      </c>
      <c r="BL27" s="40">
        <f t="shared" si="18"/>
        <v>0</v>
      </c>
      <c r="BO27" s="40">
        <f t="shared" si="19"/>
        <v>0</v>
      </c>
      <c r="BR27" s="40">
        <f t="shared" si="20"/>
        <v>0</v>
      </c>
      <c r="BU27" s="40">
        <f t="shared" si="21"/>
        <v>0</v>
      </c>
      <c r="BX27" s="40">
        <f t="shared" si="22"/>
        <v>0</v>
      </c>
      <c r="CA27" s="40">
        <f t="shared" si="23"/>
        <v>0</v>
      </c>
      <c r="CD27" s="40">
        <f t="shared" si="24"/>
        <v>0</v>
      </c>
      <c r="CG27" s="40">
        <f t="shared" si="25"/>
        <v>0</v>
      </c>
      <c r="CJ27" s="40">
        <f t="shared" si="26"/>
        <v>0</v>
      </c>
      <c r="CM27" s="40">
        <f t="shared" si="27"/>
        <v>0</v>
      </c>
      <c r="CP27" s="40">
        <f t="shared" si="28"/>
        <v>0</v>
      </c>
      <c r="CS27" s="40">
        <f t="shared" si="29"/>
        <v>0</v>
      </c>
      <c r="CV27" s="40">
        <f t="shared" si="30"/>
        <v>0</v>
      </c>
      <c r="CY27" s="40">
        <f t="shared" si="31"/>
        <v>0</v>
      </c>
      <c r="DB27" s="40">
        <f t="shared" si="32"/>
        <v>0</v>
      </c>
      <c r="DE27" s="40">
        <f t="shared" si="33"/>
        <v>0</v>
      </c>
      <c r="DH27" s="40">
        <f t="shared" si="34"/>
        <v>0</v>
      </c>
      <c r="DK27" s="40">
        <f t="shared" si="35"/>
        <v>0</v>
      </c>
      <c r="DN27" s="40">
        <f t="shared" si="36"/>
        <v>0</v>
      </c>
      <c r="DQ27" s="40">
        <f t="shared" si="37"/>
        <v>0</v>
      </c>
      <c r="DT27" s="40">
        <f t="shared" si="38"/>
        <v>0</v>
      </c>
      <c r="DW27" s="40">
        <f t="shared" si="39"/>
        <v>0</v>
      </c>
      <c r="DZ27" s="40"/>
      <c r="EA27" s="40"/>
      <c r="EB27" s="75">
        <f t="shared" si="40"/>
        <v>72350000</v>
      </c>
      <c r="EC27" s="75">
        <f t="shared" si="41"/>
        <v>0</v>
      </c>
      <c r="ED27" s="40">
        <f t="shared" si="42"/>
        <v>5426.25</v>
      </c>
      <c r="EE27" s="41">
        <f t="shared" si="43"/>
        <v>2.6999999999999996E-2</v>
      </c>
      <c r="EG27" s="75">
        <f t="shared" si="44"/>
        <v>0</v>
      </c>
      <c r="EH27" s="40">
        <f t="shared" si="45"/>
        <v>0</v>
      </c>
      <c r="EI27" s="41">
        <f t="shared" si="46"/>
        <v>0</v>
      </c>
      <c r="EJ27" s="41"/>
      <c r="EK27" s="75">
        <f t="shared" si="47"/>
        <v>72350000</v>
      </c>
      <c r="EL27" s="75">
        <f t="shared" si="48"/>
        <v>0</v>
      </c>
      <c r="EM27" s="75">
        <f t="shared" si="49"/>
        <v>5426.25</v>
      </c>
      <c r="EN27" s="41">
        <f t="shared" si="50"/>
        <v>2.6999999999999996E-2</v>
      </c>
      <c r="EP27" s="40"/>
    </row>
    <row r="28" spans="1:146" x14ac:dyDescent="0.25">
      <c r="A28" s="25">
        <f t="shared" si="51"/>
        <v>43542</v>
      </c>
      <c r="D28" s="40">
        <f t="shared" si="0"/>
        <v>0</v>
      </c>
      <c r="G28" s="40">
        <f t="shared" si="1"/>
        <v>0</v>
      </c>
      <c r="J28" s="40">
        <f t="shared" si="2"/>
        <v>0</v>
      </c>
      <c r="M28" s="40">
        <f t="shared" si="3"/>
        <v>0</v>
      </c>
      <c r="P28" s="40">
        <f t="shared" si="4"/>
        <v>0</v>
      </c>
      <c r="S28" s="40">
        <f t="shared" si="5"/>
        <v>0</v>
      </c>
      <c r="V28" s="40">
        <f t="shared" si="6"/>
        <v>0</v>
      </c>
      <c r="Y28" s="40">
        <f t="shared" si="7"/>
        <v>0</v>
      </c>
      <c r="AB28" s="40">
        <f t="shared" si="8"/>
        <v>0</v>
      </c>
      <c r="AE28" s="40">
        <v>0</v>
      </c>
      <c r="AH28" s="40">
        <v>0</v>
      </c>
      <c r="AI28" s="73">
        <f>68425000</f>
        <v>68425000</v>
      </c>
      <c r="AJ28" s="74">
        <v>2.7E-2</v>
      </c>
      <c r="AK28" s="40">
        <f t="shared" si="9"/>
        <v>5131.875</v>
      </c>
      <c r="AL28" s="73"/>
      <c r="AM28" s="74"/>
      <c r="AN28" s="40">
        <f t="shared" si="10"/>
        <v>0</v>
      </c>
      <c r="AQ28" s="40">
        <f t="shared" si="11"/>
        <v>0</v>
      </c>
      <c r="AT28" s="40">
        <f t="shared" si="12"/>
        <v>0</v>
      </c>
      <c r="AW28" s="40">
        <f t="shared" si="13"/>
        <v>0</v>
      </c>
      <c r="AZ28" s="40">
        <f t="shared" si="14"/>
        <v>0</v>
      </c>
      <c r="BC28" s="40">
        <f t="shared" si="15"/>
        <v>0</v>
      </c>
      <c r="BF28" s="40">
        <f t="shared" si="16"/>
        <v>0</v>
      </c>
      <c r="BI28" s="40">
        <f t="shared" si="17"/>
        <v>0</v>
      </c>
      <c r="BL28" s="40">
        <f t="shared" si="18"/>
        <v>0</v>
      </c>
      <c r="BO28" s="40">
        <f t="shared" si="19"/>
        <v>0</v>
      </c>
      <c r="BR28" s="40">
        <f t="shared" si="20"/>
        <v>0</v>
      </c>
      <c r="BU28" s="40">
        <f t="shared" si="21"/>
        <v>0</v>
      </c>
      <c r="BX28" s="40">
        <f t="shared" si="22"/>
        <v>0</v>
      </c>
      <c r="CA28" s="40">
        <f t="shared" si="23"/>
        <v>0</v>
      </c>
      <c r="CD28" s="40">
        <f t="shared" si="24"/>
        <v>0</v>
      </c>
      <c r="CG28" s="40">
        <f t="shared" si="25"/>
        <v>0</v>
      </c>
      <c r="CJ28" s="40">
        <f t="shared" si="26"/>
        <v>0</v>
      </c>
      <c r="CM28" s="40">
        <f t="shared" si="27"/>
        <v>0</v>
      </c>
      <c r="CP28" s="40">
        <f t="shared" si="28"/>
        <v>0</v>
      </c>
      <c r="CS28" s="40">
        <f t="shared" si="29"/>
        <v>0</v>
      </c>
      <c r="CV28" s="40">
        <f t="shared" si="30"/>
        <v>0</v>
      </c>
      <c r="CY28" s="40">
        <f t="shared" si="31"/>
        <v>0</v>
      </c>
      <c r="DB28" s="40">
        <f t="shared" si="32"/>
        <v>0</v>
      </c>
      <c r="DE28" s="40">
        <f t="shared" si="33"/>
        <v>0</v>
      </c>
      <c r="DH28" s="40">
        <f t="shared" si="34"/>
        <v>0</v>
      </c>
      <c r="DK28" s="40">
        <f t="shared" si="35"/>
        <v>0</v>
      </c>
      <c r="DN28" s="40">
        <f t="shared" si="36"/>
        <v>0</v>
      </c>
      <c r="DQ28" s="40">
        <f t="shared" si="37"/>
        <v>0</v>
      </c>
      <c r="DT28" s="40">
        <f t="shared" si="38"/>
        <v>0</v>
      </c>
      <c r="DW28" s="40">
        <f t="shared" si="39"/>
        <v>0</v>
      </c>
      <c r="DZ28" s="40"/>
      <c r="EA28" s="40"/>
      <c r="EB28" s="75">
        <f t="shared" si="40"/>
        <v>68425000</v>
      </c>
      <c r="EC28" s="75">
        <f t="shared" si="41"/>
        <v>0</v>
      </c>
      <c r="ED28" s="40">
        <f t="shared" si="42"/>
        <v>5131.875</v>
      </c>
      <c r="EE28" s="41">
        <f t="shared" si="43"/>
        <v>2.6999999999999996E-2</v>
      </c>
      <c r="EG28" s="75">
        <f t="shared" si="44"/>
        <v>0</v>
      </c>
      <c r="EH28" s="40">
        <f t="shared" si="45"/>
        <v>0</v>
      </c>
      <c r="EI28" s="41">
        <f t="shared" si="46"/>
        <v>0</v>
      </c>
      <c r="EJ28" s="41"/>
      <c r="EK28" s="75">
        <f t="shared" si="47"/>
        <v>68425000</v>
      </c>
      <c r="EL28" s="75">
        <f t="shared" si="48"/>
        <v>0</v>
      </c>
      <c r="EM28" s="75">
        <f t="shared" si="49"/>
        <v>5131.875</v>
      </c>
      <c r="EN28" s="41">
        <f t="shared" si="50"/>
        <v>2.6999999999999996E-2</v>
      </c>
      <c r="EP28" s="40"/>
    </row>
    <row r="29" spans="1:146" x14ac:dyDescent="0.25">
      <c r="A29" s="25">
        <f t="shared" si="51"/>
        <v>43543</v>
      </c>
      <c r="D29" s="40">
        <f t="shared" si="0"/>
        <v>0</v>
      </c>
      <c r="G29" s="40">
        <f t="shared" si="1"/>
        <v>0</v>
      </c>
      <c r="J29" s="40">
        <f t="shared" si="2"/>
        <v>0</v>
      </c>
      <c r="M29" s="40">
        <f t="shared" si="3"/>
        <v>0</v>
      </c>
      <c r="P29" s="40">
        <f t="shared" si="4"/>
        <v>0</v>
      </c>
      <c r="S29" s="40">
        <f t="shared" si="5"/>
        <v>0</v>
      </c>
      <c r="V29" s="40">
        <f t="shared" si="6"/>
        <v>0</v>
      </c>
      <c r="Y29" s="40">
        <f t="shared" si="7"/>
        <v>0</v>
      </c>
      <c r="AB29" s="40">
        <f t="shared" si="8"/>
        <v>0</v>
      </c>
      <c r="AE29" s="40">
        <v>0</v>
      </c>
      <c r="AH29" s="40">
        <v>0</v>
      </c>
      <c r="AI29" s="73">
        <f>57325000</f>
        <v>57325000</v>
      </c>
      <c r="AJ29" s="74">
        <v>2.7E-2</v>
      </c>
      <c r="AK29" s="40">
        <f t="shared" si="9"/>
        <v>4299.375</v>
      </c>
      <c r="AL29" s="73"/>
      <c r="AM29" s="74"/>
      <c r="AN29" s="40">
        <f t="shared" si="10"/>
        <v>0</v>
      </c>
      <c r="AQ29" s="40">
        <f t="shared" si="11"/>
        <v>0</v>
      </c>
      <c r="AT29" s="40">
        <f t="shared" si="12"/>
        <v>0</v>
      </c>
      <c r="AW29" s="40">
        <f t="shared" si="13"/>
        <v>0</v>
      </c>
      <c r="AZ29" s="40">
        <f t="shared" si="14"/>
        <v>0</v>
      </c>
      <c r="BC29" s="40">
        <f t="shared" si="15"/>
        <v>0</v>
      </c>
      <c r="BF29" s="40">
        <f t="shared" si="16"/>
        <v>0</v>
      </c>
      <c r="BI29" s="40">
        <f t="shared" si="17"/>
        <v>0</v>
      </c>
      <c r="BL29" s="40">
        <f t="shared" si="18"/>
        <v>0</v>
      </c>
      <c r="BO29" s="40">
        <f t="shared" si="19"/>
        <v>0</v>
      </c>
      <c r="BR29" s="40">
        <f t="shared" si="20"/>
        <v>0</v>
      </c>
      <c r="BU29" s="40">
        <f t="shared" si="21"/>
        <v>0</v>
      </c>
      <c r="BX29" s="40">
        <f t="shared" si="22"/>
        <v>0</v>
      </c>
      <c r="CA29" s="40">
        <f t="shared" si="23"/>
        <v>0</v>
      </c>
      <c r="CD29" s="40">
        <f t="shared" si="24"/>
        <v>0</v>
      </c>
      <c r="CG29" s="40">
        <f t="shared" si="25"/>
        <v>0</v>
      </c>
      <c r="CJ29" s="40">
        <f t="shared" si="26"/>
        <v>0</v>
      </c>
      <c r="CM29" s="40">
        <f t="shared" si="27"/>
        <v>0</v>
      </c>
      <c r="CP29" s="40">
        <f t="shared" si="28"/>
        <v>0</v>
      </c>
      <c r="CS29" s="40">
        <f t="shared" si="29"/>
        <v>0</v>
      </c>
      <c r="CV29" s="40">
        <f t="shared" si="30"/>
        <v>0</v>
      </c>
      <c r="CY29" s="40">
        <f t="shared" si="31"/>
        <v>0</v>
      </c>
      <c r="DB29" s="40">
        <f t="shared" si="32"/>
        <v>0</v>
      </c>
      <c r="DE29" s="40">
        <f t="shared" si="33"/>
        <v>0</v>
      </c>
      <c r="DH29" s="40">
        <f t="shared" si="34"/>
        <v>0</v>
      </c>
      <c r="DK29" s="40">
        <f t="shared" si="35"/>
        <v>0</v>
      </c>
      <c r="DN29" s="40">
        <f t="shared" si="36"/>
        <v>0</v>
      </c>
      <c r="DQ29" s="40">
        <f t="shared" si="37"/>
        <v>0</v>
      </c>
      <c r="DT29" s="40">
        <f t="shared" si="38"/>
        <v>0</v>
      </c>
      <c r="DW29" s="40">
        <f t="shared" si="39"/>
        <v>0</v>
      </c>
      <c r="DZ29" s="40"/>
      <c r="EA29" s="40"/>
      <c r="EB29" s="75">
        <f t="shared" si="40"/>
        <v>57325000</v>
      </c>
      <c r="EC29" s="75">
        <f t="shared" si="41"/>
        <v>0</v>
      </c>
      <c r="ED29" s="40">
        <f t="shared" si="42"/>
        <v>4299.375</v>
      </c>
      <c r="EE29" s="41">
        <f t="shared" si="43"/>
        <v>2.6999999999999996E-2</v>
      </c>
      <c r="EG29" s="75">
        <f t="shared" si="44"/>
        <v>0</v>
      </c>
      <c r="EH29" s="40">
        <f t="shared" si="45"/>
        <v>0</v>
      </c>
      <c r="EI29" s="41">
        <f t="shared" si="46"/>
        <v>0</v>
      </c>
      <c r="EJ29" s="41"/>
      <c r="EK29" s="75">
        <f t="shared" si="47"/>
        <v>57325000</v>
      </c>
      <c r="EL29" s="75">
        <f t="shared" si="48"/>
        <v>0</v>
      </c>
      <c r="EM29" s="75">
        <f t="shared" si="49"/>
        <v>4299.375</v>
      </c>
      <c r="EN29" s="41">
        <f t="shared" si="50"/>
        <v>2.6999999999999996E-2</v>
      </c>
      <c r="EP29" s="40"/>
    </row>
    <row r="30" spans="1:146" x14ac:dyDescent="0.25">
      <c r="A30" s="25">
        <f t="shared" si="51"/>
        <v>43544</v>
      </c>
      <c r="D30" s="40">
        <f t="shared" si="0"/>
        <v>0</v>
      </c>
      <c r="G30" s="40">
        <f t="shared" si="1"/>
        <v>0</v>
      </c>
      <c r="J30" s="40">
        <f t="shared" si="2"/>
        <v>0</v>
      </c>
      <c r="M30" s="40">
        <f t="shared" si="3"/>
        <v>0</v>
      </c>
      <c r="P30" s="40">
        <f t="shared" si="4"/>
        <v>0</v>
      </c>
      <c r="S30" s="40">
        <f t="shared" si="5"/>
        <v>0</v>
      </c>
      <c r="V30" s="40">
        <f t="shared" si="6"/>
        <v>0</v>
      </c>
      <c r="Y30" s="40">
        <f t="shared" si="7"/>
        <v>0</v>
      </c>
      <c r="AB30" s="40">
        <f t="shared" si="8"/>
        <v>0</v>
      </c>
      <c r="AE30" s="40">
        <v>0</v>
      </c>
      <c r="AH30" s="40">
        <v>0</v>
      </c>
      <c r="AI30" s="73">
        <f>51775000</f>
        <v>51775000</v>
      </c>
      <c r="AJ30" s="74">
        <v>2.7E-2</v>
      </c>
      <c r="AK30" s="40">
        <f t="shared" si="9"/>
        <v>3883.125</v>
      </c>
      <c r="AL30" s="73"/>
      <c r="AM30" s="74"/>
      <c r="AN30" s="40">
        <f t="shared" si="10"/>
        <v>0</v>
      </c>
      <c r="AQ30" s="40">
        <f t="shared" si="11"/>
        <v>0</v>
      </c>
      <c r="AT30" s="40">
        <f t="shared" si="12"/>
        <v>0</v>
      </c>
      <c r="AW30" s="40">
        <f t="shared" si="13"/>
        <v>0</v>
      </c>
      <c r="AZ30" s="40">
        <f t="shared" si="14"/>
        <v>0</v>
      </c>
      <c r="BC30" s="40">
        <f t="shared" si="15"/>
        <v>0</v>
      </c>
      <c r="BF30" s="40">
        <f t="shared" si="16"/>
        <v>0</v>
      </c>
      <c r="BI30" s="40">
        <f t="shared" si="17"/>
        <v>0</v>
      </c>
      <c r="BL30" s="40">
        <f t="shared" si="18"/>
        <v>0</v>
      </c>
      <c r="BO30" s="40">
        <f t="shared" si="19"/>
        <v>0</v>
      </c>
      <c r="BR30" s="40">
        <f t="shared" si="20"/>
        <v>0</v>
      </c>
      <c r="BU30" s="40">
        <f t="shared" si="21"/>
        <v>0</v>
      </c>
      <c r="BX30" s="40">
        <f t="shared" si="22"/>
        <v>0</v>
      </c>
      <c r="CA30" s="40">
        <f t="shared" si="23"/>
        <v>0</v>
      </c>
      <c r="CD30" s="40">
        <f t="shared" si="24"/>
        <v>0</v>
      </c>
      <c r="CG30" s="40">
        <f t="shared" si="25"/>
        <v>0</v>
      </c>
      <c r="CJ30" s="40">
        <f t="shared" si="26"/>
        <v>0</v>
      </c>
      <c r="CM30" s="40">
        <f t="shared" si="27"/>
        <v>0</v>
      </c>
      <c r="CP30" s="40">
        <f t="shared" si="28"/>
        <v>0</v>
      </c>
      <c r="CS30" s="40">
        <f t="shared" si="29"/>
        <v>0</v>
      </c>
      <c r="CV30" s="40">
        <f t="shared" si="30"/>
        <v>0</v>
      </c>
      <c r="CY30" s="40">
        <f t="shared" si="31"/>
        <v>0</v>
      </c>
      <c r="DB30" s="40">
        <f t="shared" si="32"/>
        <v>0</v>
      </c>
      <c r="DE30" s="40">
        <f t="shared" si="33"/>
        <v>0</v>
      </c>
      <c r="DH30" s="40">
        <f t="shared" si="34"/>
        <v>0</v>
      </c>
      <c r="DK30" s="40">
        <f t="shared" si="35"/>
        <v>0</v>
      </c>
      <c r="DN30" s="40">
        <f t="shared" si="36"/>
        <v>0</v>
      </c>
      <c r="DQ30" s="40">
        <f t="shared" si="37"/>
        <v>0</v>
      </c>
      <c r="DT30" s="40">
        <f t="shared" si="38"/>
        <v>0</v>
      </c>
      <c r="DW30" s="40">
        <f t="shared" si="39"/>
        <v>0</v>
      </c>
      <c r="DZ30" s="40"/>
      <c r="EA30" s="40"/>
      <c r="EB30" s="75">
        <f t="shared" si="40"/>
        <v>51775000</v>
      </c>
      <c r="EC30" s="75">
        <f t="shared" si="41"/>
        <v>0</v>
      </c>
      <c r="ED30" s="40">
        <f t="shared" si="42"/>
        <v>3883.125</v>
      </c>
      <c r="EE30" s="41">
        <f t="shared" si="43"/>
        <v>2.6999999999999996E-2</v>
      </c>
      <c r="EG30" s="75">
        <f t="shared" si="44"/>
        <v>0</v>
      </c>
      <c r="EH30" s="40">
        <f t="shared" si="45"/>
        <v>0</v>
      </c>
      <c r="EI30" s="41">
        <f t="shared" si="46"/>
        <v>0</v>
      </c>
      <c r="EJ30" s="41"/>
      <c r="EK30" s="75">
        <f t="shared" si="47"/>
        <v>51775000</v>
      </c>
      <c r="EL30" s="75">
        <f t="shared" si="48"/>
        <v>0</v>
      </c>
      <c r="EM30" s="75">
        <f t="shared" si="49"/>
        <v>3883.125</v>
      </c>
      <c r="EN30" s="41">
        <f t="shared" si="50"/>
        <v>2.6999999999999996E-2</v>
      </c>
      <c r="EP30" s="40"/>
    </row>
    <row r="31" spans="1:146" x14ac:dyDescent="0.25">
      <c r="A31" s="25">
        <f t="shared" si="51"/>
        <v>43545</v>
      </c>
      <c r="D31" s="40">
        <f t="shared" si="0"/>
        <v>0</v>
      </c>
      <c r="G31" s="40">
        <f t="shared" si="1"/>
        <v>0</v>
      </c>
      <c r="J31" s="40">
        <f t="shared" si="2"/>
        <v>0</v>
      </c>
      <c r="M31" s="40">
        <f t="shared" si="3"/>
        <v>0</v>
      </c>
      <c r="P31" s="40">
        <f t="shared" si="4"/>
        <v>0</v>
      </c>
      <c r="S31" s="40">
        <f t="shared" si="5"/>
        <v>0</v>
      </c>
      <c r="V31" s="40">
        <f t="shared" si="6"/>
        <v>0</v>
      </c>
      <c r="Y31" s="40">
        <f t="shared" si="7"/>
        <v>0</v>
      </c>
      <c r="AB31" s="40">
        <f t="shared" si="8"/>
        <v>0</v>
      </c>
      <c r="AE31" s="40">
        <v>0</v>
      </c>
      <c r="AH31" s="40">
        <v>0</v>
      </c>
      <c r="AI31" s="73">
        <f>42575000</f>
        <v>42575000</v>
      </c>
      <c r="AJ31" s="74">
        <v>2.7E-2</v>
      </c>
      <c r="AK31" s="40">
        <f t="shared" si="9"/>
        <v>3193.125</v>
      </c>
      <c r="AL31" s="73"/>
      <c r="AM31" s="74"/>
      <c r="AN31" s="40">
        <f t="shared" si="10"/>
        <v>0</v>
      </c>
      <c r="AQ31" s="40">
        <f t="shared" si="11"/>
        <v>0</v>
      </c>
      <c r="AT31" s="40">
        <f t="shared" si="12"/>
        <v>0</v>
      </c>
      <c r="AW31" s="40">
        <f t="shared" si="13"/>
        <v>0</v>
      </c>
      <c r="AZ31" s="40">
        <f t="shared" si="14"/>
        <v>0</v>
      </c>
      <c r="BC31" s="40">
        <f t="shared" si="15"/>
        <v>0</v>
      </c>
      <c r="BF31" s="40">
        <f t="shared" si="16"/>
        <v>0</v>
      </c>
      <c r="BI31" s="40">
        <f t="shared" si="17"/>
        <v>0</v>
      </c>
      <c r="BL31" s="40">
        <f t="shared" si="18"/>
        <v>0</v>
      </c>
      <c r="BO31" s="40">
        <f t="shared" si="19"/>
        <v>0</v>
      </c>
      <c r="BR31" s="40">
        <f t="shared" si="20"/>
        <v>0</v>
      </c>
      <c r="BU31" s="40">
        <f t="shared" si="21"/>
        <v>0</v>
      </c>
      <c r="BX31" s="40">
        <f t="shared" si="22"/>
        <v>0</v>
      </c>
      <c r="CA31" s="40">
        <f t="shared" si="23"/>
        <v>0</v>
      </c>
      <c r="CD31" s="40">
        <f t="shared" si="24"/>
        <v>0</v>
      </c>
      <c r="CG31" s="40">
        <f t="shared" si="25"/>
        <v>0</v>
      </c>
      <c r="CJ31" s="40">
        <f t="shared" si="26"/>
        <v>0</v>
      </c>
      <c r="CM31" s="40">
        <f t="shared" si="27"/>
        <v>0</v>
      </c>
      <c r="CP31" s="40">
        <f t="shared" si="28"/>
        <v>0</v>
      </c>
      <c r="CS31" s="40">
        <f t="shared" si="29"/>
        <v>0</v>
      </c>
      <c r="CV31" s="40">
        <f t="shared" si="30"/>
        <v>0</v>
      </c>
      <c r="CY31" s="40">
        <f t="shared" si="31"/>
        <v>0</v>
      </c>
      <c r="DB31" s="40">
        <f t="shared" si="32"/>
        <v>0</v>
      </c>
      <c r="DE31" s="40">
        <f t="shared" si="33"/>
        <v>0</v>
      </c>
      <c r="DH31" s="40">
        <f t="shared" si="34"/>
        <v>0</v>
      </c>
      <c r="DK31" s="40">
        <f t="shared" si="35"/>
        <v>0</v>
      </c>
      <c r="DN31" s="40">
        <f t="shared" si="36"/>
        <v>0</v>
      </c>
      <c r="DQ31" s="40">
        <f t="shared" si="37"/>
        <v>0</v>
      </c>
      <c r="DT31" s="40">
        <f t="shared" si="38"/>
        <v>0</v>
      </c>
      <c r="DW31" s="40">
        <f t="shared" si="39"/>
        <v>0</v>
      </c>
      <c r="DZ31" s="40"/>
      <c r="EA31" s="40"/>
      <c r="EB31" s="75">
        <f t="shared" si="40"/>
        <v>42575000</v>
      </c>
      <c r="EC31" s="75">
        <f t="shared" si="41"/>
        <v>0</v>
      </c>
      <c r="ED31" s="40">
        <f t="shared" si="42"/>
        <v>3193.125</v>
      </c>
      <c r="EE31" s="41">
        <f t="shared" si="43"/>
        <v>2.6999999999999996E-2</v>
      </c>
      <c r="EG31" s="75">
        <f t="shared" si="44"/>
        <v>0</v>
      </c>
      <c r="EH31" s="40">
        <f t="shared" si="45"/>
        <v>0</v>
      </c>
      <c r="EI31" s="41">
        <f t="shared" si="46"/>
        <v>0</v>
      </c>
      <c r="EJ31" s="41"/>
      <c r="EK31" s="75">
        <f t="shared" si="47"/>
        <v>42575000</v>
      </c>
      <c r="EL31" s="75">
        <f t="shared" si="48"/>
        <v>0</v>
      </c>
      <c r="EM31" s="75">
        <f t="shared" si="49"/>
        <v>3193.125</v>
      </c>
      <c r="EN31" s="41">
        <f t="shared" si="50"/>
        <v>2.6999999999999996E-2</v>
      </c>
      <c r="EP31" s="40"/>
    </row>
    <row r="32" spans="1:146" x14ac:dyDescent="0.25">
      <c r="A32" s="25">
        <f t="shared" si="51"/>
        <v>43546</v>
      </c>
      <c r="D32" s="40">
        <f t="shared" si="0"/>
        <v>0</v>
      </c>
      <c r="G32" s="40">
        <f t="shared" si="1"/>
        <v>0</v>
      </c>
      <c r="J32" s="40">
        <f t="shared" si="2"/>
        <v>0</v>
      </c>
      <c r="M32" s="40">
        <f t="shared" si="3"/>
        <v>0</v>
      </c>
      <c r="P32" s="40">
        <f t="shared" si="4"/>
        <v>0</v>
      </c>
      <c r="S32" s="40">
        <f t="shared" si="5"/>
        <v>0</v>
      </c>
      <c r="V32" s="40">
        <f t="shared" si="6"/>
        <v>0</v>
      </c>
      <c r="Y32" s="40">
        <f t="shared" si="7"/>
        <v>0</v>
      </c>
      <c r="AB32" s="40">
        <f t="shared" si="8"/>
        <v>0</v>
      </c>
      <c r="AE32" s="40">
        <v>0</v>
      </c>
      <c r="AH32" s="40">
        <v>0</v>
      </c>
      <c r="AI32" s="73">
        <f>47800000</f>
        <v>47800000</v>
      </c>
      <c r="AJ32" s="74">
        <v>2.7E-2</v>
      </c>
      <c r="AK32" s="40">
        <f t="shared" si="9"/>
        <v>3585</v>
      </c>
      <c r="AL32" s="73"/>
      <c r="AM32" s="74"/>
      <c r="AN32" s="40">
        <f t="shared" si="10"/>
        <v>0</v>
      </c>
      <c r="AQ32" s="40">
        <f t="shared" si="11"/>
        <v>0</v>
      </c>
      <c r="AT32" s="40">
        <f t="shared" si="12"/>
        <v>0</v>
      </c>
      <c r="AW32" s="40">
        <f t="shared" si="13"/>
        <v>0</v>
      </c>
      <c r="AZ32" s="40">
        <f t="shared" si="14"/>
        <v>0</v>
      </c>
      <c r="BC32" s="40">
        <f t="shared" si="15"/>
        <v>0</v>
      </c>
      <c r="BF32" s="40">
        <f t="shared" si="16"/>
        <v>0</v>
      </c>
      <c r="BI32" s="40">
        <f t="shared" si="17"/>
        <v>0</v>
      </c>
      <c r="BL32" s="40">
        <f t="shared" si="18"/>
        <v>0</v>
      </c>
      <c r="BO32" s="40">
        <f t="shared" si="19"/>
        <v>0</v>
      </c>
      <c r="BR32" s="40">
        <f t="shared" si="20"/>
        <v>0</v>
      </c>
      <c r="BU32" s="40">
        <f t="shared" si="21"/>
        <v>0</v>
      </c>
      <c r="BX32" s="40">
        <f t="shared" si="22"/>
        <v>0</v>
      </c>
      <c r="CA32" s="40">
        <f t="shared" si="23"/>
        <v>0</v>
      </c>
      <c r="CD32" s="40">
        <f t="shared" si="24"/>
        <v>0</v>
      </c>
      <c r="CG32" s="40">
        <f t="shared" si="25"/>
        <v>0</v>
      </c>
      <c r="CJ32" s="40">
        <f t="shared" si="26"/>
        <v>0</v>
      </c>
      <c r="CM32" s="40">
        <f t="shared" si="27"/>
        <v>0</v>
      </c>
      <c r="CP32" s="40">
        <f t="shared" si="28"/>
        <v>0</v>
      </c>
      <c r="CS32" s="40">
        <f t="shared" si="29"/>
        <v>0</v>
      </c>
      <c r="CV32" s="40">
        <f t="shared" si="30"/>
        <v>0</v>
      </c>
      <c r="CY32" s="40">
        <f t="shared" si="31"/>
        <v>0</v>
      </c>
      <c r="DB32" s="40">
        <f t="shared" si="32"/>
        <v>0</v>
      </c>
      <c r="DE32" s="40">
        <f t="shared" si="33"/>
        <v>0</v>
      </c>
      <c r="DH32" s="40">
        <f t="shared" si="34"/>
        <v>0</v>
      </c>
      <c r="DK32" s="40">
        <f t="shared" si="35"/>
        <v>0</v>
      </c>
      <c r="DN32" s="40">
        <f t="shared" si="36"/>
        <v>0</v>
      </c>
      <c r="DQ32" s="40">
        <f t="shared" si="37"/>
        <v>0</v>
      </c>
      <c r="DT32" s="40">
        <f t="shared" si="38"/>
        <v>0</v>
      </c>
      <c r="DW32" s="40">
        <f t="shared" si="39"/>
        <v>0</v>
      </c>
      <c r="DZ32" s="40"/>
      <c r="EA32" s="40"/>
      <c r="EB32" s="75">
        <f t="shared" si="40"/>
        <v>47800000</v>
      </c>
      <c r="EC32" s="75">
        <f t="shared" si="41"/>
        <v>0</v>
      </c>
      <c r="ED32" s="40">
        <f t="shared" si="42"/>
        <v>3585</v>
      </c>
      <c r="EE32" s="41">
        <f t="shared" si="43"/>
        <v>2.6999999999999996E-2</v>
      </c>
      <c r="EG32" s="75">
        <f t="shared" si="44"/>
        <v>0</v>
      </c>
      <c r="EH32" s="40">
        <f t="shared" si="45"/>
        <v>0</v>
      </c>
      <c r="EI32" s="41">
        <f t="shared" si="46"/>
        <v>0</v>
      </c>
      <c r="EJ32" s="41"/>
      <c r="EK32" s="75">
        <f t="shared" si="47"/>
        <v>47800000</v>
      </c>
      <c r="EL32" s="75">
        <f t="shared" si="48"/>
        <v>0</v>
      </c>
      <c r="EM32" s="75">
        <f t="shared" si="49"/>
        <v>3585</v>
      </c>
      <c r="EN32" s="41">
        <f t="shared" si="50"/>
        <v>2.6999999999999996E-2</v>
      </c>
      <c r="EP32" s="40"/>
    </row>
    <row r="33" spans="1:146" x14ac:dyDescent="0.25">
      <c r="A33" s="25">
        <f t="shared" si="51"/>
        <v>43547</v>
      </c>
      <c r="D33" s="40">
        <f t="shared" si="0"/>
        <v>0</v>
      </c>
      <c r="G33" s="40">
        <f t="shared" si="1"/>
        <v>0</v>
      </c>
      <c r="J33" s="40">
        <f t="shared" si="2"/>
        <v>0</v>
      </c>
      <c r="M33" s="40">
        <f t="shared" si="3"/>
        <v>0</v>
      </c>
      <c r="P33" s="40">
        <f t="shared" si="4"/>
        <v>0</v>
      </c>
      <c r="S33" s="40">
        <f t="shared" si="5"/>
        <v>0</v>
      </c>
      <c r="V33" s="40">
        <f t="shared" si="6"/>
        <v>0</v>
      </c>
      <c r="Y33" s="40">
        <f t="shared" si="7"/>
        <v>0</v>
      </c>
      <c r="AB33" s="40">
        <f t="shared" si="8"/>
        <v>0</v>
      </c>
      <c r="AE33" s="40">
        <v>0</v>
      </c>
      <c r="AH33" s="40">
        <v>0</v>
      </c>
      <c r="AI33" s="73">
        <f>47800000</f>
        <v>47800000</v>
      </c>
      <c r="AJ33" s="74">
        <v>2.7E-2</v>
      </c>
      <c r="AK33" s="40">
        <f t="shared" si="9"/>
        <v>3585</v>
      </c>
      <c r="AL33" s="73"/>
      <c r="AM33" s="74"/>
      <c r="AN33" s="40">
        <f t="shared" si="10"/>
        <v>0</v>
      </c>
      <c r="AQ33" s="40">
        <f t="shared" si="11"/>
        <v>0</v>
      </c>
      <c r="AT33" s="40">
        <f t="shared" si="12"/>
        <v>0</v>
      </c>
      <c r="AW33" s="40">
        <f t="shared" si="13"/>
        <v>0</v>
      </c>
      <c r="AZ33" s="40">
        <f t="shared" si="14"/>
        <v>0</v>
      </c>
      <c r="BC33" s="40">
        <f t="shared" si="15"/>
        <v>0</v>
      </c>
      <c r="BF33" s="40">
        <f t="shared" si="16"/>
        <v>0</v>
      </c>
      <c r="BI33" s="40">
        <f t="shared" si="17"/>
        <v>0</v>
      </c>
      <c r="BL33" s="40">
        <f t="shared" si="18"/>
        <v>0</v>
      </c>
      <c r="BO33" s="40">
        <f t="shared" si="19"/>
        <v>0</v>
      </c>
      <c r="BR33" s="40">
        <f t="shared" si="20"/>
        <v>0</v>
      </c>
      <c r="BU33" s="40">
        <f t="shared" si="21"/>
        <v>0</v>
      </c>
      <c r="BX33" s="40">
        <f t="shared" si="22"/>
        <v>0</v>
      </c>
      <c r="CA33" s="40">
        <f t="shared" si="23"/>
        <v>0</v>
      </c>
      <c r="CD33" s="40">
        <f t="shared" si="24"/>
        <v>0</v>
      </c>
      <c r="CG33" s="40">
        <f t="shared" si="25"/>
        <v>0</v>
      </c>
      <c r="CJ33" s="40">
        <f t="shared" si="26"/>
        <v>0</v>
      </c>
      <c r="CM33" s="40">
        <f t="shared" si="27"/>
        <v>0</v>
      </c>
      <c r="CP33" s="40">
        <f t="shared" si="28"/>
        <v>0</v>
      </c>
      <c r="CS33" s="40">
        <f t="shared" si="29"/>
        <v>0</v>
      </c>
      <c r="CV33" s="40">
        <f t="shared" si="30"/>
        <v>0</v>
      </c>
      <c r="CY33" s="40">
        <f t="shared" si="31"/>
        <v>0</v>
      </c>
      <c r="DB33" s="40">
        <f t="shared" si="32"/>
        <v>0</v>
      </c>
      <c r="DE33" s="40">
        <f t="shared" si="33"/>
        <v>0</v>
      </c>
      <c r="DH33" s="40">
        <f t="shared" si="34"/>
        <v>0</v>
      </c>
      <c r="DK33" s="40">
        <f t="shared" si="35"/>
        <v>0</v>
      </c>
      <c r="DN33" s="40">
        <f t="shared" si="36"/>
        <v>0</v>
      </c>
      <c r="DQ33" s="40">
        <f t="shared" si="37"/>
        <v>0</v>
      </c>
      <c r="DT33" s="40">
        <f t="shared" si="38"/>
        <v>0</v>
      </c>
      <c r="DW33" s="40">
        <f t="shared" si="39"/>
        <v>0</v>
      </c>
      <c r="DZ33" s="40"/>
      <c r="EA33" s="40"/>
      <c r="EB33" s="75">
        <f t="shared" si="40"/>
        <v>47800000</v>
      </c>
      <c r="EC33" s="75">
        <f t="shared" si="41"/>
        <v>0</v>
      </c>
      <c r="ED33" s="40">
        <f t="shared" si="42"/>
        <v>3585</v>
      </c>
      <c r="EE33" s="41">
        <f t="shared" si="43"/>
        <v>2.6999999999999996E-2</v>
      </c>
      <c r="EG33" s="75">
        <f t="shared" si="44"/>
        <v>0</v>
      </c>
      <c r="EH33" s="40">
        <f t="shared" si="45"/>
        <v>0</v>
      </c>
      <c r="EI33" s="41">
        <f t="shared" si="46"/>
        <v>0</v>
      </c>
      <c r="EJ33" s="41"/>
      <c r="EK33" s="75">
        <f t="shared" si="47"/>
        <v>47800000</v>
      </c>
      <c r="EL33" s="75">
        <f t="shared" si="48"/>
        <v>0</v>
      </c>
      <c r="EM33" s="75">
        <f t="shared" si="49"/>
        <v>3585</v>
      </c>
      <c r="EN33" s="41">
        <f t="shared" si="50"/>
        <v>2.6999999999999996E-2</v>
      </c>
      <c r="EP33" s="40"/>
    </row>
    <row r="34" spans="1:146" x14ac:dyDescent="0.25">
      <c r="A34" s="25">
        <f t="shared" si="51"/>
        <v>43548</v>
      </c>
      <c r="D34" s="40">
        <f t="shared" si="0"/>
        <v>0</v>
      </c>
      <c r="G34" s="40">
        <f t="shared" si="1"/>
        <v>0</v>
      </c>
      <c r="J34" s="40">
        <f t="shared" si="2"/>
        <v>0</v>
      </c>
      <c r="M34" s="40">
        <f t="shared" si="3"/>
        <v>0</v>
      </c>
      <c r="P34" s="40">
        <f t="shared" si="4"/>
        <v>0</v>
      </c>
      <c r="S34" s="40">
        <f t="shared" si="5"/>
        <v>0</v>
      </c>
      <c r="V34" s="40">
        <f t="shared" si="6"/>
        <v>0</v>
      </c>
      <c r="Y34" s="40">
        <f t="shared" si="7"/>
        <v>0</v>
      </c>
      <c r="AB34" s="40">
        <f t="shared" si="8"/>
        <v>0</v>
      </c>
      <c r="AE34" s="40">
        <v>0</v>
      </c>
      <c r="AH34" s="40">
        <v>0</v>
      </c>
      <c r="AI34" s="73">
        <f>47800000</f>
        <v>47800000</v>
      </c>
      <c r="AJ34" s="74">
        <v>2.7E-2</v>
      </c>
      <c r="AK34" s="40">
        <f t="shared" si="9"/>
        <v>3585</v>
      </c>
      <c r="AL34" s="73"/>
      <c r="AM34" s="74"/>
      <c r="AN34" s="40">
        <f t="shared" si="10"/>
        <v>0</v>
      </c>
      <c r="AQ34" s="40">
        <f t="shared" si="11"/>
        <v>0</v>
      </c>
      <c r="AT34" s="40">
        <f t="shared" si="12"/>
        <v>0</v>
      </c>
      <c r="AW34" s="40">
        <f t="shared" si="13"/>
        <v>0</v>
      </c>
      <c r="AZ34" s="40">
        <f t="shared" si="14"/>
        <v>0</v>
      </c>
      <c r="BC34" s="40">
        <f t="shared" si="15"/>
        <v>0</v>
      </c>
      <c r="BF34" s="40">
        <f t="shared" si="16"/>
        <v>0</v>
      </c>
      <c r="BI34" s="40">
        <f t="shared" si="17"/>
        <v>0</v>
      </c>
      <c r="BL34" s="40">
        <f t="shared" si="18"/>
        <v>0</v>
      </c>
      <c r="BO34" s="40">
        <f t="shared" si="19"/>
        <v>0</v>
      </c>
      <c r="BR34" s="40">
        <f t="shared" si="20"/>
        <v>0</v>
      </c>
      <c r="BU34" s="40">
        <f t="shared" si="21"/>
        <v>0</v>
      </c>
      <c r="BX34" s="40">
        <f t="shared" si="22"/>
        <v>0</v>
      </c>
      <c r="CA34" s="40">
        <f t="shared" si="23"/>
        <v>0</v>
      </c>
      <c r="CD34" s="40">
        <f t="shared" si="24"/>
        <v>0</v>
      </c>
      <c r="CG34" s="40">
        <f t="shared" si="25"/>
        <v>0</v>
      </c>
      <c r="CJ34" s="40">
        <f t="shared" si="26"/>
        <v>0</v>
      </c>
      <c r="CM34" s="40">
        <f t="shared" si="27"/>
        <v>0</v>
      </c>
      <c r="CP34" s="40">
        <f t="shared" si="28"/>
        <v>0</v>
      </c>
      <c r="CS34" s="40">
        <f t="shared" si="29"/>
        <v>0</v>
      </c>
      <c r="CV34" s="40">
        <f t="shared" si="30"/>
        <v>0</v>
      </c>
      <c r="CY34" s="40">
        <f t="shared" si="31"/>
        <v>0</v>
      </c>
      <c r="DB34" s="40">
        <f t="shared" si="32"/>
        <v>0</v>
      </c>
      <c r="DE34" s="40">
        <f t="shared" si="33"/>
        <v>0</v>
      </c>
      <c r="DH34" s="40">
        <f t="shared" si="34"/>
        <v>0</v>
      </c>
      <c r="DK34" s="40">
        <f t="shared" si="35"/>
        <v>0</v>
      </c>
      <c r="DN34" s="40">
        <f t="shared" si="36"/>
        <v>0</v>
      </c>
      <c r="DQ34" s="40">
        <f t="shared" si="37"/>
        <v>0</v>
      </c>
      <c r="DT34" s="40">
        <f t="shared" si="38"/>
        <v>0</v>
      </c>
      <c r="DW34" s="40">
        <f t="shared" si="39"/>
        <v>0</v>
      </c>
      <c r="DZ34" s="40"/>
      <c r="EA34" s="40"/>
      <c r="EB34" s="75">
        <f t="shared" si="40"/>
        <v>47800000</v>
      </c>
      <c r="EC34" s="75">
        <f t="shared" si="41"/>
        <v>0</v>
      </c>
      <c r="ED34" s="40">
        <f t="shared" si="42"/>
        <v>3585</v>
      </c>
      <c r="EE34" s="41">
        <f t="shared" si="43"/>
        <v>2.6999999999999996E-2</v>
      </c>
      <c r="EG34" s="75">
        <f t="shared" si="44"/>
        <v>0</v>
      </c>
      <c r="EH34" s="40">
        <f t="shared" si="45"/>
        <v>0</v>
      </c>
      <c r="EI34" s="41">
        <f t="shared" si="46"/>
        <v>0</v>
      </c>
      <c r="EJ34" s="41"/>
      <c r="EK34" s="75">
        <f t="shared" si="47"/>
        <v>47800000</v>
      </c>
      <c r="EL34" s="75">
        <f t="shared" si="48"/>
        <v>0</v>
      </c>
      <c r="EM34" s="75">
        <f t="shared" si="49"/>
        <v>3585</v>
      </c>
      <c r="EN34" s="41">
        <f t="shared" si="50"/>
        <v>2.6999999999999996E-2</v>
      </c>
      <c r="EP34" s="40"/>
    </row>
    <row r="35" spans="1:146" x14ac:dyDescent="0.25">
      <c r="A35" s="25">
        <f t="shared" si="51"/>
        <v>43549</v>
      </c>
      <c r="D35" s="40">
        <f t="shared" si="0"/>
        <v>0</v>
      </c>
      <c r="G35" s="40">
        <f t="shared" si="1"/>
        <v>0</v>
      </c>
      <c r="J35" s="40">
        <f t="shared" si="2"/>
        <v>0</v>
      </c>
      <c r="M35" s="40">
        <f t="shared" si="3"/>
        <v>0</v>
      </c>
      <c r="P35" s="40">
        <f t="shared" si="4"/>
        <v>0</v>
      </c>
      <c r="S35" s="40">
        <f t="shared" si="5"/>
        <v>0</v>
      </c>
      <c r="V35" s="40">
        <f t="shared" si="6"/>
        <v>0</v>
      </c>
      <c r="Y35" s="40">
        <f t="shared" si="7"/>
        <v>0</v>
      </c>
      <c r="AB35" s="40">
        <f t="shared" si="8"/>
        <v>0</v>
      </c>
      <c r="AE35" s="40">
        <v>0</v>
      </c>
      <c r="AH35" s="40">
        <v>0</v>
      </c>
      <c r="AI35" s="73">
        <f>45000000</f>
        <v>45000000</v>
      </c>
      <c r="AJ35" s="74">
        <v>2.7E-2</v>
      </c>
      <c r="AK35" s="40">
        <f t="shared" si="9"/>
        <v>3375</v>
      </c>
      <c r="AL35" s="73"/>
      <c r="AM35" s="74"/>
      <c r="AN35" s="40">
        <f t="shared" si="10"/>
        <v>0</v>
      </c>
      <c r="AQ35" s="40">
        <f t="shared" si="11"/>
        <v>0</v>
      </c>
      <c r="AT35" s="40">
        <f t="shared" si="12"/>
        <v>0</v>
      </c>
      <c r="AW35" s="40">
        <f t="shared" si="13"/>
        <v>0</v>
      </c>
      <c r="AZ35" s="40">
        <f t="shared" si="14"/>
        <v>0</v>
      </c>
      <c r="BC35" s="40">
        <f t="shared" si="15"/>
        <v>0</v>
      </c>
      <c r="BF35" s="40">
        <f t="shared" si="16"/>
        <v>0</v>
      </c>
      <c r="BI35" s="40">
        <f t="shared" si="17"/>
        <v>0</v>
      </c>
      <c r="BL35" s="40">
        <f t="shared" si="18"/>
        <v>0</v>
      </c>
      <c r="BO35" s="40">
        <f t="shared" si="19"/>
        <v>0</v>
      </c>
      <c r="BR35" s="40">
        <f t="shared" si="20"/>
        <v>0</v>
      </c>
      <c r="BU35" s="40">
        <f t="shared" si="21"/>
        <v>0</v>
      </c>
      <c r="BX35" s="40">
        <f t="shared" si="22"/>
        <v>0</v>
      </c>
      <c r="CA35" s="40">
        <f t="shared" si="23"/>
        <v>0</v>
      </c>
      <c r="CD35" s="40">
        <f t="shared" si="24"/>
        <v>0</v>
      </c>
      <c r="CG35" s="40">
        <f t="shared" si="25"/>
        <v>0</v>
      </c>
      <c r="CJ35" s="40">
        <f t="shared" si="26"/>
        <v>0</v>
      </c>
      <c r="CM35" s="40">
        <f t="shared" si="27"/>
        <v>0</v>
      </c>
      <c r="CP35" s="40">
        <f t="shared" si="28"/>
        <v>0</v>
      </c>
      <c r="CS35" s="40">
        <f t="shared" si="29"/>
        <v>0</v>
      </c>
      <c r="CV35" s="40">
        <f t="shared" si="30"/>
        <v>0</v>
      </c>
      <c r="CY35" s="40">
        <f t="shared" si="31"/>
        <v>0</v>
      </c>
      <c r="DB35" s="40">
        <f t="shared" si="32"/>
        <v>0</v>
      </c>
      <c r="DE35" s="40">
        <f t="shared" si="33"/>
        <v>0</v>
      </c>
      <c r="DH35" s="40">
        <f t="shared" si="34"/>
        <v>0</v>
      </c>
      <c r="DK35" s="40">
        <f t="shared" si="35"/>
        <v>0</v>
      </c>
      <c r="DN35" s="40">
        <f t="shared" si="36"/>
        <v>0</v>
      </c>
      <c r="DQ35" s="40">
        <f t="shared" si="37"/>
        <v>0</v>
      </c>
      <c r="DT35" s="40">
        <f t="shared" si="38"/>
        <v>0</v>
      </c>
      <c r="DW35" s="40">
        <f t="shared" si="39"/>
        <v>0</v>
      </c>
      <c r="DZ35" s="40"/>
      <c r="EA35" s="40"/>
      <c r="EB35" s="75">
        <f t="shared" si="40"/>
        <v>45000000</v>
      </c>
      <c r="EC35" s="75">
        <f t="shared" si="41"/>
        <v>0</v>
      </c>
      <c r="ED35" s="40">
        <f t="shared" si="42"/>
        <v>3375</v>
      </c>
      <c r="EE35" s="41">
        <f t="shared" si="43"/>
        <v>2.6999999999999996E-2</v>
      </c>
      <c r="EG35" s="75">
        <f t="shared" si="44"/>
        <v>0</v>
      </c>
      <c r="EH35" s="40">
        <f t="shared" si="45"/>
        <v>0</v>
      </c>
      <c r="EI35" s="41">
        <f t="shared" si="46"/>
        <v>0</v>
      </c>
      <c r="EJ35" s="41"/>
      <c r="EK35" s="75">
        <f t="shared" si="47"/>
        <v>45000000</v>
      </c>
      <c r="EL35" s="75">
        <f t="shared" si="48"/>
        <v>0</v>
      </c>
      <c r="EM35" s="75">
        <f t="shared" si="49"/>
        <v>3375</v>
      </c>
      <c r="EN35" s="41">
        <f t="shared" si="50"/>
        <v>2.6999999999999996E-2</v>
      </c>
      <c r="EP35" s="40"/>
    </row>
    <row r="36" spans="1:146" x14ac:dyDescent="0.25">
      <c r="A36" s="25">
        <f t="shared" si="51"/>
        <v>43550</v>
      </c>
      <c r="D36" s="40">
        <f t="shared" si="0"/>
        <v>0</v>
      </c>
      <c r="G36" s="40">
        <f t="shared" si="1"/>
        <v>0</v>
      </c>
      <c r="J36" s="40">
        <f t="shared" si="2"/>
        <v>0</v>
      </c>
      <c r="M36" s="40">
        <f t="shared" si="3"/>
        <v>0</v>
      </c>
      <c r="P36" s="40">
        <f t="shared" si="4"/>
        <v>0</v>
      </c>
      <c r="S36" s="40">
        <f t="shared" si="5"/>
        <v>0</v>
      </c>
      <c r="V36" s="40">
        <f t="shared" si="6"/>
        <v>0</v>
      </c>
      <c r="Y36" s="40">
        <f t="shared" si="7"/>
        <v>0</v>
      </c>
      <c r="AB36" s="40">
        <f t="shared" si="8"/>
        <v>0</v>
      </c>
      <c r="AE36" s="40">
        <v>0</v>
      </c>
      <c r="AH36" s="40">
        <v>0</v>
      </c>
      <c r="AI36" s="73">
        <f>34375000</f>
        <v>34375000</v>
      </c>
      <c r="AJ36" s="74">
        <v>2.7E-2</v>
      </c>
      <c r="AK36" s="40">
        <f t="shared" si="9"/>
        <v>2578.125</v>
      </c>
      <c r="AL36" s="73"/>
      <c r="AM36" s="74"/>
      <c r="AN36" s="40">
        <f t="shared" si="10"/>
        <v>0</v>
      </c>
      <c r="AQ36" s="40">
        <f t="shared" si="11"/>
        <v>0</v>
      </c>
      <c r="AT36" s="40">
        <f t="shared" si="12"/>
        <v>0</v>
      </c>
      <c r="AW36" s="40">
        <f t="shared" si="13"/>
        <v>0</v>
      </c>
      <c r="AZ36" s="40">
        <f t="shared" si="14"/>
        <v>0</v>
      </c>
      <c r="BC36" s="40">
        <f t="shared" si="15"/>
        <v>0</v>
      </c>
      <c r="BF36" s="40">
        <f t="shared" si="16"/>
        <v>0</v>
      </c>
      <c r="BI36" s="40">
        <f t="shared" si="17"/>
        <v>0</v>
      </c>
      <c r="BL36" s="40">
        <f t="shared" si="18"/>
        <v>0</v>
      </c>
      <c r="BO36" s="40">
        <f t="shared" si="19"/>
        <v>0</v>
      </c>
      <c r="BR36" s="40">
        <f t="shared" si="20"/>
        <v>0</v>
      </c>
      <c r="BU36" s="40">
        <f t="shared" si="21"/>
        <v>0</v>
      </c>
      <c r="BX36" s="40">
        <f t="shared" si="22"/>
        <v>0</v>
      </c>
      <c r="CA36" s="40">
        <f t="shared" si="23"/>
        <v>0</v>
      </c>
      <c r="CD36" s="40">
        <f t="shared" si="24"/>
        <v>0</v>
      </c>
      <c r="CG36" s="40">
        <f t="shared" si="25"/>
        <v>0</v>
      </c>
      <c r="CJ36" s="40">
        <f t="shared" si="26"/>
        <v>0</v>
      </c>
      <c r="CM36" s="40">
        <f t="shared" si="27"/>
        <v>0</v>
      </c>
      <c r="CP36" s="40">
        <f t="shared" si="28"/>
        <v>0</v>
      </c>
      <c r="CS36" s="40">
        <f t="shared" si="29"/>
        <v>0</v>
      </c>
      <c r="CV36" s="40">
        <f t="shared" si="30"/>
        <v>0</v>
      </c>
      <c r="CY36" s="40">
        <f t="shared" si="31"/>
        <v>0</v>
      </c>
      <c r="DB36" s="40">
        <f t="shared" si="32"/>
        <v>0</v>
      </c>
      <c r="DE36" s="40">
        <f t="shared" si="33"/>
        <v>0</v>
      </c>
      <c r="DH36" s="40">
        <f t="shared" si="34"/>
        <v>0</v>
      </c>
      <c r="DK36" s="40">
        <f t="shared" si="35"/>
        <v>0</v>
      </c>
      <c r="DN36" s="40">
        <f t="shared" si="36"/>
        <v>0</v>
      </c>
      <c r="DQ36" s="40">
        <f t="shared" si="37"/>
        <v>0</v>
      </c>
      <c r="DT36" s="40">
        <f t="shared" si="38"/>
        <v>0</v>
      </c>
      <c r="DW36" s="40">
        <f t="shared" si="39"/>
        <v>0</v>
      </c>
      <c r="DZ36" s="40"/>
      <c r="EA36" s="40"/>
      <c r="EB36" s="75">
        <f t="shared" si="40"/>
        <v>34375000</v>
      </c>
      <c r="EC36" s="75">
        <f t="shared" si="41"/>
        <v>0</v>
      </c>
      <c r="ED36" s="40">
        <f t="shared" si="42"/>
        <v>2578.125</v>
      </c>
      <c r="EE36" s="41">
        <f t="shared" si="43"/>
        <v>2.6999999999999996E-2</v>
      </c>
      <c r="EG36" s="75">
        <f t="shared" si="44"/>
        <v>0</v>
      </c>
      <c r="EH36" s="40">
        <f t="shared" si="45"/>
        <v>0</v>
      </c>
      <c r="EI36" s="41">
        <f t="shared" si="46"/>
        <v>0</v>
      </c>
      <c r="EJ36" s="41"/>
      <c r="EK36" s="75">
        <f t="shared" si="47"/>
        <v>34375000</v>
      </c>
      <c r="EL36" s="75">
        <f t="shared" si="48"/>
        <v>0</v>
      </c>
      <c r="EM36" s="75">
        <f t="shared" si="49"/>
        <v>2578.125</v>
      </c>
      <c r="EN36" s="41">
        <f t="shared" si="50"/>
        <v>2.6999999999999996E-2</v>
      </c>
      <c r="EP36" s="40"/>
    </row>
    <row r="37" spans="1:146" x14ac:dyDescent="0.25">
      <c r="A37" s="25">
        <f t="shared" si="51"/>
        <v>43551</v>
      </c>
      <c r="D37" s="40">
        <f t="shared" si="0"/>
        <v>0</v>
      </c>
      <c r="G37" s="40">
        <f t="shared" si="1"/>
        <v>0</v>
      </c>
      <c r="J37" s="40">
        <f t="shared" si="2"/>
        <v>0</v>
      </c>
      <c r="M37" s="40">
        <f t="shared" si="3"/>
        <v>0</v>
      </c>
      <c r="P37" s="40">
        <f t="shared" si="4"/>
        <v>0</v>
      </c>
      <c r="S37" s="40">
        <f t="shared" si="5"/>
        <v>0</v>
      </c>
      <c r="V37" s="40">
        <f t="shared" si="6"/>
        <v>0</v>
      </c>
      <c r="Y37" s="40">
        <f t="shared" si="7"/>
        <v>0</v>
      </c>
      <c r="AB37" s="40">
        <f t="shared" si="8"/>
        <v>0</v>
      </c>
      <c r="AE37" s="40">
        <v>0</v>
      </c>
      <c r="AH37" s="40">
        <v>0</v>
      </c>
      <c r="AI37" s="73">
        <f>25450000</f>
        <v>25450000</v>
      </c>
      <c r="AJ37" s="74">
        <v>2.7E-2</v>
      </c>
      <c r="AK37" s="40">
        <f t="shared" si="9"/>
        <v>1908.75</v>
      </c>
      <c r="AL37" s="73"/>
      <c r="AM37" s="74"/>
      <c r="AN37" s="40">
        <f t="shared" si="10"/>
        <v>0</v>
      </c>
      <c r="AQ37" s="40">
        <f t="shared" si="11"/>
        <v>0</v>
      </c>
      <c r="AT37" s="40">
        <f t="shared" si="12"/>
        <v>0</v>
      </c>
      <c r="AW37" s="40">
        <f t="shared" si="13"/>
        <v>0</v>
      </c>
      <c r="AZ37" s="40">
        <f t="shared" si="14"/>
        <v>0</v>
      </c>
      <c r="BC37" s="40">
        <f t="shared" si="15"/>
        <v>0</v>
      </c>
      <c r="BF37" s="40">
        <f t="shared" si="16"/>
        <v>0</v>
      </c>
      <c r="BI37" s="40">
        <f t="shared" si="17"/>
        <v>0</v>
      </c>
      <c r="BL37" s="40">
        <f t="shared" si="18"/>
        <v>0</v>
      </c>
      <c r="BO37" s="40">
        <f t="shared" si="19"/>
        <v>0</v>
      </c>
      <c r="BR37" s="40">
        <f t="shared" si="20"/>
        <v>0</v>
      </c>
      <c r="BU37" s="40">
        <f t="shared" si="21"/>
        <v>0</v>
      </c>
      <c r="BX37" s="40">
        <f t="shared" si="22"/>
        <v>0</v>
      </c>
      <c r="CA37" s="40">
        <f t="shared" si="23"/>
        <v>0</v>
      </c>
      <c r="CD37" s="40">
        <f t="shared" si="24"/>
        <v>0</v>
      </c>
      <c r="CG37" s="40">
        <f t="shared" si="25"/>
        <v>0</v>
      </c>
      <c r="CJ37" s="40">
        <f t="shared" si="26"/>
        <v>0</v>
      </c>
      <c r="CM37" s="40">
        <f t="shared" si="27"/>
        <v>0</v>
      </c>
      <c r="CP37" s="40">
        <f t="shared" si="28"/>
        <v>0</v>
      </c>
      <c r="CS37" s="40">
        <f t="shared" si="29"/>
        <v>0</v>
      </c>
      <c r="CV37" s="40">
        <f t="shared" si="30"/>
        <v>0</v>
      </c>
      <c r="CY37" s="40">
        <f t="shared" si="31"/>
        <v>0</v>
      </c>
      <c r="DB37" s="40">
        <f t="shared" si="32"/>
        <v>0</v>
      </c>
      <c r="DE37" s="40">
        <f t="shared" si="33"/>
        <v>0</v>
      </c>
      <c r="DH37" s="40">
        <f t="shared" si="34"/>
        <v>0</v>
      </c>
      <c r="DK37" s="40">
        <f t="shared" si="35"/>
        <v>0</v>
      </c>
      <c r="DN37" s="40">
        <f t="shared" si="36"/>
        <v>0</v>
      </c>
      <c r="DQ37" s="40">
        <f t="shared" si="37"/>
        <v>0</v>
      </c>
      <c r="DT37" s="40">
        <f t="shared" si="38"/>
        <v>0</v>
      </c>
      <c r="DW37" s="40">
        <f t="shared" si="39"/>
        <v>0</v>
      </c>
      <c r="DZ37" s="40"/>
      <c r="EA37" s="40"/>
      <c r="EB37" s="75">
        <f t="shared" si="40"/>
        <v>25450000</v>
      </c>
      <c r="EC37" s="75">
        <f t="shared" si="41"/>
        <v>0</v>
      </c>
      <c r="ED37" s="40">
        <f t="shared" si="42"/>
        <v>1908.75</v>
      </c>
      <c r="EE37" s="41">
        <f t="shared" si="43"/>
        <v>2.6999999999999996E-2</v>
      </c>
      <c r="EG37" s="75">
        <f t="shared" si="44"/>
        <v>0</v>
      </c>
      <c r="EH37" s="40">
        <f t="shared" si="45"/>
        <v>0</v>
      </c>
      <c r="EI37" s="41">
        <f t="shared" si="46"/>
        <v>0</v>
      </c>
      <c r="EJ37" s="41"/>
      <c r="EK37" s="75">
        <f t="shared" si="47"/>
        <v>25450000</v>
      </c>
      <c r="EL37" s="75">
        <f t="shared" si="48"/>
        <v>0</v>
      </c>
      <c r="EM37" s="75">
        <f t="shared" si="49"/>
        <v>1908.75</v>
      </c>
      <c r="EN37" s="41">
        <f t="shared" si="50"/>
        <v>2.6999999999999996E-2</v>
      </c>
      <c r="EP37" s="40"/>
    </row>
    <row r="38" spans="1:146" x14ac:dyDescent="0.25">
      <c r="A38" s="25">
        <f t="shared" si="51"/>
        <v>43552</v>
      </c>
      <c r="D38" s="40">
        <f t="shared" si="0"/>
        <v>0</v>
      </c>
      <c r="G38" s="40">
        <f t="shared" si="1"/>
        <v>0</v>
      </c>
      <c r="J38" s="40">
        <f t="shared" si="2"/>
        <v>0</v>
      </c>
      <c r="M38" s="40">
        <f t="shared" si="3"/>
        <v>0</v>
      </c>
      <c r="P38" s="40">
        <f t="shared" si="4"/>
        <v>0</v>
      </c>
      <c r="S38" s="40">
        <f t="shared" si="5"/>
        <v>0</v>
      </c>
      <c r="V38" s="40">
        <f t="shared" si="6"/>
        <v>0</v>
      </c>
      <c r="Y38" s="40">
        <f t="shared" si="7"/>
        <v>0</v>
      </c>
      <c r="AB38" s="40">
        <f t="shared" si="8"/>
        <v>0</v>
      </c>
      <c r="AE38" s="40">
        <v>0</v>
      </c>
      <c r="AH38" s="40">
        <v>0</v>
      </c>
      <c r="AI38" s="73">
        <f>38650000</f>
        <v>38650000</v>
      </c>
      <c r="AJ38" s="74">
        <v>2.7E-2</v>
      </c>
      <c r="AK38" s="40">
        <f t="shared" si="9"/>
        <v>2898.75</v>
      </c>
      <c r="AL38" s="73"/>
      <c r="AM38" s="74"/>
      <c r="AN38" s="40">
        <f t="shared" si="10"/>
        <v>0</v>
      </c>
      <c r="AQ38" s="40">
        <f t="shared" si="11"/>
        <v>0</v>
      </c>
      <c r="AT38" s="40">
        <f t="shared" si="12"/>
        <v>0</v>
      </c>
      <c r="AW38" s="40">
        <f t="shared" si="13"/>
        <v>0</v>
      </c>
      <c r="AZ38" s="40">
        <f t="shared" si="14"/>
        <v>0</v>
      </c>
      <c r="BC38" s="40">
        <f t="shared" si="15"/>
        <v>0</v>
      </c>
      <c r="BF38" s="40">
        <f t="shared" si="16"/>
        <v>0</v>
      </c>
      <c r="BI38" s="40">
        <f t="shared" si="17"/>
        <v>0</v>
      </c>
      <c r="BL38" s="40">
        <f t="shared" si="18"/>
        <v>0</v>
      </c>
      <c r="BO38" s="40">
        <f t="shared" si="19"/>
        <v>0</v>
      </c>
      <c r="BR38" s="40">
        <f t="shared" si="20"/>
        <v>0</v>
      </c>
      <c r="BU38" s="40">
        <f t="shared" si="21"/>
        <v>0</v>
      </c>
      <c r="BX38" s="40">
        <f t="shared" si="22"/>
        <v>0</v>
      </c>
      <c r="CA38" s="40">
        <f t="shared" si="23"/>
        <v>0</v>
      </c>
      <c r="CD38" s="40">
        <f t="shared" si="24"/>
        <v>0</v>
      </c>
      <c r="CG38" s="40">
        <f t="shared" si="25"/>
        <v>0</v>
      </c>
      <c r="CJ38" s="40">
        <f t="shared" si="26"/>
        <v>0</v>
      </c>
      <c r="CM38" s="40">
        <f t="shared" si="27"/>
        <v>0</v>
      </c>
      <c r="CP38" s="40">
        <f t="shared" si="28"/>
        <v>0</v>
      </c>
      <c r="CS38" s="40">
        <f t="shared" si="29"/>
        <v>0</v>
      </c>
      <c r="CV38" s="40">
        <f t="shared" si="30"/>
        <v>0</v>
      </c>
      <c r="CY38" s="40">
        <f t="shared" si="31"/>
        <v>0</v>
      </c>
      <c r="DB38" s="40">
        <f t="shared" si="32"/>
        <v>0</v>
      </c>
      <c r="DE38" s="40">
        <f t="shared" si="33"/>
        <v>0</v>
      </c>
      <c r="DH38" s="40">
        <f t="shared" si="34"/>
        <v>0</v>
      </c>
      <c r="DK38" s="40">
        <f t="shared" si="35"/>
        <v>0</v>
      </c>
      <c r="DN38" s="40">
        <f t="shared" si="36"/>
        <v>0</v>
      </c>
      <c r="DQ38" s="40">
        <f t="shared" si="37"/>
        <v>0</v>
      </c>
      <c r="DT38" s="40">
        <f t="shared" si="38"/>
        <v>0</v>
      </c>
      <c r="DW38" s="40">
        <f t="shared" si="39"/>
        <v>0</v>
      </c>
      <c r="DZ38" s="40"/>
      <c r="EA38" s="40"/>
      <c r="EB38" s="75">
        <f t="shared" si="40"/>
        <v>38650000</v>
      </c>
      <c r="EC38" s="75">
        <f t="shared" si="41"/>
        <v>0</v>
      </c>
      <c r="ED38" s="40">
        <f t="shared" si="42"/>
        <v>2898.75</v>
      </c>
      <c r="EE38" s="41">
        <f t="shared" si="43"/>
        <v>2.6999999999999996E-2</v>
      </c>
      <c r="EG38" s="75">
        <f t="shared" si="44"/>
        <v>0</v>
      </c>
      <c r="EH38" s="40">
        <f t="shared" si="45"/>
        <v>0</v>
      </c>
      <c r="EI38" s="41">
        <f t="shared" si="46"/>
        <v>0</v>
      </c>
      <c r="EJ38" s="41"/>
      <c r="EK38" s="75">
        <f t="shared" si="47"/>
        <v>38650000</v>
      </c>
      <c r="EL38" s="75">
        <f t="shared" si="48"/>
        <v>0</v>
      </c>
      <c r="EM38" s="75">
        <f t="shared" si="49"/>
        <v>2898.75</v>
      </c>
      <c r="EN38" s="41">
        <f t="shared" si="50"/>
        <v>2.6999999999999996E-2</v>
      </c>
      <c r="EP38" s="40"/>
    </row>
    <row r="39" spans="1:146" x14ac:dyDescent="0.25">
      <c r="A39" s="25">
        <f t="shared" si="51"/>
        <v>43553</v>
      </c>
      <c r="D39" s="40">
        <f t="shared" si="0"/>
        <v>0</v>
      </c>
      <c r="G39" s="40">
        <f t="shared" si="1"/>
        <v>0</v>
      </c>
      <c r="J39" s="40">
        <f t="shared" si="2"/>
        <v>0</v>
      </c>
      <c r="M39" s="40">
        <f t="shared" si="3"/>
        <v>0</v>
      </c>
      <c r="P39" s="40">
        <f t="shared" si="4"/>
        <v>0</v>
      </c>
      <c r="S39" s="40">
        <f t="shared" si="5"/>
        <v>0</v>
      </c>
      <c r="V39" s="40">
        <f t="shared" si="6"/>
        <v>0</v>
      </c>
      <c r="Y39" s="40">
        <f t="shared" si="7"/>
        <v>0</v>
      </c>
      <c r="AB39" s="40">
        <f t="shared" si="8"/>
        <v>0</v>
      </c>
      <c r="AE39" s="40">
        <v>0</v>
      </c>
      <c r="AH39" s="40">
        <v>0</v>
      </c>
      <c r="AI39" s="73">
        <f>54750000</f>
        <v>54750000</v>
      </c>
      <c r="AJ39" s="74">
        <v>2.7E-2</v>
      </c>
      <c r="AK39" s="40">
        <f t="shared" si="9"/>
        <v>4106.25</v>
      </c>
      <c r="AL39" s="73"/>
      <c r="AM39" s="74"/>
      <c r="AN39" s="40">
        <f t="shared" si="10"/>
        <v>0</v>
      </c>
      <c r="AQ39" s="40">
        <f t="shared" si="11"/>
        <v>0</v>
      </c>
      <c r="AT39" s="40">
        <f t="shared" si="12"/>
        <v>0</v>
      </c>
      <c r="AW39" s="40">
        <f t="shared" si="13"/>
        <v>0</v>
      </c>
      <c r="AZ39" s="40">
        <f t="shared" si="14"/>
        <v>0</v>
      </c>
      <c r="BC39" s="40">
        <f t="shared" si="15"/>
        <v>0</v>
      </c>
      <c r="BF39" s="40">
        <f t="shared" si="16"/>
        <v>0</v>
      </c>
      <c r="BI39" s="40">
        <f t="shared" si="17"/>
        <v>0</v>
      </c>
      <c r="BL39" s="40">
        <f t="shared" si="18"/>
        <v>0</v>
      </c>
      <c r="BO39" s="40">
        <f t="shared" si="19"/>
        <v>0</v>
      </c>
      <c r="BR39" s="40">
        <f t="shared" si="20"/>
        <v>0</v>
      </c>
      <c r="BU39" s="40">
        <f t="shared" si="21"/>
        <v>0</v>
      </c>
      <c r="BX39" s="40">
        <f t="shared" si="22"/>
        <v>0</v>
      </c>
      <c r="CA39" s="40">
        <f t="shared" si="23"/>
        <v>0</v>
      </c>
      <c r="CD39" s="40">
        <f t="shared" si="24"/>
        <v>0</v>
      </c>
      <c r="CG39" s="40">
        <f t="shared" si="25"/>
        <v>0</v>
      </c>
      <c r="CJ39" s="40">
        <f t="shared" si="26"/>
        <v>0</v>
      </c>
      <c r="CM39" s="40">
        <f t="shared" si="27"/>
        <v>0</v>
      </c>
      <c r="CP39" s="40">
        <f t="shared" si="28"/>
        <v>0</v>
      </c>
      <c r="CS39" s="40">
        <f t="shared" si="29"/>
        <v>0</v>
      </c>
      <c r="CV39" s="40">
        <f t="shared" si="30"/>
        <v>0</v>
      </c>
      <c r="CY39" s="40">
        <f t="shared" si="31"/>
        <v>0</v>
      </c>
      <c r="DB39" s="40">
        <f t="shared" si="32"/>
        <v>0</v>
      </c>
      <c r="DE39" s="40">
        <f t="shared" si="33"/>
        <v>0</v>
      </c>
      <c r="DH39" s="40">
        <f t="shared" si="34"/>
        <v>0</v>
      </c>
      <c r="DK39" s="40">
        <f t="shared" si="35"/>
        <v>0</v>
      </c>
      <c r="DN39" s="40">
        <f t="shared" si="36"/>
        <v>0</v>
      </c>
      <c r="DQ39" s="40">
        <f t="shared" si="37"/>
        <v>0</v>
      </c>
      <c r="DT39" s="40">
        <f t="shared" si="38"/>
        <v>0</v>
      </c>
      <c r="DW39" s="40">
        <f t="shared" si="39"/>
        <v>0</v>
      </c>
      <c r="DZ39" s="40"/>
      <c r="EA39" s="40"/>
      <c r="EB39" s="75">
        <f t="shared" si="40"/>
        <v>54750000</v>
      </c>
      <c r="EC39" s="75">
        <f t="shared" si="41"/>
        <v>0</v>
      </c>
      <c r="ED39" s="40">
        <f t="shared" si="42"/>
        <v>4106.25</v>
      </c>
      <c r="EE39" s="41">
        <f t="shared" si="43"/>
        <v>2.6999999999999996E-2</v>
      </c>
      <c r="EG39" s="75">
        <f t="shared" si="44"/>
        <v>0</v>
      </c>
      <c r="EH39" s="40">
        <f t="shared" si="45"/>
        <v>0</v>
      </c>
      <c r="EI39" s="41">
        <f t="shared" si="46"/>
        <v>0</v>
      </c>
      <c r="EJ39" s="41"/>
      <c r="EK39" s="75">
        <f t="shared" si="47"/>
        <v>54750000</v>
      </c>
      <c r="EL39" s="75">
        <f t="shared" si="48"/>
        <v>0</v>
      </c>
      <c r="EM39" s="75">
        <f t="shared" si="49"/>
        <v>4106.25</v>
      </c>
      <c r="EN39" s="41">
        <f t="shared" si="50"/>
        <v>2.6999999999999996E-2</v>
      </c>
      <c r="EP39" s="40"/>
    </row>
    <row r="40" spans="1:146" x14ac:dyDescent="0.25">
      <c r="A40" s="25">
        <f t="shared" si="51"/>
        <v>43554</v>
      </c>
      <c r="D40" s="40">
        <f t="shared" si="0"/>
        <v>0</v>
      </c>
      <c r="G40" s="40">
        <f t="shared" si="1"/>
        <v>0</v>
      </c>
      <c r="J40" s="40">
        <f t="shared" si="2"/>
        <v>0</v>
      </c>
      <c r="M40" s="40">
        <f t="shared" si="3"/>
        <v>0</v>
      </c>
      <c r="P40" s="40">
        <f t="shared" si="4"/>
        <v>0</v>
      </c>
      <c r="S40" s="40">
        <f t="shared" si="5"/>
        <v>0</v>
      </c>
      <c r="V40" s="40">
        <f t="shared" si="6"/>
        <v>0</v>
      </c>
      <c r="Y40" s="40">
        <f t="shared" si="7"/>
        <v>0</v>
      </c>
      <c r="AB40" s="40">
        <f t="shared" si="8"/>
        <v>0</v>
      </c>
      <c r="AE40" s="40">
        <v>0</v>
      </c>
      <c r="AH40" s="40">
        <v>0</v>
      </c>
      <c r="AI40" s="73">
        <f>54750000</f>
        <v>54750000</v>
      </c>
      <c r="AJ40" s="74">
        <v>2.7E-2</v>
      </c>
      <c r="AK40" s="40">
        <f t="shared" si="9"/>
        <v>4106.25</v>
      </c>
      <c r="AL40" s="73"/>
      <c r="AM40" s="74"/>
      <c r="AN40" s="40">
        <f t="shared" si="10"/>
        <v>0</v>
      </c>
      <c r="AQ40" s="40">
        <f t="shared" si="11"/>
        <v>0</v>
      </c>
      <c r="AT40" s="40">
        <f t="shared" si="12"/>
        <v>0</v>
      </c>
      <c r="AW40" s="40">
        <f t="shared" si="13"/>
        <v>0</v>
      </c>
      <c r="AZ40" s="40">
        <f t="shared" si="14"/>
        <v>0</v>
      </c>
      <c r="BC40" s="40">
        <f t="shared" si="15"/>
        <v>0</v>
      </c>
      <c r="BF40" s="40">
        <f t="shared" si="16"/>
        <v>0</v>
      </c>
      <c r="BI40" s="40">
        <f t="shared" si="17"/>
        <v>0</v>
      </c>
      <c r="BL40" s="40">
        <f t="shared" si="18"/>
        <v>0</v>
      </c>
      <c r="BO40" s="40">
        <f t="shared" si="19"/>
        <v>0</v>
      </c>
      <c r="BR40" s="40">
        <f t="shared" si="20"/>
        <v>0</v>
      </c>
      <c r="BU40" s="40">
        <f t="shared" si="21"/>
        <v>0</v>
      </c>
      <c r="BX40" s="40">
        <f t="shared" si="22"/>
        <v>0</v>
      </c>
      <c r="CA40" s="40">
        <f t="shared" si="23"/>
        <v>0</v>
      </c>
      <c r="CD40" s="40">
        <f t="shared" si="24"/>
        <v>0</v>
      </c>
      <c r="CG40" s="40">
        <f t="shared" si="25"/>
        <v>0</v>
      </c>
      <c r="CJ40" s="40">
        <f t="shared" si="26"/>
        <v>0</v>
      </c>
      <c r="CM40" s="40">
        <f t="shared" si="27"/>
        <v>0</v>
      </c>
      <c r="CP40" s="40">
        <f t="shared" si="28"/>
        <v>0</v>
      </c>
      <c r="CS40" s="40">
        <f t="shared" si="29"/>
        <v>0</v>
      </c>
      <c r="CV40" s="40">
        <f t="shared" si="30"/>
        <v>0</v>
      </c>
      <c r="CY40" s="40">
        <f t="shared" si="31"/>
        <v>0</v>
      </c>
      <c r="DB40" s="40">
        <f t="shared" si="32"/>
        <v>0</v>
      </c>
      <c r="DE40" s="40">
        <f t="shared" si="33"/>
        <v>0</v>
      </c>
      <c r="DH40" s="40">
        <f t="shared" si="34"/>
        <v>0</v>
      </c>
      <c r="DK40" s="40">
        <f t="shared" si="35"/>
        <v>0</v>
      </c>
      <c r="DN40" s="40">
        <f t="shared" si="36"/>
        <v>0</v>
      </c>
      <c r="DQ40" s="40">
        <f t="shared" si="37"/>
        <v>0</v>
      </c>
      <c r="DT40" s="40">
        <f t="shared" si="38"/>
        <v>0</v>
      </c>
      <c r="DW40" s="40">
        <f t="shared" si="39"/>
        <v>0</v>
      </c>
      <c r="DZ40" s="38"/>
      <c r="EA40" s="40"/>
      <c r="EB40" s="75">
        <f t="shared" si="40"/>
        <v>54750000</v>
      </c>
      <c r="EC40" s="75">
        <f t="shared" si="41"/>
        <v>0</v>
      </c>
      <c r="ED40" s="40">
        <f t="shared" si="42"/>
        <v>4106.25</v>
      </c>
      <c r="EE40" s="41">
        <f t="shared" si="43"/>
        <v>2.6999999999999996E-2</v>
      </c>
      <c r="EG40" s="75">
        <f t="shared" si="44"/>
        <v>0</v>
      </c>
      <c r="EH40" s="40">
        <f t="shared" si="45"/>
        <v>0</v>
      </c>
      <c r="EI40" s="41">
        <f t="shared" si="46"/>
        <v>0</v>
      </c>
      <c r="EJ40" s="41"/>
      <c r="EK40" s="75">
        <f t="shared" si="47"/>
        <v>54750000</v>
      </c>
      <c r="EL40" s="75">
        <f t="shared" si="48"/>
        <v>0</v>
      </c>
      <c r="EM40" s="75">
        <f t="shared" si="49"/>
        <v>4106.25</v>
      </c>
      <c r="EN40" s="41">
        <f t="shared" si="50"/>
        <v>2.6999999999999996E-2</v>
      </c>
      <c r="EP40" s="40"/>
    </row>
    <row r="41" spans="1:146" x14ac:dyDescent="0.25">
      <c r="A41" s="25">
        <f t="shared" si="51"/>
        <v>43555</v>
      </c>
      <c r="D41" s="40">
        <f t="shared" si="0"/>
        <v>0</v>
      </c>
      <c r="G41" s="40">
        <f t="shared" si="1"/>
        <v>0</v>
      </c>
      <c r="J41" s="40">
        <f t="shared" si="2"/>
        <v>0</v>
      </c>
      <c r="M41" s="40">
        <f t="shared" si="3"/>
        <v>0</v>
      </c>
      <c r="P41" s="40">
        <f t="shared" si="4"/>
        <v>0</v>
      </c>
      <c r="S41" s="40">
        <f t="shared" si="5"/>
        <v>0</v>
      </c>
      <c r="V41" s="40">
        <f t="shared" si="6"/>
        <v>0</v>
      </c>
      <c r="Y41" s="40">
        <f t="shared" si="7"/>
        <v>0</v>
      </c>
      <c r="AB41" s="40">
        <f t="shared" si="8"/>
        <v>0</v>
      </c>
      <c r="AE41" s="40">
        <v>0</v>
      </c>
      <c r="AH41" s="40">
        <v>0</v>
      </c>
      <c r="AI41" s="73">
        <f>54750000</f>
        <v>54750000</v>
      </c>
      <c r="AJ41" s="74">
        <v>2.7E-2</v>
      </c>
      <c r="AK41" s="40">
        <f t="shared" si="9"/>
        <v>4106.25</v>
      </c>
      <c r="AL41" s="73"/>
      <c r="AM41" s="74"/>
      <c r="AN41" s="40">
        <f t="shared" si="10"/>
        <v>0</v>
      </c>
      <c r="AQ41" s="40">
        <f t="shared" si="11"/>
        <v>0</v>
      </c>
      <c r="AT41" s="40">
        <f t="shared" si="12"/>
        <v>0</v>
      </c>
      <c r="AW41" s="40">
        <f t="shared" si="13"/>
        <v>0</v>
      </c>
      <c r="AZ41" s="40">
        <f t="shared" si="14"/>
        <v>0</v>
      </c>
      <c r="BC41" s="40">
        <f t="shared" si="15"/>
        <v>0</v>
      </c>
      <c r="BF41" s="40">
        <f t="shared" si="16"/>
        <v>0</v>
      </c>
      <c r="BI41" s="40">
        <f t="shared" si="17"/>
        <v>0</v>
      </c>
      <c r="BL41" s="40">
        <f t="shared" si="18"/>
        <v>0</v>
      </c>
      <c r="BO41" s="40">
        <f t="shared" si="19"/>
        <v>0</v>
      </c>
      <c r="BR41" s="40">
        <f t="shared" si="20"/>
        <v>0</v>
      </c>
      <c r="BU41" s="40">
        <f t="shared" si="21"/>
        <v>0</v>
      </c>
      <c r="BX41" s="40">
        <f t="shared" si="22"/>
        <v>0</v>
      </c>
      <c r="CA41" s="40">
        <f t="shared" si="23"/>
        <v>0</v>
      </c>
      <c r="CD41" s="40">
        <f t="shared" si="24"/>
        <v>0</v>
      </c>
      <c r="CG41" s="40">
        <f t="shared" si="25"/>
        <v>0</v>
      </c>
      <c r="CJ41" s="40">
        <f t="shared" si="26"/>
        <v>0</v>
      </c>
      <c r="CM41" s="40">
        <f t="shared" si="27"/>
        <v>0</v>
      </c>
      <c r="CP41" s="40">
        <f t="shared" si="28"/>
        <v>0</v>
      </c>
      <c r="CS41" s="40">
        <f t="shared" si="29"/>
        <v>0</v>
      </c>
      <c r="CV41" s="40">
        <f t="shared" si="30"/>
        <v>0</v>
      </c>
      <c r="CY41" s="40">
        <f t="shared" si="31"/>
        <v>0</v>
      </c>
      <c r="DB41" s="40">
        <f t="shared" si="32"/>
        <v>0</v>
      </c>
      <c r="DE41" s="40">
        <f t="shared" si="33"/>
        <v>0</v>
      </c>
      <c r="DH41" s="40">
        <f t="shared" si="34"/>
        <v>0</v>
      </c>
      <c r="DK41" s="40">
        <f t="shared" si="35"/>
        <v>0</v>
      </c>
      <c r="DN41" s="40">
        <f t="shared" si="36"/>
        <v>0</v>
      </c>
      <c r="DQ41" s="40">
        <f t="shared" si="37"/>
        <v>0</v>
      </c>
      <c r="DT41" s="40">
        <f t="shared" si="38"/>
        <v>0</v>
      </c>
      <c r="DW41" s="40">
        <f t="shared" si="39"/>
        <v>0</v>
      </c>
      <c r="DZ41" s="38"/>
      <c r="EA41" s="40"/>
      <c r="EB41" s="75">
        <f t="shared" si="40"/>
        <v>54750000</v>
      </c>
      <c r="EC41" s="75">
        <f t="shared" si="41"/>
        <v>0</v>
      </c>
      <c r="ED41" s="40">
        <f t="shared" si="42"/>
        <v>4106.25</v>
      </c>
      <c r="EE41" s="41">
        <f t="shared" si="43"/>
        <v>2.6999999999999996E-2</v>
      </c>
      <c r="EG41" s="75">
        <f t="shared" si="44"/>
        <v>0</v>
      </c>
      <c r="EH41" s="40">
        <f t="shared" si="45"/>
        <v>0</v>
      </c>
      <c r="EI41" s="41">
        <f t="shared" si="46"/>
        <v>0</v>
      </c>
      <c r="EJ41" s="41"/>
      <c r="EK41" s="75">
        <f t="shared" si="47"/>
        <v>54750000</v>
      </c>
      <c r="EL41" s="75">
        <f t="shared" si="48"/>
        <v>0</v>
      </c>
      <c r="EM41" s="75">
        <f t="shared" si="49"/>
        <v>4106.25</v>
      </c>
      <c r="EN41" s="41">
        <f t="shared" si="50"/>
        <v>2.6999999999999996E-2</v>
      </c>
      <c r="EP41" s="40"/>
    </row>
    <row r="42" spans="1:146" x14ac:dyDescent="0.25">
      <c r="A42" s="76" t="s">
        <v>75</v>
      </c>
      <c r="D42" s="77">
        <f>SUM(D11:D41)</f>
        <v>0</v>
      </c>
      <c r="G42" s="77">
        <f>SUM(G11:G41)</f>
        <v>0</v>
      </c>
      <c r="J42" s="77">
        <f>SUM(J11:J41)</f>
        <v>0</v>
      </c>
      <c r="M42" s="77">
        <f>SUM(M11:M41)</f>
        <v>0</v>
      </c>
      <c r="P42" s="77">
        <f>SUM(P11:P41)</f>
        <v>0</v>
      </c>
      <c r="S42" s="77">
        <f>SUM(S11:S41)</f>
        <v>0</v>
      </c>
      <c r="V42" s="77">
        <f>SUM(V11:V41)</f>
        <v>0</v>
      </c>
      <c r="Y42" s="77">
        <f>SUM(Y11:Y41)</f>
        <v>0</v>
      </c>
      <c r="AB42" s="77">
        <f>SUM(AB11:AB41)</f>
        <v>0</v>
      </c>
      <c r="AE42" s="77">
        <f>SUM(AE11:AE41)</f>
        <v>0</v>
      </c>
      <c r="AH42" s="77">
        <f>SUM(AH11:AH41)</f>
        <v>0</v>
      </c>
      <c r="AK42" s="77">
        <f>SUM(AK11:AK41)</f>
        <v>106807.5</v>
      </c>
      <c r="AN42" s="77">
        <f>SUM(AN11:AN41)</f>
        <v>13611.111111111111</v>
      </c>
      <c r="AQ42" s="77">
        <f>SUM(AQ11:AQ41)</f>
        <v>11791.666666666668</v>
      </c>
      <c r="AT42" s="77">
        <f>SUM(AT11:AT41)</f>
        <v>148437.5</v>
      </c>
      <c r="AW42" s="77">
        <f>SUM(AW11:AW41)</f>
        <v>0</v>
      </c>
      <c r="AZ42" s="77">
        <f>SUM(AZ11:AZ41)</f>
        <v>0</v>
      </c>
      <c r="BC42" s="77">
        <f>SUM(BC11:BC41)</f>
        <v>0</v>
      </c>
      <c r="BF42" s="77">
        <f>SUM(BF11:BF41)</f>
        <v>0</v>
      </c>
      <c r="BI42" s="77">
        <f>SUM(BI11:BI41)</f>
        <v>0</v>
      </c>
      <c r="BL42" s="77">
        <f>SUM(BL11:BL41)</f>
        <v>0</v>
      </c>
      <c r="BO42" s="77">
        <f>SUM(BO11:BO41)</f>
        <v>0</v>
      </c>
      <c r="BR42" s="77">
        <f>SUM(BR11:BR41)</f>
        <v>0</v>
      </c>
      <c r="BU42" s="77">
        <f>SUM(BU11:BU41)</f>
        <v>0</v>
      </c>
      <c r="BX42" s="77">
        <f>SUM(BX11:BX41)</f>
        <v>0</v>
      </c>
      <c r="CA42" s="77">
        <f>SUM(CA11:CA41)</f>
        <v>0</v>
      </c>
      <c r="CD42" s="77">
        <f>SUM(CD11:CD41)</f>
        <v>0</v>
      </c>
      <c r="CG42" s="77">
        <f>SUM(CG11:CG41)</f>
        <v>0</v>
      </c>
      <c r="CJ42" s="77">
        <f>SUM(CJ11:CJ41)</f>
        <v>0</v>
      </c>
      <c r="CM42" s="77">
        <f>SUM(CM11:CM41)</f>
        <v>0</v>
      </c>
      <c r="CP42" s="77">
        <f>SUM(CP11:CP41)</f>
        <v>0</v>
      </c>
      <c r="CS42" s="77">
        <f>SUM(CS11:CS41)</f>
        <v>0</v>
      </c>
      <c r="CV42" s="77">
        <f>SUM(CV11:CV41)</f>
        <v>0</v>
      </c>
      <c r="CY42" s="77">
        <f>SUM(CY11:CY41)</f>
        <v>0</v>
      </c>
      <c r="DB42" s="77">
        <f>SUM(DB11:DB41)</f>
        <v>0</v>
      </c>
      <c r="DE42" s="77">
        <f>SUM(DE11:DE41)</f>
        <v>0</v>
      </c>
      <c r="DH42" s="77">
        <f>SUM(DH11:DH41)</f>
        <v>0</v>
      </c>
      <c r="DK42" s="77">
        <f>SUM(DK11:DK41)</f>
        <v>0</v>
      </c>
      <c r="DN42" s="77">
        <f>SUM(DN11:DN41)</f>
        <v>0</v>
      </c>
      <c r="DQ42" s="77">
        <f>SUM(DQ11:DQ41)</f>
        <v>0</v>
      </c>
      <c r="DT42" s="77">
        <f>SUM(DT11:DT41)</f>
        <v>0</v>
      </c>
      <c r="DW42" s="77">
        <f>SUM(DW11:DW41)</f>
        <v>0</v>
      </c>
      <c r="DZ42" s="38"/>
      <c r="EA42" s="38"/>
      <c r="EB42" s="40"/>
      <c r="EC42" s="40"/>
      <c r="ED42" s="77">
        <f>SUM(ED11:ED41)</f>
        <v>280647.77777777775</v>
      </c>
      <c r="EE42" s="41"/>
      <c r="EG42" s="40"/>
      <c r="EH42" s="77">
        <f>SUM(EH11:EH41)</f>
        <v>0</v>
      </c>
      <c r="EI42" s="41"/>
      <c r="EJ42" s="41"/>
      <c r="EK42" s="40"/>
      <c r="EL42" s="40"/>
      <c r="EM42" s="77">
        <f>SUM(EM11:EM41)</f>
        <v>280647.77777777775</v>
      </c>
      <c r="EN42" s="41"/>
      <c r="EP42" s="40"/>
    </row>
    <row r="44" spans="1:146" x14ac:dyDescent="0.25">
      <c r="EM44" s="78"/>
    </row>
    <row r="46" spans="1:146" x14ac:dyDescent="0.25">
      <c r="EM46" s="4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EQ48"/>
  <sheetViews>
    <sheetView workbookViewId="0">
      <selection activeCell="C14" sqref="C14"/>
    </sheetView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hidden="1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4" width="14.42578125" bestFit="1" customWidth="1"/>
    <col min="145" max="145" width="42.85546875" bestFit="1" customWidth="1"/>
    <col min="146" max="146" width="18.1406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EB40</f>
        <v>92325000</v>
      </c>
      <c r="EI2" s="38">
        <f>EG40</f>
        <v>0</v>
      </c>
      <c r="EM2" s="38"/>
      <c r="EN2" s="38">
        <f>EK40</f>
        <v>92325000</v>
      </c>
      <c r="EO2" s="31">
        <v>0</v>
      </c>
      <c r="EP2" s="31">
        <f>EN2+EO2</f>
        <v>92325000</v>
      </c>
      <c r="EQ2" s="31">
        <f>EE2+EO2</f>
        <v>92325000</v>
      </c>
    </row>
    <row r="3" spans="1:147" ht="16.5" thickTop="1" x14ac:dyDescent="0.25">
      <c r="A3" s="39" t="s">
        <v>167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AVERAGE(EB11:EB40)</f>
        <v>73955000</v>
      </c>
      <c r="EI3" s="38">
        <f>AVERAGE(EG11:EG40)</f>
        <v>0</v>
      </c>
      <c r="EM3" s="38"/>
      <c r="EN3" s="38">
        <f>AVERAGE(EK11:EK40)</f>
        <v>73955000</v>
      </c>
    </row>
    <row r="4" spans="1:147" x14ac:dyDescent="0.25">
      <c r="D4" s="24"/>
      <c r="E4" s="48" t="s">
        <v>98</v>
      </c>
      <c r="F4" s="38"/>
      <c r="G4" s="49">
        <f>EQ2</f>
        <v>92325000</v>
      </c>
      <c r="AI4" s="50" t="s">
        <v>102</v>
      </c>
      <c r="EB4" s="24" t="s">
        <v>103</v>
      </c>
      <c r="EC4" s="24"/>
      <c r="ED4" s="46"/>
      <c r="EE4" s="46">
        <f>IF(EE3=0,0,360*(AVERAGE(ED11:ED40)/EE3))</f>
        <v>2.6622737926216396E-2</v>
      </c>
      <c r="EI4" s="46">
        <f>IF(EI3=0,0,360*(AVERAGE(EH11:EH40)/EI3))</f>
        <v>0</v>
      </c>
      <c r="EM4" s="46"/>
      <c r="EN4" s="46">
        <f>IF(EN3=0,0,360*(AVERAGE(EM11:EM40)/EN3))</f>
        <v>2.6622737926216396E-2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73955000</v>
      </c>
      <c r="AI5" s="53" t="s">
        <v>93</v>
      </c>
      <c r="EB5" s="54" t="s">
        <v>105</v>
      </c>
      <c r="EC5" s="54"/>
      <c r="ED5" s="38"/>
      <c r="EE5" s="38">
        <f>MAX(EB11:EB40)</f>
        <v>92325000</v>
      </c>
      <c r="EI5" s="38">
        <f>MAX(EG11:EG40)</f>
        <v>0</v>
      </c>
      <c r="EM5" s="38"/>
      <c r="EN5" s="38">
        <f>MAX(EK11:EK40)</f>
        <v>92325000</v>
      </c>
    </row>
    <row r="6" spans="1:147" x14ac:dyDescent="0.25">
      <c r="D6" s="24"/>
      <c r="E6" s="48" t="s">
        <v>103</v>
      </c>
      <c r="F6" s="38"/>
      <c r="G6" s="55">
        <f>EE4</f>
        <v>2.6622737926216396E-2</v>
      </c>
    </row>
    <row r="7" spans="1:147" ht="16.5" thickBot="1" x14ac:dyDescent="0.3">
      <c r="D7" s="24"/>
      <c r="E7" s="56" t="s">
        <v>105</v>
      </c>
      <c r="F7" s="57"/>
      <c r="G7" s="58">
        <f>EE5</f>
        <v>92325000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43556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73">
        <f>82025000</f>
        <v>82025000</v>
      </c>
      <c r="AJ11" s="74">
        <v>2.7E-2</v>
      </c>
      <c r="AK11" s="40">
        <f>(AI11*AJ11)/360</f>
        <v>6151.875</v>
      </c>
      <c r="AN11" s="40">
        <f>(AL11*AM11)/360</f>
        <v>0</v>
      </c>
      <c r="AQ11" s="40">
        <f>(AO11*AP11)/360</f>
        <v>0</v>
      </c>
      <c r="AT11" s="40">
        <f>(AR11*AS11)/360</f>
        <v>0</v>
      </c>
      <c r="AW11" s="40">
        <f>(AU11*AV11)/360</f>
        <v>0</v>
      </c>
      <c r="AZ11" s="40">
        <f>(AX11*AY11)/360</f>
        <v>0</v>
      </c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82025000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6151.875</v>
      </c>
      <c r="EE11" s="41">
        <f>IF(EB11&lt;&gt;0,((ED11/EB11)*360),0)</f>
        <v>2.6999999999999996E-2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82025000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6151.875</v>
      </c>
      <c r="EN11" s="41">
        <f>IF(EK11&lt;&gt;0,((EM11/EK11)*360),0)</f>
        <v>2.6999999999999996E-2</v>
      </c>
    </row>
    <row r="12" spans="1:147" x14ac:dyDescent="0.25">
      <c r="A12" s="25">
        <f>1+A11</f>
        <v>43557</v>
      </c>
      <c r="D12" s="40">
        <f t="shared" ref="D12:D40" si="0">(B12*C12)/360</f>
        <v>0</v>
      </c>
      <c r="G12" s="40">
        <f t="shared" ref="G12:G40" si="1">(E12*F12)/360</f>
        <v>0</v>
      </c>
      <c r="J12" s="40">
        <f t="shared" ref="J12:J40" si="2">(H12*I12)/360</f>
        <v>0</v>
      </c>
      <c r="M12" s="40">
        <f t="shared" ref="M12:M40" si="3">(K12*L12)/360</f>
        <v>0</v>
      </c>
      <c r="P12" s="40">
        <f t="shared" ref="P12:P40" si="4">(N12*O12)/360</f>
        <v>0</v>
      </c>
      <c r="S12" s="40">
        <f t="shared" ref="S12:S40" si="5">(Q12*R12)/360</f>
        <v>0</v>
      </c>
      <c r="V12" s="40">
        <f t="shared" ref="V12:V40" si="6">(T12*U12)/360</f>
        <v>0</v>
      </c>
      <c r="Y12" s="40">
        <f t="shared" ref="Y12:Y40" si="7">(W12*X12)/360</f>
        <v>0</v>
      </c>
      <c r="AB12" s="40">
        <f t="shared" ref="AB12:AB40" si="8">(Z12*AA12)/360</f>
        <v>0</v>
      </c>
      <c r="AE12" s="40">
        <v>0</v>
      </c>
      <c r="AH12" s="40">
        <v>0</v>
      </c>
      <c r="AI12" s="73">
        <f>66700000</f>
        <v>66700000</v>
      </c>
      <c r="AJ12" s="74">
        <v>2.7E-2</v>
      </c>
      <c r="AK12" s="40">
        <f t="shared" ref="AK12:AK40" si="9">(AI12*AJ12)/360</f>
        <v>5002.5</v>
      </c>
      <c r="AN12" s="40">
        <f t="shared" ref="AN12:AN40" si="10">(AL12*AM12)/360</f>
        <v>0</v>
      </c>
      <c r="AQ12" s="40">
        <f t="shared" ref="AQ12:AQ40" si="11">(AO12*AP12)/360</f>
        <v>0</v>
      </c>
      <c r="AT12" s="40">
        <f t="shared" ref="AT12:AT40" si="12">(AR12*AS12)/360</f>
        <v>0</v>
      </c>
      <c r="AW12" s="40">
        <f t="shared" ref="AW12:AW40" si="13">(AU12*AV12)/360</f>
        <v>0</v>
      </c>
      <c r="AZ12" s="40">
        <f t="shared" ref="AZ12:AZ40" si="14">(AX12*AY12)/360</f>
        <v>0</v>
      </c>
      <c r="BC12" s="40">
        <f t="shared" ref="BC12:BC40" si="15">(BA12*BB12)/360</f>
        <v>0</v>
      </c>
      <c r="BF12" s="40">
        <f t="shared" ref="BF12:BF40" si="16">(BD12*BE12)/360</f>
        <v>0</v>
      </c>
      <c r="BI12" s="40">
        <f t="shared" ref="BI12:BI40" si="17">(BG12*BH12)/360</f>
        <v>0</v>
      </c>
      <c r="BL12" s="40">
        <f t="shared" ref="BL12:BL40" si="18">(BJ12*BK12)/360</f>
        <v>0</v>
      </c>
      <c r="BO12" s="40">
        <f t="shared" ref="BO12:BO40" si="19">(BM12*BN12)/360</f>
        <v>0</v>
      </c>
      <c r="BR12" s="40">
        <f t="shared" ref="BR12:BR40" si="20">(BP12*BQ12)/360</f>
        <v>0</v>
      </c>
      <c r="BU12" s="40">
        <f t="shared" ref="BU12:BU40" si="21">(BS12*BT12)/360</f>
        <v>0</v>
      </c>
      <c r="BX12" s="40">
        <f t="shared" ref="BX12:BX40" si="22">(BV12*BW12)/360</f>
        <v>0</v>
      </c>
      <c r="CA12" s="40">
        <f t="shared" ref="CA12:CA40" si="23">(BY12*BZ12)/360</f>
        <v>0</v>
      </c>
      <c r="CD12" s="40">
        <f t="shared" ref="CD12:CD40" si="24">(CB12*CC12)/360</f>
        <v>0</v>
      </c>
      <c r="CG12" s="40">
        <f t="shared" ref="CG12:CG40" si="25">(CE12*CF12)/360</f>
        <v>0</v>
      </c>
      <c r="CJ12" s="40">
        <f t="shared" ref="CJ12:CJ40" si="26">(CH12*CI12)/360</f>
        <v>0</v>
      </c>
      <c r="CM12" s="40">
        <f t="shared" ref="CM12:CM40" si="27">(CK12*CL12)/360</f>
        <v>0</v>
      </c>
      <c r="CP12" s="40">
        <f t="shared" ref="CP12:CP40" si="28">(CN12*CO12)/360</f>
        <v>0</v>
      </c>
      <c r="CS12" s="40">
        <f t="shared" ref="CS12:CS40" si="29">(CQ12*CR12)/360</f>
        <v>0</v>
      </c>
      <c r="CV12" s="40">
        <f t="shared" ref="CV12:CV40" si="30">(CT12*CU12)/360</f>
        <v>0</v>
      </c>
      <c r="CY12" s="40">
        <f t="shared" ref="CY12:CY40" si="31">(CW12*CX12)/360</f>
        <v>0</v>
      </c>
      <c r="DB12" s="40">
        <f t="shared" ref="DB12:DB40" si="32">(CZ12*DA12)/360</f>
        <v>0</v>
      </c>
      <c r="DE12" s="40">
        <f t="shared" ref="DE12:DE40" si="33">(DC12*DD12)/360</f>
        <v>0</v>
      </c>
      <c r="DH12" s="40">
        <f t="shared" ref="DH12:DH40" si="34">(DF12*DG12)/360</f>
        <v>0</v>
      </c>
      <c r="DK12" s="40">
        <f t="shared" ref="DK12:DK40" si="35">(DI12*DJ12)/360</f>
        <v>0</v>
      </c>
      <c r="DN12" s="40">
        <f t="shared" ref="DN12:DN40" si="36">(DL12*DM12)/360</f>
        <v>0</v>
      </c>
      <c r="DQ12" s="40">
        <f t="shared" ref="DQ12:DQ40" si="37">(DO12*DP12)/360</f>
        <v>0</v>
      </c>
      <c r="DT12" s="40">
        <f t="shared" ref="DT12:DT40" si="38">(DR12*DS12)/360</f>
        <v>0</v>
      </c>
      <c r="DW12" s="40">
        <f t="shared" ref="DW12:DW40" si="39">(DU12*DV12)/360</f>
        <v>0</v>
      </c>
      <c r="DZ12" s="40"/>
      <c r="EA12" s="40"/>
      <c r="EB12" s="75">
        <f t="shared" ref="EB12:EB40" si="40">B12+E12+H12+K12+N12+Q12+T12+W12+Z12+AC12+AF12+AL12+AO12+AR12+AU12+AX12+BA12+BD12+BG12+DU12+AI12+DR12+DO12+DL12+DI12+DF12+DC12+CZ12+CW12+CT12+CQ12+CN12+CK12+CH12+CE12+CB12+BY12+BV12+BS12+BP12+BM12+BJ12</f>
        <v>66700000</v>
      </c>
      <c r="EC12" s="75">
        <f t="shared" ref="EC12:EC40" si="41">EB12-EK12+EL12</f>
        <v>0</v>
      </c>
      <c r="ED12" s="40">
        <f t="shared" ref="ED12:ED40" si="42">D12+G12+J12+M12+P12+S12+V12+Y12+AB12+AE12+AH12+AK12+AN12+AQ12+AT12+AW12+AZ12+BC12+BF12+BI12+DW12+DT12+DQ12+DN12+DK12+DH12+DE12+DB12+CY12+CV12+CS12+CP12+CM12+CJ12+CG12+CD12+CA12+BX12+BU12+BR12+BO12+BL12</f>
        <v>5002.5</v>
      </c>
      <c r="EE12" s="41">
        <f t="shared" ref="EE12:EE40" si="43">IF(EB12&lt;&gt;0,((ED12/EB12)*360),0)</f>
        <v>2.6999999999999996E-2</v>
      </c>
      <c r="EG12" s="75">
        <f t="shared" ref="EG12:EG40" si="44">Q12+T12+W12+Z12+AC12+AF12</f>
        <v>0</v>
      </c>
      <c r="EH12" s="40">
        <f t="shared" ref="EH12:EH40" si="45">S12+V12+Y12+AB12+AE12+AH12</f>
        <v>0</v>
      </c>
      <c r="EI12" s="41">
        <f t="shared" ref="EI12:EI40" si="46">IF(EG12&lt;&gt;0,((EH12/EG12)*360),0)</f>
        <v>0</v>
      </c>
      <c r="EJ12" s="41"/>
      <c r="EK12" s="75">
        <f t="shared" ref="EK12:EK40" si="47">DR12+DL12+DI12+DF12+DC12+CZ12+CW12+CT12+CQ12+CN12+CK12+CH12+CE12+CB12+BY12+BV12+BS12+BP12+BM12+BJ12+BG12+BD12+BA12+AX12+AU12+AR12+AO12+AL12+AI12+DO12</f>
        <v>66700000</v>
      </c>
      <c r="EL12" s="75">
        <f t="shared" ref="EL12:EL40" si="48">DX12</f>
        <v>0</v>
      </c>
      <c r="EM12" s="75">
        <f t="shared" ref="EM12:EM40" si="49">DT12+DQ12+DN12+DK12+DH12+DE12+DB12+CY12+CV12+CS12+CP12+CM12+CJ12+CG12+CD12+CA12+BX12+BU12+BR12+BO12+BL12+BI12+BF12+BC12+AZ12+AW12+AT12+AQ12+AN12+AK12</f>
        <v>5002.5</v>
      </c>
      <c r="EN12" s="41">
        <f t="shared" ref="EN12:EN40" si="50">IF(EK12&lt;&gt;0,((EM12/EK12)*360),0)</f>
        <v>2.6999999999999996E-2</v>
      </c>
    </row>
    <row r="13" spans="1:147" x14ac:dyDescent="0.25">
      <c r="A13" s="25">
        <f t="shared" ref="A13:A40" si="51">1+A12</f>
        <v>43558</v>
      </c>
      <c r="D13" s="40">
        <f t="shared" si="0"/>
        <v>0</v>
      </c>
      <c r="G13" s="40">
        <f t="shared" si="1"/>
        <v>0</v>
      </c>
      <c r="J13" s="40">
        <f t="shared" si="2"/>
        <v>0</v>
      </c>
      <c r="M13" s="40">
        <f t="shared" si="3"/>
        <v>0</v>
      </c>
      <c r="P13" s="40">
        <f t="shared" si="4"/>
        <v>0</v>
      </c>
      <c r="S13" s="40">
        <f t="shared" si="5"/>
        <v>0</v>
      </c>
      <c r="V13" s="40">
        <f t="shared" si="6"/>
        <v>0</v>
      </c>
      <c r="Y13" s="40">
        <f t="shared" si="7"/>
        <v>0</v>
      </c>
      <c r="AB13" s="40">
        <f t="shared" si="8"/>
        <v>0</v>
      </c>
      <c r="AE13" s="40">
        <v>0</v>
      </c>
      <c r="AH13" s="40">
        <v>0</v>
      </c>
      <c r="AI13" s="73">
        <f>59775000</f>
        <v>59775000</v>
      </c>
      <c r="AJ13" s="74">
        <v>2.7E-2</v>
      </c>
      <c r="AK13" s="40">
        <f t="shared" si="9"/>
        <v>4483.125</v>
      </c>
      <c r="AN13" s="40">
        <f t="shared" si="10"/>
        <v>0</v>
      </c>
      <c r="AQ13" s="40">
        <f t="shared" si="11"/>
        <v>0</v>
      </c>
      <c r="AT13" s="40">
        <f t="shared" si="12"/>
        <v>0</v>
      </c>
      <c r="AW13" s="40">
        <f t="shared" si="13"/>
        <v>0</v>
      </c>
      <c r="AZ13" s="40">
        <f t="shared" si="14"/>
        <v>0</v>
      </c>
      <c r="BC13" s="40">
        <f t="shared" si="15"/>
        <v>0</v>
      </c>
      <c r="BF13" s="40">
        <f t="shared" si="16"/>
        <v>0</v>
      </c>
      <c r="BI13" s="40">
        <f t="shared" si="17"/>
        <v>0</v>
      </c>
      <c r="BL13" s="40">
        <f t="shared" si="18"/>
        <v>0</v>
      </c>
      <c r="BO13" s="40">
        <f t="shared" si="19"/>
        <v>0</v>
      </c>
      <c r="BR13" s="40">
        <f t="shared" si="20"/>
        <v>0</v>
      </c>
      <c r="BU13" s="40">
        <f t="shared" si="21"/>
        <v>0</v>
      </c>
      <c r="BX13" s="40">
        <f t="shared" si="22"/>
        <v>0</v>
      </c>
      <c r="CA13" s="40">
        <f t="shared" si="23"/>
        <v>0</v>
      </c>
      <c r="CD13" s="40">
        <f t="shared" si="24"/>
        <v>0</v>
      </c>
      <c r="CG13" s="40">
        <f t="shared" si="25"/>
        <v>0</v>
      </c>
      <c r="CJ13" s="40">
        <f t="shared" si="26"/>
        <v>0</v>
      </c>
      <c r="CM13" s="40">
        <f t="shared" si="27"/>
        <v>0</v>
      </c>
      <c r="CP13" s="40">
        <f t="shared" si="28"/>
        <v>0</v>
      </c>
      <c r="CS13" s="40">
        <f t="shared" si="29"/>
        <v>0</v>
      </c>
      <c r="CV13" s="40">
        <f t="shared" si="30"/>
        <v>0</v>
      </c>
      <c r="CY13" s="40">
        <f t="shared" si="31"/>
        <v>0</v>
      </c>
      <c r="DB13" s="40">
        <f t="shared" si="32"/>
        <v>0</v>
      </c>
      <c r="DE13" s="40">
        <f t="shared" si="33"/>
        <v>0</v>
      </c>
      <c r="DH13" s="40">
        <f t="shared" si="34"/>
        <v>0</v>
      </c>
      <c r="DK13" s="40">
        <f t="shared" si="35"/>
        <v>0</v>
      </c>
      <c r="DN13" s="40">
        <f t="shared" si="36"/>
        <v>0</v>
      </c>
      <c r="DQ13" s="40">
        <f t="shared" si="37"/>
        <v>0</v>
      </c>
      <c r="DT13" s="40">
        <f t="shared" si="38"/>
        <v>0</v>
      </c>
      <c r="DW13" s="40">
        <f t="shared" si="39"/>
        <v>0</v>
      </c>
      <c r="DZ13" s="40"/>
      <c r="EA13" s="40"/>
      <c r="EB13" s="75">
        <f t="shared" si="40"/>
        <v>59775000</v>
      </c>
      <c r="EC13" s="75">
        <f t="shared" si="41"/>
        <v>0</v>
      </c>
      <c r="ED13" s="40">
        <f t="shared" si="42"/>
        <v>4483.125</v>
      </c>
      <c r="EE13" s="41">
        <f t="shared" si="43"/>
        <v>2.6999999999999996E-2</v>
      </c>
      <c r="EG13" s="75">
        <f t="shared" si="44"/>
        <v>0</v>
      </c>
      <c r="EH13" s="40">
        <f t="shared" si="45"/>
        <v>0</v>
      </c>
      <c r="EI13" s="41">
        <f t="shared" si="46"/>
        <v>0</v>
      </c>
      <c r="EJ13" s="41"/>
      <c r="EK13" s="75">
        <f t="shared" si="47"/>
        <v>59775000</v>
      </c>
      <c r="EL13" s="75">
        <f t="shared" si="48"/>
        <v>0</v>
      </c>
      <c r="EM13" s="75">
        <f t="shared" si="49"/>
        <v>4483.125</v>
      </c>
      <c r="EN13" s="41">
        <f t="shared" si="50"/>
        <v>2.6999999999999996E-2</v>
      </c>
    </row>
    <row r="14" spans="1:147" x14ac:dyDescent="0.25">
      <c r="A14" s="25">
        <f t="shared" si="51"/>
        <v>43559</v>
      </c>
      <c r="D14" s="40">
        <f t="shared" si="0"/>
        <v>0</v>
      </c>
      <c r="G14" s="40">
        <f t="shared" si="1"/>
        <v>0</v>
      </c>
      <c r="J14" s="40">
        <f t="shared" si="2"/>
        <v>0</v>
      </c>
      <c r="M14" s="40">
        <f t="shared" si="3"/>
        <v>0</v>
      </c>
      <c r="P14" s="40">
        <f t="shared" si="4"/>
        <v>0</v>
      </c>
      <c r="S14" s="40">
        <f t="shared" si="5"/>
        <v>0</v>
      </c>
      <c r="V14" s="40">
        <f t="shared" si="6"/>
        <v>0</v>
      </c>
      <c r="Y14" s="40">
        <f t="shared" si="7"/>
        <v>0</v>
      </c>
      <c r="AB14" s="40">
        <f t="shared" si="8"/>
        <v>0</v>
      </c>
      <c r="AE14" s="40">
        <v>0</v>
      </c>
      <c r="AH14" s="40">
        <v>0</v>
      </c>
      <c r="AI14" s="73">
        <f>83225000</f>
        <v>83225000</v>
      </c>
      <c r="AJ14" s="74">
        <v>2.7E-2</v>
      </c>
      <c r="AK14" s="40">
        <f t="shared" si="9"/>
        <v>6241.875</v>
      </c>
      <c r="AN14" s="40">
        <f t="shared" si="10"/>
        <v>0</v>
      </c>
      <c r="AQ14" s="40">
        <f t="shared" si="11"/>
        <v>0</v>
      </c>
      <c r="AT14" s="40">
        <f t="shared" si="12"/>
        <v>0</v>
      </c>
      <c r="AW14" s="40">
        <f t="shared" si="13"/>
        <v>0</v>
      </c>
      <c r="AZ14" s="40">
        <f t="shared" si="14"/>
        <v>0</v>
      </c>
      <c r="BC14" s="40">
        <f t="shared" si="15"/>
        <v>0</v>
      </c>
      <c r="BF14" s="40">
        <f t="shared" si="16"/>
        <v>0</v>
      </c>
      <c r="BI14" s="40">
        <f t="shared" si="17"/>
        <v>0</v>
      </c>
      <c r="BL14" s="40">
        <f t="shared" si="18"/>
        <v>0</v>
      </c>
      <c r="BO14" s="40">
        <f t="shared" si="19"/>
        <v>0</v>
      </c>
      <c r="BR14" s="40">
        <f t="shared" si="20"/>
        <v>0</v>
      </c>
      <c r="BU14" s="40">
        <f t="shared" si="21"/>
        <v>0</v>
      </c>
      <c r="BX14" s="40">
        <f t="shared" si="22"/>
        <v>0</v>
      </c>
      <c r="CA14" s="40">
        <f t="shared" si="23"/>
        <v>0</v>
      </c>
      <c r="CD14" s="40">
        <f t="shared" si="24"/>
        <v>0</v>
      </c>
      <c r="CG14" s="40">
        <f t="shared" si="25"/>
        <v>0</v>
      </c>
      <c r="CJ14" s="40">
        <f t="shared" si="26"/>
        <v>0</v>
      </c>
      <c r="CM14" s="40">
        <f t="shared" si="27"/>
        <v>0</v>
      </c>
      <c r="CP14" s="40">
        <f t="shared" si="28"/>
        <v>0</v>
      </c>
      <c r="CS14" s="40">
        <f t="shared" si="29"/>
        <v>0</v>
      </c>
      <c r="CV14" s="40">
        <f t="shared" si="30"/>
        <v>0</v>
      </c>
      <c r="CY14" s="40">
        <f t="shared" si="31"/>
        <v>0</v>
      </c>
      <c r="DB14" s="40">
        <f t="shared" si="32"/>
        <v>0</v>
      </c>
      <c r="DE14" s="40">
        <f t="shared" si="33"/>
        <v>0</v>
      </c>
      <c r="DH14" s="40">
        <f t="shared" si="34"/>
        <v>0</v>
      </c>
      <c r="DK14" s="40">
        <f t="shared" si="35"/>
        <v>0</v>
      </c>
      <c r="DN14" s="40">
        <f t="shared" si="36"/>
        <v>0</v>
      </c>
      <c r="DQ14" s="40">
        <f t="shared" si="37"/>
        <v>0</v>
      </c>
      <c r="DT14" s="40">
        <f t="shared" si="38"/>
        <v>0</v>
      </c>
      <c r="DW14" s="40">
        <f t="shared" si="39"/>
        <v>0</v>
      </c>
      <c r="DZ14" s="40"/>
      <c r="EA14" s="40"/>
      <c r="EB14" s="75">
        <f t="shared" si="40"/>
        <v>83225000</v>
      </c>
      <c r="EC14" s="75">
        <f t="shared" si="41"/>
        <v>0</v>
      </c>
      <c r="ED14" s="40">
        <f t="shared" si="42"/>
        <v>6241.875</v>
      </c>
      <c r="EE14" s="41">
        <f t="shared" si="43"/>
        <v>2.6999999999999996E-2</v>
      </c>
      <c r="EG14" s="75">
        <f t="shared" si="44"/>
        <v>0</v>
      </c>
      <c r="EH14" s="40">
        <f t="shared" si="45"/>
        <v>0</v>
      </c>
      <c r="EI14" s="41">
        <f t="shared" si="46"/>
        <v>0</v>
      </c>
      <c r="EJ14" s="41"/>
      <c r="EK14" s="75">
        <f t="shared" si="47"/>
        <v>83225000</v>
      </c>
      <c r="EL14" s="75">
        <f t="shared" si="48"/>
        <v>0</v>
      </c>
      <c r="EM14" s="75">
        <f t="shared" si="49"/>
        <v>6241.875</v>
      </c>
      <c r="EN14" s="41">
        <f t="shared" si="50"/>
        <v>2.6999999999999996E-2</v>
      </c>
    </row>
    <row r="15" spans="1:147" x14ac:dyDescent="0.25">
      <c r="A15" s="25">
        <f t="shared" si="51"/>
        <v>43560</v>
      </c>
      <c r="D15" s="40">
        <f t="shared" si="0"/>
        <v>0</v>
      </c>
      <c r="G15" s="40">
        <f t="shared" si="1"/>
        <v>0</v>
      </c>
      <c r="J15" s="40">
        <f t="shared" si="2"/>
        <v>0</v>
      </c>
      <c r="M15" s="40">
        <f t="shared" si="3"/>
        <v>0</v>
      </c>
      <c r="P15" s="40">
        <f t="shared" si="4"/>
        <v>0</v>
      </c>
      <c r="S15" s="40">
        <f t="shared" si="5"/>
        <v>0</v>
      </c>
      <c r="V15" s="40">
        <f t="shared" si="6"/>
        <v>0</v>
      </c>
      <c r="Y15" s="40">
        <f t="shared" si="7"/>
        <v>0</v>
      </c>
      <c r="AB15" s="40">
        <f t="shared" si="8"/>
        <v>0</v>
      </c>
      <c r="AE15" s="40">
        <v>0</v>
      </c>
      <c r="AH15" s="40">
        <v>0</v>
      </c>
      <c r="AI15" s="73">
        <f>84300000</f>
        <v>84300000</v>
      </c>
      <c r="AJ15" s="74">
        <v>2.7E-2</v>
      </c>
      <c r="AK15" s="40">
        <f t="shared" si="9"/>
        <v>6322.5</v>
      </c>
      <c r="AN15" s="40">
        <f t="shared" si="10"/>
        <v>0</v>
      </c>
      <c r="AQ15" s="40">
        <f t="shared" si="11"/>
        <v>0</v>
      </c>
      <c r="AT15" s="40">
        <f t="shared" si="12"/>
        <v>0</v>
      </c>
      <c r="AW15" s="40">
        <f t="shared" si="13"/>
        <v>0</v>
      </c>
      <c r="AZ15" s="40">
        <f t="shared" si="14"/>
        <v>0</v>
      </c>
      <c r="BC15" s="40">
        <f t="shared" si="15"/>
        <v>0</v>
      </c>
      <c r="BF15" s="40">
        <f t="shared" si="16"/>
        <v>0</v>
      </c>
      <c r="BI15" s="40">
        <f t="shared" si="17"/>
        <v>0</v>
      </c>
      <c r="BL15" s="40">
        <f t="shared" si="18"/>
        <v>0</v>
      </c>
      <c r="BO15" s="40">
        <f t="shared" si="19"/>
        <v>0</v>
      </c>
      <c r="BR15" s="40">
        <f t="shared" si="20"/>
        <v>0</v>
      </c>
      <c r="BU15" s="40">
        <f t="shared" si="21"/>
        <v>0</v>
      </c>
      <c r="BX15" s="40">
        <f t="shared" si="22"/>
        <v>0</v>
      </c>
      <c r="CA15" s="40">
        <f t="shared" si="23"/>
        <v>0</v>
      </c>
      <c r="CD15" s="40">
        <f t="shared" si="24"/>
        <v>0</v>
      </c>
      <c r="CG15" s="40">
        <f t="shared" si="25"/>
        <v>0</v>
      </c>
      <c r="CJ15" s="40">
        <f t="shared" si="26"/>
        <v>0</v>
      </c>
      <c r="CM15" s="40">
        <f t="shared" si="27"/>
        <v>0</v>
      </c>
      <c r="CP15" s="40">
        <f t="shared" si="28"/>
        <v>0</v>
      </c>
      <c r="CS15" s="40">
        <f t="shared" si="29"/>
        <v>0</v>
      </c>
      <c r="CV15" s="40">
        <f t="shared" si="30"/>
        <v>0</v>
      </c>
      <c r="CY15" s="40">
        <f t="shared" si="31"/>
        <v>0</v>
      </c>
      <c r="DB15" s="40">
        <f t="shared" si="32"/>
        <v>0</v>
      </c>
      <c r="DE15" s="40">
        <f t="shared" si="33"/>
        <v>0</v>
      </c>
      <c r="DH15" s="40">
        <f t="shared" si="34"/>
        <v>0</v>
      </c>
      <c r="DK15" s="40">
        <f t="shared" si="35"/>
        <v>0</v>
      </c>
      <c r="DN15" s="40">
        <f t="shared" si="36"/>
        <v>0</v>
      </c>
      <c r="DQ15" s="40">
        <f t="shared" si="37"/>
        <v>0</v>
      </c>
      <c r="DT15" s="40">
        <f t="shared" si="38"/>
        <v>0</v>
      </c>
      <c r="DW15" s="40">
        <f t="shared" si="39"/>
        <v>0</v>
      </c>
      <c r="DZ15" s="40"/>
      <c r="EA15" s="40"/>
      <c r="EB15" s="75">
        <f t="shared" si="40"/>
        <v>84300000</v>
      </c>
      <c r="EC15" s="75">
        <f t="shared" si="41"/>
        <v>0</v>
      </c>
      <c r="ED15" s="40">
        <f t="shared" si="42"/>
        <v>6322.5</v>
      </c>
      <c r="EE15" s="41">
        <f t="shared" si="43"/>
        <v>2.6999999999999996E-2</v>
      </c>
      <c r="EG15" s="75">
        <f t="shared" si="44"/>
        <v>0</v>
      </c>
      <c r="EH15" s="40">
        <f t="shared" si="45"/>
        <v>0</v>
      </c>
      <c r="EI15" s="41">
        <f t="shared" si="46"/>
        <v>0</v>
      </c>
      <c r="EJ15" s="41"/>
      <c r="EK15" s="75">
        <f t="shared" si="47"/>
        <v>84300000</v>
      </c>
      <c r="EL15" s="75">
        <f t="shared" si="48"/>
        <v>0</v>
      </c>
      <c r="EM15" s="75">
        <f t="shared" si="49"/>
        <v>6322.5</v>
      </c>
      <c r="EN15" s="41">
        <f t="shared" si="50"/>
        <v>2.6999999999999996E-2</v>
      </c>
    </row>
    <row r="16" spans="1:147" x14ac:dyDescent="0.25">
      <c r="A16" s="25">
        <f t="shared" si="51"/>
        <v>43561</v>
      </c>
      <c r="D16" s="40">
        <f t="shared" si="0"/>
        <v>0</v>
      </c>
      <c r="G16" s="40">
        <f t="shared" si="1"/>
        <v>0</v>
      </c>
      <c r="J16" s="40">
        <f t="shared" si="2"/>
        <v>0</v>
      </c>
      <c r="M16" s="40">
        <f t="shared" si="3"/>
        <v>0</v>
      </c>
      <c r="P16" s="40">
        <f t="shared" si="4"/>
        <v>0</v>
      </c>
      <c r="S16" s="40">
        <f t="shared" si="5"/>
        <v>0</v>
      </c>
      <c r="V16" s="40">
        <f t="shared" si="6"/>
        <v>0</v>
      </c>
      <c r="Y16" s="40">
        <f t="shared" si="7"/>
        <v>0</v>
      </c>
      <c r="AB16" s="40">
        <f t="shared" si="8"/>
        <v>0</v>
      </c>
      <c r="AE16" s="40">
        <v>0</v>
      </c>
      <c r="AH16" s="40">
        <v>0</v>
      </c>
      <c r="AI16" s="73">
        <f>84300000</f>
        <v>84300000</v>
      </c>
      <c r="AJ16" s="74">
        <v>2.7E-2</v>
      </c>
      <c r="AK16" s="40">
        <f t="shared" si="9"/>
        <v>6322.5</v>
      </c>
      <c r="AN16" s="40">
        <f t="shared" si="10"/>
        <v>0</v>
      </c>
      <c r="AQ16" s="40">
        <f t="shared" si="11"/>
        <v>0</v>
      </c>
      <c r="AT16" s="40">
        <f t="shared" si="12"/>
        <v>0</v>
      </c>
      <c r="AW16" s="40">
        <f t="shared" si="13"/>
        <v>0</v>
      </c>
      <c r="AZ16" s="40">
        <f t="shared" si="14"/>
        <v>0</v>
      </c>
      <c r="BC16" s="40">
        <f t="shared" si="15"/>
        <v>0</v>
      </c>
      <c r="BF16" s="40">
        <f t="shared" si="16"/>
        <v>0</v>
      </c>
      <c r="BI16" s="40">
        <f t="shared" si="17"/>
        <v>0</v>
      </c>
      <c r="BL16" s="40">
        <f t="shared" si="18"/>
        <v>0</v>
      </c>
      <c r="BO16" s="40">
        <f t="shared" si="19"/>
        <v>0</v>
      </c>
      <c r="BR16" s="40">
        <f t="shared" si="20"/>
        <v>0</v>
      </c>
      <c r="BU16" s="40">
        <f t="shared" si="21"/>
        <v>0</v>
      </c>
      <c r="BX16" s="40">
        <f t="shared" si="22"/>
        <v>0</v>
      </c>
      <c r="CA16" s="40">
        <f t="shared" si="23"/>
        <v>0</v>
      </c>
      <c r="CD16" s="40">
        <f t="shared" si="24"/>
        <v>0</v>
      </c>
      <c r="CG16" s="40">
        <f t="shared" si="25"/>
        <v>0</v>
      </c>
      <c r="CJ16" s="40">
        <f t="shared" si="26"/>
        <v>0</v>
      </c>
      <c r="CM16" s="40">
        <f t="shared" si="27"/>
        <v>0</v>
      </c>
      <c r="CP16" s="40">
        <f t="shared" si="28"/>
        <v>0</v>
      </c>
      <c r="CS16" s="40">
        <f t="shared" si="29"/>
        <v>0</v>
      </c>
      <c r="CV16" s="40">
        <f t="shared" si="30"/>
        <v>0</v>
      </c>
      <c r="CY16" s="40">
        <f t="shared" si="31"/>
        <v>0</v>
      </c>
      <c r="DB16" s="40">
        <f t="shared" si="32"/>
        <v>0</v>
      </c>
      <c r="DE16" s="40">
        <f t="shared" si="33"/>
        <v>0</v>
      </c>
      <c r="DH16" s="40">
        <f t="shared" si="34"/>
        <v>0</v>
      </c>
      <c r="DK16" s="40">
        <f t="shared" si="35"/>
        <v>0</v>
      </c>
      <c r="DN16" s="40">
        <f t="shared" si="36"/>
        <v>0</v>
      </c>
      <c r="DQ16" s="40">
        <f t="shared" si="37"/>
        <v>0</v>
      </c>
      <c r="DT16" s="40">
        <f t="shared" si="38"/>
        <v>0</v>
      </c>
      <c r="DW16" s="40">
        <f t="shared" si="39"/>
        <v>0</v>
      </c>
      <c r="DZ16" s="40"/>
      <c r="EA16" s="40"/>
      <c r="EB16" s="75">
        <f t="shared" si="40"/>
        <v>84300000</v>
      </c>
      <c r="EC16" s="75">
        <f t="shared" si="41"/>
        <v>0</v>
      </c>
      <c r="ED16" s="40">
        <f t="shared" si="42"/>
        <v>6322.5</v>
      </c>
      <c r="EE16" s="41">
        <f t="shared" si="43"/>
        <v>2.6999999999999996E-2</v>
      </c>
      <c r="EG16" s="75">
        <f t="shared" si="44"/>
        <v>0</v>
      </c>
      <c r="EH16" s="40">
        <f t="shared" si="45"/>
        <v>0</v>
      </c>
      <c r="EI16" s="41">
        <f t="shared" si="46"/>
        <v>0</v>
      </c>
      <c r="EJ16" s="41"/>
      <c r="EK16" s="75">
        <f t="shared" si="47"/>
        <v>84300000</v>
      </c>
      <c r="EL16" s="75">
        <f t="shared" si="48"/>
        <v>0</v>
      </c>
      <c r="EM16" s="75">
        <f t="shared" si="49"/>
        <v>6322.5</v>
      </c>
      <c r="EN16" s="41">
        <f t="shared" si="50"/>
        <v>2.6999999999999996E-2</v>
      </c>
    </row>
    <row r="17" spans="1:144" x14ac:dyDescent="0.25">
      <c r="A17" s="25">
        <f t="shared" si="51"/>
        <v>43562</v>
      </c>
      <c r="D17" s="40">
        <f t="shared" si="0"/>
        <v>0</v>
      </c>
      <c r="G17" s="40">
        <f t="shared" si="1"/>
        <v>0</v>
      </c>
      <c r="J17" s="40">
        <f t="shared" si="2"/>
        <v>0</v>
      </c>
      <c r="M17" s="40">
        <f t="shared" si="3"/>
        <v>0</v>
      </c>
      <c r="P17" s="40">
        <f t="shared" si="4"/>
        <v>0</v>
      </c>
      <c r="S17" s="40">
        <f t="shared" si="5"/>
        <v>0</v>
      </c>
      <c r="V17" s="40">
        <f t="shared" si="6"/>
        <v>0</v>
      </c>
      <c r="Y17" s="40">
        <f t="shared" si="7"/>
        <v>0</v>
      </c>
      <c r="AB17" s="40">
        <f t="shared" si="8"/>
        <v>0</v>
      </c>
      <c r="AE17" s="40">
        <v>0</v>
      </c>
      <c r="AH17" s="40">
        <v>0</v>
      </c>
      <c r="AI17" s="73">
        <f>84300000</f>
        <v>84300000</v>
      </c>
      <c r="AJ17" s="74">
        <v>2.7E-2</v>
      </c>
      <c r="AK17" s="40">
        <f t="shared" si="9"/>
        <v>6322.5</v>
      </c>
      <c r="AN17" s="40">
        <f t="shared" si="10"/>
        <v>0</v>
      </c>
      <c r="AQ17" s="40">
        <f t="shared" si="11"/>
        <v>0</v>
      </c>
      <c r="AT17" s="40">
        <f t="shared" si="12"/>
        <v>0</v>
      </c>
      <c r="AW17" s="40">
        <f t="shared" si="13"/>
        <v>0</v>
      </c>
      <c r="AZ17" s="40">
        <f t="shared" si="14"/>
        <v>0</v>
      </c>
      <c r="BC17" s="40">
        <f t="shared" si="15"/>
        <v>0</v>
      </c>
      <c r="BF17" s="40">
        <f t="shared" si="16"/>
        <v>0</v>
      </c>
      <c r="BI17" s="40">
        <f t="shared" si="17"/>
        <v>0</v>
      </c>
      <c r="BL17" s="40">
        <f t="shared" si="18"/>
        <v>0</v>
      </c>
      <c r="BO17" s="40">
        <f t="shared" si="19"/>
        <v>0</v>
      </c>
      <c r="BR17" s="40">
        <f t="shared" si="20"/>
        <v>0</v>
      </c>
      <c r="BU17" s="40">
        <f t="shared" si="21"/>
        <v>0</v>
      </c>
      <c r="BX17" s="40">
        <f t="shared" si="22"/>
        <v>0</v>
      </c>
      <c r="CA17" s="40">
        <f t="shared" si="23"/>
        <v>0</v>
      </c>
      <c r="CD17" s="40">
        <f t="shared" si="24"/>
        <v>0</v>
      </c>
      <c r="CG17" s="40">
        <f t="shared" si="25"/>
        <v>0</v>
      </c>
      <c r="CJ17" s="40">
        <f t="shared" si="26"/>
        <v>0</v>
      </c>
      <c r="CM17" s="40">
        <f t="shared" si="27"/>
        <v>0</v>
      </c>
      <c r="CP17" s="40">
        <f t="shared" si="28"/>
        <v>0</v>
      </c>
      <c r="CS17" s="40">
        <f t="shared" si="29"/>
        <v>0</v>
      </c>
      <c r="CV17" s="40">
        <f t="shared" si="30"/>
        <v>0</v>
      </c>
      <c r="CY17" s="40">
        <f t="shared" si="31"/>
        <v>0</v>
      </c>
      <c r="DB17" s="40">
        <f t="shared" si="32"/>
        <v>0</v>
      </c>
      <c r="DE17" s="40">
        <f t="shared" si="33"/>
        <v>0</v>
      </c>
      <c r="DH17" s="40">
        <f t="shared" si="34"/>
        <v>0</v>
      </c>
      <c r="DK17" s="40">
        <f t="shared" si="35"/>
        <v>0</v>
      </c>
      <c r="DN17" s="40">
        <f t="shared" si="36"/>
        <v>0</v>
      </c>
      <c r="DQ17" s="40">
        <f t="shared" si="37"/>
        <v>0</v>
      </c>
      <c r="DT17" s="40">
        <f t="shared" si="38"/>
        <v>0</v>
      </c>
      <c r="DW17" s="40">
        <f t="shared" si="39"/>
        <v>0</v>
      </c>
      <c r="DZ17" s="40"/>
      <c r="EA17" s="40"/>
      <c r="EB17" s="75">
        <f t="shared" si="40"/>
        <v>84300000</v>
      </c>
      <c r="EC17" s="75">
        <f t="shared" si="41"/>
        <v>0</v>
      </c>
      <c r="ED17" s="40">
        <f t="shared" si="42"/>
        <v>6322.5</v>
      </c>
      <c r="EE17" s="41">
        <f t="shared" si="43"/>
        <v>2.6999999999999996E-2</v>
      </c>
      <c r="EG17" s="75">
        <f t="shared" si="44"/>
        <v>0</v>
      </c>
      <c r="EH17" s="40">
        <f t="shared" si="45"/>
        <v>0</v>
      </c>
      <c r="EI17" s="41">
        <f t="shared" si="46"/>
        <v>0</v>
      </c>
      <c r="EJ17" s="41"/>
      <c r="EK17" s="75">
        <f t="shared" si="47"/>
        <v>84300000</v>
      </c>
      <c r="EL17" s="75">
        <f t="shared" si="48"/>
        <v>0</v>
      </c>
      <c r="EM17" s="75">
        <f t="shared" si="49"/>
        <v>6322.5</v>
      </c>
      <c r="EN17" s="41">
        <f t="shared" si="50"/>
        <v>2.6999999999999996E-2</v>
      </c>
    </row>
    <row r="18" spans="1:144" x14ac:dyDescent="0.25">
      <c r="A18" s="25">
        <f t="shared" si="51"/>
        <v>43563</v>
      </c>
      <c r="D18" s="40">
        <f t="shared" si="0"/>
        <v>0</v>
      </c>
      <c r="G18" s="40">
        <f t="shared" si="1"/>
        <v>0</v>
      </c>
      <c r="J18" s="40">
        <f t="shared" si="2"/>
        <v>0</v>
      </c>
      <c r="M18" s="40">
        <f t="shared" si="3"/>
        <v>0</v>
      </c>
      <c r="P18" s="40">
        <f t="shared" si="4"/>
        <v>0</v>
      </c>
      <c r="S18" s="40">
        <f t="shared" si="5"/>
        <v>0</v>
      </c>
      <c r="V18" s="40">
        <f t="shared" si="6"/>
        <v>0</v>
      </c>
      <c r="Y18" s="40">
        <f t="shared" si="7"/>
        <v>0</v>
      </c>
      <c r="AB18" s="40">
        <f t="shared" si="8"/>
        <v>0</v>
      </c>
      <c r="AE18" s="40">
        <v>0</v>
      </c>
      <c r="AH18" s="40">
        <v>0</v>
      </c>
      <c r="AI18" s="73">
        <f>82575000</f>
        <v>82575000</v>
      </c>
      <c r="AJ18" s="74">
        <v>2.6499999999999999E-2</v>
      </c>
      <c r="AK18" s="40">
        <f t="shared" si="9"/>
        <v>6078.4375</v>
      </c>
      <c r="AN18" s="40">
        <f t="shared" si="10"/>
        <v>0</v>
      </c>
      <c r="AQ18" s="40">
        <f t="shared" si="11"/>
        <v>0</v>
      </c>
      <c r="AT18" s="40">
        <f t="shared" si="12"/>
        <v>0</v>
      </c>
      <c r="AW18" s="40">
        <f t="shared" si="13"/>
        <v>0</v>
      </c>
      <c r="AZ18" s="40">
        <f t="shared" si="14"/>
        <v>0</v>
      </c>
      <c r="BC18" s="40">
        <f t="shared" si="15"/>
        <v>0</v>
      </c>
      <c r="BF18" s="40">
        <f t="shared" si="16"/>
        <v>0</v>
      </c>
      <c r="BI18" s="40">
        <f t="shared" si="17"/>
        <v>0</v>
      </c>
      <c r="BL18" s="40">
        <f t="shared" si="18"/>
        <v>0</v>
      </c>
      <c r="BO18" s="40">
        <f t="shared" si="19"/>
        <v>0</v>
      </c>
      <c r="BR18" s="40">
        <f t="shared" si="20"/>
        <v>0</v>
      </c>
      <c r="BU18" s="40">
        <f t="shared" si="21"/>
        <v>0</v>
      </c>
      <c r="BX18" s="40">
        <f t="shared" si="22"/>
        <v>0</v>
      </c>
      <c r="CA18" s="40">
        <f t="shared" si="23"/>
        <v>0</v>
      </c>
      <c r="CD18" s="40">
        <f t="shared" si="24"/>
        <v>0</v>
      </c>
      <c r="CG18" s="40">
        <f t="shared" si="25"/>
        <v>0</v>
      </c>
      <c r="CJ18" s="40">
        <f t="shared" si="26"/>
        <v>0</v>
      </c>
      <c r="CM18" s="40">
        <f t="shared" si="27"/>
        <v>0</v>
      </c>
      <c r="CP18" s="40">
        <f t="shared" si="28"/>
        <v>0</v>
      </c>
      <c r="CS18" s="40">
        <f t="shared" si="29"/>
        <v>0</v>
      </c>
      <c r="CV18" s="40">
        <f t="shared" si="30"/>
        <v>0</v>
      </c>
      <c r="CY18" s="40">
        <f t="shared" si="31"/>
        <v>0</v>
      </c>
      <c r="DB18" s="40">
        <f t="shared" si="32"/>
        <v>0</v>
      </c>
      <c r="DE18" s="40">
        <f t="shared" si="33"/>
        <v>0</v>
      </c>
      <c r="DH18" s="40">
        <f t="shared" si="34"/>
        <v>0</v>
      </c>
      <c r="DK18" s="40">
        <f t="shared" si="35"/>
        <v>0</v>
      </c>
      <c r="DN18" s="40">
        <f t="shared" si="36"/>
        <v>0</v>
      </c>
      <c r="DQ18" s="40">
        <f t="shared" si="37"/>
        <v>0</v>
      </c>
      <c r="DT18" s="40">
        <f t="shared" si="38"/>
        <v>0</v>
      </c>
      <c r="DW18" s="40">
        <f t="shared" si="39"/>
        <v>0</v>
      </c>
      <c r="DZ18" s="40"/>
      <c r="EA18" s="40"/>
      <c r="EB18" s="75">
        <f t="shared" si="40"/>
        <v>82575000</v>
      </c>
      <c r="EC18" s="75">
        <f t="shared" si="41"/>
        <v>0</v>
      </c>
      <c r="ED18" s="40">
        <f t="shared" si="42"/>
        <v>6078.4375</v>
      </c>
      <c r="EE18" s="41">
        <f t="shared" si="43"/>
        <v>2.6499999999999999E-2</v>
      </c>
      <c r="EG18" s="75">
        <f t="shared" si="44"/>
        <v>0</v>
      </c>
      <c r="EH18" s="40">
        <f t="shared" si="45"/>
        <v>0</v>
      </c>
      <c r="EI18" s="41">
        <f t="shared" si="46"/>
        <v>0</v>
      </c>
      <c r="EJ18" s="41"/>
      <c r="EK18" s="75">
        <f t="shared" si="47"/>
        <v>82575000</v>
      </c>
      <c r="EL18" s="75">
        <f t="shared" si="48"/>
        <v>0</v>
      </c>
      <c r="EM18" s="75">
        <f t="shared" si="49"/>
        <v>6078.4375</v>
      </c>
      <c r="EN18" s="41">
        <f t="shared" si="50"/>
        <v>2.6499999999999999E-2</v>
      </c>
    </row>
    <row r="19" spans="1:144" x14ac:dyDescent="0.25">
      <c r="A19" s="25">
        <f t="shared" si="51"/>
        <v>43564</v>
      </c>
      <c r="D19" s="40">
        <f t="shared" si="0"/>
        <v>0</v>
      </c>
      <c r="G19" s="40">
        <f t="shared" si="1"/>
        <v>0</v>
      </c>
      <c r="J19" s="40">
        <f t="shared" si="2"/>
        <v>0</v>
      </c>
      <c r="M19" s="40">
        <f t="shared" si="3"/>
        <v>0</v>
      </c>
      <c r="P19" s="40">
        <f t="shared" si="4"/>
        <v>0</v>
      </c>
      <c r="S19" s="40">
        <f t="shared" si="5"/>
        <v>0</v>
      </c>
      <c r="V19" s="40">
        <f t="shared" si="6"/>
        <v>0</v>
      </c>
      <c r="Y19" s="40">
        <f t="shared" si="7"/>
        <v>0</v>
      </c>
      <c r="AB19" s="40">
        <f t="shared" si="8"/>
        <v>0</v>
      </c>
      <c r="AE19" s="40">
        <v>0</v>
      </c>
      <c r="AH19" s="40">
        <v>0</v>
      </c>
      <c r="AI19" s="73">
        <f>70700000</f>
        <v>70700000</v>
      </c>
      <c r="AJ19" s="74">
        <v>2.6499999999999999E-2</v>
      </c>
      <c r="AK19" s="40">
        <f t="shared" si="9"/>
        <v>5204.3055555555557</v>
      </c>
      <c r="AN19" s="40">
        <f t="shared" si="10"/>
        <v>0</v>
      </c>
      <c r="AQ19" s="40">
        <f t="shared" si="11"/>
        <v>0</v>
      </c>
      <c r="AT19" s="40">
        <f t="shared" si="12"/>
        <v>0</v>
      </c>
      <c r="AW19" s="40">
        <f t="shared" si="13"/>
        <v>0</v>
      </c>
      <c r="AZ19" s="40">
        <f t="shared" si="14"/>
        <v>0</v>
      </c>
      <c r="BC19" s="40">
        <f t="shared" si="15"/>
        <v>0</v>
      </c>
      <c r="BF19" s="40">
        <f t="shared" si="16"/>
        <v>0</v>
      </c>
      <c r="BI19" s="40">
        <f t="shared" si="17"/>
        <v>0</v>
      </c>
      <c r="BL19" s="40">
        <f t="shared" si="18"/>
        <v>0</v>
      </c>
      <c r="BO19" s="40">
        <f t="shared" si="19"/>
        <v>0</v>
      </c>
      <c r="BR19" s="40">
        <f t="shared" si="20"/>
        <v>0</v>
      </c>
      <c r="BU19" s="40">
        <f t="shared" si="21"/>
        <v>0</v>
      </c>
      <c r="BX19" s="40">
        <f t="shared" si="22"/>
        <v>0</v>
      </c>
      <c r="CA19" s="40">
        <f t="shared" si="23"/>
        <v>0</v>
      </c>
      <c r="CD19" s="40">
        <f t="shared" si="24"/>
        <v>0</v>
      </c>
      <c r="CG19" s="40">
        <f t="shared" si="25"/>
        <v>0</v>
      </c>
      <c r="CJ19" s="40">
        <f t="shared" si="26"/>
        <v>0</v>
      </c>
      <c r="CM19" s="40">
        <f t="shared" si="27"/>
        <v>0</v>
      </c>
      <c r="CP19" s="40">
        <f t="shared" si="28"/>
        <v>0</v>
      </c>
      <c r="CS19" s="40">
        <f t="shared" si="29"/>
        <v>0</v>
      </c>
      <c r="CV19" s="40">
        <f t="shared" si="30"/>
        <v>0</v>
      </c>
      <c r="CY19" s="40">
        <f t="shared" si="31"/>
        <v>0</v>
      </c>
      <c r="DB19" s="40">
        <f t="shared" si="32"/>
        <v>0</v>
      </c>
      <c r="DE19" s="40">
        <f t="shared" si="33"/>
        <v>0</v>
      </c>
      <c r="DH19" s="40">
        <f t="shared" si="34"/>
        <v>0</v>
      </c>
      <c r="DK19" s="40">
        <f t="shared" si="35"/>
        <v>0</v>
      </c>
      <c r="DN19" s="40">
        <f t="shared" si="36"/>
        <v>0</v>
      </c>
      <c r="DQ19" s="40">
        <f t="shared" si="37"/>
        <v>0</v>
      </c>
      <c r="DT19" s="40">
        <f t="shared" si="38"/>
        <v>0</v>
      </c>
      <c r="DW19" s="40">
        <f t="shared" si="39"/>
        <v>0</v>
      </c>
      <c r="DZ19" s="40"/>
      <c r="EA19" s="40"/>
      <c r="EB19" s="75">
        <f t="shared" si="40"/>
        <v>70700000</v>
      </c>
      <c r="EC19" s="75">
        <f t="shared" si="41"/>
        <v>0</v>
      </c>
      <c r="ED19" s="40">
        <f t="shared" si="42"/>
        <v>5204.3055555555557</v>
      </c>
      <c r="EE19" s="41">
        <f t="shared" si="43"/>
        <v>2.6499999999999999E-2</v>
      </c>
      <c r="EG19" s="75">
        <f t="shared" si="44"/>
        <v>0</v>
      </c>
      <c r="EH19" s="40">
        <f t="shared" si="45"/>
        <v>0</v>
      </c>
      <c r="EI19" s="41">
        <f t="shared" si="46"/>
        <v>0</v>
      </c>
      <c r="EJ19" s="41"/>
      <c r="EK19" s="75">
        <f t="shared" si="47"/>
        <v>70700000</v>
      </c>
      <c r="EL19" s="75">
        <f t="shared" si="48"/>
        <v>0</v>
      </c>
      <c r="EM19" s="75">
        <f t="shared" si="49"/>
        <v>5204.3055555555557</v>
      </c>
      <c r="EN19" s="41">
        <f t="shared" si="50"/>
        <v>2.6499999999999999E-2</v>
      </c>
    </row>
    <row r="20" spans="1:144" x14ac:dyDescent="0.25">
      <c r="A20" s="25">
        <f t="shared" si="51"/>
        <v>43565</v>
      </c>
      <c r="D20" s="40">
        <f t="shared" si="0"/>
        <v>0</v>
      </c>
      <c r="G20" s="40">
        <f t="shared" si="1"/>
        <v>0</v>
      </c>
      <c r="J20" s="40">
        <f t="shared" si="2"/>
        <v>0</v>
      </c>
      <c r="M20" s="40">
        <f t="shared" si="3"/>
        <v>0</v>
      </c>
      <c r="P20" s="40">
        <f t="shared" si="4"/>
        <v>0</v>
      </c>
      <c r="S20" s="40">
        <f t="shared" si="5"/>
        <v>0</v>
      </c>
      <c r="V20" s="40">
        <f t="shared" si="6"/>
        <v>0</v>
      </c>
      <c r="Y20" s="40">
        <f t="shared" si="7"/>
        <v>0</v>
      </c>
      <c r="AB20" s="40">
        <f t="shared" si="8"/>
        <v>0</v>
      </c>
      <c r="AE20" s="40">
        <v>0</v>
      </c>
      <c r="AH20" s="40">
        <v>0</v>
      </c>
      <c r="AI20" s="73">
        <f>61675000</f>
        <v>61675000</v>
      </c>
      <c r="AJ20" s="74">
        <v>2.6499999999999999E-2</v>
      </c>
      <c r="AK20" s="40">
        <f t="shared" si="9"/>
        <v>4539.9652777777774</v>
      </c>
      <c r="AN20" s="40">
        <f t="shared" si="10"/>
        <v>0</v>
      </c>
      <c r="AQ20" s="40">
        <f t="shared" si="11"/>
        <v>0</v>
      </c>
      <c r="AT20" s="40">
        <f t="shared" si="12"/>
        <v>0</v>
      </c>
      <c r="AW20" s="40">
        <f t="shared" si="13"/>
        <v>0</v>
      </c>
      <c r="AZ20" s="40">
        <f t="shared" si="14"/>
        <v>0</v>
      </c>
      <c r="BC20" s="40">
        <f t="shared" si="15"/>
        <v>0</v>
      </c>
      <c r="BF20" s="40">
        <f t="shared" si="16"/>
        <v>0</v>
      </c>
      <c r="BI20" s="40">
        <f t="shared" si="17"/>
        <v>0</v>
      </c>
      <c r="BL20" s="40">
        <f t="shared" si="18"/>
        <v>0</v>
      </c>
      <c r="BO20" s="40">
        <f t="shared" si="19"/>
        <v>0</v>
      </c>
      <c r="BR20" s="40">
        <f t="shared" si="20"/>
        <v>0</v>
      </c>
      <c r="BU20" s="40">
        <f t="shared" si="21"/>
        <v>0</v>
      </c>
      <c r="BX20" s="40">
        <f t="shared" si="22"/>
        <v>0</v>
      </c>
      <c r="CA20" s="40">
        <f t="shared" si="23"/>
        <v>0</v>
      </c>
      <c r="CD20" s="40">
        <f t="shared" si="24"/>
        <v>0</v>
      </c>
      <c r="CG20" s="40">
        <f t="shared" si="25"/>
        <v>0</v>
      </c>
      <c r="CJ20" s="40">
        <f t="shared" si="26"/>
        <v>0</v>
      </c>
      <c r="CM20" s="40">
        <f t="shared" si="27"/>
        <v>0</v>
      </c>
      <c r="CP20" s="40">
        <f t="shared" si="28"/>
        <v>0</v>
      </c>
      <c r="CS20" s="40">
        <f t="shared" si="29"/>
        <v>0</v>
      </c>
      <c r="CV20" s="40">
        <f t="shared" si="30"/>
        <v>0</v>
      </c>
      <c r="CY20" s="40">
        <f t="shared" si="31"/>
        <v>0</v>
      </c>
      <c r="DB20" s="40">
        <f t="shared" si="32"/>
        <v>0</v>
      </c>
      <c r="DE20" s="40">
        <f t="shared" si="33"/>
        <v>0</v>
      </c>
      <c r="DH20" s="40">
        <f t="shared" si="34"/>
        <v>0</v>
      </c>
      <c r="DK20" s="40">
        <f t="shared" si="35"/>
        <v>0</v>
      </c>
      <c r="DN20" s="40">
        <f t="shared" si="36"/>
        <v>0</v>
      </c>
      <c r="DQ20" s="40">
        <f t="shared" si="37"/>
        <v>0</v>
      </c>
      <c r="DT20" s="40">
        <f t="shared" si="38"/>
        <v>0</v>
      </c>
      <c r="DW20" s="40">
        <f t="shared" si="39"/>
        <v>0</v>
      </c>
      <c r="DZ20" s="40"/>
      <c r="EA20" s="40"/>
      <c r="EB20" s="75">
        <f t="shared" si="40"/>
        <v>61675000</v>
      </c>
      <c r="EC20" s="75">
        <f t="shared" si="41"/>
        <v>0</v>
      </c>
      <c r="ED20" s="40">
        <f t="shared" si="42"/>
        <v>4539.9652777777774</v>
      </c>
      <c r="EE20" s="41">
        <f t="shared" si="43"/>
        <v>2.6499999999999996E-2</v>
      </c>
      <c r="EG20" s="75">
        <f t="shared" si="44"/>
        <v>0</v>
      </c>
      <c r="EH20" s="40">
        <f t="shared" si="45"/>
        <v>0</v>
      </c>
      <c r="EI20" s="41">
        <f t="shared" si="46"/>
        <v>0</v>
      </c>
      <c r="EJ20" s="41"/>
      <c r="EK20" s="75">
        <f t="shared" si="47"/>
        <v>61675000</v>
      </c>
      <c r="EL20" s="75">
        <f t="shared" si="48"/>
        <v>0</v>
      </c>
      <c r="EM20" s="75">
        <f t="shared" si="49"/>
        <v>4539.9652777777774</v>
      </c>
      <c r="EN20" s="41">
        <f t="shared" si="50"/>
        <v>2.6499999999999996E-2</v>
      </c>
    </row>
    <row r="21" spans="1:144" x14ac:dyDescent="0.25">
      <c r="A21" s="25">
        <f t="shared" si="51"/>
        <v>43566</v>
      </c>
      <c r="D21" s="40">
        <f t="shared" si="0"/>
        <v>0</v>
      </c>
      <c r="G21" s="40">
        <f t="shared" si="1"/>
        <v>0</v>
      </c>
      <c r="J21" s="40">
        <f t="shared" si="2"/>
        <v>0</v>
      </c>
      <c r="M21" s="40">
        <f t="shared" si="3"/>
        <v>0</v>
      </c>
      <c r="P21" s="40">
        <f t="shared" si="4"/>
        <v>0</v>
      </c>
      <c r="S21" s="40">
        <f t="shared" si="5"/>
        <v>0</v>
      </c>
      <c r="V21" s="40">
        <f t="shared" si="6"/>
        <v>0</v>
      </c>
      <c r="Y21" s="40">
        <f t="shared" si="7"/>
        <v>0</v>
      </c>
      <c r="AB21" s="40">
        <f t="shared" si="8"/>
        <v>0</v>
      </c>
      <c r="AE21" s="40">
        <v>0</v>
      </c>
      <c r="AH21" s="40">
        <v>0</v>
      </c>
      <c r="AI21" s="73">
        <f>53250000</f>
        <v>53250000</v>
      </c>
      <c r="AJ21" s="74">
        <v>2.6499999999999999E-2</v>
      </c>
      <c r="AK21" s="40">
        <f t="shared" si="9"/>
        <v>3919.7916666666665</v>
      </c>
      <c r="AN21" s="40">
        <f t="shared" si="10"/>
        <v>0</v>
      </c>
      <c r="AQ21" s="40">
        <f t="shared" si="11"/>
        <v>0</v>
      </c>
      <c r="AT21" s="40">
        <f t="shared" si="12"/>
        <v>0</v>
      </c>
      <c r="AW21" s="40">
        <f t="shared" si="13"/>
        <v>0</v>
      </c>
      <c r="AZ21" s="40">
        <f t="shared" si="14"/>
        <v>0</v>
      </c>
      <c r="BC21" s="40">
        <f t="shared" si="15"/>
        <v>0</v>
      </c>
      <c r="BF21" s="40">
        <f t="shared" si="16"/>
        <v>0</v>
      </c>
      <c r="BI21" s="40">
        <f t="shared" si="17"/>
        <v>0</v>
      </c>
      <c r="BL21" s="40">
        <f t="shared" si="18"/>
        <v>0</v>
      </c>
      <c r="BO21" s="40">
        <f t="shared" si="19"/>
        <v>0</v>
      </c>
      <c r="BR21" s="40">
        <f t="shared" si="20"/>
        <v>0</v>
      </c>
      <c r="BU21" s="40">
        <f t="shared" si="21"/>
        <v>0</v>
      </c>
      <c r="BX21" s="40">
        <f t="shared" si="22"/>
        <v>0</v>
      </c>
      <c r="CA21" s="40">
        <f t="shared" si="23"/>
        <v>0</v>
      </c>
      <c r="CD21" s="40">
        <f t="shared" si="24"/>
        <v>0</v>
      </c>
      <c r="CG21" s="40">
        <f t="shared" si="25"/>
        <v>0</v>
      </c>
      <c r="CJ21" s="40">
        <f t="shared" si="26"/>
        <v>0</v>
      </c>
      <c r="CM21" s="40">
        <f t="shared" si="27"/>
        <v>0</v>
      </c>
      <c r="CP21" s="40">
        <f t="shared" si="28"/>
        <v>0</v>
      </c>
      <c r="CS21" s="40">
        <f t="shared" si="29"/>
        <v>0</v>
      </c>
      <c r="CV21" s="40">
        <f t="shared" si="30"/>
        <v>0</v>
      </c>
      <c r="CY21" s="40">
        <f t="shared" si="31"/>
        <v>0</v>
      </c>
      <c r="DB21" s="40">
        <f t="shared" si="32"/>
        <v>0</v>
      </c>
      <c r="DE21" s="40">
        <f t="shared" si="33"/>
        <v>0</v>
      </c>
      <c r="DH21" s="40">
        <f t="shared" si="34"/>
        <v>0</v>
      </c>
      <c r="DK21" s="40">
        <f t="shared" si="35"/>
        <v>0</v>
      </c>
      <c r="DN21" s="40">
        <f t="shared" si="36"/>
        <v>0</v>
      </c>
      <c r="DQ21" s="40">
        <f t="shared" si="37"/>
        <v>0</v>
      </c>
      <c r="DT21" s="40">
        <f t="shared" si="38"/>
        <v>0</v>
      </c>
      <c r="DW21" s="40">
        <f t="shared" si="39"/>
        <v>0</v>
      </c>
      <c r="DZ21" s="40"/>
      <c r="EA21" s="40"/>
      <c r="EB21" s="75">
        <f t="shared" si="40"/>
        <v>53250000</v>
      </c>
      <c r="EC21" s="75">
        <f t="shared" si="41"/>
        <v>0</v>
      </c>
      <c r="ED21" s="40">
        <f t="shared" si="42"/>
        <v>3919.7916666666665</v>
      </c>
      <c r="EE21" s="41">
        <f t="shared" si="43"/>
        <v>2.6499999999999999E-2</v>
      </c>
      <c r="EG21" s="75">
        <f t="shared" si="44"/>
        <v>0</v>
      </c>
      <c r="EH21" s="40">
        <f t="shared" si="45"/>
        <v>0</v>
      </c>
      <c r="EI21" s="41">
        <f t="shared" si="46"/>
        <v>0</v>
      </c>
      <c r="EJ21" s="41"/>
      <c r="EK21" s="75">
        <f t="shared" si="47"/>
        <v>53250000</v>
      </c>
      <c r="EL21" s="75">
        <f t="shared" si="48"/>
        <v>0</v>
      </c>
      <c r="EM21" s="75">
        <f t="shared" si="49"/>
        <v>3919.7916666666665</v>
      </c>
      <c r="EN21" s="41">
        <f t="shared" si="50"/>
        <v>2.6499999999999999E-2</v>
      </c>
    </row>
    <row r="22" spans="1:144" x14ac:dyDescent="0.25">
      <c r="A22" s="25">
        <f t="shared" si="51"/>
        <v>43567</v>
      </c>
      <c r="D22" s="40">
        <f t="shared" si="0"/>
        <v>0</v>
      </c>
      <c r="G22" s="40">
        <f t="shared" si="1"/>
        <v>0</v>
      </c>
      <c r="J22" s="40">
        <f t="shared" si="2"/>
        <v>0</v>
      </c>
      <c r="M22" s="40">
        <f t="shared" si="3"/>
        <v>0</v>
      </c>
      <c r="P22" s="40">
        <f t="shared" si="4"/>
        <v>0</v>
      </c>
      <c r="S22" s="40">
        <f t="shared" si="5"/>
        <v>0</v>
      </c>
      <c r="V22" s="40">
        <f t="shared" si="6"/>
        <v>0</v>
      </c>
      <c r="Y22" s="40">
        <f t="shared" si="7"/>
        <v>0</v>
      </c>
      <c r="AB22" s="40">
        <f t="shared" si="8"/>
        <v>0</v>
      </c>
      <c r="AE22" s="40">
        <v>0</v>
      </c>
      <c r="AH22" s="40">
        <v>0</v>
      </c>
      <c r="AI22" s="73">
        <f>70750000</f>
        <v>70750000</v>
      </c>
      <c r="AJ22" s="74">
        <v>2.6499999999999999E-2</v>
      </c>
      <c r="AK22" s="40">
        <f t="shared" si="9"/>
        <v>5207.9861111111113</v>
      </c>
      <c r="AN22" s="40">
        <f t="shared" si="10"/>
        <v>0</v>
      </c>
      <c r="AQ22" s="40">
        <f t="shared" si="11"/>
        <v>0</v>
      </c>
      <c r="AT22" s="40">
        <f t="shared" si="12"/>
        <v>0</v>
      </c>
      <c r="AW22" s="40">
        <f t="shared" si="13"/>
        <v>0</v>
      </c>
      <c r="AZ22" s="40">
        <f t="shared" si="14"/>
        <v>0</v>
      </c>
      <c r="BC22" s="40">
        <f t="shared" si="15"/>
        <v>0</v>
      </c>
      <c r="BF22" s="40">
        <f t="shared" si="16"/>
        <v>0</v>
      </c>
      <c r="BI22" s="40">
        <f t="shared" si="17"/>
        <v>0</v>
      </c>
      <c r="BL22" s="40">
        <f t="shared" si="18"/>
        <v>0</v>
      </c>
      <c r="BO22" s="40">
        <f t="shared" si="19"/>
        <v>0</v>
      </c>
      <c r="BR22" s="40">
        <f t="shared" si="20"/>
        <v>0</v>
      </c>
      <c r="BU22" s="40">
        <f t="shared" si="21"/>
        <v>0</v>
      </c>
      <c r="BX22" s="40">
        <f t="shared" si="22"/>
        <v>0</v>
      </c>
      <c r="CA22" s="40">
        <f t="shared" si="23"/>
        <v>0</v>
      </c>
      <c r="CD22" s="40">
        <f t="shared" si="24"/>
        <v>0</v>
      </c>
      <c r="CG22" s="40">
        <f t="shared" si="25"/>
        <v>0</v>
      </c>
      <c r="CJ22" s="40">
        <f t="shared" si="26"/>
        <v>0</v>
      </c>
      <c r="CM22" s="40">
        <f t="shared" si="27"/>
        <v>0</v>
      </c>
      <c r="CP22" s="40">
        <f t="shared" si="28"/>
        <v>0</v>
      </c>
      <c r="CS22" s="40">
        <f t="shared" si="29"/>
        <v>0</v>
      </c>
      <c r="CV22" s="40">
        <f t="shared" si="30"/>
        <v>0</v>
      </c>
      <c r="CY22" s="40">
        <f t="shared" si="31"/>
        <v>0</v>
      </c>
      <c r="DB22" s="40">
        <f t="shared" si="32"/>
        <v>0</v>
      </c>
      <c r="DE22" s="40">
        <f t="shared" si="33"/>
        <v>0</v>
      </c>
      <c r="DH22" s="40">
        <f t="shared" si="34"/>
        <v>0</v>
      </c>
      <c r="DK22" s="40">
        <f t="shared" si="35"/>
        <v>0</v>
      </c>
      <c r="DN22" s="40">
        <f t="shared" si="36"/>
        <v>0</v>
      </c>
      <c r="DQ22" s="40">
        <f t="shared" si="37"/>
        <v>0</v>
      </c>
      <c r="DT22" s="40">
        <f t="shared" si="38"/>
        <v>0</v>
      </c>
      <c r="DW22" s="40">
        <f t="shared" si="39"/>
        <v>0</v>
      </c>
      <c r="DZ22" s="40"/>
      <c r="EA22" s="40"/>
      <c r="EB22" s="75">
        <f t="shared" si="40"/>
        <v>70750000</v>
      </c>
      <c r="EC22" s="75">
        <f t="shared" si="41"/>
        <v>0</v>
      </c>
      <c r="ED22" s="40">
        <f t="shared" si="42"/>
        <v>5207.9861111111113</v>
      </c>
      <c r="EE22" s="41">
        <f t="shared" si="43"/>
        <v>2.6499999999999999E-2</v>
      </c>
      <c r="EG22" s="75">
        <f t="shared" si="44"/>
        <v>0</v>
      </c>
      <c r="EH22" s="40">
        <f t="shared" si="45"/>
        <v>0</v>
      </c>
      <c r="EI22" s="41">
        <f t="shared" si="46"/>
        <v>0</v>
      </c>
      <c r="EJ22" s="41"/>
      <c r="EK22" s="75">
        <f t="shared" si="47"/>
        <v>70750000</v>
      </c>
      <c r="EL22" s="75">
        <f t="shared" si="48"/>
        <v>0</v>
      </c>
      <c r="EM22" s="75">
        <f t="shared" si="49"/>
        <v>5207.9861111111113</v>
      </c>
      <c r="EN22" s="41">
        <f t="shared" si="50"/>
        <v>2.6499999999999999E-2</v>
      </c>
    </row>
    <row r="23" spans="1:144" x14ac:dyDescent="0.25">
      <c r="A23" s="25">
        <f t="shared" si="51"/>
        <v>43568</v>
      </c>
      <c r="D23" s="40">
        <f t="shared" si="0"/>
        <v>0</v>
      </c>
      <c r="G23" s="40">
        <f t="shared" si="1"/>
        <v>0</v>
      </c>
      <c r="J23" s="40">
        <f t="shared" si="2"/>
        <v>0</v>
      </c>
      <c r="M23" s="40">
        <f t="shared" si="3"/>
        <v>0</v>
      </c>
      <c r="P23" s="40">
        <f t="shared" si="4"/>
        <v>0</v>
      </c>
      <c r="S23" s="40">
        <f t="shared" si="5"/>
        <v>0</v>
      </c>
      <c r="V23" s="40">
        <f t="shared" si="6"/>
        <v>0</v>
      </c>
      <c r="Y23" s="40">
        <f t="shared" si="7"/>
        <v>0</v>
      </c>
      <c r="AB23" s="40">
        <f t="shared" si="8"/>
        <v>0</v>
      </c>
      <c r="AE23" s="40">
        <v>0</v>
      </c>
      <c r="AH23" s="40">
        <v>0</v>
      </c>
      <c r="AI23" s="73">
        <f>70750000</f>
        <v>70750000</v>
      </c>
      <c r="AJ23" s="74">
        <v>2.6499999999999999E-2</v>
      </c>
      <c r="AK23" s="40">
        <f t="shared" si="9"/>
        <v>5207.9861111111113</v>
      </c>
      <c r="AN23" s="40">
        <f t="shared" si="10"/>
        <v>0</v>
      </c>
      <c r="AQ23" s="40">
        <f t="shared" si="11"/>
        <v>0</v>
      </c>
      <c r="AT23" s="40">
        <f t="shared" si="12"/>
        <v>0</v>
      </c>
      <c r="AW23" s="40">
        <f t="shared" si="13"/>
        <v>0</v>
      </c>
      <c r="AZ23" s="40">
        <f t="shared" si="14"/>
        <v>0</v>
      </c>
      <c r="BC23" s="40">
        <f t="shared" si="15"/>
        <v>0</v>
      </c>
      <c r="BF23" s="40">
        <f t="shared" si="16"/>
        <v>0</v>
      </c>
      <c r="BI23" s="40">
        <f t="shared" si="17"/>
        <v>0</v>
      </c>
      <c r="BL23" s="40">
        <f t="shared" si="18"/>
        <v>0</v>
      </c>
      <c r="BO23" s="40">
        <f t="shared" si="19"/>
        <v>0</v>
      </c>
      <c r="BR23" s="40">
        <f t="shared" si="20"/>
        <v>0</v>
      </c>
      <c r="BU23" s="40">
        <f t="shared" si="21"/>
        <v>0</v>
      </c>
      <c r="BX23" s="40">
        <f t="shared" si="22"/>
        <v>0</v>
      </c>
      <c r="CA23" s="40">
        <f t="shared" si="23"/>
        <v>0</v>
      </c>
      <c r="CD23" s="40">
        <f t="shared" si="24"/>
        <v>0</v>
      </c>
      <c r="CG23" s="40">
        <f t="shared" si="25"/>
        <v>0</v>
      </c>
      <c r="CJ23" s="40">
        <f t="shared" si="26"/>
        <v>0</v>
      </c>
      <c r="CM23" s="40">
        <f t="shared" si="27"/>
        <v>0</v>
      </c>
      <c r="CP23" s="40">
        <f t="shared" si="28"/>
        <v>0</v>
      </c>
      <c r="CS23" s="40">
        <f t="shared" si="29"/>
        <v>0</v>
      </c>
      <c r="CV23" s="40">
        <f t="shared" si="30"/>
        <v>0</v>
      </c>
      <c r="CY23" s="40">
        <f t="shared" si="31"/>
        <v>0</v>
      </c>
      <c r="DB23" s="40">
        <f t="shared" si="32"/>
        <v>0</v>
      </c>
      <c r="DE23" s="40">
        <f t="shared" si="33"/>
        <v>0</v>
      </c>
      <c r="DH23" s="40">
        <f t="shared" si="34"/>
        <v>0</v>
      </c>
      <c r="DK23" s="40">
        <f t="shared" si="35"/>
        <v>0</v>
      </c>
      <c r="DN23" s="40">
        <f t="shared" si="36"/>
        <v>0</v>
      </c>
      <c r="DQ23" s="40">
        <f t="shared" si="37"/>
        <v>0</v>
      </c>
      <c r="DT23" s="40">
        <f t="shared" si="38"/>
        <v>0</v>
      </c>
      <c r="DW23" s="40">
        <f t="shared" si="39"/>
        <v>0</v>
      </c>
      <c r="DZ23" s="40"/>
      <c r="EA23" s="40"/>
      <c r="EB23" s="75">
        <f t="shared" si="40"/>
        <v>70750000</v>
      </c>
      <c r="EC23" s="75">
        <f t="shared" si="41"/>
        <v>0</v>
      </c>
      <c r="ED23" s="40">
        <f t="shared" si="42"/>
        <v>5207.9861111111113</v>
      </c>
      <c r="EE23" s="41">
        <f t="shared" si="43"/>
        <v>2.6499999999999999E-2</v>
      </c>
      <c r="EG23" s="75">
        <f t="shared" si="44"/>
        <v>0</v>
      </c>
      <c r="EH23" s="40">
        <f t="shared" si="45"/>
        <v>0</v>
      </c>
      <c r="EI23" s="41">
        <f t="shared" si="46"/>
        <v>0</v>
      </c>
      <c r="EJ23" s="41"/>
      <c r="EK23" s="75">
        <f t="shared" si="47"/>
        <v>70750000</v>
      </c>
      <c r="EL23" s="75">
        <f t="shared" si="48"/>
        <v>0</v>
      </c>
      <c r="EM23" s="75">
        <f t="shared" si="49"/>
        <v>5207.9861111111113</v>
      </c>
      <c r="EN23" s="41">
        <f t="shared" si="50"/>
        <v>2.6499999999999999E-2</v>
      </c>
    </row>
    <row r="24" spans="1:144" x14ac:dyDescent="0.25">
      <c r="A24" s="25">
        <f t="shared" si="51"/>
        <v>43569</v>
      </c>
      <c r="D24" s="40">
        <f t="shared" si="0"/>
        <v>0</v>
      </c>
      <c r="G24" s="40">
        <f t="shared" si="1"/>
        <v>0</v>
      </c>
      <c r="J24" s="40">
        <f t="shared" si="2"/>
        <v>0</v>
      </c>
      <c r="M24" s="40">
        <f t="shared" si="3"/>
        <v>0</v>
      </c>
      <c r="P24" s="40">
        <f t="shared" si="4"/>
        <v>0</v>
      </c>
      <c r="S24" s="40">
        <f t="shared" si="5"/>
        <v>0</v>
      </c>
      <c r="V24" s="40">
        <f t="shared" si="6"/>
        <v>0</v>
      </c>
      <c r="Y24" s="40">
        <f t="shared" si="7"/>
        <v>0</v>
      </c>
      <c r="AB24" s="40">
        <f t="shared" si="8"/>
        <v>0</v>
      </c>
      <c r="AE24" s="40">
        <v>0</v>
      </c>
      <c r="AH24" s="40">
        <v>0</v>
      </c>
      <c r="AI24" s="73">
        <f>70750000</f>
        <v>70750000</v>
      </c>
      <c r="AJ24" s="74">
        <v>2.6499999999999999E-2</v>
      </c>
      <c r="AK24" s="40">
        <f t="shared" si="9"/>
        <v>5207.9861111111113</v>
      </c>
      <c r="AN24" s="40">
        <f t="shared" si="10"/>
        <v>0</v>
      </c>
      <c r="AQ24" s="40">
        <f t="shared" si="11"/>
        <v>0</v>
      </c>
      <c r="AT24" s="40">
        <f t="shared" si="12"/>
        <v>0</v>
      </c>
      <c r="AW24" s="40">
        <f t="shared" si="13"/>
        <v>0</v>
      </c>
      <c r="AZ24" s="40">
        <f t="shared" si="14"/>
        <v>0</v>
      </c>
      <c r="BC24" s="40">
        <f t="shared" si="15"/>
        <v>0</v>
      </c>
      <c r="BF24" s="40">
        <f t="shared" si="16"/>
        <v>0</v>
      </c>
      <c r="BI24" s="40">
        <f t="shared" si="17"/>
        <v>0</v>
      </c>
      <c r="BL24" s="40">
        <f t="shared" si="18"/>
        <v>0</v>
      </c>
      <c r="BO24" s="40">
        <f t="shared" si="19"/>
        <v>0</v>
      </c>
      <c r="BR24" s="40">
        <f t="shared" si="20"/>
        <v>0</v>
      </c>
      <c r="BU24" s="40">
        <f t="shared" si="21"/>
        <v>0</v>
      </c>
      <c r="BX24" s="40">
        <f t="shared" si="22"/>
        <v>0</v>
      </c>
      <c r="CA24" s="40">
        <f t="shared" si="23"/>
        <v>0</v>
      </c>
      <c r="CD24" s="40">
        <f t="shared" si="24"/>
        <v>0</v>
      </c>
      <c r="CG24" s="40">
        <f t="shared" si="25"/>
        <v>0</v>
      </c>
      <c r="CJ24" s="40">
        <f t="shared" si="26"/>
        <v>0</v>
      </c>
      <c r="CM24" s="40">
        <f t="shared" si="27"/>
        <v>0</v>
      </c>
      <c r="CP24" s="40">
        <f t="shared" si="28"/>
        <v>0</v>
      </c>
      <c r="CS24" s="40">
        <f t="shared" si="29"/>
        <v>0</v>
      </c>
      <c r="CV24" s="40">
        <f t="shared" si="30"/>
        <v>0</v>
      </c>
      <c r="CY24" s="40">
        <f t="shared" si="31"/>
        <v>0</v>
      </c>
      <c r="DB24" s="40">
        <f t="shared" si="32"/>
        <v>0</v>
      </c>
      <c r="DE24" s="40">
        <f t="shared" si="33"/>
        <v>0</v>
      </c>
      <c r="DH24" s="40">
        <f t="shared" si="34"/>
        <v>0</v>
      </c>
      <c r="DK24" s="40">
        <f t="shared" si="35"/>
        <v>0</v>
      </c>
      <c r="DN24" s="40">
        <f t="shared" si="36"/>
        <v>0</v>
      </c>
      <c r="DQ24" s="40">
        <f t="shared" si="37"/>
        <v>0</v>
      </c>
      <c r="DT24" s="40">
        <f t="shared" si="38"/>
        <v>0</v>
      </c>
      <c r="DW24" s="40">
        <f t="shared" si="39"/>
        <v>0</v>
      </c>
      <c r="DZ24" s="40"/>
      <c r="EA24" s="40"/>
      <c r="EB24" s="75">
        <f t="shared" si="40"/>
        <v>70750000</v>
      </c>
      <c r="EC24" s="75">
        <f t="shared" si="41"/>
        <v>0</v>
      </c>
      <c r="ED24" s="40">
        <f t="shared" si="42"/>
        <v>5207.9861111111113</v>
      </c>
      <c r="EE24" s="41">
        <f t="shared" si="43"/>
        <v>2.6499999999999999E-2</v>
      </c>
      <c r="EG24" s="75">
        <f t="shared" si="44"/>
        <v>0</v>
      </c>
      <c r="EH24" s="40">
        <f t="shared" si="45"/>
        <v>0</v>
      </c>
      <c r="EI24" s="41">
        <f t="shared" si="46"/>
        <v>0</v>
      </c>
      <c r="EJ24" s="41"/>
      <c r="EK24" s="75">
        <f t="shared" si="47"/>
        <v>70750000</v>
      </c>
      <c r="EL24" s="75">
        <f t="shared" si="48"/>
        <v>0</v>
      </c>
      <c r="EM24" s="75">
        <f t="shared" si="49"/>
        <v>5207.9861111111113</v>
      </c>
      <c r="EN24" s="41">
        <f t="shared" si="50"/>
        <v>2.6499999999999999E-2</v>
      </c>
    </row>
    <row r="25" spans="1:144" x14ac:dyDescent="0.25">
      <c r="A25" s="25">
        <f t="shared" si="51"/>
        <v>43570</v>
      </c>
      <c r="D25" s="40">
        <f t="shared" si="0"/>
        <v>0</v>
      </c>
      <c r="G25" s="40">
        <f t="shared" si="1"/>
        <v>0</v>
      </c>
      <c r="J25" s="40">
        <f t="shared" si="2"/>
        <v>0</v>
      </c>
      <c r="M25" s="40">
        <f t="shared" si="3"/>
        <v>0</v>
      </c>
      <c r="P25" s="40">
        <f t="shared" si="4"/>
        <v>0</v>
      </c>
      <c r="S25" s="40">
        <f t="shared" si="5"/>
        <v>0</v>
      </c>
      <c r="V25" s="40">
        <f t="shared" si="6"/>
        <v>0</v>
      </c>
      <c r="Y25" s="40">
        <f t="shared" si="7"/>
        <v>0</v>
      </c>
      <c r="AB25" s="40">
        <f t="shared" si="8"/>
        <v>0</v>
      </c>
      <c r="AE25" s="40">
        <v>0</v>
      </c>
      <c r="AH25" s="40">
        <v>0</v>
      </c>
      <c r="AI25" s="73">
        <f>84125000</f>
        <v>84125000</v>
      </c>
      <c r="AJ25" s="74">
        <v>2.6499999999999999E-2</v>
      </c>
      <c r="AK25" s="40">
        <f t="shared" si="9"/>
        <v>6192.5347222222226</v>
      </c>
      <c r="AN25" s="40">
        <f t="shared" si="10"/>
        <v>0</v>
      </c>
      <c r="AQ25" s="40">
        <f t="shared" si="11"/>
        <v>0</v>
      </c>
      <c r="AT25" s="40">
        <f t="shared" si="12"/>
        <v>0</v>
      </c>
      <c r="AW25" s="40">
        <f t="shared" si="13"/>
        <v>0</v>
      </c>
      <c r="AZ25" s="40">
        <f t="shared" si="14"/>
        <v>0</v>
      </c>
      <c r="BC25" s="40">
        <f t="shared" si="15"/>
        <v>0</v>
      </c>
      <c r="BF25" s="40">
        <f t="shared" si="16"/>
        <v>0</v>
      </c>
      <c r="BI25" s="40">
        <f t="shared" si="17"/>
        <v>0</v>
      </c>
      <c r="BL25" s="40">
        <f t="shared" si="18"/>
        <v>0</v>
      </c>
      <c r="BO25" s="40">
        <f t="shared" si="19"/>
        <v>0</v>
      </c>
      <c r="BR25" s="40">
        <f t="shared" si="20"/>
        <v>0</v>
      </c>
      <c r="BU25" s="40">
        <f t="shared" si="21"/>
        <v>0</v>
      </c>
      <c r="BX25" s="40">
        <f t="shared" si="22"/>
        <v>0</v>
      </c>
      <c r="CA25" s="40">
        <f t="shared" si="23"/>
        <v>0</v>
      </c>
      <c r="CD25" s="40">
        <f t="shared" si="24"/>
        <v>0</v>
      </c>
      <c r="CG25" s="40">
        <f t="shared" si="25"/>
        <v>0</v>
      </c>
      <c r="CJ25" s="40">
        <f t="shared" si="26"/>
        <v>0</v>
      </c>
      <c r="CM25" s="40">
        <f t="shared" si="27"/>
        <v>0</v>
      </c>
      <c r="CP25" s="40">
        <f t="shared" si="28"/>
        <v>0</v>
      </c>
      <c r="CS25" s="40">
        <f t="shared" si="29"/>
        <v>0</v>
      </c>
      <c r="CV25" s="40">
        <f t="shared" si="30"/>
        <v>0</v>
      </c>
      <c r="CY25" s="40">
        <f t="shared" si="31"/>
        <v>0</v>
      </c>
      <c r="DB25" s="40">
        <f t="shared" si="32"/>
        <v>0</v>
      </c>
      <c r="DE25" s="40">
        <f t="shared" si="33"/>
        <v>0</v>
      </c>
      <c r="DH25" s="40">
        <f t="shared" si="34"/>
        <v>0</v>
      </c>
      <c r="DK25" s="40">
        <f t="shared" si="35"/>
        <v>0</v>
      </c>
      <c r="DN25" s="40">
        <f t="shared" si="36"/>
        <v>0</v>
      </c>
      <c r="DQ25" s="40">
        <f t="shared" si="37"/>
        <v>0</v>
      </c>
      <c r="DT25" s="40">
        <f t="shared" si="38"/>
        <v>0</v>
      </c>
      <c r="DW25" s="40">
        <f t="shared" si="39"/>
        <v>0</v>
      </c>
      <c r="DZ25" s="40"/>
      <c r="EA25" s="40"/>
      <c r="EB25" s="75">
        <f t="shared" si="40"/>
        <v>84125000</v>
      </c>
      <c r="EC25" s="75">
        <f t="shared" si="41"/>
        <v>0</v>
      </c>
      <c r="ED25" s="40">
        <f t="shared" si="42"/>
        <v>6192.5347222222226</v>
      </c>
      <c r="EE25" s="41">
        <f t="shared" si="43"/>
        <v>2.6499999999999999E-2</v>
      </c>
      <c r="EG25" s="75">
        <f t="shared" si="44"/>
        <v>0</v>
      </c>
      <c r="EH25" s="40">
        <f t="shared" si="45"/>
        <v>0</v>
      </c>
      <c r="EI25" s="41">
        <f t="shared" si="46"/>
        <v>0</v>
      </c>
      <c r="EJ25" s="41"/>
      <c r="EK25" s="75">
        <f t="shared" si="47"/>
        <v>84125000</v>
      </c>
      <c r="EL25" s="75">
        <f t="shared" si="48"/>
        <v>0</v>
      </c>
      <c r="EM25" s="75">
        <f t="shared" si="49"/>
        <v>6192.5347222222226</v>
      </c>
      <c r="EN25" s="41">
        <f t="shared" si="50"/>
        <v>2.6499999999999999E-2</v>
      </c>
    </row>
    <row r="26" spans="1:144" x14ac:dyDescent="0.25">
      <c r="A26" s="25">
        <f t="shared" si="51"/>
        <v>43571</v>
      </c>
      <c r="D26" s="40">
        <f t="shared" si="0"/>
        <v>0</v>
      </c>
      <c r="G26" s="40">
        <f t="shared" si="1"/>
        <v>0</v>
      </c>
      <c r="J26" s="40">
        <f t="shared" si="2"/>
        <v>0</v>
      </c>
      <c r="M26" s="40">
        <f t="shared" si="3"/>
        <v>0</v>
      </c>
      <c r="P26" s="40">
        <f t="shared" si="4"/>
        <v>0</v>
      </c>
      <c r="S26" s="40">
        <f t="shared" si="5"/>
        <v>0</v>
      </c>
      <c r="V26" s="40">
        <f t="shared" si="6"/>
        <v>0</v>
      </c>
      <c r="Y26" s="40">
        <f t="shared" si="7"/>
        <v>0</v>
      </c>
      <c r="AB26" s="40">
        <f t="shared" si="8"/>
        <v>0</v>
      </c>
      <c r="AE26" s="40">
        <v>0</v>
      </c>
      <c r="AH26" s="40">
        <v>0</v>
      </c>
      <c r="AI26" s="73">
        <f>80425000</f>
        <v>80425000</v>
      </c>
      <c r="AJ26" s="74">
        <v>2.6499999999999999E-2</v>
      </c>
      <c r="AK26" s="40">
        <f t="shared" si="9"/>
        <v>5920.1736111111113</v>
      </c>
      <c r="AN26" s="40">
        <f t="shared" si="10"/>
        <v>0</v>
      </c>
      <c r="AQ26" s="40">
        <f t="shared" si="11"/>
        <v>0</v>
      </c>
      <c r="AT26" s="40">
        <f t="shared" si="12"/>
        <v>0</v>
      </c>
      <c r="AW26" s="40">
        <f t="shared" si="13"/>
        <v>0</v>
      </c>
      <c r="AZ26" s="40">
        <f t="shared" si="14"/>
        <v>0</v>
      </c>
      <c r="BC26" s="40">
        <f t="shared" si="15"/>
        <v>0</v>
      </c>
      <c r="BF26" s="40">
        <f t="shared" si="16"/>
        <v>0</v>
      </c>
      <c r="BI26" s="40">
        <f t="shared" si="17"/>
        <v>0</v>
      </c>
      <c r="BL26" s="40">
        <f t="shared" si="18"/>
        <v>0</v>
      </c>
      <c r="BO26" s="40">
        <f t="shared" si="19"/>
        <v>0</v>
      </c>
      <c r="BR26" s="40">
        <f t="shared" si="20"/>
        <v>0</v>
      </c>
      <c r="BU26" s="40">
        <f t="shared" si="21"/>
        <v>0</v>
      </c>
      <c r="BX26" s="40">
        <f t="shared" si="22"/>
        <v>0</v>
      </c>
      <c r="CA26" s="40">
        <f t="shared" si="23"/>
        <v>0</v>
      </c>
      <c r="CD26" s="40">
        <f t="shared" si="24"/>
        <v>0</v>
      </c>
      <c r="CG26" s="40">
        <f t="shared" si="25"/>
        <v>0</v>
      </c>
      <c r="CJ26" s="40">
        <f t="shared" si="26"/>
        <v>0</v>
      </c>
      <c r="CM26" s="40">
        <f t="shared" si="27"/>
        <v>0</v>
      </c>
      <c r="CP26" s="40">
        <f t="shared" si="28"/>
        <v>0</v>
      </c>
      <c r="CS26" s="40">
        <f t="shared" si="29"/>
        <v>0</v>
      </c>
      <c r="CV26" s="40">
        <f t="shared" si="30"/>
        <v>0</v>
      </c>
      <c r="CY26" s="40">
        <f t="shared" si="31"/>
        <v>0</v>
      </c>
      <c r="DB26" s="40">
        <f t="shared" si="32"/>
        <v>0</v>
      </c>
      <c r="DE26" s="40">
        <f t="shared" si="33"/>
        <v>0</v>
      </c>
      <c r="DH26" s="40">
        <f t="shared" si="34"/>
        <v>0</v>
      </c>
      <c r="DK26" s="40">
        <f t="shared" si="35"/>
        <v>0</v>
      </c>
      <c r="DN26" s="40">
        <f t="shared" si="36"/>
        <v>0</v>
      </c>
      <c r="DQ26" s="40">
        <f t="shared" si="37"/>
        <v>0</v>
      </c>
      <c r="DT26" s="40">
        <f t="shared" si="38"/>
        <v>0</v>
      </c>
      <c r="DW26" s="40">
        <f t="shared" si="39"/>
        <v>0</v>
      </c>
      <c r="DZ26" s="40"/>
      <c r="EA26" s="40"/>
      <c r="EB26" s="75">
        <f t="shared" si="40"/>
        <v>80425000</v>
      </c>
      <c r="EC26" s="75">
        <f t="shared" si="41"/>
        <v>0</v>
      </c>
      <c r="ED26" s="40">
        <f t="shared" si="42"/>
        <v>5920.1736111111113</v>
      </c>
      <c r="EE26" s="41">
        <f t="shared" si="43"/>
        <v>2.6499999999999999E-2</v>
      </c>
      <c r="EG26" s="75">
        <f t="shared" si="44"/>
        <v>0</v>
      </c>
      <c r="EH26" s="40">
        <f t="shared" si="45"/>
        <v>0</v>
      </c>
      <c r="EI26" s="41">
        <f t="shared" si="46"/>
        <v>0</v>
      </c>
      <c r="EJ26" s="41"/>
      <c r="EK26" s="75">
        <f t="shared" si="47"/>
        <v>80425000</v>
      </c>
      <c r="EL26" s="75">
        <f t="shared" si="48"/>
        <v>0</v>
      </c>
      <c r="EM26" s="75">
        <f t="shared" si="49"/>
        <v>5920.1736111111113</v>
      </c>
      <c r="EN26" s="41">
        <f t="shared" si="50"/>
        <v>2.6499999999999999E-2</v>
      </c>
    </row>
    <row r="27" spans="1:144" x14ac:dyDescent="0.25">
      <c r="A27" s="25">
        <f t="shared" si="51"/>
        <v>43572</v>
      </c>
      <c r="D27" s="40">
        <f t="shared" si="0"/>
        <v>0</v>
      </c>
      <c r="G27" s="40">
        <f t="shared" si="1"/>
        <v>0</v>
      </c>
      <c r="J27" s="40">
        <f t="shared" si="2"/>
        <v>0</v>
      </c>
      <c r="M27" s="40">
        <f t="shared" si="3"/>
        <v>0</v>
      </c>
      <c r="P27" s="40">
        <f t="shared" si="4"/>
        <v>0</v>
      </c>
      <c r="S27" s="40">
        <f t="shared" si="5"/>
        <v>0</v>
      </c>
      <c r="V27" s="40">
        <f t="shared" si="6"/>
        <v>0</v>
      </c>
      <c r="Y27" s="40">
        <f t="shared" si="7"/>
        <v>0</v>
      </c>
      <c r="AB27" s="40">
        <f t="shared" si="8"/>
        <v>0</v>
      </c>
      <c r="AE27" s="40">
        <v>0</v>
      </c>
      <c r="AH27" s="40">
        <v>0</v>
      </c>
      <c r="AI27" s="73">
        <f>71525000</f>
        <v>71525000</v>
      </c>
      <c r="AJ27" s="74">
        <v>2.6499999999999999E-2</v>
      </c>
      <c r="AK27" s="40">
        <f t="shared" si="9"/>
        <v>5265.0347222222226</v>
      </c>
      <c r="AN27" s="40">
        <f t="shared" si="10"/>
        <v>0</v>
      </c>
      <c r="AQ27" s="40">
        <f t="shared" si="11"/>
        <v>0</v>
      </c>
      <c r="AT27" s="40">
        <f t="shared" si="12"/>
        <v>0</v>
      </c>
      <c r="AW27" s="40">
        <f t="shared" si="13"/>
        <v>0</v>
      </c>
      <c r="AZ27" s="40">
        <f t="shared" si="14"/>
        <v>0</v>
      </c>
      <c r="BC27" s="40">
        <f t="shared" si="15"/>
        <v>0</v>
      </c>
      <c r="BF27" s="40">
        <f t="shared" si="16"/>
        <v>0</v>
      </c>
      <c r="BI27" s="40">
        <f t="shared" si="17"/>
        <v>0</v>
      </c>
      <c r="BL27" s="40">
        <f t="shared" si="18"/>
        <v>0</v>
      </c>
      <c r="BO27" s="40">
        <f t="shared" si="19"/>
        <v>0</v>
      </c>
      <c r="BR27" s="40">
        <f t="shared" si="20"/>
        <v>0</v>
      </c>
      <c r="BU27" s="40">
        <f t="shared" si="21"/>
        <v>0</v>
      </c>
      <c r="BX27" s="40">
        <f t="shared" si="22"/>
        <v>0</v>
      </c>
      <c r="CA27" s="40">
        <f t="shared" si="23"/>
        <v>0</v>
      </c>
      <c r="CD27" s="40">
        <f t="shared" si="24"/>
        <v>0</v>
      </c>
      <c r="CG27" s="40">
        <f t="shared" si="25"/>
        <v>0</v>
      </c>
      <c r="CJ27" s="40">
        <f t="shared" si="26"/>
        <v>0</v>
      </c>
      <c r="CM27" s="40">
        <f t="shared" si="27"/>
        <v>0</v>
      </c>
      <c r="CP27" s="40">
        <f t="shared" si="28"/>
        <v>0</v>
      </c>
      <c r="CS27" s="40">
        <f t="shared" si="29"/>
        <v>0</v>
      </c>
      <c r="CV27" s="40">
        <f t="shared" si="30"/>
        <v>0</v>
      </c>
      <c r="CY27" s="40">
        <f t="shared" si="31"/>
        <v>0</v>
      </c>
      <c r="DB27" s="40">
        <f t="shared" si="32"/>
        <v>0</v>
      </c>
      <c r="DE27" s="40">
        <f t="shared" si="33"/>
        <v>0</v>
      </c>
      <c r="DH27" s="40">
        <f t="shared" si="34"/>
        <v>0</v>
      </c>
      <c r="DK27" s="40">
        <f t="shared" si="35"/>
        <v>0</v>
      </c>
      <c r="DN27" s="40">
        <f t="shared" si="36"/>
        <v>0</v>
      </c>
      <c r="DQ27" s="40">
        <f t="shared" si="37"/>
        <v>0</v>
      </c>
      <c r="DT27" s="40">
        <f t="shared" si="38"/>
        <v>0</v>
      </c>
      <c r="DW27" s="40">
        <f t="shared" si="39"/>
        <v>0</v>
      </c>
      <c r="DZ27" s="40"/>
      <c r="EA27" s="40"/>
      <c r="EB27" s="75">
        <f t="shared" si="40"/>
        <v>71525000</v>
      </c>
      <c r="EC27" s="75">
        <f t="shared" si="41"/>
        <v>0</v>
      </c>
      <c r="ED27" s="40">
        <f t="shared" si="42"/>
        <v>5265.0347222222226</v>
      </c>
      <c r="EE27" s="41">
        <f t="shared" si="43"/>
        <v>2.6499999999999999E-2</v>
      </c>
      <c r="EG27" s="75">
        <f t="shared" si="44"/>
        <v>0</v>
      </c>
      <c r="EH27" s="40">
        <f t="shared" si="45"/>
        <v>0</v>
      </c>
      <c r="EI27" s="41">
        <f t="shared" si="46"/>
        <v>0</v>
      </c>
      <c r="EJ27" s="41"/>
      <c r="EK27" s="75">
        <f t="shared" si="47"/>
        <v>71525000</v>
      </c>
      <c r="EL27" s="75">
        <f t="shared" si="48"/>
        <v>0</v>
      </c>
      <c r="EM27" s="75">
        <f t="shared" si="49"/>
        <v>5265.0347222222226</v>
      </c>
      <c r="EN27" s="41">
        <f t="shared" si="50"/>
        <v>2.6499999999999999E-2</v>
      </c>
    </row>
    <row r="28" spans="1:144" x14ac:dyDescent="0.25">
      <c r="A28" s="25">
        <f t="shared" si="51"/>
        <v>43573</v>
      </c>
      <c r="D28" s="40">
        <f t="shared" si="0"/>
        <v>0</v>
      </c>
      <c r="G28" s="40">
        <f t="shared" si="1"/>
        <v>0</v>
      </c>
      <c r="J28" s="40">
        <f t="shared" si="2"/>
        <v>0</v>
      </c>
      <c r="M28" s="40">
        <f t="shared" si="3"/>
        <v>0</v>
      </c>
      <c r="P28" s="40">
        <f t="shared" si="4"/>
        <v>0</v>
      </c>
      <c r="S28" s="40">
        <f t="shared" si="5"/>
        <v>0</v>
      </c>
      <c r="V28" s="40">
        <f t="shared" si="6"/>
        <v>0</v>
      </c>
      <c r="Y28" s="40">
        <f t="shared" si="7"/>
        <v>0</v>
      </c>
      <c r="AB28" s="40">
        <f t="shared" si="8"/>
        <v>0</v>
      </c>
      <c r="AE28" s="40">
        <v>0</v>
      </c>
      <c r="AH28" s="40">
        <v>0</v>
      </c>
      <c r="AI28" s="73">
        <f>71750000</f>
        <v>71750000</v>
      </c>
      <c r="AJ28" s="74">
        <v>2.6499999999999999E-2</v>
      </c>
      <c r="AK28" s="40">
        <f t="shared" si="9"/>
        <v>5281.5972222222226</v>
      </c>
      <c r="AN28" s="40">
        <f t="shared" si="10"/>
        <v>0</v>
      </c>
      <c r="AQ28" s="40">
        <f t="shared" si="11"/>
        <v>0</v>
      </c>
      <c r="AT28" s="40">
        <f t="shared" si="12"/>
        <v>0</v>
      </c>
      <c r="AW28" s="40">
        <f t="shared" si="13"/>
        <v>0</v>
      </c>
      <c r="AZ28" s="40">
        <f t="shared" si="14"/>
        <v>0</v>
      </c>
      <c r="BC28" s="40">
        <f t="shared" si="15"/>
        <v>0</v>
      </c>
      <c r="BF28" s="40">
        <f t="shared" si="16"/>
        <v>0</v>
      </c>
      <c r="BI28" s="40">
        <f t="shared" si="17"/>
        <v>0</v>
      </c>
      <c r="BL28" s="40">
        <f t="shared" si="18"/>
        <v>0</v>
      </c>
      <c r="BO28" s="40">
        <f t="shared" si="19"/>
        <v>0</v>
      </c>
      <c r="BR28" s="40">
        <f t="shared" si="20"/>
        <v>0</v>
      </c>
      <c r="BU28" s="40">
        <f t="shared" si="21"/>
        <v>0</v>
      </c>
      <c r="BX28" s="40">
        <f t="shared" si="22"/>
        <v>0</v>
      </c>
      <c r="CA28" s="40">
        <f t="shared" si="23"/>
        <v>0</v>
      </c>
      <c r="CD28" s="40">
        <f t="shared" si="24"/>
        <v>0</v>
      </c>
      <c r="CG28" s="40">
        <f t="shared" si="25"/>
        <v>0</v>
      </c>
      <c r="CJ28" s="40">
        <f t="shared" si="26"/>
        <v>0</v>
      </c>
      <c r="CM28" s="40">
        <f t="shared" si="27"/>
        <v>0</v>
      </c>
      <c r="CP28" s="40">
        <f t="shared" si="28"/>
        <v>0</v>
      </c>
      <c r="CS28" s="40">
        <f t="shared" si="29"/>
        <v>0</v>
      </c>
      <c r="CV28" s="40">
        <f t="shared" si="30"/>
        <v>0</v>
      </c>
      <c r="CY28" s="40">
        <f t="shared" si="31"/>
        <v>0</v>
      </c>
      <c r="DB28" s="40">
        <f t="shared" si="32"/>
        <v>0</v>
      </c>
      <c r="DE28" s="40">
        <f t="shared" si="33"/>
        <v>0</v>
      </c>
      <c r="DH28" s="40">
        <f t="shared" si="34"/>
        <v>0</v>
      </c>
      <c r="DK28" s="40">
        <f t="shared" si="35"/>
        <v>0</v>
      </c>
      <c r="DN28" s="40">
        <f t="shared" si="36"/>
        <v>0</v>
      </c>
      <c r="DQ28" s="40">
        <f t="shared" si="37"/>
        <v>0</v>
      </c>
      <c r="DT28" s="40">
        <f t="shared" si="38"/>
        <v>0</v>
      </c>
      <c r="DW28" s="40">
        <f t="shared" si="39"/>
        <v>0</v>
      </c>
      <c r="DZ28" s="40"/>
      <c r="EA28" s="40"/>
      <c r="EB28" s="75">
        <f t="shared" si="40"/>
        <v>71750000</v>
      </c>
      <c r="EC28" s="75">
        <f t="shared" si="41"/>
        <v>0</v>
      </c>
      <c r="ED28" s="40">
        <f t="shared" si="42"/>
        <v>5281.5972222222226</v>
      </c>
      <c r="EE28" s="41">
        <f t="shared" si="43"/>
        <v>2.6499999999999999E-2</v>
      </c>
      <c r="EG28" s="75">
        <f t="shared" si="44"/>
        <v>0</v>
      </c>
      <c r="EH28" s="40">
        <f t="shared" si="45"/>
        <v>0</v>
      </c>
      <c r="EI28" s="41">
        <f t="shared" si="46"/>
        <v>0</v>
      </c>
      <c r="EJ28" s="41"/>
      <c r="EK28" s="75">
        <f t="shared" si="47"/>
        <v>71750000</v>
      </c>
      <c r="EL28" s="75">
        <f t="shared" si="48"/>
        <v>0</v>
      </c>
      <c r="EM28" s="75">
        <f t="shared" si="49"/>
        <v>5281.5972222222226</v>
      </c>
      <c r="EN28" s="41">
        <f t="shared" si="50"/>
        <v>2.6499999999999999E-2</v>
      </c>
    </row>
    <row r="29" spans="1:144" x14ac:dyDescent="0.25">
      <c r="A29" s="25">
        <f t="shared" si="51"/>
        <v>43574</v>
      </c>
      <c r="D29" s="40">
        <f t="shared" si="0"/>
        <v>0</v>
      </c>
      <c r="G29" s="40">
        <f t="shared" si="1"/>
        <v>0</v>
      </c>
      <c r="J29" s="40">
        <f t="shared" si="2"/>
        <v>0</v>
      </c>
      <c r="M29" s="40">
        <f t="shared" si="3"/>
        <v>0</v>
      </c>
      <c r="P29" s="40">
        <f t="shared" si="4"/>
        <v>0</v>
      </c>
      <c r="S29" s="40">
        <f t="shared" si="5"/>
        <v>0</v>
      </c>
      <c r="V29" s="40">
        <f t="shared" si="6"/>
        <v>0</v>
      </c>
      <c r="Y29" s="40">
        <f t="shared" si="7"/>
        <v>0</v>
      </c>
      <c r="AB29" s="40">
        <f t="shared" si="8"/>
        <v>0</v>
      </c>
      <c r="AE29" s="40">
        <v>0</v>
      </c>
      <c r="AH29" s="40">
        <v>0</v>
      </c>
      <c r="AI29" s="73">
        <f>71750000</f>
        <v>71750000</v>
      </c>
      <c r="AJ29" s="74">
        <v>2.6499999999999999E-2</v>
      </c>
      <c r="AK29" s="40">
        <f t="shared" si="9"/>
        <v>5281.5972222222226</v>
      </c>
      <c r="AN29" s="40">
        <f t="shared" si="10"/>
        <v>0</v>
      </c>
      <c r="AQ29" s="40">
        <f t="shared" si="11"/>
        <v>0</v>
      </c>
      <c r="AT29" s="40">
        <f t="shared" si="12"/>
        <v>0</v>
      </c>
      <c r="AW29" s="40">
        <f t="shared" si="13"/>
        <v>0</v>
      </c>
      <c r="AZ29" s="40">
        <f t="shared" si="14"/>
        <v>0</v>
      </c>
      <c r="BC29" s="40">
        <f t="shared" si="15"/>
        <v>0</v>
      </c>
      <c r="BF29" s="40">
        <f t="shared" si="16"/>
        <v>0</v>
      </c>
      <c r="BI29" s="40">
        <f t="shared" si="17"/>
        <v>0</v>
      </c>
      <c r="BL29" s="40">
        <f t="shared" si="18"/>
        <v>0</v>
      </c>
      <c r="BO29" s="40">
        <f t="shared" si="19"/>
        <v>0</v>
      </c>
      <c r="BR29" s="40">
        <f t="shared" si="20"/>
        <v>0</v>
      </c>
      <c r="BU29" s="40">
        <f t="shared" si="21"/>
        <v>0</v>
      </c>
      <c r="BX29" s="40">
        <f t="shared" si="22"/>
        <v>0</v>
      </c>
      <c r="CA29" s="40">
        <f t="shared" si="23"/>
        <v>0</v>
      </c>
      <c r="CD29" s="40">
        <f t="shared" si="24"/>
        <v>0</v>
      </c>
      <c r="CG29" s="40">
        <f t="shared" si="25"/>
        <v>0</v>
      </c>
      <c r="CJ29" s="40">
        <f t="shared" si="26"/>
        <v>0</v>
      </c>
      <c r="CM29" s="40">
        <f t="shared" si="27"/>
        <v>0</v>
      </c>
      <c r="CP29" s="40">
        <f t="shared" si="28"/>
        <v>0</v>
      </c>
      <c r="CS29" s="40">
        <f t="shared" si="29"/>
        <v>0</v>
      </c>
      <c r="CV29" s="40">
        <f t="shared" si="30"/>
        <v>0</v>
      </c>
      <c r="CY29" s="40">
        <f t="shared" si="31"/>
        <v>0</v>
      </c>
      <c r="DB29" s="40">
        <f t="shared" si="32"/>
        <v>0</v>
      </c>
      <c r="DE29" s="40">
        <f t="shared" si="33"/>
        <v>0</v>
      </c>
      <c r="DH29" s="40">
        <f t="shared" si="34"/>
        <v>0</v>
      </c>
      <c r="DK29" s="40">
        <f t="shared" si="35"/>
        <v>0</v>
      </c>
      <c r="DN29" s="40">
        <f t="shared" si="36"/>
        <v>0</v>
      </c>
      <c r="DQ29" s="40">
        <f t="shared" si="37"/>
        <v>0</v>
      </c>
      <c r="DT29" s="40">
        <f t="shared" si="38"/>
        <v>0</v>
      </c>
      <c r="DW29" s="40">
        <f t="shared" si="39"/>
        <v>0</v>
      </c>
      <c r="DZ29" s="40"/>
      <c r="EA29" s="40"/>
      <c r="EB29" s="75">
        <f t="shared" si="40"/>
        <v>71750000</v>
      </c>
      <c r="EC29" s="75">
        <f t="shared" si="41"/>
        <v>0</v>
      </c>
      <c r="ED29" s="40">
        <f t="shared" si="42"/>
        <v>5281.5972222222226</v>
      </c>
      <c r="EE29" s="41">
        <f t="shared" si="43"/>
        <v>2.6499999999999999E-2</v>
      </c>
      <c r="EG29" s="75">
        <f t="shared" si="44"/>
        <v>0</v>
      </c>
      <c r="EH29" s="40">
        <f t="shared" si="45"/>
        <v>0</v>
      </c>
      <c r="EI29" s="41">
        <f t="shared" si="46"/>
        <v>0</v>
      </c>
      <c r="EJ29" s="41"/>
      <c r="EK29" s="75">
        <f t="shared" si="47"/>
        <v>71750000</v>
      </c>
      <c r="EL29" s="75">
        <f t="shared" si="48"/>
        <v>0</v>
      </c>
      <c r="EM29" s="75">
        <f t="shared" si="49"/>
        <v>5281.5972222222226</v>
      </c>
      <c r="EN29" s="41">
        <f t="shared" si="50"/>
        <v>2.6499999999999999E-2</v>
      </c>
    </row>
    <row r="30" spans="1:144" x14ac:dyDescent="0.25">
      <c r="A30" s="25">
        <f t="shared" si="51"/>
        <v>43575</v>
      </c>
      <c r="D30" s="40">
        <f t="shared" si="0"/>
        <v>0</v>
      </c>
      <c r="G30" s="40">
        <f t="shared" si="1"/>
        <v>0</v>
      </c>
      <c r="J30" s="40">
        <f t="shared" si="2"/>
        <v>0</v>
      </c>
      <c r="M30" s="40">
        <f t="shared" si="3"/>
        <v>0</v>
      </c>
      <c r="P30" s="40">
        <f t="shared" si="4"/>
        <v>0</v>
      </c>
      <c r="S30" s="40">
        <f t="shared" si="5"/>
        <v>0</v>
      </c>
      <c r="V30" s="40">
        <f t="shared" si="6"/>
        <v>0</v>
      </c>
      <c r="Y30" s="40">
        <f t="shared" si="7"/>
        <v>0</v>
      </c>
      <c r="AB30" s="40">
        <f t="shared" si="8"/>
        <v>0</v>
      </c>
      <c r="AE30" s="40">
        <v>0</v>
      </c>
      <c r="AH30" s="40">
        <v>0</v>
      </c>
      <c r="AI30" s="73">
        <f>71750000</f>
        <v>71750000</v>
      </c>
      <c r="AJ30" s="74">
        <v>2.6499999999999999E-2</v>
      </c>
      <c r="AK30" s="40">
        <f t="shared" si="9"/>
        <v>5281.5972222222226</v>
      </c>
      <c r="AN30" s="40">
        <f t="shared" si="10"/>
        <v>0</v>
      </c>
      <c r="AQ30" s="40">
        <f t="shared" si="11"/>
        <v>0</v>
      </c>
      <c r="AT30" s="40">
        <f t="shared" si="12"/>
        <v>0</v>
      </c>
      <c r="AW30" s="40">
        <f t="shared" si="13"/>
        <v>0</v>
      </c>
      <c r="AZ30" s="40">
        <f t="shared" si="14"/>
        <v>0</v>
      </c>
      <c r="BC30" s="40">
        <f t="shared" si="15"/>
        <v>0</v>
      </c>
      <c r="BF30" s="40">
        <f t="shared" si="16"/>
        <v>0</v>
      </c>
      <c r="BI30" s="40">
        <f t="shared" si="17"/>
        <v>0</v>
      </c>
      <c r="BL30" s="40">
        <f t="shared" si="18"/>
        <v>0</v>
      </c>
      <c r="BO30" s="40">
        <f t="shared" si="19"/>
        <v>0</v>
      </c>
      <c r="BR30" s="40">
        <f t="shared" si="20"/>
        <v>0</v>
      </c>
      <c r="BU30" s="40">
        <f t="shared" si="21"/>
        <v>0</v>
      </c>
      <c r="BX30" s="40">
        <f t="shared" si="22"/>
        <v>0</v>
      </c>
      <c r="CA30" s="40">
        <f t="shared" si="23"/>
        <v>0</v>
      </c>
      <c r="CD30" s="40">
        <f t="shared" si="24"/>
        <v>0</v>
      </c>
      <c r="CG30" s="40">
        <f t="shared" si="25"/>
        <v>0</v>
      </c>
      <c r="CJ30" s="40">
        <f t="shared" si="26"/>
        <v>0</v>
      </c>
      <c r="CM30" s="40">
        <f t="shared" si="27"/>
        <v>0</v>
      </c>
      <c r="CP30" s="40">
        <f t="shared" si="28"/>
        <v>0</v>
      </c>
      <c r="CS30" s="40">
        <f t="shared" si="29"/>
        <v>0</v>
      </c>
      <c r="CV30" s="40">
        <f t="shared" si="30"/>
        <v>0</v>
      </c>
      <c r="CY30" s="40">
        <f t="shared" si="31"/>
        <v>0</v>
      </c>
      <c r="DB30" s="40">
        <f t="shared" si="32"/>
        <v>0</v>
      </c>
      <c r="DE30" s="40">
        <f t="shared" si="33"/>
        <v>0</v>
      </c>
      <c r="DH30" s="40">
        <f t="shared" si="34"/>
        <v>0</v>
      </c>
      <c r="DK30" s="40">
        <f t="shared" si="35"/>
        <v>0</v>
      </c>
      <c r="DN30" s="40">
        <f t="shared" si="36"/>
        <v>0</v>
      </c>
      <c r="DQ30" s="40">
        <f t="shared" si="37"/>
        <v>0</v>
      </c>
      <c r="DT30" s="40">
        <f t="shared" si="38"/>
        <v>0</v>
      </c>
      <c r="DW30" s="40">
        <f t="shared" si="39"/>
        <v>0</v>
      </c>
      <c r="DZ30" s="40"/>
      <c r="EA30" s="40"/>
      <c r="EB30" s="75">
        <f t="shared" si="40"/>
        <v>71750000</v>
      </c>
      <c r="EC30" s="75">
        <f t="shared" si="41"/>
        <v>0</v>
      </c>
      <c r="ED30" s="40">
        <f t="shared" si="42"/>
        <v>5281.5972222222226</v>
      </c>
      <c r="EE30" s="41">
        <f t="shared" si="43"/>
        <v>2.6499999999999999E-2</v>
      </c>
      <c r="EG30" s="75">
        <f t="shared" si="44"/>
        <v>0</v>
      </c>
      <c r="EH30" s="40">
        <f t="shared" si="45"/>
        <v>0</v>
      </c>
      <c r="EI30" s="41">
        <f t="shared" si="46"/>
        <v>0</v>
      </c>
      <c r="EJ30" s="41"/>
      <c r="EK30" s="75">
        <f t="shared" si="47"/>
        <v>71750000</v>
      </c>
      <c r="EL30" s="75">
        <f t="shared" si="48"/>
        <v>0</v>
      </c>
      <c r="EM30" s="75">
        <f t="shared" si="49"/>
        <v>5281.5972222222226</v>
      </c>
      <c r="EN30" s="41">
        <f t="shared" si="50"/>
        <v>2.6499999999999999E-2</v>
      </c>
    </row>
    <row r="31" spans="1:144" x14ac:dyDescent="0.25">
      <c r="A31" s="25">
        <f t="shared" si="51"/>
        <v>43576</v>
      </c>
      <c r="D31" s="40">
        <f t="shared" si="0"/>
        <v>0</v>
      </c>
      <c r="G31" s="40">
        <f t="shared" si="1"/>
        <v>0</v>
      </c>
      <c r="J31" s="40">
        <f t="shared" si="2"/>
        <v>0</v>
      </c>
      <c r="M31" s="40">
        <f t="shared" si="3"/>
        <v>0</v>
      </c>
      <c r="P31" s="40">
        <f t="shared" si="4"/>
        <v>0</v>
      </c>
      <c r="S31" s="40">
        <f t="shared" si="5"/>
        <v>0</v>
      </c>
      <c r="V31" s="40">
        <f t="shared" si="6"/>
        <v>0</v>
      </c>
      <c r="Y31" s="40">
        <f t="shared" si="7"/>
        <v>0</v>
      </c>
      <c r="AB31" s="40">
        <f t="shared" si="8"/>
        <v>0</v>
      </c>
      <c r="AE31" s="40">
        <v>0</v>
      </c>
      <c r="AH31" s="40">
        <v>0</v>
      </c>
      <c r="AI31" s="73">
        <f>71750000</f>
        <v>71750000</v>
      </c>
      <c r="AJ31" s="74">
        <v>2.6499999999999999E-2</v>
      </c>
      <c r="AK31" s="40">
        <f t="shared" si="9"/>
        <v>5281.5972222222226</v>
      </c>
      <c r="AN31" s="40">
        <f t="shared" si="10"/>
        <v>0</v>
      </c>
      <c r="AQ31" s="40">
        <f t="shared" si="11"/>
        <v>0</v>
      </c>
      <c r="AT31" s="40">
        <f t="shared" si="12"/>
        <v>0</v>
      </c>
      <c r="AW31" s="40">
        <f t="shared" si="13"/>
        <v>0</v>
      </c>
      <c r="AZ31" s="40">
        <f t="shared" si="14"/>
        <v>0</v>
      </c>
      <c r="BC31" s="40">
        <f t="shared" si="15"/>
        <v>0</v>
      </c>
      <c r="BF31" s="40">
        <f t="shared" si="16"/>
        <v>0</v>
      </c>
      <c r="BI31" s="40">
        <f t="shared" si="17"/>
        <v>0</v>
      </c>
      <c r="BL31" s="40">
        <f t="shared" si="18"/>
        <v>0</v>
      </c>
      <c r="BO31" s="40">
        <f t="shared" si="19"/>
        <v>0</v>
      </c>
      <c r="BR31" s="40">
        <f t="shared" si="20"/>
        <v>0</v>
      </c>
      <c r="BU31" s="40">
        <f t="shared" si="21"/>
        <v>0</v>
      </c>
      <c r="BX31" s="40">
        <f t="shared" si="22"/>
        <v>0</v>
      </c>
      <c r="CA31" s="40">
        <f t="shared" si="23"/>
        <v>0</v>
      </c>
      <c r="CD31" s="40">
        <f t="shared" si="24"/>
        <v>0</v>
      </c>
      <c r="CG31" s="40">
        <f t="shared" si="25"/>
        <v>0</v>
      </c>
      <c r="CJ31" s="40">
        <f t="shared" si="26"/>
        <v>0</v>
      </c>
      <c r="CM31" s="40">
        <f t="shared" si="27"/>
        <v>0</v>
      </c>
      <c r="CP31" s="40">
        <f t="shared" si="28"/>
        <v>0</v>
      </c>
      <c r="CS31" s="40">
        <f t="shared" si="29"/>
        <v>0</v>
      </c>
      <c r="CV31" s="40">
        <f t="shared" si="30"/>
        <v>0</v>
      </c>
      <c r="CY31" s="40">
        <f t="shared" si="31"/>
        <v>0</v>
      </c>
      <c r="DB31" s="40">
        <f t="shared" si="32"/>
        <v>0</v>
      </c>
      <c r="DE31" s="40">
        <f t="shared" si="33"/>
        <v>0</v>
      </c>
      <c r="DH31" s="40">
        <f t="shared" si="34"/>
        <v>0</v>
      </c>
      <c r="DK31" s="40">
        <f t="shared" si="35"/>
        <v>0</v>
      </c>
      <c r="DN31" s="40">
        <f t="shared" si="36"/>
        <v>0</v>
      </c>
      <c r="DQ31" s="40">
        <f t="shared" si="37"/>
        <v>0</v>
      </c>
      <c r="DT31" s="40">
        <f t="shared" si="38"/>
        <v>0</v>
      </c>
      <c r="DW31" s="40">
        <f t="shared" si="39"/>
        <v>0</v>
      </c>
      <c r="DZ31" s="40"/>
      <c r="EA31" s="40"/>
      <c r="EB31" s="75">
        <f t="shared" si="40"/>
        <v>71750000</v>
      </c>
      <c r="EC31" s="75">
        <f t="shared" si="41"/>
        <v>0</v>
      </c>
      <c r="ED31" s="40">
        <f t="shared" si="42"/>
        <v>5281.5972222222226</v>
      </c>
      <c r="EE31" s="41">
        <f t="shared" si="43"/>
        <v>2.6499999999999999E-2</v>
      </c>
      <c r="EG31" s="75">
        <f t="shared" si="44"/>
        <v>0</v>
      </c>
      <c r="EH31" s="40">
        <f t="shared" si="45"/>
        <v>0</v>
      </c>
      <c r="EI31" s="41">
        <f t="shared" si="46"/>
        <v>0</v>
      </c>
      <c r="EJ31" s="41"/>
      <c r="EK31" s="75">
        <f t="shared" si="47"/>
        <v>71750000</v>
      </c>
      <c r="EL31" s="75">
        <f t="shared" si="48"/>
        <v>0</v>
      </c>
      <c r="EM31" s="75">
        <f t="shared" si="49"/>
        <v>5281.5972222222226</v>
      </c>
      <c r="EN31" s="41">
        <f t="shared" si="50"/>
        <v>2.6499999999999999E-2</v>
      </c>
    </row>
    <row r="32" spans="1:144" x14ac:dyDescent="0.25">
      <c r="A32" s="25">
        <f t="shared" si="51"/>
        <v>43577</v>
      </c>
      <c r="D32" s="40">
        <f t="shared" si="0"/>
        <v>0</v>
      </c>
      <c r="G32" s="40">
        <f t="shared" si="1"/>
        <v>0</v>
      </c>
      <c r="J32" s="40">
        <f t="shared" si="2"/>
        <v>0</v>
      </c>
      <c r="M32" s="40">
        <f t="shared" si="3"/>
        <v>0</v>
      </c>
      <c r="P32" s="40">
        <f t="shared" si="4"/>
        <v>0</v>
      </c>
      <c r="S32" s="40">
        <f t="shared" si="5"/>
        <v>0</v>
      </c>
      <c r="V32" s="40">
        <f t="shared" si="6"/>
        <v>0</v>
      </c>
      <c r="Y32" s="40">
        <f t="shared" si="7"/>
        <v>0</v>
      </c>
      <c r="AB32" s="40">
        <f t="shared" si="8"/>
        <v>0</v>
      </c>
      <c r="AE32" s="40">
        <v>0</v>
      </c>
      <c r="AH32" s="40">
        <v>0</v>
      </c>
      <c r="AI32" s="73">
        <f>77400000</f>
        <v>77400000</v>
      </c>
      <c r="AJ32" s="74">
        <v>2.6499999999999999E-2</v>
      </c>
      <c r="AK32" s="40">
        <f t="shared" si="9"/>
        <v>5697.5</v>
      </c>
      <c r="AN32" s="40">
        <f t="shared" si="10"/>
        <v>0</v>
      </c>
      <c r="AQ32" s="40">
        <f t="shared" si="11"/>
        <v>0</v>
      </c>
      <c r="AT32" s="40">
        <f t="shared" si="12"/>
        <v>0</v>
      </c>
      <c r="AW32" s="40">
        <f t="shared" si="13"/>
        <v>0</v>
      </c>
      <c r="AZ32" s="40">
        <f t="shared" si="14"/>
        <v>0</v>
      </c>
      <c r="BC32" s="40">
        <f t="shared" si="15"/>
        <v>0</v>
      </c>
      <c r="BF32" s="40">
        <f t="shared" si="16"/>
        <v>0</v>
      </c>
      <c r="BI32" s="40">
        <f t="shared" si="17"/>
        <v>0</v>
      </c>
      <c r="BL32" s="40">
        <f t="shared" si="18"/>
        <v>0</v>
      </c>
      <c r="BO32" s="40">
        <f t="shared" si="19"/>
        <v>0</v>
      </c>
      <c r="BR32" s="40">
        <f t="shared" si="20"/>
        <v>0</v>
      </c>
      <c r="BU32" s="40">
        <f t="shared" si="21"/>
        <v>0</v>
      </c>
      <c r="BX32" s="40">
        <f t="shared" si="22"/>
        <v>0</v>
      </c>
      <c r="CA32" s="40">
        <f t="shared" si="23"/>
        <v>0</v>
      </c>
      <c r="CD32" s="40">
        <f t="shared" si="24"/>
        <v>0</v>
      </c>
      <c r="CG32" s="40">
        <f t="shared" si="25"/>
        <v>0</v>
      </c>
      <c r="CJ32" s="40">
        <f t="shared" si="26"/>
        <v>0</v>
      </c>
      <c r="CM32" s="40">
        <f t="shared" si="27"/>
        <v>0</v>
      </c>
      <c r="CP32" s="40">
        <f t="shared" si="28"/>
        <v>0</v>
      </c>
      <c r="CS32" s="40">
        <f t="shared" si="29"/>
        <v>0</v>
      </c>
      <c r="CV32" s="40">
        <f t="shared" si="30"/>
        <v>0</v>
      </c>
      <c r="CY32" s="40">
        <f t="shared" si="31"/>
        <v>0</v>
      </c>
      <c r="DB32" s="40">
        <f t="shared" si="32"/>
        <v>0</v>
      </c>
      <c r="DE32" s="40">
        <f t="shared" si="33"/>
        <v>0</v>
      </c>
      <c r="DH32" s="40">
        <f t="shared" si="34"/>
        <v>0</v>
      </c>
      <c r="DK32" s="40">
        <f t="shared" si="35"/>
        <v>0</v>
      </c>
      <c r="DN32" s="40">
        <f t="shared" si="36"/>
        <v>0</v>
      </c>
      <c r="DQ32" s="40">
        <f t="shared" si="37"/>
        <v>0</v>
      </c>
      <c r="DT32" s="40">
        <f t="shared" si="38"/>
        <v>0</v>
      </c>
      <c r="DW32" s="40">
        <f t="shared" si="39"/>
        <v>0</v>
      </c>
      <c r="DZ32" s="40"/>
      <c r="EA32" s="40"/>
      <c r="EB32" s="75">
        <f t="shared" si="40"/>
        <v>77400000</v>
      </c>
      <c r="EC32" s="75">
        <f t="shared" si="41"/>
        <v>0</v>
      </c>
      <c r="ED32" s="40">
        <f t="shared" si="42"/>
        <v>5697.5</v>
      </c>
      <c r="EE32" s="41">
        <f t="shared" si="43"/>
        <v>2.6499999999999999E-2</v>
      </c>
      <c r="EG32" s="75">
        <f t="shared" si="44"/>
        <v>0</v>
      </c>
      <c r="EH32" s="40">
        <f t="shared" si="45"/>
        <v>0</v>
      </c>
      <c r="EI32" s="41">
        <f t="shared" si="46"/>
        <v>0</v>
      </c>
      <c r="EJ32" s="41"/>
      <c r="EK32" s="75">
        <f t="shared" si="47"/>
        <v>77400000</v>
      </c>
      <c r="EL32" s="75">
        <f t="shared" si="48"/>
        <v>0</v>
      </c>
      <c r="EM32" s="75">
        <f t="shared" si="49"/>
        <v>5697.5</v>
      </c>
      <c r="EN32" s="41">
        <f t="shared" si="50"/>
        <v>2.6499999999999999E-2</v>
      </c>
    </row>
    <row r="33" spans="1:144" x14ac:dyDescent="0.25">
      <c r="A33" s="25">
        <f t="shared" si="51"/>
        <v>43578</v>
      </c>
      <c r="D33" s="40">
        <f t="shared" si="0"/>
        <v>0</v>
      </c>
      <c r="G33" s="40">
        <f t="shared" si="1"/>
        <v>0</v>
      </c>
      <c r="J33" s="40">
        <f t="shared" si="2"/>
        <v>0</v>
      </c>
      <c r="M33" s="40">
        <f t="shared" si="3"/>
        <v>0</v>
      </c>
      <c r="P33" s="40">
        <f t="shared" si="4"/>
        <v>0</v>
      </c>
      <c r="S33" s="40">
        <f t="shared" si="5"/>
        <v>0</v>
      </c>
      <c r="V33" s="40">
        <f t="shared" si="6"/>
        <v>0</v>
      </c>
      <c r="Y33" s="40">
        <f t="shared" si="7"/>
        <v>0</v>
      </c>
      <c r="AB33" s="40">
        <f t="shared" si="8"/>
        <v>0</v>
      </c>
      <c r="AE33" s="40">
        <v>0</v>
      </c>
      <c r="AH33" s="40">
        <v>0</v>
      </c>
      <c r="AI33" s="73">
        <f>67450000</f>
        <v>67450000</v>
      </c>
      <c r="AJ33" s="74">
        <v>2.6499999999999999E-2</v>
      </c>
      <c r="AK33" s="40">
        <f t="shared" si="9"/>
        <v>4965.0694444444443</v>
      </c>
      <c r="AN33" s="40">
        <f t="shared" si="10"/>
        <v>0</v>
      </c>
      <c r="AQ33" s="40">
        <f t="shared" si="11"/>
        <v>0</v>
      </c>
      <c r="AT33" s="40">
        <f t="shared" si="12"/>
        <v>0</v>
      </c>
      <c r="AW33" s="40">
        <f t="shared" si="13"/>
        <v>0</v>
      </c>
      <c r="AZ33" s="40">
        <f t="shared" si="14"/>
        <v>0</v>
      </c>
      <c r="BC33" s="40">
        <f t="shared" si="15"/>
        <v>0</v>
      </c>
      <c r="BF33" s="40">
        <f t="shared" si="16"/>
        <v>0</v>
      </c>
      <c r="BI33" s="40">
        <f t="shared" si="17"/>
        <v>0</v>
      </c>
      <c r="BL33" s="40">
        <f t="shared" si="18"/>
        <v>0</v>
      </c>
      <c r="BO33" s="40">
        <f t="shared" si="19"/>
        <v>0</v>
      </c>
      <c r="BR33" s="40">
        <f t="shared" si="20"/>
        <v>0</v>
      </c>
      <c r="BU33" s="40">
        <f t="shared" si="21"/>
        <v>0</v>
      </c>
      <c r="BX33" s="40">
        <f t="shared" si="22"/>
        <v>0</v>
      </c>
      <c r="CA33" s="40">
        <f t="shared" si="23"/>
        <v>0</v>
      </c>
      <c r="CD33" s="40">
        <f t="shared" si="24"/>
        <v>0</v>
      </c>
      <c r="CG33" s="40">
        <f t="shared" si="25"/>
        <v>0</v>
      </c>
      <c r="CJ33" s="40">
        <f t="shared" si="26"/>
        <v>0</v>
      </c>
      <c r="CM33" s="40">
        <f t="shared" si="27"/>
        <v>0</v>
      </c>
      <c r="CP33" s="40">
        <f t="shared" si="28"/>
        <v>0</v>
      </c>
      <c r="CS33" s="40">
        <f t="shared" si="29"/>
        <v>0</v>
      </c>
      <c r="CV33" s="40">
        <f t="shared" si="30"/>
        <v>0</v>
      </c>
      <c r="CY33" s="40">
        <f t="shared" si="31"/>
        <v>0</v>
      </c>
      <c r="DB33" s="40">
        <f t="shared" si="32"/>
        <v>0</v>
      </c>
      <c r="DE33" s="40">
        <f t="shared" si="33"/>
        <v>0</v>
      </c>
      <c r="DH33" s="40">
        <f t="shared" si="34"/>
        <v>0</v>
      </c>
      <c r="DK33" s="40">
        <f t="shared" si="35"/>
        <v>0</v>
      </c>
      <c r="DN33" s="40">
        <f t="shared" si="36"/>
        <v>0</v>
      </c>
      <c r="DQ33" s="40">
        <f t="shared" si="37"/>
        <v>0</v>
      </c>
      <c r="DT33" s="40">
        <f t="shared" si="38"/>
        <v>0</v>
      </c>
      <c r="DW33" s="40">
        <f t="shared" si="39"/>
        <v>0</v>
      </c>
      <c r="DZ33" s="40"/>
      <c r="EA33" s="40"/>
      <c r="EB33" s="75">
        <f t="shared" si="40"/>
        <v>67450000</v>
      </c>
      <c r="EC33" s="75">
        <f t="shared" si="41"/>
        <v>0</v>
      </c>
      <c r="ED33" s="40">
        <f t="shared" si="42"/>
        <v>4965.0694444444443</v>
      </c>
      <c r="EE33" s="41">
        <f t="shared" si="43"/>
        <v>2.6499999999999999E-2</v>
      </c>
      <c r="EG33" s="75">
        <f t="shared" si="44"/>
        <v>0</v>
      </c>
      <c r="EH33" s="40">
        <f t="shared" si="45"/>
        <v>0</v>
      </c>
      <c r="EI33" s="41">
        <f t="shared" si="46"/>
        <v>0</v>
      </c>
      <c r="EJ33" s="41"/>
      <c r="EK33" s="75">
        <f t="shared" si="47"/>
        <v>67450000</v>
      </c>
      <c r="EL33" s="75">
        <f t="shared" si="48"/>
        <v>0</v>
      </c>
      <c r="EM33" s="75">
        <f t="shared" si="49"/>
        <v>4965.0694444444443</v>
      </c>
      <c r="EN33" s="41">
        <f t="shared" si="50"/>
        <v>2.6499999999999999E-2</v>
      </c>
    </row>
    <row r="34" spans="1:144" x14ac:dyDescent="0.25">
      <c r="A34" s="25">
        <f t="shared" si="51"/>
        <v>43579</v>
      </c>
      <c r="D34" s="40">
        <f t="shared" si="0"/>
        <v>0</v>
      </c>
      <c r="G34" s="40">
        <f t="shared" si="1"/>
        <v>0</v>
      </c>
      <c r="J34" s="40">
        <f t="shared" si="2"/>
        <v>0</v>
      </c>
      <c r="M34" s="40">
        <f t="shared" si="3"/>
        <v>0</v>
      </c>
      <c r="P34" s="40">
        <f t="shared" si="4"/>
        <v>0</v>
      </c>
      <c r="S34" s="40">
        <f t="shared" si="5"/>
        <v>0</v>
      </c>
      <c r="V34" s="40">
        <f t="shared" si="6"/>
        <v>0</v>
      </c>
      <c r="Y34" s="40">
        <f t="shared" si="7"/>
        <v>0</v>
      </c>
      <c r="AB34" s="40">
        <f t="shared" si="8"/>
        <v>0</v>
      </c>
      <c r="AE34" s="40">
        <v>0</v>
      </c>
      <c r="AH34" s="40">
        <v>0</v>
      </c>
      <c r="AI34" s="73">
        <f>58275000</f>
        <v>58275000</v>
      </c>
      <c r="AJ34" s="74">
        <v>2.6499999999999999E-2</v>
      </c>
      <c r="AK34" s="40">
        <f t="shared" si="9"/>
        <v>4289.6875</v>
      </c>
      <c r="AN34" s="40">
        <f t="shared" si="10"/>
        <v>0</v>
      </c>
      <c r="AQ34" s="40">
        <f t="shared" si="11"/>
        <v>0</v>
      </c>
      <c r="AT34" s="40">
        <f t="shared" si="12"/>
        <v>0</v>
      </c>
      <c r="AW34" s="40">
        <f t="shared" si="13"/>
        <v>0</v>
      </c>
      <c r="AZ34" s="40">
        <f t="shared" si="14"/>
        <v>0</v>
      </c>
      <c r="BC34" s="40">
        <f t="shared" si="15"/>
        <v>0</v>
      </c>
      <c r="BF34" s="40">
        <f t="shared" si="16"/>
        <v>0</v>
      </c>
      <c r="BI34" s="40">
        <f t="shared" si="17"/>
        <v>0</v>
      </c>
      <c r="BL34" s="40">
        <f t="shared" si="18"/>
        <v>0</v>
      </c>
      <c r="BO34" s="40">
        <f t="shared" si="19"/>
        <v>0</v>
      </c>
      <c r="BR34" s="40">
        <f t="shared" si="20"/>
        <v>0</v>
      </c>
      <c r="BU34" s="40">
        <f t="shared" si="21"/>
        <v>0</v>
      </c>
      <c r="BX34" s="40">
        <f t="shared" si="22"/>
        <v>0</v>
      </c>
      <c r="CA34" s="40">
        <f t="shared" si="23"/>
        <v>0</v>
      </c>
      <c r="CD34" s="40">
        <f t="shared" si="24"/>
        <v>0</v>
      </c>
      <c r="CG34" s="40">
        <f t="shared" si="25"/>
        <v>0</v>
      </c>
      <c r="CJ34" s="40">
        <f t="shared" si="26"/>
        <v>0</v>
      </c>
      <c r="CM34" s="40">
        <f t="shared" si="27"/>
        <v>0</v>
      </c>
      <c r="CP34" s="40">
        <f t="shared" si="28"/>
        <v>0</v>
      </c>
      <c r="CS34" s="40">
        <f t="shared" si="29"/>
        <v>0</v>
      </c>
      <c r="CV34" s="40">
        <f t="shared" si="30"/>
        <v>0</v>
      </c>
      <c r="CY34" s="40">
        <f t="shared" si="31"/>
        <v>0</v>
      </c>
      <c r="DB34" s="40">
        <f t="shared" si="32"/>
        <v>0</v>
      </c>
      <c r="DE34" s="40">
        <f t="shared" si="33"/>
        <v>0</v>
      </c>
      <c r="DH34" s="40">
        <f t="shared" si="34"/>
        <v>0</v>
      </c>
      <c r="DK34" s="40">
        <f t="shared" si="35"/>
        <v>0</v>
      </c>
      <c r="DN34" s="40">
        <f t="shared" si="36"/>
        <v>0</v>
      </c>
      <c r="DQ34" s="40">
        <f t="shared" si="37"/>
        <v>0</v>
      </c>
      <c r="DT34" s="40">
        <f t="shared" si="38"/>
        <v>0</v>
      </c>
      <c r="DW34" s="40">
        <f t="shared" si="39"/>
        <v>0</v>
      </c>
      <c r="DZ34" s="40"/>
      <c r="EA34" s="40"/>
      <c r="EB34" s="75">
        <f t="shared" si="40"/>
        <v>58275000</v>
      </c>
      <c r="EC34" s="75">
        <f t="shared" si="41"/>
        <v>0</v>
      </c>
      <c r="ED34" s="40">
        <f t="shared" si="42"/>
        <v>4289.6875</v>
      </c>
      <c r="EE34" s="41">
        <f t="shared" si="43"/>
        <v>2.6499999999999999E-2</v>
      </c>
      <c r="EG34" s="75">
        <f t="shared" si="44"/>
        <v>0</v>
      </c>
      <c r="EH34" s="40">
        <f t="shared" si="45"/>
        <v>0</v>
      </c>
      <c r="EI34" s="41">
        <f t="shared" si="46"/>
        <v>0</v>
      </c>
      <c r="EJ34" s="41"/>
      <c r="EK34" s="75">
        <f t="shared" si="47"/>
        <v>58275000</v>
      </c>
      <c r="EL34" s="75">
        <f t="shared" si="48"/>
        <v>0</v>
      </c>
      <c r="EM34" s="75">
        <f t="shared" si="49"/>
        <v>4289.6875</v>
      </c>
      <c r="EN34" s="41">
        <f t="shared" si="50"/>
        <v>2.6499999999999999E-2</v>
      </c>
    </row>
    <row r="35" spans="1:144" x14ac:dyDescent="0.25">
      <c r="A35" s="25">
        <f t="shared" si="51"/>
        <v>43580</v>
      </c>
      <c r="D35" s="40">
        <f t="shared" si="0"/>
        <v>0</v>
      </c>
      <c r="G35" s="40">
        <f t="shared" si="1"/>
        <v>0</v>
      </c>
      <c r="J35" s="40">
        <f t="shared" si="2"/>
        <v>0</v>
      </c>
      <c r="M35" s="40">
        <f t="shared" si="3"/>
        <v>0</v>
      </c>
      <c r="P35" s="40">
        <f t="shared" si="4"/>
        <v>0</v>
      </c>
      <c r="S35" s="40">
        <f t="shared" si="5"/>
        <v>0</v>
      </c>
      <c r="V35" s="40">
        <f t="shared" si="6"/>
        <v>0</v>
      </c>
      <c r="Y35" s="40">
        <f t="shared" si="7"/>
        <v>0</v>
      </c>
      <c r="AB35" s="40">
        <f t="shared" si="8"/>
        <v>0</v>
      </c>
      <c r="AE35" s="40">
        <v>0</v>
      </c>
      <c r="AH35" s="40">
        <v>0</v>
      </c>
      <c r="AI35" s="73">
        <f>60175000</f>
        <v>60175000</v>
      </c>
      <c r="AJ35" s="74">
        <v>2.6499999999999999E-2</v>
      </c>
      <c r="AK35" s="40">
        <f t="shared" si="9"/>
        <v>4429.5486111111113</v>
      </c>
      <c r="AN35" s="40">
        <f t="shared" si="10"/>
        <v>0</v>
      </c>
      <c r="AQ35" s="40">
        <f t="shared" si="11"/>
        <v>0</v>
      </c>
      <c r="AT35" s="40">
        <f t="shared" si="12"/>
        <v>0</v>
      </c>
      <c r="AW35" s="40">
        <f t="shared" si="13"/>
        <v>0</v>
      </c>
      <c r="AZ35" s="40">
        <f t="shared" si="14"/>
        <v>0</v>
      </c>
      <c r="BC35" s="40">
        <f t="shared" si="15"/>
        <v>0</v>
      </c>
      <c r="BF35" s="40">
        <f t="shared" si="16"/>
        <v>0</v>
      </c>
      <c r="BI35" s="40">
        <f t="shared" si="17"/>
        <v>0</v>
      </c>
      <c r="BL35" s="40">
        <f t="shared" si="18"/>
        <v>0</v>
      </c>
      <c r="BO35" s="40">
        <f t="shared" si="19"/>
        <v>0</v>
      </c>
      <c r="BR35" s="40">
        <f t="shared" si="20"/>
        <v>0</v>
      </c>
      <c r="BU35" s="40">
        <f t="shared" si="21"/>
        <v>0</v>
      </c>
      <c r="BX35" s="40">
        <f t="shared" si="22"/>
        <v>0</v>
      </c>
      <c r="CA35" s="40">
        <f t="shared" si="23"/>
        <v>0</v>
      </c>
      <c r="CD35" s="40">
        <f t="shared" si="24"/>
        <v>0</v>
      </c>
      <c r="CG35" s="40">
        <f t="shared" si="25"/>
        <v>0</v>
      </c>
      <c r="CJ35" s="40">
        <f t="shared" si="26"/>
        <v>0</v>
      </c>
      <c r="CM35" s="40">
        <f t="shared" si="27"/>
        <v>0</v>
      </c>
      <c r="CP35" s="40">
        <f t="shared" si="28"/>
        <v>0</v>
      </c>
      <c r="CS35" s="40">
        <f t="shared" si="29"/>
        <v>0</v>
      </c>
      <c r="CV35" s="40">
        <f t="shared" si="30"/>
        <v>0</v>
      </c>
      <c r="CY35" s="40">
        <f t="shared" si="31"/>
        <v>0</v>
      </c>
      <c r="DB35" s="40">
        <f t="shared" si="32"/>
        <v>0</v>
      </c>
      <c r="DE35" s="40">
        <f t="shared" si="33"/>
        <v>0</v>
      </c>
      <c r="DH35" s="40">
        <f t="shared" si="34"/>
        <v>0</v>
      </c>
      <c r="DK35" s="40">
        <f t="shared" si="35"/>
        <v>0</v>
      </c>
      <c r="DN35" s="40">
        <f t="shared" si="36"/>
        <v>0</v>
      </c>
      <c r="DQ35" s="40">
        <f t="shared" si="37"/>
        <v>0</v>
      </c>
      <c r="DT35" s="40">
        <f t="shared" si="38"/>
        <v>0</v>
      </c>
      <c r="DW35" s="40">
        <f t="shared" si="39"/>
        <v>0</v>
      </c>
      <c r="DZ35" s="40"/>
      <c r="EA35" s="40"/>
      <c r="EB35" s="75">
        <f t="shared" si="40"/>
        <v>60175000</v>
      </c>
      <c r="EC35" s="75">
        <f t="shared" si="41"/>
        <v>0</v>
      </c>
      <c r="ED35" s="40">
        <f t="shared" si="42"/>
        <v>4429.5486111111113</v>
      </c>
      <c r="EE35" s="41">
        <f t="shared" si="43"/>
        <v>2.6499999999999999E-2</v>
      </c>
      <c r="EG35" s="75">
        <f t="shared" si="44"/>
        <v>0</v>
      </c>
      <c r="EH35" s="40">
        <f t="shared" si="45"/>
        <v>0</v>
      </c>
      <c r="EI35" s="41">
        <f t="shared" si="46"/>
        <v>0</v>
      </c>
      <c r="EJ35" s="41"/>
      <c r="EK35" s="75">
        <f t="shared" si="47"/>
        <v>60175000</v>
      </c>
      <c r="EL35" s="75">
        <f t="shared" si="48"/>
        <v>0</v>
      </c>
      <c r="EM35" s="75">
        <f t="shared" si="49"/>
        <v>4429.5486111111113</v>
      </c>
      <c r="EN35" s="41">
        <f t="shared" si="50"/>
        <v>2.6499999999999999E-2</v>
      </c>
    </row>
    <row r="36" spans="1:144" x14ac:dyDescent="0.25">
      <c r="A36" s="25">
        <f t="shared" si="51"/>
        <v>43581</v>
      </c>
      <c r="D36" s="40">
        <f t="shared" si="0"/>
        <v>0</v>
      </c>
      <c r="G36" s="40">
        <f t="shared" si="1"/>
        <v>0</v>
      </c>
      <c r="J36" s="40">
        <f t="shared" si="2"/>
        <v>0</v>
      </c>
      <c r="M36" s="40">
        <f t="shared" si="3"/>
        <v>0</v>
      </c>
      <c r="P36" s="40">
        <f t="shared" si="4"/>
        <v>0</v>
      </c>
      <c r="S36" s="40">
        <f t="shared" si="5"/>
        <v>0</v>
      </c>
      <c r="V36" s="40">
        <f t="shared" si="6"/>
        <v>0</v>
      </c>
      <c r="Y36" s="40">
        <f t="shared" si="7"/>
        <v>0</v>
      </c>
      <c r="AB36" s="40">
        <f t="shared" si="8"/>
        <v>0</v>
      </c>
      <c r="AE36" s="40">
        <v>0</v>
      </c>
      <c r="AH36" s="40">
        <v>0</v>
      </c>
      <c r="AI36" s="73">
        <f>74975000</f>
        <v>74975000</v>
      </c>
      <c r="AJ36" s="74">
        <v>2.6499999999999999E-2</v>
      </c>
      <c r="AK36" s="40">
        <f t="shared" si="9"/>
        <v>5518.9930555555557</v>
      </c>
      <c r="AN36" s="40">
        <f t="shared" si="10"/>
        <v>0</v>
      </c>
      <c r="AQ36" s="40">
        <f t="shared" si="11"/>
        <v>0</v>
      </c>
      <c r="AT36" s="40">
        <f t="shared" si="12"/>
        <v>0</v>
      </c>
      <c r="AW36" s="40">
        <f t="shared" si="13"/>
        <v>0</v>
      </c>
      <c r="AZ36" s="40">
        <f t="shared" si="14"/>
        <v>0</v>
      </c>
      <c r="BC36" s="40">
        <f t="shared" si="15"/>
        <v>0</v>
      </c>
      <c r="BF36" s="40">
        <f t="shared" si="16"/>
        <v>0</v>
      </c>
      <c r="BI36" s="40">
        <f t="shared" si="17"/>
        <v>0</v>
      </c>
      <c r="BL36" s="40">
        <f t="shared" si="18"/>
        <v>0</v>
      </c>
      <c r="BO36" s="40">
        <f t="shared" si="19"/>
        <v>0</v>
      </c>
      <c r="BR36" s="40">
        <f t="shared" si="20"/>
        <v>0</v>
      </c>
      <c r="BU36" s="40">
        <f t="shared" si="21"/>
        <v>0</v>
      </c>
      <c r="BX36" s="40">
        <f t="shared" si="22"/>
        <v>0</v>
      </c>
      <c r="CA36" s="40">
        <f t="shared" si="23"/>
        <v>0</v>
      </c>
      <c r="CD36" s="40">
        <f t="shared" si="24"/>
        <v>0</v>
      </c>
      <c r="CG36" s="40">
        <f t="shared" si="25"/>
        <v>0</v>
      </c>
      <c r="CJ36" s="40">
        <f t="shared" si="26"/>
        <v>0</v>
      </c>
      <c r="CM36" s="40">
        <f t="shared" si="27"/>
        <v>0</v>
      </c>
      <c r="CP36" s="40">
        <f t="shared" si="28"/>
        <v>0</v>
      </c>
      <c r="CS36" s="40">
        <f t="shared" si="29"/>
        <v>0</v>
      </c>
      <c r="CV36" s="40">
        <f t="shared" si="30"/>
        <v>0</v>
      </c>
      <c r="CY36" s="40">
        <f t="shared" si="31"/>
        <v>0</v>
      </c>
      <c r="DB36" s="40">
        <f t="shared" si="32"/>
        <v>0</v>
      </c>
      <c r="DE36" s="40">
        <f t="shared" si="33"/>
        <v>0</v>
      </c>
      <c r="DH36" s="40">
        <f t="shared" si="34"/>
        <v>0</v>
      </c>
      <c r="DK36" s="40">
        <f t="shared" si="35"/>
        <v>0</v>
      </c>
      <c r="DN36" s="40">
        <f t="shared" si="36"/>
        <v>0</v>
      </c>
      <c r="DQ36" s="40">
        <f t="shared" si="37"/>
        <v>0</v>
      </c>
      <c r="DT36" s="40">
        <f t="shared" si="38"/>
        <v>0</v>
      </c>
      <c r="DW36" s="40">
        <f t="shared" si="39"/>
        <v>0</v>
      </c>
      <c r="DZ36" s="40"/>
      <c r="EA36" s="40"/>
      <c r="EB36" s="75">
        <f t="shared" si="40"/>
        <v>74975000</v>
      </c>
      <c r="EC36" s="75">
        <f t="shared" si="41"/>
        <v>0</v>
      </c>
      <c r="ED36" s="40">
        <f t="shared" si="42"/>
        <v>5518.9930555555557</v>
      </c>
      <c r="EE36" s="41">
        <f t="shared" si="43"/>
        <v>2.6499999999999999E-2</v>
      </c>
      <c r="EG36" s="75">
        <f t="shared" si="44"/>
        <v>0</v>
      </c>
      <c r="EH36" s="40">
        <f t="shared" si="45"/>
        <v>0</v>
      </c>
      <c r="EI36" s="41">
        <f t="shared" si="46"/>
        <v>0</v>
      </c>
      <c r="EJ36" s="41"/>
      <c r="EK36" s="75">
        <f t="shared" si="47"/>
        <v>74975000</v>
      </c>
      <c r="EL36" s="75">
        <f t="shared" si="48"/>
        <v>0</v>
      </c>
      <c r="EM36" s="75">
        <f t="shared" si="49"/>
        <v>5518.9930555555557</v>
      </c>
      <c r="EN36" s="41">
        <f t="shared" si="50"/>
        <v>2.6499999999999999E-2</v>
      </c>
    </row>
    <row r="37" spans="1:144" x14ac:dyDescent="0.25">
      <c r="A37" s="25">
        <f t="shared" si="51"/>
        <v>43582</v>
      </c>
      <c r="D37" s="40">
        <f t="shared" si="0"/>
        <v>0</v>
      </c>
      <c r="G37" s="40">
        <f t="shared" si="1"/>
        <v>0</v>
      </c>
      <c r="J37" s="40">
        <f t="shared" si="2"/>
        <v>0</v>
      </c>
      <c r="M37" s="40">
        <f t="shared" si="3"/>
        <v>0</v>
      </c>
      <c r="P37" s="40">
        <f t="shared" si="4"/>
        <v>0</v>
      </c>
      <c r="S37" s="40">
        <f t="shared" si="5"/>
        <v>0</v>
      </c>
      <c r="V37" s="40">
        <f t="shared" si="6"/>
        <v>0</v>
      </c>
      <c r="Y37" s="40">
        <f t="shared" si="7"/>
        <v>0</v>
      </c>
      <c r="AB37" s="40">
        <f t="shared" si="8"/>
        <v>0</v>
      </c>
      <c r="AE37" s="40">
        <v>0</v>
      </c>
      <c r="AH37" s="40">
        <v>0</v>
      </c>
      <c r="AI37" s="73">
        <f>74975000</f>
        <v>74975000</v>
      </c>
      <c r="AJ37" s="74">
        <v>2.6499999999999999E-2</v>
      </c>
      <c r="AK37" s="40">
        <f t="shared" si="9"/>
        <v>5518.9930555555557</v>
      </c>
      <c r="AN37" s="40">
        <f t="shared" si="10"/>
        <v>0</v>
      </c>
      <c r="AQ37" s="40">
        <f t="shared" si="11"/>
        <v>0</v>
      </c>
      <c r="AT37" s="40">
        <f t="shared" si="12"/>
        <v>0</v>
      </c>
      <c r="AW37" s="40">
        <f t="shared" si="13"/>
        <v>0</v>
      </c>
      <c r="AZ37" s="40">
        <f t="shared" si="14"/>
        <v>0</v>
      </c>
      <c r="BC37" s="40">
        <f t="shared" si="15"/>
        <v>0</v>
      </c>
      <c r="BF37" s="40">
        <f t="shared" si="16"/>
        <v>0</v>
      </c>
      <c r="BI37" s="40">
        <f t="shared" si="17"/>
        <v>0</v>
      </c>
      <c r="BL37" s="40">
        <f t="shared" si="18"/>
        <v>0</v>
      </c>
      <c r="BO37" s="40">
        <f t="shared" si="19"/>
        <v>0</v>
      </c>
      <c r="BR37" s="40">
        <f t="shared" si="20"/>
        <v>0</v>
      </c>
      <c r="BU37" s="40">
        <f t="shared" si="21"/>
        <v>0</v>
      </c>
      <c r="BX37" s="40">
        <f t="shared" si="22"/>
        <v>0</v>
      </c>
      <c r="CA37" s="40">
        <f t="shared" si="23"/>
        <v>0</v>
      </c>
      <c r="CD37" s="40">
        <f t="shared" si="24"/>
        <v>0</v>
      </c>
      <c r="CG37" s="40">
        <f t="shared" si="25"/>
        <v>0</v>
      </c>
      <c r="CJ37" s="40">
        <f t="shared" si="26"/>
        <v>0</v>
      </c>
      <c r="CM37" s="40">
        <f t="shared" si="27"/>
        <v>0</v>
      </c>
      <c r="CP37" s="40">
        <f t="shared" si="28"/>
        <v>0</v>
      </c>
      <c r="CS37" s="40">
        <f t="shared" si="29"/>
        <v>0</v>
      </c>
      <c r="CV37" s="40">
        <f t="shared" si="30"/>
        <v>0</v>
      </c>
      <c r="CY37" s="40">
        <f t="shared" si="31"/>
        <v>0</v>
      </c>
      <c r="DB37" s="40">
        <f t="shared" si="32"/>
        <v>0</v>
      </c>
      <c r="DE37" s="40">
        <f t="shared" si="33"/>
        <v>0</v>
      </c>
      <c r="DH37" s="40">
        <f t="shared" si="34"/>
        <v>0</v>
      </c>
      <c r="DK37" s="40">
        <f t="shared" si="35"/>
        <v>0</v>
      </c>
      <c r="DN37" s="40">
        <f t="shared" si="36"/>
        <v>0</v>
      </c>
      <c r="DQ37" s="40">
        <f t="shared" si="37"/>
        <v>0</v>
      </c>
      <c r="DT37" s="40">
        <f t="shared" si="38"/>
        <v>0</v>
      </c>
      <c r="DW37" s="40">
        <f t="shared" si="39"/>
        <v>0</v>
      </c>
      <c r="DZ37" s="40"/>
      <c r="EA37" s="40"/>
      <c r="EB37" s="75">
        <f t="shared" si="40"/>
        <v>74975000</v>
      </c>
      <c r="EC37" s="75">
        <f t="shared" si="41"/>
        <v>0</v>
      </c>
      <c r="ED37" s="40">
        <f t="shared" si="42"/>
        <v>5518.9930555555557</v>
      </c>
      <c r="EE37" s="41">
        <f t="shared" si="43"/>
        <v>2.6499999999999999E-2</v>
      </c>
      <c r="EG37" s="75">
        <f t="shared" si="44"/>
        <v>0</v>
      </c>
      <c r="EH37" s="40">
        <f t="shared" si="45"/>
        <v>0</v>
      </c>
      <c r="EI37" s="41">
        <f t="shared" si="46"/>
        <v>0</v>
      </c>
      <c r="EJ37" s="41"/>
      <c r="EK37" s="75">
        <f t="shared" si="47"/>
        <v>74975000</v>
      </c>
      <c r="EL37" s="75">
        <f t="shared" si="48"/>
        <v>0</v>
      </c>
      <c r="EM37" s="75">
        <f t="shared" si="49"/>
        <v>5518.9930555555557</v>
      </c>
      <c r="EN37" s="41">
        <f t="shared" si="50"/>
        <v>2.6499999999999999E-2</v>
      </c>
    </row>
    <row r="38" spans="1:144" x14ac:dyDescent="0.25">
      <c r="A38" s="25">
        <f t="shared" si="51"/>
        <v>43583</v>
      </c>
      <c r="D38" s="40">
        <f t="shared" si="0"/>
        <v>0</v>
      </c>
      <c r="G38" s="40">
        <f t="shared" si="1"/>
        <v>0</v>
      </c>
      <c r="J38" s="40">
        <f t="shared" si="2"/>
        <v>0</v>
      </c>
      <c r="M38" s="40">
        <f t="shared" si="3"/>
        <v>0</v>
      </c>
      <c r="P38" s="40">
        <f t="shared" si="4"/>
        <v>0</v>
      </c>
      <c r="S38" s="40">
        <f t="shared" si="5"/>
        <v>0</v>
      </c>
      <c r="V38" s="40">
        <f t="shared" si="6"/>
        <v>0</v>
      </c>
      <c r="Y38" s="40">
        <f t="shared" si="7"/>
        <v>0</v>
      </c>
      <c r="AB38" s="40">
        <f t="shared" si="8"/>
        <v>0</v>
      </c>
      <c r="AE38" s="40">
        <v>0</v>
      </c>
      <c r="AH38" s="40">
        <v>0</v>
      </c>
      <c r="AI38" s="73">
        <f>74975000</f>
        <v>74975000</v>
      </c>
      <c r="AJ38" s="74">
        <v>2.6499999999999999E-2</v>
      </c>
      <c r="AK38" s="40">
        <f t="shared" si="9"/>
        <v>5518.9930555555557</v>
      </c>
      <c r="AN38" s="40">
        <f t="shared" si="10"/>
        <v>0</v>
      </c>
      <c r="AQ38" s="40">
        <f t="shared" si="11"/>
        <v>0</v>
      </c>
      <c r="AT38" s="40">
        <f t="shared" si="12"/>
        <v>0</v>
      </c>
      <c r="AW38" s="40">
        <f t="shared" si="13"/>
        <v>0</v>
      </c>
      <c r="AZ38" s="40">
        <f t="shared" si="14"/>
        <v>0</v>
      </c>
      <c r="BC38" s="40">
        <f t="shared" si="15"/>
        <v>0</v>
      </c>
      <c r="BF38" s="40">
        <f t="shared" si="16"/>
        <v>0</v>
      </c>
      <c r="BI38" s="40">
        <f t="shared" si="17"/>
        <v>0</v>
      </c>
      <c r="BL38" s="40">
        <f t="shared" si="18"/>
        <v>0</v>
      </c>
      <c r="BO38" s="40">
        <f t="shared" si="19"/>
        <v>0</v>
      </c>
      <c r="BR38" s="40">
        <f t="shared" si="20"/>
        <v>0</v>
      </c>
      <c r="BU38" s="40">
        <f t="shared" si="21"/>
        <v>0</v>
      </c>
      <c r="BX38" s="40">
        <f t="shared" si="22"/>
        <v>0</v>
      </c>
      <c r="CA38" s="40">
        <f t="shared" si="23"/>
        <v>0</v>
      </c>
      <c r="CD38" s="40">
        <f t="shared" si="24"/>
        <v>0</v>
      </c>
      <c r="CG38" s="40">
        <f t="shared" si="25"/>
        <v>0</v>
      </c>
      <c r="CJ38" s="40">
        <f t="shared" si="26"/>
        <v>0</v>
      </c>
      <c r="CM38" s="40">
        <f t="shared" si="27"/>
        <v>0</v>
      </c>
      <c r="CP38" s="40">
        <f t="shared" si="28"/>
        <v>0</v>
      </c>
      <c r="CS38" s="40">
        <f t="shared" si="29"/>
        <v>0</v>
      </c>
      <c r="CV38" s="40">
        <f t="shared" si="30"/>
        <v>0</v>
      </c>
      <c r="CY38" s="40">
        <f t="shared" si="31"/>
        <v>0</v>
      </c>
      <c r="DB38" s="40">
        <f t="shared" si="32"/>
        <v>0</v>
      </c>
      <c r="DE38" s="40">
        <f t="shared" si="33"/>
        <v>0</v>
      </c>
      <c r="DH38" s="40">
        <f t="shared" si="34"/>
        <v>0</v>
      </c>
      <c r="DK38" s="40">
        <f t="shared" si="35"/>
        <v>0</v>
      </c>
      <c r="DN38" s="40">
        <f t="shared" si="36"/>
        <v>0</v>
      </c>
      <c r="DQ38" s="40">
        <f t="shared" si="37"/>
        <v>0</v>
      </c>
      <c r="DT38" s="40">
        <f t="shared" si="38"/>
        <v>0</v>
      </c>
      <c r="DW38" s="40">
        <f t="shared" si="39"/>
        <v>0</v>
      </c>
      <c r="DZ38" s="40"/>
      <c r="EA38" s="40"/>
      <c r="EB38" s="75">
        <f t="shared" si="40"/>
        <v>74975000</v>
      </c>
      <c r="EC38" s="75">
        <f t="shared" si="41"/>
        <v>0</v>
      </c>
      <c r="ED38" s="40">
        <f t="shared" si="42"/>
        <v>5518.9930555555557</v>
      </c>
      <c r="EE38" s="41">
        <f t="shared" si="43"/>
        <v>2.6499999999999999E-2</v>
      </c>
      <c r="EG38" s="75">
        <f t="shared" si="44"/>
        <v>0</v>
      </c>
      <c r="EH38" s="40">
        <f t="shared" si="45"/>
        <v>0</v>
      </c>
      <c r="EI38" s="41">
        <f t="shared" si="46"/>
        <v>0</v>
      </c>
      <c r="EJ38" s="41"/>
      <c r="EK38" s="75">
        <f t="shared" si="47"/>
        <v>74975000</v>
      </c>
      <c r="EL38" s="75">
        <f t="shared" si="48"/>
        <v>0</v>
      </c>
      <c r="EM38" s="75">
        <f t="shared" si="49"/>
        <v>5518.9930555555557</v>
      </c>
      <c r="EN38" s="41">
        <f t="shared" si="50"/>
        <v>2.6499999999999999E-2</v>
      </c>
    </row>
    <row r="39" spans="1:144" x14ac:dyDescent="0.25">
      <c r="A39" s="25">
        <f t="shared" si="51"/>
        <v>43584</v>
      </c>
      <c r="D39" s="40">
        <f t="shared" si="0"/>
        <v>0</v>
      </c>
      <c r="G39" s="40">
        <f t="shared" si="1"/>
        <v>0</v>
      </c>
      <c r="J39" s="40">
        <f t="shared" si="2"/>
        <v>0</v>
      </c>
      <c r="M39" s="40">
        <f t="shared" si="3"/>
        <v>0</v>
      </c>
      <c r="P39" s="40">
        <f t="shared" si="4"/>
        <v>0</v>
      </c>
      <c r="S39" s="40">
        <f t="shared" si="5"/>
        <v>0</v>
      </c>
      <c r="V39" s="40">
        <f t="shared" si="6"/>
        <v>0</v>
      </c>
      <c r="Y39" s="40">
        <f t="shared" si="7"/>
        <v>0</v>
      </c>
      <c r="AB39" s="40">
        <f t="shared" si="8"/>
        <v>0</v>
      </c>
      <c r="AE39" s="40">
        <v>0</v>
      </c>
      <c r="AH39" s="40">
        <v>0</v>
      </c>
      <c r="AI39" s="73">
        <f>89950000</f>
        <v>89950000</v>
      </c>
      <c r="AJ39" s="74">
        <v>2.6499999999999999E-2</v>
      </c>
      <c r="AK39" s="40">
        <f t="shared" si="9"/>
        <v>6621.3194444444443</v>
      </c>
      <c r="AN39" s="40">
        <f t="shared" si="10"/>
        <v>0</v>
      </c>
      <c r="AQ39" s="40">
        <f t="shared" si="11"/>
        <v>0</v>
      </c>
      <c r="AT39" s="40">
        <f t="shared" si="12"/>
        <v>0</v>
      </c>
      <c r="AW39" s="40">
        <f t="shared" si="13"/>
        <v>0</v>
      </c>
      <c r="AZ39" s="40">
        <f t="shared" si="14"/>
        <v>0</v>
      </c>
      <c r="BC39" s="40">
        <f t="shared" si="15"/>
        <v>0</v>
      </c>
      <c r="BF39" s="40">
        <f t="shared" si="16"/>
        <v>0</v>
      </c>
      <c r="BI39" s="40">
        <f t="shared" si="17"/>
        <v>0</v>
      </c>
      <c r="BL39" s="40">
        <f t="shared" si="18"/>
        <v>0</v>
      </c>
      <c r="BO39" s="40">
        <f t="shared" si="19"/>
        <v>0</v>
      </c>
      <c r="BR39" s="40">
        <f t="shared" si="20"/>
        <v>0</v>
      </c>
      <c r="BU39" s="40">
        <f t="shared" si="21"/>
        <v>0</v>
      </c>
      <c r="BX39" s="40">
        <f t="shared" si="22"/>
        <v>0</v>
      </c>
      <c r="CA39" s="40">
        <f t="shared" si="23"/>
        <v>0</v>
      </c>
      <c r="CD39" s="40">
        <f t="shared" si="24"/>
        <v>0</v>
      </c>
      <c r="CG39" s="40">
        <f t="shared" si="25"/>
        <v>0</v>
      </c>
      <c r="CJ39" s="40">
        <f t="shared" si="26"/>
        <v>0</v>
      </c>
      <c r="CM39" s="40">
        <f t="shared" si="27"/>
        <v>0</v>
      </c>
      <c r="CP39" s="40">
        <f t="shared" si="28"/>
        <v>0</v>
      </c>
      <c r="CS39" s="40">
        <f t="shared" si="29"/>
        <v>0</v>
      </c>
      <c r="CV39" s="40">
        <f t="shared" si="30"/>
        <v>0</v>
      </c>
      <c r="CY39" s="40">
        <f t="shared" si="31"/>
        <v>0</v>
      </c>
      <c r="DB39" s="40">
        <f t="shared" si="32"/>
        <v>0</v>
      </c>
      <c r="DE39" s="40">
        <f t="shared" si="33"/>
        <v>0</v>
      </c>
      <c r="DH39" s="40">
        <f t="shared" si="34"/>
        <v>0</v>
      </c>
      <c r="DK39" s="40">
        <f t="shared" si="35"/>
        <v>0</v>
      </c>
      <c r="DN39" s="40">
        <f t="shared" si="36"/>
        <v>0</v>
      </c>
      <c r="DQ39" s="40">
        <f t="shared" si="37"/>
        <v>0</v>
      </c>
      <c r="DT39" s="40">
        <f t="shared" si="38"/>
        <v>0</v>
      </c>
      <c r="DW39" s="40">
        <f t="shared" si="39"/>
        <v>0</v>
      </c>
      <c r="DZ39" s="40"/>
      <c r="EA39" s="40"/>
      <c r="EB39" s="75">
        <f t="shared" si="40"/>
        <v>89950000</v>
      </c>
      <c r="EC39" s="75">
        <f t="shared" si="41"/>
        <v>0</v>
      </c>
      <c r="ED39" s="40">
        <f t="shared" si="42"/>
        <v>6621.3194444444443</v>
      </c>
      <c r="EE39" s="41">
        <f t="shared" si="43"/>
        <v>2.6499999999999999E-2</v>
      </c>
      <c r="EG39" s="75">
        <f t="shared" si="44"/>
        <v>0</v>
      </c>
      <c r="EH39" s="40">
        <f t="shared" si="45"/>
        <v>0</v>
      </c>
      <c r="EI39" s="41">
        <f t="shared" si="46"/>
        <v>0</v>
      </c>
      <c r="EJ39" s="41"/>
      <c r="EK39" s="75">
        <f t="shared" si="47"/>
        <v>89950000</v>
      </c>
      <c r="EL39" s="75">
        <f t="shared" si="48"/>
        <v>0</v>
      </c>
      <c r="EM39" s="75">
        <f t="shared" si="49"/>
        <v>6621.3194444444443</v>
      </c>
      <c r="EN39" s="41">
        <f t="shared" si="50"/>
        <v>2.6499999999999999E-2</v>
      </c>
    </row>
    <row r="40" spans="1:144" x14ac:dyDescent="0.25">
      <c r="A40" s="25">
        <f t="shared" si="51"/>
        <v>43585</v>
      </c>
      <c r="D40" s="40">
        <f t="shared" si="0"/>
        <v>0</v>
      </c>
      <c r="G40" s="40">
        <f t="shared" si="1"/>
        <v>0</v>
      </c>
      <c r="J40" s="40">
        <f t="shared" si="2"/>
        <v>0</v>
      </c>
      <c r="M40" s="40">
        <f t="shared" si="3"/>
        <v>0</v>
      </c>
      <c r="P40" s="40">
        <f t="shared" si="4"/>
        <v>0</v>
      </c>
      <c r="S40" s="40">
        <f t="shared" si="5"/>
        <v>0</v>
      </c>
      <c r="V40" s="40">
        <f t="shared" si="6"/>
        <v>0</v>
      </c>
      <c r="Y40" s="40">
        <f t="shared" si="7"/>
        <v>0</v>
      </c>
      <c r="AB40" s="40">
        <f t="shared" si="8"/>
        <v>0</v>
      </c>
      <c r="AE40" s="40">
        <v>0</v>
      </c>
      <c r="AH40" s="40">
        <v>0</v>
      </c>
      <c r="AI40" s="73">
        <f>92325000</f>
        <v>92325000</v>
      </c>
      <c r="AJ40" s="74">
        <v>2.6499999999999999E-2</v>
      </c>
      <c r="AK40" s="40">
        <f t="shared" si="9"/>
        <v>6796.145833333333</v>
      </c>
      <c r="AN40" s="40">
        <f t="shared" si="10"/>
        <v>0</v>
      </c>
      <c r="AQ40" s="40">
        <f t="shared" si="11"/>
        <v>0</v>
      </c>
      <c r="AT40" s="40">
        <f t="shared" si="12"/>
        <v>0</v>
      </c>
      <c r="AW40" s="40">
        <f t="shared" si="13"/>
        <v>0</v>
      </c>
      <c r="AZ40" s="40">
        <f t="shared" si="14"/>
        <v>0</v>
      </c>
      <c r="BC40" s="40">
        <f t="shared" si="15"/>
        <v>0</v>
      </c>
      <c r="BF40" s="40">
        <f t="shared" si="16"/>
        <v>0</v>
      </c>
      <c r="BI40" s="40">
        <f t="shared" si="17"/>
        <v>0</v>
      </c>
      <c r="BL40" s="40">
        <f t="shared" si="18"/>
        <v>0</v>
      </c>
      <c r="BO40" s="40">
        <f t="shared" si="19"/>
        <v>0</v>
      </c>
      <c r="BR40" s="40">
        <f t="shared" si="20"/>
        <v>0</v>
      </c>
      <c r="BU40" s="40">
        <f t="shared" si="21"/>
        <v>0</v>
      </c>
      <c r="BX40" s="40">
        <f t="shared" si="22"/>
        <v>0</v>
      </c>
      <c r="CA40" s="40">
        <f t="shared" si="23"/>
        <v>0</v>
      </c>
      <c r="CD40" s="40">
        <f t="shared" si="24"/>
        <v>0</v>
      </c>
      <c r="CG40" s="40">
        <f t="shared" si="25"/>
        <v>0</v>
      </c>
      <c r="CJ40" s="40">
        <f t="shared" si="26"/>
        <v>0</v>
      </c>
      <c r="CM40" s="40">
        <f t="shared" si="27"/>
        <v>0</v>
      </c>
      <c r="CP40" s="40">
        <f t="shared" si="28"/>
        <v>0</v>
      </c>
      <c r="CS40" s="40">
        <f t="shared" si="29"/>
        <v>0</v>
      </c>
      <c r="CV40" s="40">
        <f t="shared" si="30"/>
        <v>0</v>
      </c>
      <c r="CY40" s="40">
        <f t="shared" si="31"/>
        <v>0</v>
      </c>
      <c r="DB40" s="40">
        <f t="shared" si="32"/>
        <v>0</v>
      </c>
      <c r="DE40" s="40">
        <f t="shared" si="33"/>
        <v>0</v>
      </c>
      <c r="DH40" s="40">
        <f t="shared" si="34"/>
        <v>0</v>
      </c>
      <c r="DK40" s="40">
        <f t="shared" si="35"/>
        <v>0</v>
      </c>
      <c r="DN40" s="40">
        <f t="shared" si="36"/>
        <v>0</v>
      </c>
      <c r="DQ40" s="40">
        <f t="shared" si="37"/>
        <v>0</v>
      </c>
      <c r="DT40" s="40">
        <f t="shared" si="38"/>
        <v>0</v>
      </c>
      <c r="DW40" s="40">
        <f t="shared" si="39"/>
        <v>0</v>
      </c>
      <c r="DZ40" s="38"/>
      <c r="EA40" s="40"/>
      <c r="EB40" s="75">
        <f t="shared" si="40"/>
        <v>92325000</v>
      </c>
      <c r="EC40" s="75">
        <f t="shared" si="41"/>
        <v>0</v>
      </c>
      <c r="ED40" s="40">
        <f t="shared" si="42"/>
        <v>6796.145833333333</v>
      </c>
      <c r="EE40" s="41">
        <f t="shared" si="43"/>
        <v>2.6499999999999999E-2</v>
      </c>
      <c r="EG40" s="75">
        <f t="shared" si="44"/>
        <v>0</v>
      </c>
      <c r="EH40" s="40">
        <f t="shared" si="45"/>
        <v>0</v>
      </c>
      <c r="EI40" s="41">
        <f t="shared" si="46"/>
        <v>0</v>
      </c>
      <c r="EJ40" s="41"/>
      <c r="EK40" s="75">
        <f t="shared" si="47"/>
        <v>92325000</v>
      </c>
      <c r="EL40" s="75">
        <f t="shared" si="48"/>
        <v>0</v>
      </c>
      <c r="EM40" s="75">
        <f t="shared" si="49"/>
        <v>6796.145833333333</v>
      </c>
      <c r="EN40" s="41">
        <f t="shared" si="50"/>
        <v>2.6499999999999999E-2</v>
      </c>
    </row>
    <row r="41" spans="1:144" x14ac:dyDescent="0.25">
      <c r="A41" s="76" t="s">
        <v>75</v>
      </c>
      <c r="D41" s="77">
        <f>SUM(D11:D40)</f>
        <v>0</v>
      </c>
      <c r="G41" s="77">
        <f>SUM(G11:G40)</f>
        <v>0</v>
      </c>
      <c r="J41" s="77">
        <f>SUM(J11:J40)</f>
        <v>0</v>
      </c>
      <c r="M41" s="77">
        <f>SUM(M11:M40)</f>
        <v>0</v>
      </c>
      <c r="P41" s="77">
        <f>SUM(P11:P40)</f>
        <v>0</v>
      </c>
      <c r="S41" s="77">
        <f>SUM(S11:S40)</f>
        <v>0</v>
      </c>
      <c r="V41" s="77">
        <f>SUM(V11:V40)</f>
        <v>0</v>
      </c>
      <c r="Y41" s="77">
        <f>SUM(Y11:Y40)</f>
        <v>0</v>
      </c>
      <c r="AB41" s="77">
        <f>SUM(AB11:AB40)</f>
        <v>0</v>
      </c>
      <c r="AE41" s="77">
        <f>SUM(AE11:AE40)</f>
        <v>0</v>
      </c>
      <c r="AH41" s="77">
        <f>SUM(AH11:AH40)</f>
        <v>0</v>
      </c>
      <c r="AK41" s="77">
        <f>SUM(AK11:AK40)</f>
        <v>164073.71527777778</v>
      </c>
      <c r="AN41" s="77">
        <f>SUM(AN11:AN40)</f>
        <v>0</v>
      </c>
      <c r="AQ41" s="77">
        <f>SUM(AQ11:AQ40)</f>
        <v>0</v>
      </c>
      <c r="AT41" s="77">
        <f>SUM(AT11:AT40)</f>
        <v>0</v>
      </c>
      <c r="AW41" s="77">
        <f>SUM(AW11:AW40)</f>
        <v>0</v>
      </c>
      <c r="AZ41" s="77">
        <f>SUM(AZ11:AZ40)</f>
        <v>0</v>
      </c>
      <c r="BC41" s="77">
        <f>SUM(BC11:BC40)</f>
        <v>0</v>
      </c>
      <c r="BF41" s="77">
        <f>SUM(BF11:BF40)</f>
        <v>0</v>
      </c>
      <c r="BI41" s="77">
        <f>SUM(BI11:BI40)</f>
        <v>0</v>
      </c>
      <c r="BL41" s="77">
        <f>SUM(BL11:BL40)</f>
        <v>0</v>
      </c>
      <c r="BO41" s="77">
        <f>SUM(BO11:BO40)</f>
        <v>0</v>
      </c>
      <c r="BR41" s="77">
        <f>SUM(BR11:BR40)</f>
        <v>0</v>
      </c>
      <c r="BU41" s="77">
        <f>SUM(BU11:BU40)</f>
        <v>0</v>
      </c>
      <c r="BX41" s="77">
        <f>SUM(BX11:BX40)</f>
        <v>0</v>
      </c>
      <c r="CA41" s="77">
        <f>SUM(CA11:CA40)</f>
        <v>0</v>
      </c>
      <c r="CD41" s="77">
        <f>SUM(CD11:CD40)</f>
        <v>0</v>
      </c>
      <c r="CG41" s="77">
        <f>SUM(CG11:CG40)</f>
        <v>0</v>
      </c>
      <c r="CJ41" s="77">
        <f>SUM(CJ11:CJ40)</f>
        <v>0</v>
      </c>
      <c r="CM41" s="77">
        <f>SUM(CM11:CM40)</f>
        <v>0</v>
      </c>
      <c r="CP41" s="77">
        <f>SUM(CP11:CP40)</f>
        <v>0</v>
      </c>
      <c r="CS41" s="77">
        <f>SUM(CS11:CS40)</f>
        <v>0</v>
      </c>
      <c r="CV41" s="77">
        <f>SUM(CV11:CV40)</f>
        <v>0</v>
      </c>
      <c r="CY41" s="77">
        <f>SUM(CY11:CY40)</f>
        <v>0</v>
      </c>
      <c r="DB41" s="77">
        <f>SUM(DB11:DB40)</f>
        <v>0</v>
      </c>
      <c r="DE41" s="77">
        <f>SUM(DE11:DE40)</f>
        <v>0</v>
      </c>
      <c r="DH41" s="77">
        <f>SUM(DH11:DH40)</f>
        <v>0</v>
      </c>
      <c r="DK41" s="77">
        <f>SUM(DK11:DK40)</f>
        <v>0</v>
      </c>
      <c r="DN41" s="77">
        <f>SUM(DN11:DN40)</f>
        <v>0</v>
      </c>
      <c r="DQ41" s="77">
        <f>SUM(DQ11:DQ40)</f>
        <v>0</v>
      </c>
      <c r="DT41" s="77">
        <f>SUM(DT11:DT40)</f>
        <v>0</v>
      </c>
      <c r="DW41" s="77">
        <f>SUM(DW11:DW40)</f>
        <v>0</v>
      </c>
      <c r="DZ41" s="38"/>
      <c r="EA41" s="38"/>
      <c r="EB41" s="40"/>
      <c r="EC41" s="40"/>
      <c r="ED41" s="77">
        <f>SUM(ED11:ED40)</f>
        <v>164073.71527777778</v>
      </c>
      <c r="EE41" s="41"/>
      <c r="EG41" s="40"/>
      <c r="EH41" s="77">
        <f>SUM(EH11:EH40)</f>
        <v>0</v>
      </c>
      <c r="EI41" s="41"/>
      <c r="EJ41" s="41"/>
      <c r="EK41" s="40"/>
      <c r="EL41" s="40"/>
      <c r="EM41" s="77">
        <f>SUM(EM11:EM40)</f>
        <v>164073.71527777778</v>
      </c>
      <c r="EN41" s="41"/>
    </row>
    <row r="43" spans="1:144" x14ac:dyDescent="0.25">
      <c r="EM43" s="78"/>
    </row>
    <row r="44" spans="1:144" x14ac:dyDescent="0.25">
      <c r="EM44" s="40"/>
    </row>
    <row r="46" spans="1:144" x14ac:dyDescent="0.25">
      <c r="EM46" s="78"/>
    </row>
    <row r="48" spans="1:144" x14ac:dyDescent="0.25">
      <c r="EM48" s="4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EQ47"/>
  <sheetViews>
    <sheetView workbookViewId="0"/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EB41</f>
        <v>146425000</v>
      </c>
      <c r="EI2" s="38">
        <f>EG40</f>
        <v>0</v>
      </c>
      <c r="EM2" s="38"/>
      <c r="EN2" s="38">
        <f>EK41</f>
        <v>146425000</v>
      </c>
      <c r="EO2" s="31">
        <v>-50339.76</v>
      </c>
      <c r="EP2" s="31">
        <f>EN2+EO2</f>
        <v>146374660.24000001</v>
      </c>
      <c r="EQ2" s="31">
        <f>EE2+EO2</f>
        <v>146374660.24000001</v>
      </c>
    </row>
    <row r="3" spans="1:147" ht="16.5" thickTop="1" x14ac:dyDescent="0.25">
      <c r="A3" s="39" t="s">
        <v>166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AVERAGE(EB11:EB41)</f>
        <v>100534677.41935484</v>
      </c>
      <c r="EI3" s="38">
        <f>AVERAGE(EG11:EG40)</f>
        <v>0</v>
      </c>
      <c r="EM3" s="38"/>
      <c r="EN3" s="38">
        <f>AVERAGE(EK11:EK41)</f>
        <v>100534677.41935484</v>
      </c>
    </row>
    <row r="4" spans="1:147" x14ac:dyDescent="0.25">
      <c r="D4" s="24"/>
      <c r="E4" s="48" t="s">
        <v>98</v>
      </c>
      <c r="F4" s="38"/>
      <c r="G4" s="49">
        <f>EQ2</f>
        <v>146374660.24000001</v>
      </c>
      <c r="AI4" s="50" t="s">
        <v>102</v>
      </c>
      <c r="EB4" s="24" t="s">
        <v>103</v>
      </c>
      <c r="EC4" s="24"/>
      <c r="ED4" s="46"/>
      <c r="EE4" s="46">
        <f>IF(EE3=0,0,360*(AVERAGE(ED11:ED41)/EE3))</f>
        <v>2.6773610453783406E-2</v>
      </c>
      <c r="EI4" s="46">
        <f>IF(EI3=0,0,360*(AVERAGE(EH11:EH40)/EI3))</f>
        <v>0</v>
      </c>
      <c r="EM4" s="46"/>
      <c r="EN4" s="46">
        <f>IF(EN3=0,0,360*(AVERAGE(EM11:EM41)/EN3))</f>
        <v>2.6773610453783406E-2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100534677.41935484</v>
      </c>
      <c r="AI5" s="53" t="s">
        <v>93</v>
      </c>
      <c r="EB5" s="54" t="s">
        <v>105</v>
      </c>
      <c r="EC5" s="54"/>
      <c r="ED5" s="38"/>
      <c r="EE5" s="38">
        <f>MAX(EB11:EB41)</f>
        <v>146425000</v>
      </c>
      <c r="EI5" s="38">
        <f>MAX(EG11:EG40)</f>
        <v>0</v>
      </c>
      <c r="EM5" s="38"/>
      <c r="EN5" s="38">
        <f>MAX(EK11:EK41)</f>
        <v>146425000</v>
      </c>
    </row>
    <row r="6" spans="1:147" x14ac:dyDescent="0.25">
      <c r="D6" s="24"/>
      <c r="E6" s="48" t="s">
        <v>103</v>
      </c>
      <c r="F6" s="38"/>
      <c r="G6" s="55">
        <f>EE4</f>
        <v>2.6773610453783406E-2</v>
      </c>
    </row>
    <row r="7" spans="1:147" ht="16.5" thickBot="1" x14ac:dyDescent="0.3">
      <c r="D7" s="24"/>
      <c r="E7" s="56" t="s">
        <v>105</v>
      </c>
      <c r="F7" s="57"/>
      <c r="G7" s="58">
        <f>EE5</f>
        <v>146425000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43586</v>
      </c>
      <c r="B11" s="40">
        <v>0</v>
      </c>
      <c r="C11" s="41">
        <v>2.7838359999999999E-2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73">
        <f>88125000</f>
        <v>88125000</v>
      </c>
      <c r="AJ11" s="74">
        <v>2.6499999999999999E-2</v>
      </c>
      <c r="AK11" s="40">
        <f>(AI11*AJ11)/360</f>
        <v>6486.979166666667</v>
      </c>
      <c r="AL11" s="73"/>
      <c r="AM11" s="74"/>
      <c r="AN11" s="40">
        <f>(AL11*AM11)/360</f>
        <v>0</v>
      </c>
      <c r="AO11" s="73"/>
      <c r="AP11" s="74"/>
      <c r="AQ11" s="40">
        <f>(AO11*AP11)/360</f>
        <v>0</v>
      </c>
      <c r="AT11" s="40">
        <f>(AR11*AS11)/360</f>
        <v>0</v>
      </c>
      <c r="AW11" s="40">
        <f>(AU11*AV11)/360</f>
        <v>0</v>
      </c>
      <c r="AZ11" s="40">
        <f>(AX11*AY11)/360</f>
        <v>0</v>
      </c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88125000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6486.979166666667</v>
      </c>
      <c r="EE11" s="41">
        <f>IF(EB11&lt;&gt;0,((ED11/EB11)*360),0)</f>
        <v>2.6499999999999999E-2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88125000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6486.979166666667</v>
      </c>
      <c r="EN11" s="41">
        <f>IF(EK11&lt;&gt;0,((EM11/EK11)*360),0)</f>
        <v>2.6499999999999999E-2</v>
      </c>
    </row>
    <row r="12" spans="1:147" x14ac:dyDescent="0.25">
      <c r="A12" s="25">
        <f>1+A11</f>
        <v>43587</v>
      </c>
      <c r="B12" s="40">
        <v>0</v>
      </c>
      <c r="C12" s="41">
        <v>2.7802289999999997E-2</v>
      </c>
      <c r="D12" s="40">
        <f t="shared" ref="D12:D41" si="0">(B12*C12)/360</f>
        <v>0</v>
      </c>
      <c r="G12" s="40">
        <f t="shared" ref="G12:G41" si="1">(E12*F12)/360</f>
        <v>0</v>
      </c>
      <c r="J12" s="40">
        <f t="shared" ref="J12:J41" si="2">(H12*I12)/360</f>
        <v>0</v>
      </c>
      <c r="M12" s="40">
        <f t="shared" ref="M12:M41" si="3">(K12*L12)/360</f>
        <v>0</v>
      </c>
      <c r="P12" s="40">
        <f t="shared" ref="P12:P41" si="4">(N12*O12)/360</f>
        <v>0</v>
      </c>
      <c r="S12" s="40">
        <f t="shared" ref="S12:S41" si="5">(Q12*R12)/360</f>
        <v>0</v>
      </c>
      <c r="V12" s="40">
        <f t="shared" ref="V12:V41" si="6">(T12*U12)/360</f>
        <v>0</v>
      </c>
      <c r="Y12" s="40">
        <f t="shared" ref="Y12:Y41" si="7">(W12*X12)/360</f>
        <v>0</v>
      </c>
      <c r="AB12" s="40">
        <f t="shared" ref="AB12:AB41" si="8">(Z12*AA12)/360</f>
        <v>0</v>
      </c>
      <c r="AE12" s="40">
        <v>0</v>
      </c>
      <c r="AH12" s="40">
        <v>0</v>
      </c>
      <c r="AI12" s="73">
        <f>83150000</f>
        <v>83150000</v>
      </c>
      <c r="AJ12" s="74">
        <v>2.6499999999999999E-2</v>
      </c>
      <c r="AK12" s="40">
        <f t="shared" ref="AK12:AK41" si="9">(AI12*AJ12)/360</f>
        <v>6120.7638888888887</v>
      </c>
      <c r="AL12" s="73"/>
      <c r="AM12" s="74"/>
      <c r="AN12" s="40">
        <f t="shared" ref="AN12:AN41" si="10">(AL12*AM12)/360</f>
        <v>0</v>
      </c>
      <c r="AO12" s="73"/>
      <c r="AP12" s="74"/>
      <c r="AQ12" s="40">
        <f t="shared" ref="AQ12:AQ41" si="11">(AO12*AP12)/360</f>
        <v>0</v>
      </c>
      <c r="AT12" s="40">
        <f t="shared" ref="AT12:AT41" si="12">(AR12*AS12)/360</f>
        <v>0</v>
      </c>
      <c r="AW12" s="40">
        <f t="shared" ref="AW12:AW41" si="13">(AU12*AV12)/360</f>
        <v>0</v>
      </c>
      <c r="AZ12" s="40">
        <f t="shared" ref="AZ12:AZ41" si="14">(AX12*AY12)/360</f>
        <v>0</v>
      </c>
      <c r="BC12" s="40">
        <f t="shared" ref="BC12:BC41" si="15">(BA12*BB12)/360</f>
        <v>0</v>
      </c>
      <c r="BF12" s="40">
        <f t="shared" ref="BF12:BF41" si="16">(BD12*BE12)/360</f>
        <v>0</v>
      </c>
      <c r="BI12" s="40">
        <f t="shared" ref="BI12:BI41" si="17">(BG12*BH12)/360</f>
        <v>0</v>
      </c>
      <c r="BL12" s="40">
        <f t="shared" ref="BL12:BL41" si="18">(BJ12*BK12)/360</f>
        <v>0</v>
      </c>
      <c r="BO12" s="40">
        <f t="shared" ref="BO12:BO41" si="19">(BM12*BN12)/360</f>
        <v>0</v>
      </c>
      <c r="BR12" s="40">
        <f t="shared" ref="BR12:BR41" si="20">(BP12*BQ12)/360</f>
        <v>0</v>
      </c>
      <c r="BU12" s="40">
        <f t="shared" ref="BU12:BU41" si="21">(BS12*BT12)/360</f>
        <v>0</v>
      </c>
      <c r="BX12" s="40">
        <f t="shared" ref="BX12:BX41" si="22">(BV12*BW12)/360</f>
        <v>0</v>
      </c>
      <c r="CA12" s="40">
        <f t="shared" ref="CA12:CA41" si="23">(BY12*BZ12)/360</f>
        <v>0</v>
      </c>
      <c r="CD12" s="40">
        <f t="shared" ref="CD12:CD41" si="24">(CB12*CC12)/360</f>
        <v>0</v>
      </c>
      <c r="CG12" s="40">
        <f t="shared" ref="CG12:CG41" si="25">(CE12*CF12)/360</f>
        <v>0</v>
      </c>
      <c r="CJ12" s="40">
        <f t="shared" ref="CJ12:CJ41" si="26">(CH12*CI12)/360</f>
        <v>0</v>
      </c>
      <c r="CM12" s="40">
        <f t="shared" ref="CM12:CM41" si="27">(CK12*CL12)/360</f>
        <v>0</v>
      </c>
      <c r="CP12" s="40">
        <f t="shared" ref="CP12:CP41" si="28">(CN12*CO12)/360</f>
        <v>0</v>
      </c>
      <c r="CS12" s="40">
        <f t="shared" ref="CS12:CS41" si="29">(CQ12*CR12)/360</f>
        <v>0</v>
      </c>
      <c r="CV12" s="40">
        <f t="shared" ref="CV12:CV41" si="30">(CT12*CU12)/360</f>
        <v>0</v>
      </c>
      <c r="CY12" s="40">
        <f t="shared" ref="CY12:CY41" si="31">(CW12*CX12)/360</f>
        <v>0</v>
      </c>
      <c r="DB12" s="40">
        <f t="shared" ref="DB12:DB41" si="32">(CZ12*DA12)/360</f>
        <v>0</v>
      </c>
      <c r="DE12" s="40">
        <f t="shared" ref="DE12:DE41" si="33">(DC12*DD12)/360</f>
        <v>0</v>
      </c>
      <c r="DH12" s="40">
        <f t="shared" ref="DH12:DH41" si="34">(DF12*DG12)/360</f>
        <v>0</v>
      </c>
      <c r="DK12" s="40">
        <f t="shared" ref="DK12:DK41" si="35">(DI12*DJ12)/360</f>
        <v>0</v>
      </c>
      <c r="DN12" s="40">
        <f t="shared" ref="DN12:DN41" si="36">(DL12*DM12)/360</f>
        <v>0</v>
      </c>
      <c r="DQ12" s="40">
        <f t="shared" ref="DQ12:DQ41" si="37">(DO12*DP12)/360</f>
        <v>0</v>
      </c>
      <c r="DT12" s="40">
        <f t="shared" ref="DT12:DT41" si="38">(DR12*DS12)/360</f>
        <v>0</v>
      </c>
      <c r="DW12" s="40">
        <f t="shared" ref="DW12:DW41" si="39">(DU12*DV12)/360</f>
        <v>0</v>
      </c>
      <c r="DZ12" s="40"/>
      <c r="EA12" s="40"/>
      <c r="EB12" s="75">
        <f t="shared" ref="EB12:EB41" si="40">B12+E12+H12+K12+N12+Q12+T12+W12+Z12+AC12+AF12+AL12+AO12+AR12+AU12+AX12+BA12+BD12+BG12+DU12+AI12+DR12+DO12+DL12+DI12+DF12+DC12+CZ12+CW12+CT12+CQ12+CN12+CK12+CH12+CE12+CB12+BY12+BV12+BS12+BP12+BM12+BJ12</f>
        <v>83150000</v>
      </c>
      <c r="EC12" s="75">
        <f t="shared" ref="EC12:EC41" si="41">EB12-EK12+EL12</f>
        <v>0</v>
      </c>
      <c r="ED12" s="40">
        <f t="shared" ref="ED12:ED41" si="42">D12+G12+J12+M12+P12+S12+V12+Y12+AB12+AE12+AH12+AK12+AN12+AQ12+AT12+AW12+AZ12+BC12+BF12+BI12+DW12+DT12+DQ12+DN12+DK12+DH12+DE12+DB12+CY12+CV12+CS12+CP12+CM12+CJ12+CG12+CD12+CA12+BX12+BU12+BR12+BO12+BL12</f>
        <v>6120.7638888888887</v>
      </c>
      <c r="EE12" s="41">
        <f t="shared" ref="EE12:EE41" si="43">IF(EB12&lt;&gt;0,((ED12/EB12)*360),0)</f>
        <v>2.6499999999999999E-2</v>
      </c>
      <c r="EG12" s="75">
        <f t="shared" ref="EG12:EG41" si="44">Q12+T12+W12+Z12+AC12+AF12</f>
        <v>0</v>
      </c>
      <c r="EH12" s="40">
        <f t="shared" ref="EH12:EH41" si="45">S12+V12+Y12+AB12+AE12+AH12</f>
        <v>0</v>
      </c>
      <c r="EI12" s="41">
        <f t="shared" ref="EI12:EI41" si="46">IF(EG12&lt;&gt;0,((EH12/EG12)*360),0)</f>
        <v>0</v>
      </c>
      <c r="EJ12" s="41"/>
      <c r="EK12" s="75">
        <f t="shared" ref="EK12:EK41" si="47">DR12+DL12+DI12+DF12+DC12+CZ12+CW12+CT12+CQ12+CN12+CK12+CH12+CE12+CB12+BY12+BV12+BS12+BP12+BM12+BJ12+BG12+BD12+BA12+AX12+AU12+AR12+AO12+AL12+AI12+DO12</f>
        <v>83150000</v>
      </c>
      <c r="EL12" s="75">
        <f t="shared" ref="EL12:EL41" si="48">DX12</f>
        <v>0</v>
      </c>
      <c r="EM12" s="75">
        <f t="shared" ref="EM12:EM41" si="49">DT12+DQ12+DN12+DK12+DH12+DE12+DB12+CY12+CV12+CS12+CP12+CM12+CJ12+CG12+CD12+CA12+BX12+BU12+BR12+BO12+BL12+BI12+BF12+BC12+AZ12+AW12+AT12+AQ12+AN12+AK12</f>
        <v>6120.7638888888887</v>
      </c>
      <c r="EN12" s="41">
        <f t="shared" ref="EN12:EN41" si="50">IF(EK12&lt;&gt;0,((EM12/EK12)*360),0)</f>
        <v>2.6499999999999999E-2</v>
      </c>
    </row>
    <row r="13" spans="1:147" x14ac:dyDescent="0.25">
      <c r="A13" s="25">
        <f t="shared" ref="A13:A41" si="51">1+A12</f>
        <v>43588</v>
      </c>
      <c r="B13" s="40">
        <v>0</v>
      </c>
      <c r="C13" s="41">
        <v>2.76869E-2</v>
      </c>
      <c r="D13" s="40">
        <f t="shared" si="0"/>
        <v>0</v>
      </c>
      <c r="G13" s="40">
        <f t="shared" si="1"/>
        <v>0</v>
      </c>
      <c r="J13" s="40">
        <f t="shared" si="2"/>
        <v>0</v>
      </c>
      <c r="M13" s="40">
        <f t="shared" si="3"/>
        <v>0</v>
      </c>
      <c r="P13" s="40">
        <f t="shared" si="4"/>
        <v>0</v>
      </c>
      <c r="S13" s="40">
        <f t="shared" si="5"/>
        <v>0</v>
      </c>
      <c r="V13" s="40">
        <f t="shared" si="6"/>
        <v>0</v>
      </c>
      <c r="Y13" s="40">
        <f t="shared" si="7"/>
        <v>0</v>
      </c>
      <c r="AB13" s="40">
        <f t="shared" si="8"/>
        <v>0</v>
      </c>
      <c r="AE13" s="40">
        <v>0</v>
      </c>
      <c r="AH13" s="40">
        <v>0</v>
      </c>
      <c r="AI13" s="73">
        <f>87600000</f>
        <v>87600000</v>
      </c>
      <c r="AJ13" s="74">
        <v>2.6499999999999999E-2</v>
      </c>
      <c r="AK13" s="40">
        <f t="shared" si="9"/>
        <v>6448.333333333333</v>
      </c>
      <c r="AL13" s="73"/>
      <c r="AM13" s="74"/>
      <c r="AN13" s="40">
        <f t="shared" si="10"/>
        <v>0</v>
      </c>
      <c r="AO13" s="73"/>
      <c r="AP13" s="74"/>
      <c r="AQ13" s="40">
        <f t="shared" si="11"/>
        <v>0</v>
      </c>
      <c r="AT13" s="40">
        <f t="shared" si="12"/>
        <v>0</v>
      </c>
      <c r="AW13" s="40">
        <f t="shared" si="13"/>
        <v>0</v>
      </c>
      <c r="AZ13" s="40">
        <f t="shared" si="14"/>
        <v>0</v>
      </c>
      <c r="BC13" s="40">
        <f t="shared" si="15"/>
        <v>0</v>
      </c>
      <c r="BF13" s="40">
        <f t="shared" si="16"/>
        <v>0</v>
      </c>
      <c r="BI13" s="40">
        <f t="shared" si="17"/>
        <v>0</v>
      </c>
      <c r="BL13" s="40">
        <f t="shared" si="18"/>
        <v>0</v>
      </c>
      <c r="BO13" s="40">
        <f t="shared" si="19"/>
        <v>0</v>
      </c>
      <c r="BR13" s="40">
        <f t="shared" si="20"/>
        <v>0</v>
      </c>
      <c r="BU13" s="40">
        <f t="shared" si="21"/>
        <v>0</v>
      </c>
      <c r="BX13" s="40">
        <f t="shared" si="22"/>
        <v>0</v>
      </c>
      <c r="CA13" s="40">
        <f t="shared" si="23"/>
        <v>0</v>
      </c>
      <c r="CD13" s="40">
        <f t="shared" si="24"/>
        <v>0</v>
      </c>
      <c r="CG13" s="40">
        <f t="shared" si="25"/>
        <v>0</v>
      </c>
      <c r="CJ13" s="40">
        <f t="shared" si="26"/>
        <v>0</v>
      </c>
      <c r="CM13" s="40">
        <f t="shared" si="27"/>
        <v>0</v>
      </c>
      <c r="CP13" s="40">
        <f t="shared" si="28"/>
        <v>0</v>
      </c>
      <c r="CS13" s="40">
        <f t="shared" si="29"/>
        <v>0</v>
      </c>
      <c r="CV13" s="40">
        <f t="shared" si="30"/>
        <v>0</v>
      </c>
      <c r="CY13" s="40">
        <f t="shared" si="31"/>
        <v>0</v>
      </c>
      <c r="DB13" s="40">
        <f t="shared" si="32"/>
        <v>0</v>
      </c>
      <c r="DE13" s="40">
        <f t="shared" si="33"/>
        <v>0</v>
      </c>
      <c r="DH13" s="40">
        <f t="shared" si="34"/>
        <v>0</v>
      </c>
      <c r="DK13" s="40">
        <f t="shared" si="35"/>
        <v>0</v>
      </c>
      <c r="DN13" s="40">
        <f t="shared" si="36"/>
        <v>0</v>
      </c>
      <c r="DQ13" s="40">
        <f t="shared" si="37"/>
        <v>0</v>
      </c>
      <c r="DT13" s="40">
        <f t="shared" si="38"/>
        <v>0</v>
      </c>
      <c r="DW13" s="40">
        <f t="shared" si="39"/>
        <v>0</v>
      </c>
      <c r="DZ13" s="40"/>
      <c r="EA13" s="40"/>
      <c r="EB13" s="75">
        <f t="shared" si="40"/>
        <v>87600000</v>
      </c>
      <c r="EC13" s="75">
        <f t="shared" si="41"/>
        <v>0</v>
      </c>
      <c r="ED13" s="40">
        <f t="shared" si="42"/>
        <v>6448.333333333333</v>
      </c>
      <c r="EE13" s="41">
        <f t="shared" si="43"/>
        <v>2.6499999999999999E-2</v>
      </c>
      <c r="EG13" s="75">
        <f t="shared" si="44"/>
        <v>0</v>
      </c>
      <c r="EH13" s="40">
        <f t="shared" si="45"/>
        <v>0</v>
      </c>
      <c r="EI13" s="41">
        <f t="shared" si="46"/>
        <v>0</v>
      </c>
      <c r="EJ13" s="41"/>
      <c r="EK13" s="75">
        <f t="shared" si="47"/>
        <v>87600000</v>
      </c>
      <c r="EL13" s="75">
        <f t="shared" si="48"/>
        <v>0</v>
      </c>
      <c r="EM13" s="75">
        <f t="shared" si="49"/>
        <v>6448.333333333333</v>
      </c>
      <c r="EN13" s="41">
        <f t="shared" si="50"/>
        <v>2.6499999999999999E-2</v>
      </c>
    </row>
    <row r="14" spans="1:147" x14ac:dyDescent="0.25">
      <c r="A14" s="25">
        <f t="shared" si="51"/>
        <v>43589</v>
      </c>
      <c r="B14" s="40">
        <v>0</v>
      </c>
      <c r="C14" s="41">
        <v>2.76869E-2</v>
      </c>
      <c r="D14" s="40">
        <f t="shared" si="0"/>
        <v>0</v>
      </c>
      <c r="G14" s="40">
        <f t="shared" si="1"/>
        <v>0</v>
      </c>
      <c r="J14" s="40">
        <f t="shared" si="2"/>
        <v>0</v>
      </c>
      <c r="M14" s="40">
        <f t="shared" si="3"/>
        <v>0</v>
      </c>
      <c r="P14" s="40">
        <f t="shared" si="4"/>
        <v>0</v>
      </c>
      <c r="S14" s="40">
        <f t="shared" si="5"/>
        <v>0</v>
      </c>
      <c r="V14" s="40">
        <f t="shared" si="6"/>
        <v>0</v>
      </c>
      <c r="Y14" s="40">
        <f t="shared" si="7"/>
        <v>0</v>
      </c>
      <c r="AB14" s="40">
        <f t="shared" si="8"/>
        <v>0</v>
      </c>
      <c r="AE14" s="40">
        <v>0</v>
      </c>
      <c r="AH14" s="40">
        <v>0</v>
      </c>
      <c r="AI14" s="73">
        <f>87600000</f>
        <v>87600000</v>
      </c>
      <c r="AJ14" s="74">
        <v>2.6499999999999999E-2</v>
      </c>
      <c r="AK14" s="40">
        <f t="shared" si="9"/>
        <v>6448.333333333333</v>
      </c>
      <c r="AL14" s="73"/>
      <c r="AM14" s="74"/>
      <c r="AN14" s="40">
        <f t="shared" si="10"/>
        <v>0</v>
      </c>
      <c r="AO14" s="73"/>
      <c r="AP14" s="74"/>
      <c r="AQ14" s="40">
        <f t="shared" si="11"/>
        <v>0</v>
      </c>
      <c r="AT14" s="40">
        <f t="shared" si="12"/>
        <v>0</v>
      </c>
      <c r="AW14" s="40">
        <f t="shared" si="13"/>
        <v>0</v>
      </c>
      <c r="AZ14" s="40">
        <f t="shared" si="14"/>
        <v>0</v>
      </c>
      <c r="BC14" s="40">
        <f t="shared" si="15"/>
        <v>0</v>
      </c>
      <c r="BF14" s="40">
        <f t="shared" si="16"/>
        <v>0</v>
      </c>
      <c r="BI14" s="40">
        <f t="shared" si="17"/>
        <v>0</v>
      </c>
      <c r="BL14" s="40">
        <f t="shared" si="18"/>
        <v>0</v>
      </c>
      <c r="BO14" s="40">
        <f t="shared" si="19"/>
        <v>0</v>
      </c>
      <c r="BR14" s="40">
        <f t="shared" si="20"/>
        <v>0</v>
      </c>
      <c r="BU14" s="40">
        <f t="shared" si="21"/>
        <v>0</v>
      </c>
      <c r="BX14" s="40">
        <f t="shared" si="22"/>
        <v>0</v>
      </c>
      <c r="CA14" s="40">
        <f t="shared" si="23"/>
        <v>0</v>
      </c>
      <c r="CD14" s="40">
        <f t="shared" si="24"/>
        <v>0</v>
      </c>
      <c r="CG14" s="40">
        <f t="shared" si="25"/>
        <v>0</v>
      </c>
      <c r="CJ14" s="40">
        <f t="shared" si="26"/>
        <v>0</v>
      </c>
      <c r="CM14" s="40">
        <f t="shared" si="27"/>
        <v>0</v>
      </c>
      <c r="CP14" s="40">
        <f t="shared" si="28"/>
        <v>0</v>
      </c>
      <c r="CS14" s="40">
        <f t="shared" si="29"/>
        <v>0</v>
      </c>
      <c r="CV14" s="40">
        <f t="shared" si="30"/>
        <v>0</v>
      </c>
      <c r="CY14" s="40">
        <f t="shared" si="31"/>
        <v>0</v>
      </c>
      <c r="DB14" s="40">
        <f t="shared" si="32"/>
        <v>0</v>
      </c>
      <c r="DE14" s="40">
        <f t="shared" si="33"/>
        <v>0</v>
      </c>
      <c r="DH14" s="40">
        <f t="shared" si="34"/>
        <v>0</v>
      </c>
      <c r="DK14" s="40">
        <f t="shared" si="35"/>
        <v>0</v>
      </c>
      <c r="DN14" s="40">
        <f t="shared" si="36"/>
        <v>0</v>
      </c>
      <c r="DQ14" s="40">
        <f t="shared" si="37"/>
        <v>0</v>
      </c>
      <c r="DT14" s="40">
        <f t="shared" si="38"/>
        <v>0</v>
      </c>
      <c r="DW14" s="40">
        <f t="shared" si="39"/>
        <v>0</v>
      </c>
      <c r="DZ14" s="40"/>
      <c r="EA14" s="40"/>
      <c r="EB14" s="75">
        <f t="shared" si="40"/>
        <v>87600000</v>
      </c>
      <c r="EC14" s="75">
        <f t="shared" si="41"/>
        <v>0</v>
      </c>
      <c r="ED14" s="40">
        <f t="shared" si="42"/>
        <v>6448.333333333333</v>
      </c>
      <c r="EE14" s="41">
        <f t="shared" si="43"/>
        <v>2.6499999999999999E-2</v>
      </c>
      <c r="EG14" s="75">
        <f t="shared" si="44"/>
        <v>0</v>
      </c>
      <c r="EH14" s="40">
        <f t="shared" si="45"/>
        <v>0</v>
      </c>
      <c r="EI14" s="41">
        <f t="shared" si="46"/>
        <v>0</v>
      </c>
      <c r="EJ14" s="41"/>
      <c r="EK14" s="75">
        <f t="shared" si="47"/>
        <v>87600000</v>
      </c>
      <c r="EL14" s="75">
        <f t="shared" si="48"/>
        <v>0</v>
      </c>
      <c r="EM14" s="75">
        <f t="shared" si="49"/>
        <v>6448.333333333333</v>
      </c>
      <c r="EN14" s="41">
        <f t="shared" si="50"/>
        <v>2.6499999999999999E-2</v>
      </c>
    </row>
    <row r="15" spans="1:147" x14ac:dyDescent="0.25">
      <c r="A15" s="25">
        <f t="shared" si="51"/>
        <v>43590</v>
      </c>
      <c r="B15" s="40">
        <v>0</v>
      </c>
      <c r="C15" s="41">
        <v>2.76869E-2</v>
      </c>
      <c r="D15" s="40">
        <f t="shared" si="0"/>
        <v>0</v>
      </c>
      <c r="G15" s="40">
        <f t="shared" si="1"/>
        <v>0</v>
      </c>
      <c r="J15" s="40">
        <f t="shared" si="2"/>
        <v>0</v>
      </c>
      <c r="M15" s="40">
        <f t="shared" si="3"/>
        <v>0</v>
      </c>
      <c r="P15" s="40">
        <f t="shared" si="4"/>
        <v>0</v>
      </c>
      <c r="S15" s="40">
        <f t="shared" si="5"/>
        <v>0</v>
      </c>
      <c r="V15" s="40">
        <f t="shared" si="6"/>
        <v>0</v>
      </c>
      <c r="Y15" s="40">
        <f t="shared" si="7"/>
        <v>0</v>
      </c>
      <c r="AB15" s="40">
        <f t="shared" si="8"/>
        <v>0</v>
      </c>
      <c r="AE15" s="40">
        <v>0</v>
      </c>
      <c r="AH15" s="40">
        <v>0</v>
      </c>
      <c r="AI15" s="73">
        <f>87600000</f>
        <v>87600000</v>
      </c>
      <c r="AJ15" s="74">
        <v>2.6499999999999999E-2</v>
      </c>
      <c r="AK15" s="40">
        <f t="shared" si="9"/>
        <v>6448.333333333333</v>
      </c>
      <c r="AL15" s="73"/>
      <c r="AM15" s="74"/>
      <c r="AN15" s="40">
        <f t="shared" si="10"/>
        <v>0</v>
      </c>
      <c r="AO15" s="73"/>
      <c r="AP15" s="74"/>
      <c r="AQ15" s="40">
        <f t="shared" si="11"/>
        <v>0</v>
      </c>
      <c r="AT15" s="40">
        <f t="shared" si="12"/>
        <v>0</v>
      </c>
      <c r="AW15" s="40">
        <f t="shared" si="13"/>
        <v>0</v>
      </c>
      <c r="AZ15" s="40">
        <f t="shared" si="14"/>
        <v>0</v>
      </c>
      <c r="BC15" s="40">
        <f t="shared" si="15"/>
        <v>0</v>
      </c>
      <c r="BF15" s="40">
        <f t="shared" si="16"/>
        <v>0</v>
      </c>
      <c r="BI15" s="40">
        <f t="shared" si="17"/>
        <v>0</v>
      </c>
      <c r="BL15" s="40">
        <f t="shared" si="18"/>
        <v>0</v>
      </c>
      <c r="BO15" s="40">
        <f t="shared" si="19"/>
        <v>0</v>
      </c>
      <c r="BR15" s="40">
        <f t="shared" si="20"/>
        <v>0</v>
      </c>
      <c r="BU15" s="40">
        <f t="shared" si="21"/>
        <v>0</v>
      </c>
      <c r="BX15" s="40">
        <f t="shared" si="22"/>
        <v>0</v>
      </c>
      <c r="CA15" s="40">
        <f t="shared" si="23"/>
        <v>0</v>
      </c>
      <c r="CD15" s="40">
        <f t="shared" si="24"/>
        <v>0</v>
      </c>
      <c r="CG15" s="40">
        <f t="shared" si="25"/>
        <v>0</v>
      </c>
      <c r="CJ15" s="40">
        <f t="shared" si="26"/>
        <v>0</v>
      </c>
      <c r="CM15" s="40">
        <f t="shared" si="27"/>
        <v>0</v>
      </c>
      <c r="CP15" s="40">
        <f t="shared" si="28"/>
        <v>0</v>
      </c>
      <c r="CS15" s="40">
        <f t="shared" si="29"/>
        <v>0</v>
      </c>
      <c r="CV15" s="40">
        <f t="shared" si="30"/>
        <v>0</v>
      </c>
      <c r="CY15" s="40">
        <f t="shared" si="31"/>
        <v>0</v>
      </c>
      <c r="DB15" s="40">
        <f t="shared" si="32"/>
        <v>0</v>
      </c>
      <c r="DE15" s="40">
        <f t="shared" si="33"/>
        <v>0</v>
      </c>
      <c r="DH15" s="40">
        <f t="shared" si="34"/>
        <v>0</v>
      </c>
      <c r="DK15" s="40">
        <f t="shared" si="35"/>
        <v>0</v>
      </c>
      <c r="DN15" s="40">
        <f t="shared" si="36"/>
        <v>0</v>
      </c>
      <c r="DQ15" s="40">
        <f t="shared" si="37"/>
        <v>0</v>
      </c>
      <c r="DT15" s="40">
        <f t="shared" si="38"/>
        <v>0</v>
      </c>
      <c r="DW15" s="40">
        <f t="shared" si="39"/>
        <v>0</v>
      </c>
      <c r="DZ15" s="40"/>
      <c r="EA15" s="40"/>
      <c r="EB15" s="75">
        <f t="shared" si="40"/>
        <v>87600000</v>
      </c>
      <c r="EC15" s="75">
        <f t="shared" si="41"/>
        <v>0</v>
      </c>
      <c r="ED15" s="40">
        <f t="shared" si="42"/>
        <v>6448.333333333333</v>
      </c>
      <c r="EE15" s="41">
        <f t="shared" si="43"/>
        <v>2.6499999999999999E-2</v>
      </c>
      <c r="EG15" s="75">
        <f t="shared" si="44"/>
        <v>0</v>
      </c>
      <c r="EH15" s="40">
        <f t="shared" si="45"/>
        <v>0</v>
      </c>
      <c r="EI15" s="41">
        <f t="shared" si="46"/>
        <v>0</v>
      </c>
      <c r="EJ15" s="41"/>
      <c r="EK15" s="75">
        <f t="shared" si="47"/>
        <v>87600000</v>
      </c>
      <c r="EL15" s="75">
        <f t="shared" si="48"/>
        <v>0</v>
      </c>
      <c r="EM15" s="75">
        <f t="shared" si="49"/>
        <v>6448.333333333333</v>
      </c>
      <c r="EN15" s="41">
        <f t="shared" si="50"/>
        <v>2.6499999999999999E-2</v>
      </c>
    </row>
    <row r="16" spans="1:147" x14ac:dyDescent="0.25">
      <c r="A16" s="25">
        <f t="shared" si="51"/>
        <v>43591</v>
      </c>
      <c r="B16" s="40">
        <v>0</v>
      </c>
      <c r="C16" s="41">
        <v>2.7551160000000002E-2</v>
      </c>
      <c r="D16" s="40">
        <f t="shared" si="0"/>
        <v>0</v>
      </c>
      <c r="G16" s="40">
        <f t="shared" si="1"/>
        <v>0</v>
      </c>
      <c r="J16" s="40">
        <f t="shared" si="2"/>
        <v>0</v>
      </c>
      <c r="M16" s="40">
        <f t="shared" si="3"/>
        <v>0</v>
      </c>
      <c r="P16" s="40">
        <f t="shared" si="4"/>
        <v>0</v>
      </c>
      <c r="S16" s="40">
        <f t="shared" si="5"/>
        <v>0</v>
      </c>
      <c r="V16" s="40">
        <f t="shared" si="6"/>
        <v>0</v>
      </c>
      <c r="Y16" s="40">
        <f t="shared" si="7"/>
        <v>0</v>
      </c>
      <c r="AB16" s="40">
        <f t="shared" si="8"/>
        <v>0</v>
      </c>
      <c r="AE16" s="40">
        <v>0</v>
      </c>
      <c r="AH16" s="40">
        <v>0</v>
      </c>
      <c r="AI16" s="73">
        <f>87850000</f>
        <v>87850000</v>
      </c>
      <c r="AJ16" s="74">
        <v>2.6499999999999999E-2</v>
      </c>
      <c r="AK16" s="40">
        <f t="shared" si="9"/>
        <v>6466.7361111111113</v>
      </c>
      <c r="AL16" s="73"/>
      <c r="AM16" s="74"/>
      <c r="AN16" s="40">
        <f t="shared" si="10"/>
        <v>0</v>
      </c>
      <c r="AO16" s="73"/>
      <c r="AP16" s="74"/>
      <c r="AQ16" s="40">
        <f t="shared" si="11"/>
        <v>0</v>
      </c>
      <c r="AT16" s="40">
        <f t="shared" si="12"/>
        <v>0</v>
      </c>
      <c r="AW16" s="40">
        <f t="shared" si="13"/>
        <v>0</v>
      </c>
      <c r="AZ16" s="40">
        <f t="shared" si="14"/>
        <v>0</v>
      </c>
      <c r="BC16" s="40">
        <f t="shared" si="15"/>
        <v>0</v>
      </c>
      <c r="BF16" s="40">
        <f t="shared" si="16"/>
        <v>0</v>
      </c>
      <c r="BI16" s="40">
        <f t="shared" si="17"/>
        <v>0</v>
      </c>
      <c r="BL16" s="40">
        <f t="shared" si="18"/>
        <v>0</v>
      </c>
      <c r="BO16" s="40">
        <f t="shared" si="19"/>
        <v>0</v>
      </c>
      <c r="BR16" s="40">
        <f t="shared" si="20"/>
        <v>0</v>
      </c>
      <c r="BU16" s="40">
        <f t="shared" si="21"/>
        <v>0</v>
      </c>
      <c r="BX16" s="40">
        <f t="shared" si="22"/>
        <v>0</v>
      </c>
      <c r="CA16" s="40">
        <f t="shared" si="23"/>
        <v>0</v>
      </c>
      <c r="CD16" s="40">
        <f t="shared" si="24"/>
        <v>0</v>
      </c>
      <c r="CG16" s="40">
        <f t="shared" si="25"/>
        <v>0</v>
      </c>
      <c r="CJ16" s="40">
        <f t="shared" si="26"/>
        <v>0</v>
      </c>
      <c r="CM16" s="40">
        <f t="shared" si="27"/>
        <v>0</v>
      </c>
      <c r="CP16" s="40">
        <f t="shared" si="28"/>
        <v>0</v>
      </c>
      <c r="CS16" s="40">
        <f t="shared" si="29"/>
        <v>0</v>
      </c>
      <c r="CV16" s="40">
        <f t="shared" si="30"/>
        <v>0</v>
      </c>
      <c r="CY16" s="40">
        <f t="shared" si="31"/>
        <v>0</v>
      </c>
      <c r="DB16" s="40">
        <f t="shared" si="32"/>
        <v>0</v>
      </c>
      <c r="DE16" s="40">
        <f t="shared" si="33"/>
        <v>0</v>
      </c>
      <c r="DH16" s="40">
        <f t="shared" si="34"/>
        <v>0</v>
      </c>
      <c r="DK16" s="40">
        <f t="shared" si="35"/>
        <v>0</v>
      </c>
      <c r="DN16" s="40">
        <f t="shared" si="36"/>
        <v>0</v>
      </c>
      <c r="DQ16" s="40">
        <f t="shared" si="37"/>
        <v>0</v>
      </c>
      <c r="DT16" s="40">
        <f t="shared" si="38"/>
        <v>0</v>
      </c>
      <c r="DW16" s="40">
        <f t="shared" si="39"/>
        <v>0</v>
      </c>
      <c r="DZ16" s="40"/>
      <c r="EA16" s="40"/>
      <c r="EB16" s="75">
        <f t="shared" si="40"/>
        <v>87850000</v>
      </c>
      <c r="EC16" s="75">
        <f t="shared" si="41"/>
        <v>0</v>
      </c>
      <c r="ED16" s="40">
        <f t="shared" si="42"/>
        <v>6466.7361111111113</v>
      </c>
      <c r="EE16" s="41">
        <f t="shared" si="43"/>
        <v>2.6499999999999999E-2</v>
      </c>
      <c r="EG16" s="75">
        <f t="shared" si="44"/>
        <v>0</v>
      </c>
      <c r="EH16" s="40">
        <f t="shared" si="45"/>
        <v>0</v>
      </c>
      <c r="EI16" s="41">
        <f t="shared" si="46"/>
        <v>0</v>
      </c>
      <c r="EJ16" s="41"/>
      <c r="EK16" s="75">
        <f t="shared" si="47"/>
        <v>87850000</v>
      </c>
      <c r="EL16" s="75">
        <f t="shared" si="48"/>
        <v>0</v>
      </c>
      <c r="EM16" s="75">
        <f t="shared" si="49"/>
        <v>6466.7361111111113</v>
      </c>
      <c r="EN16" s="41">
        <f t="shared" si="50"/>
        <v>2.6499999999999999E-2</v>
      </c>
    </row>
    <row r="17" spans="1:144" x14ac:dyDescent="0.25">
      <c r="A17" s="25">
        <f t="shared" si="51"/>
        <v>43592</v>
      </c>
      <c r="B17" s="40">
        <v>0</v>
      </c>
      <c r="C17" s="41">
        <v>2.7643559999999998E-2</v>
      </c>
      <c r="D17" s="40">
        <f t="shared" si="0"/>
        <v>0</v>
      </c>
      <c r="G17" s="40">
        <f t="shared" si="1"/>
        <v>0</v>
      </c>
      <c r="J17" s="40">
        <f t="shared" si="2"/>
        <v>0</v>
      </c>
      <c r="M17" s="40">
        <f t="shared" si="3"/>
        <v>0</v>
      </c>
      <c r="P17" s="40">
        <f t="shared" si="4"/>
        <v>0</v>
      </c>
      <c r="S17" s="40">
        <f t="shared" si="5"/>
        <v>0</v>
      </c>
      <c r="V17" s="40">
        <f t="shared" si="6"/>
        <v>0</v>
      </c>
      <c r="Y17" s="40">
        <f t="shared" si="7"/>
        <v>0</v>
      </c>
      <c r="AB17" s="40">
        <f t="shared" si="8"/>
        <v>0</v>
      </c>
      <c r="AE17" s="40">
        <v>0</v>
      </c>
      <c r="AH17" s="40">
        <v>0</v>
      </c>
      <c r="AI17" s="73">
        <f>60425000</f>
        <v>60425000</v>
      </c>
      <c r="AJ17" s="74">
        <v>2.6499999999999999E-2</v>
      </c>
      <c r="AK17" s="40">
        <f t="shared" si="9"/>
        <v>4447.9513888888887</v>
      </c>
      <c r="AL17" s="73">
        <f t="shared" ref="AL17:AL41" si="52">25000000</f>
        <v>25000000</v>
      </c>
      <c r="AM17" s="74">
        <v>2.75E-2</v>
      </c>
      <c r="AN17" s="40">
        <f t="shared" si="10"/>
        <v>1909.7222222222222</v>
      </c>
      <c r="AO17" s="73"/>
      <c r="AP17" s="74"/>
      <c r="AQ17" s="40">
        <f t="shared" si="11"/>
        <v>0</v>
      </c>
      <c r="AT17" s="40">
        <f t="shared" si="12"/>
        <v>0</v>
      </c>
      <c r="AW17" s="40">
        <f t="shared" si="13"/>
        <v>0</v>
      </c>
      <c r="AZ17" s="40">
        <f t="shared" si="14"/>
        <v>0</v>
      </c>
      <c r="BC17" s="40">
        <f t="shared" si="15"/>
        <v>0</v>
      </c>
      <c r="BF17" s="40">
        <f t="shared" si="16"/>
        <v>0</v>
      </c>
      <c r="BI17" s="40">
        <f t="shared" si="17"/>
        <v>0</v>
      </c>
      <c r="BL17" s="40">
        <f t="shared" si="18"/>
        <v>0</v>
      </c>
      <c r="BO17" s="40">
        <f t="shared" si="19"/>
        <v>0</v>
      </c>
      <c r="BR17" s="40">
        <f t="shared" si="20"/>
        <v>0</v>
      </c>
      <c r="BU17" s="40">
        <f t="shared" si="21"/>
        <v>0</v>
      </c>
      <c r="BX17" s="40">
        <f t="shared" si="22"/>
        <v>0</v>
      </c>
      <c r="CA17" s="40">
        <f t="shared" si="23"/>
        <v>0</v>
      </c>
      <c r="CD17" s="40">
        <f t="shared" si="24"/>
        <v>0</v>
      </c>
      <c r="CG17" s="40">
        <f t="shared" si="25"/>
        <v>0</v>
      </c>
      <c r="CJ17" s="40">
        <f t="shared" si="26"/>
        <v>0</v>
      </c>
      <c r="CM17" s="40">
        <f t="shared" si="27"/>
        <v>0</v>
      </c>
      <c r="CP17" s="40">
        <f t="shared" si="28"/>
        <v>0</v>
      </c>
      <c r="CS17" s="40">
        <f t="shared" si="29"/>
        <v>0</v>
      </c>
      <c r="CV17" s="40">
        <f t="shared" si="30"/>
        <v>0</v>
      </c>
      <c r="CY17" s="40">
        <f t="shared" si="31"/>
        <v>0</v>
      </c>
      <c r="DB17" s="40">
        <f t="shared" si="32"/>
        <v>0</v>
      </c>
      <c r="DE17" s="40">
        <f t="shared" si="33"/>
        <v>0</v>
      </c>
      <c r="DH17" s="40">
        <f t="shared" si="34"/>
        <v>0</v>
      </c>
      <c r="DK17" s="40">
        <f t="shared" si="35"/>
        <v>0</v>
      </c>
      <c r="DN17" s="40">
        <f t="shared" si="36"/>
        <v>0</v>
      </c>
      <c r="DQ17" s="40">
        <f t="shared" si="37"/>
        <v>0</v>
      </c>
      <c r="DT17" s="40">
        <f t="shared" si="38"/>
        <v>0</v>
      </c>
      <c r="DW17" s="40">
        <f t="shared" si="39"/>
        <v>0</v>
      </c>
      <c r="DZ17" s="40"/>
      <c r="EA17" s="40"/>
      <c r="EB17" s="75">
        <f t="shared" si="40"/>
        <v>85425000</v>
      </c>
      <c r="EC17" s="75">
        <f t="shared" si="41"/>
        <v>0</v>
      </c>
      <c r="ED17" s="40">
        <f t="shared" si="42"/>
        <v>6357.6736111111113</v>
      </c>
      <c r="EE17" s="41">
        <f t="shared" si="43"/>
        <v>2.6792654375182912E-2</v>
      </c>
      <c r="EG17" s="75">
        <f t="shared" si="44"/>
        <v>0</v>
      </c>
      <c r="EH17" s="40">
        <f t="shared" si="45"/>
        <v>0</v>
      </c>
      <c r="EI17" s="41">
        <f t="shared" si="46"/>
        <v>0</v>
      </c>
      <c r="EJ17" s="41"/>
      <c r="EK17" s="75">
        <f t="shared" si="47"/>
        <v>85425000</v>
      </c>
      <c r="EL17" s="75">
        <f t="shared" si="48"/>
        <v>0</v>
      </c>
      <c r="EM17" s="75">
        <f t="shared" si="49"/>
        <v>6357.6736111111113</v>
      </c>
      <c r="EN17" s="41">
        <f t="shared" si="50"/>
        <v>2.6792654375182912E-2</v>
      </c>
    </row>
    <row r="18" spans="1:144" x14ac:dyDescent="0.25">
      <c r="A18" s="25">
        <f t="shared" si="51"/>
        <v>43593</v>
      </c>
      <c r="B18" s="40">
        <v>0</v>
      </c>
      <c r="C18" s="41">
        <v>2.742727E-2</v>
      </c>
      <c r="D18" s="40">
        <f t="shared" si="0"/>
        <v>0</v>
      </c>
      <c r="G18" s="40">
        <f t="shared" si="1"/>
        <v>0</v>
      </c>
      <c r="J18" s="40">
        <f t="shared" si="2"/>
        <v>0</v>
      </c>
      <c r="M18" s="40">
        <f t="shared" si="3"/>
        <v>0</v>
      </c>
      <c r="P18" s="40">
        <f t="shared" si="4"/>
        <v>0</v>
      </c>
      <c r="S18" s="40">
        <f t="shared" si="5"/>
        <v>0</v>
      </c>
      <c r="V18" s="40">
        <f t="shared" si="6"/>
        <v>0</v>
      </c>
      <c r="Y18" s="40">
        <f t="shared" si="7"/>
        <v>0</v>
      </c>
      <c r="AB18" s="40">
        <f t="shared" si="8"/>
        <v>0</v>
      </c>
      <c r="AE18" s="40">
        <v>0</v>
      </c>
      <c r="AH18" s="40">
        <v>0</v>
      </c>
      <c r="AI18" s="73">
        <f>52075000</f>
        <v>52075000</v>
      </c>
      <c r="AJ18" s="74">
        <v>2.6499999999999999E-2</v>
      </c>
      <c r="AK18" s="40">
        <f t="shared" si="9"/>
        <v>3833.2986111111113</v>
      </c>
      <c r="AL18" s="73">
        <f t="shared" si="52"/>
        <v>25000000</v>
      </c>
      <c r="AM18" s="74">
        <v>2.75E-2</v>
      </c>
      <c r="AN18" s="40">
        <f t="shared" si="10"/>
        <v>1909.7222222222222</v>
      </c>
      <c r="AO18" s="73"/>
      <c r="AP18" s="74"/>
      <c r="AQ18" s="40">
        <f t="shared" si="11"/>
        <v>0</v>
      </c>
      <c r="AT18" s="40">
        <f t="shared" si="12"/>
        <v>0</v>
      </c>
      <c r="AW18" s="40">
        <f t="shared" si="13"/>
        <v>0</v>
      </c>
      <c r="AZ18" s="40">
        <f t="shared" si="14"/>
        <v>0</v>
      </c>
      <c r="BC18" s="40">
        <f t="shared" si="15"/>
        <v>0</v>
      </c>
      <c r="BF18" s="40">
        <f t="shared" si="16"/>
        <v>0</v>
      </c>
      <c r="BI18" s="40">
        <f t="shared" si="17"/>
        <v>0</v>
      </c>
      <c r="BL18" s="40">
        <f t="shared" si="18"/>
        <v>0</v>
      </c>
      <c r="BO18" s="40">
        <f t="shared" si="19"/>
        <v>0</v>
      </c>
      <c r="BR18" s="40">
        <f t="shared" si="20"/>
        <v>0</v>
      </c>
      <c r="BU18" s="40">
        <f t="shared" si="21"/>
        <v>0</v>
      </c>
      <c r="BX18" s="40">
        <f t="shared" si="22"/>
        <v>0</v>
      </c>
      <c r="CA18" s="40">
        <f t="shared" si="23"/>
        <v>0</v>
      </c>
      <c r="CD18" s="40">
        <f t="shared" si="24"/>
        <v>0</v>
      </c>
      <c r="CG18" s="40">
        <f t="shared" si="25"/>
        <v>0</v>
      </c>
      <c r="CJ18" s="40">
        <f t="shared" si="26"/>
        <v>0</v>
      </c>
      <c r="CM18" s="40">
        <f t="shared" si="27"/>
        <v>0</v>
      </c>
      <c r="CP18" s="40">
        <f t="shared" si="28"/>
        <v>0</v>
      </c>
      <c r="CS18" s="40">
        <f t="shared" si="29"/>
        <v>0</v>
      </c>
      <c r="CV18" s="40">
        <f t="shared" si="30"/>
        <v>0</v>
      </c>
      <c r="CY18" s="40">
        <f t="shared" si="31"/>
        <v>0</v>
      </c>
      <c r="DB18" s="40">
        <f t="shared" si="32"/>
        <v>0</v>
      </c>
      <c r="DE18" s="40">
        <f t="shared" si="33"/>
        <v>0</v>
      </c>
      <c r="DH18" s="40">
        <f t="shared" si="34"/>
        <v>0</v>
      </c>
      <c r="DK18" s="40">
        <f t="shared" si="35"/>
        <v>0</v>
      </c>
      <c r="DN18" s="40">
        <f t="shared" si="36"/>
        <v>0</v>
      </c>
      <c r="DQ18" s="40">
        <f t="shared" si="37"/>
        <v>0</v>
      </c>
      <c r="DT18" s="40">
        <f t="shared" si="38"/>
        <v>0</v>
      </c>
      <c r="DW18" s="40">
        <f t="shared" si="39"/>
        <v>0</v>
      </c>
      <c r="DZ18" s="40"/>
      <c r="EA18" s="40"/>
      <c r="EB18" s="75">
        <f t="shared" si="40"/>
        <v>77075000</v>
      </c>
      <c r="EC18" s="75">
        <f t="shared" si="41"/>
        <v>0</v>
      </c>
      <c r="ED18" s="40">
        <f t="shared" si="42"/>
        <v>5743.0208333333339</v>
      </c>
      <c r="EE18" s="41">
        <f t="shared" si="43"/>
        <v>2.6824359390204347E-2</v>
      </c>
      <c r="EG18" s="75">
        <f t="shared" si="44"/>
        <v>0</v>
      </c>
      <c r="EH18" s="40">
        <f t="shared" si="45"/>
        <v>0</v>
      </c>
      <c r="EI18" s="41">
        <f t="shared" si="46"/>
        <v>0</v>
      </c>
      <c r="EJ18" s="41"/>
      <c r="EK18" s="75">
        <f t="shared" si="47"/>
        <v>77075000</v>
      </c>
      <c r="EL18" s="75">
        <f t="shared" si="48"/>
        <v>0</v>
      </c>
      <c r="EM18" s="75">
        <f t="shared" si="49"/>
        <v>5743.0208333333339</v>
      </c>
      <c r="EN18" s="41">
        <f t="shared" si="50"/>
        <v>2.6824359390204347E-2</v>
      </c>
    </row>
    <row r="19" spans="1:144" x14ac:dyDescent="0.25">
      <c r="A19" s="25">
        <f t="shared" si="51"/>
        <v>43594</v>
      </c>
      <c r="B19" s="40">
        <v>0</v>
      </c>
      <c r="C19" s="41">
        <v>2.7411819999999996E-2</v>
      </c>
      <c r="D19" s="40">
        <f t="shared" si="0"/>
        <v>0</v>
      </c>
      <c r="G19" s="40">
        <f t="shared" si="1"/>
        <v>0</v>
      </c>
      <c r="J19" s="40">
        <f t="shared" si="2"/>
        <v>0</v>
      </c>
      <c r="M19" s="40">
        <f t="shared" si="3"/>
        <v>0</v>
      </c>
      <c r="P19" s="40">
        <f t="shared" si="4"/>
        <v>0</v>
      </c>
      <c r="S19" s="40">
        <f t="shared" si="5"/>
        <v>0</v>
      </c>
      <c r="V19" s="40">
        <f t="shared" si="6"/>
        <v>0</v>
      </c>
      <c r="Y19" s="40">
        <f t="shared" si="7"/>
        <v>0</v>
      </c>
      <c r="AB19" s="40">
        <f t="shared" si="8"/>
        <v>0</v>
      </c>
      <c r="AE19" s="40">
        <v>0</v>
      </c>
      <c r="AH19" s="40">
        <v>0</v>
      </c>
      <c r="AI19" s="73">
        <f>49725000</f>
        <v>49725000</v>
      </c>
      <c r="AJ19" s="74">
        <v>2.6499999999999999E-2</v>
      </c>
      <c r="AK19" s="40">
        <f t="shared" si="9"/>
        <v>3660.3125</v>
      </c>
      <c r="AL19" s="73">
        <f t="shared" si="52"/>
        <v>25000000</v>
      </c>
      <c r="AM19" s="74">
        <v>2.75E-2</v>
      </c>
      <c r="AN19" s="40">
        <f t="shared" si="10"/>
        <v>1909.7222222222222</v>
      </c>
      <c r="AO19" s="73"/>
      <c r="AP19" s="74"/>
      <c r="AQ19" s="40">
        <f t="shared" si="11"/>
        <v>0</v>
      </c>
      <c r="AT19" s="40">
        <f t="shared" si="12"/>
        <v>0</v>
      </c>
      <c r="AW19" s="40">
        <f t="shared" si="13"/>
        <v>0</v>
      </c>
      <c r="AZ19" s="40">
        <f t="shared" si="14"/>
        <v>0</v>
      </c>
      <c r="BC19" s="40">
        <f t="shared" si="15"/>
        <v>0</v>
      </c>
      <c r="BF19" s="40">
        <f t="shared" si="16"/>
        <v>0</v>
      </c>
      <c r="BI19" s="40">
        <f t="shared" si="17"/>
        <v>0</v>
      </c>
      <c r="BL19" s="40">
        <f t="shared" si="18"/>
        <v>0</v>
      </c>
      <c r="BO19" s="40">
        <f t="shared" si="19"/>
        <v>0</v>
      </c>
      <c r="BR19" s="40">
        <f t="shared" si="20"/>
        <v>0</v>
      </c>
      <c r="BU19" s="40">
        <f t="shared" si="21"/>
        <v>0</v>
      </c>
      <c r="BX19" s="40">
        <f t="shared" si="22"/>
        <v>0</v>
      </c>
      <c r="CA19" s="40">
        <f t="shared" si="23"/>
        <v>0</v>
      </c>
      <c r="CD19" s="40">
        <f t="shared" si="24"/>
        <v>0</v>
      </c>
      <c r="CG19" s="40">
        <f t="shared" si="25"/>
        <v>0</v>
      </c>
      <c r="CJ19" s="40">
        <f t="shared" si="26"/>
        <v>0</v>
      </c>
      <c r="CM19" s="40">
        <f t="shared" si="27"/>
        <v>0</v>
      </c>
      <c r="CP19" s="40">
        <f t="shared" si="28"/>
        <v>0</v>
      </c>
      <c r="CS19" s="40">
        <f t="shared" si="29"/>
        <v>0</v>
      </c>
      <c r="CV19" s="40">
        <f t="shared" si="30"/>
        <v>0</v>
      </c>
      <c r="CY19" s="40">
        <f t="shared" si="31"/>
        <v>0</v>
      </c>
      <c r="DB19" s="40">
        <f t="shared" si="32"/>
        <v>0</v>
      </c>
      <c r="DE19" s="40">
        <f t="shared" si="33"/>
        <v>0</v>
      </c>
      <c r="DH19" s="40">
        <f t="shared" si="34"/>
        <v>0</v>
      </c>
      <c r="DK19" s="40">
        <f t="shared" si="35"/>
        <v>0</v>
      </c>
      <c r="DN19" s="40">
        <f t="shared" si="36"/>
        <v>0</v>
      </c>
      <c r="DQ19" s="40">
        <f t="shared" si="37"/>
        <v>0</v>
      </c>
      <c r="DT19" s="40">
        <f t="shared" si="38"/>
        <v>0</v>
      </c>
      <c r="DW19" s="40">
        <f t="shared" si="39"/>
        <v>0</v>
      </c>
      <c r="DZ19" s="40"/>
      <c r="EA19" s="40"/>
      <c r="EB19" s="75">
        <f t="shared" si="40"/>
        <v>74725000</v>
      </c>
      <c r="EC19" s="75">
        <f t="shared" si="41"/>
        <v>0</v>
      </c>
      <c r="ED19" s="40">
        <f t="shared" si="42"/>
        <v>5570.0347222222226</v>
      </c>
      <c r="EE19" s="41">
        <f t="shared" si="43"/>
        <v>2.6834560053529612E-2</v>
      </c>
      <c r="EG19" s="75">
        <f t="shared" si="44"/>
        <v>0</v>
      </c>
      <c r="EH19" s="40">
        <f t="shared" si="45"/>
        <v>0</v>
      </c>
      <c r="EI19" s="41">
        <f t="shared" si="46"/>
        <v>0</v>
      </c>
      <c r="EJ19" s="41"/>
      <c r="EK19" s="75">
        <f t="shared" si="47"/>
        <v>74725000</v>
      </c>
      <c r="EL19" s="75">
        <f t="shared" si="48"/>
        <v>0</v>
      </c>
      <c r="EM19" s="75">
        <f t="shared" si="49"/>
        <v>5570.0347222222226</v>
      </c>
      <c r="EN19" s="41">
        <f t="shared" si="50"/>
        <v>2.6834560053529612E-2</v>
      </c>
    </row>
    <row r="20" spans="1:144" x14ac:dyDescent="0.25">
      <c r="A20" s="25">
        <f t="shared" si="51"/>
        <v>43595</v>
      </c>
      <c r="B20" s="40">
        <v>0</v>
      </c>
      <c r="C20" s="41">
        <v>2.7413199999999999E-2</v>
      </c>
      <c r="D20" s="40">
        <f t="shared" si="0"/>
        <v>0</v>
      </c>
      <c r="G20" s="40">
        <f t="shared" si="1"/>
        <v>0</v>
      </c>
      <c r="J20" s="40">
        <f t="shared" si="2"/>
        <v>0</v>
      </c>
      <c r="M20" s="40">
        <f t="shared" si="3"/>
        <v>0</v>
      </c>
      <c r="P20" s="40">
        <f t="shared" si="4"/>
        <v>0</v>
      </c>
      <c r="S20" s="40">
        <f t="shared" si="5"/>
        <v>0</v>
      </c>
      <c r="V20" s="40">
        <f t="shared" si="6"/>
        <v>0</v>
      </c>
      <c r="Y20" s="40">
        <f t="shared" si="7"/>
        <v>0</v>
      </c>
      <c r="AB20" s="40">
        <f t="shared" si="8"/>
        <v>0</v>
      </c>
      <c r="AE20" s="40">
        <v>0</v>
      </c>
      <c r="AH20" s="40">
        <v>0</v>
      </c>
      <c r="AI20" s="73">
        <f>54325000</f>
        <v>54325000</v>
      </c>
      <c r="AJ20" s="74">
        <v>2.6499999999999999E-2</v>
      </c>
      <c r="AK20" s="40">
        <f t="shared" si="9"/>
        <v>3998.9236111111113</v>
      </c>
      <c r="AL20" s="73">
        <f t="shared" si="52"/>
        <v>25000000</v>
      </c>
      <c r="AM20" s="74">
        <v>2.75E-2</v>
      </c>
      <c r="AN20" s="40">
        <f t="shared" si="10"/>
        <v>1909.7222222222222</v>
      </c>
      <c r="AO20" s="73"/>
      <c r="AP20" s="74"/>
      <c r="AQ20" s="40">
        <f t="shared" si="11"/>
        <v>0</v>
      </c>
      <c r="AT20" s="40">
        <f t="shared" si="12"/>
        <v>0</v>
      </c>
      <c r="AW20" s="40">
        <f t="shared" si="13"/>
        <v>0</v>
      </c>
      <c r="AZ20" s="40">
        <f t="shared" si="14"/>
        <v>0</v>
      </c>
      <c r="BC20" s="40">
        <f t="shared" si="15"/>
        <v>0</v>
      </c>
      <c r="BF20" s="40">
        <f t="shared" si="16"/>
        <v>0</v>
      </c>
      <c r="BI20" s="40">
        <f t="shared" si="17"/>
        <v>0</v>
      </c>
      <c r="BL20" s="40">
        <f t="shared" si="18"/>
        <v>0</v>
      </c>
      <c r="BO20" s="40">
        <f t="shared" si="19"/>
        <v>0</v>
      </c>
      <c r="BR20" s="40">
        <f t="shared" si="20"/>
        <v>0</v>
      </c>
      <c r="BU20" s="40">
        <f t="shared" si="21"/>
        <v>0</v>
      </c>
      <c r="BX20" s="40">
        <f t="shared" si="22"/>
        <v>0</v>
      </c>
      <c r="CA20" s="40">
        <f t="shared" si="23"/>
        <v>0</v>
      </c>
      <c r="CD20" s="40">
        <f t="shared" si="24"/>
        <v>0</v>
      </c>
      <c r="CG20" s="40">
        <f t="shared" si="25"/>
        <v>0</v>
      </c>
      <c r="CJ20" s="40">
        <f t="shared" si="26"/>
        <v>0</v>
      </c>
      <c r="CM20" s="40">
        <f t="shared" si="27"/>
        <v>0</v>
      </c>
      <c r="CP20" s="40">
        <f t="shared" si="28"/>
        <v>0</v>
      </c>
      <c r="CS20" s="40">
        <f t="shared" si="29"/>
        <v>0</v>
      </c>
      <c r="CV20" s="40">
        <f t="shared" si="30"/>
        <v>0</v>
      </c>
      <c r="CY20" s="40">
        <f t="shared" si="31"/>
        <v>0</v>
      </c>
      <c r="DB20" s="40">
        <f t="shared" si="32"/>
        <v>0</v>
      </c>
      <c r="DE20" s="40">
        <f t="shared" si="33"/>
        <v>0</v>
      </c>
      <c r="DH20" s="40">
        <f t="shared" si="34"/>
        <v>0</v>
      </c>
      <c r="DK20" s="40">
        <f t="shared" si="35"/>
        <v>0</v>
      </c>
      <c r="DN20" s="40">
        <f t="shared" si="36"/>
        <v>0</v>
      </c>
      <c r="DQ20" s="40">
        <f t="shared" si="37"/>
        <v>0</v>
      </c>
      <c r="DT20" s="40">
        <f t="shared" si="38"/>
        <v>0</v>
      </c>
      <c r="DW20" s="40">
        <f t="shared" si="39"/>
        <v>0</v>
      </c>
      <c r="DZ20" s="40"/>
      <c r="EA20" s="40"/>
      <c r="EB20" s="75">
        <f t="shared" si="40"/>
        <v>79325000</v>
      </c>
      <c r="EC20" s="75">
        <f t="shared" si="41"/>
        <v>0</v>
      </c>
      <c r="ED20" s="40">
        <f t="shared" si="42"/>
        <v>5908.6458333333339</v>
      </c>
      <c r="EE20" s="41">
        <f t="shared" si="43"/>
        <v>2.6815159155373469E-2</v>
      </c>
      <c r="EG20" s="75">
        <f t="shared" si="44"/>
        <v>0</v>
      </c>
      <c r="EH20" s="40">
        <f t="shared" si="45"/>
        <v>0</v>
      </c>
      <c r="EI20" s="41">
        <f t="shared" si="46"/>
        <v>0</v>
      </c>
      <c r="EJ20" s="41"/>
      <c r="EK20" s="75">
        <f t="shared" si="47"/>
        <v>79325000</v>
      </c>
      <c r="EL20" s="75">
        <f t="shared" si="48"/>
        <v>0</v>
      </c>
      <c r="EM20" s="75">
        <f t="shared" si="49"/>
        <v>5908.6458333333339</v>
      </c>
      <c r="EN20" s="41">
        <f t="shared" si="50"/>
        <v>2.6815159155373469E-2</v>
      </c>
    </row>
    <row r="21" spans="1:144" x14ac:dyDescent="0.25">
      <c r="A21" s="25">
        <f t="shared" si="51"/>
        <v>43596</v>
      </c>
      <c r="B21" s="40">
        <v>0</v>
      </c>
      <c r="C21" s="41">
        <v>2.7413199999999999E-2</v>
      </c>
      <c r="D21" s="40">
        <f t="shared" si="0"/>
        <v>0</v>
      </c>
      <c r="G21" s="40">
        <f t="shared" si="1"/>
        <v>0</v>
      </c>
      <c r="J21" s="40">
        <f t="shared" si="2"/>
        <v>0</v>
      </c>
      <c r="M21" s="40">
        <f t="shared" si="3"/>
        <v>0</v>
      </c>
      <c r="P21" s="40">
        <f t="shared" si="4"/>
        <v>0</v>
      </c>
      <c r="S21" s="40">
        <f t="shared" si="5"/>
        <v>0</v>
      </c>
      <c r="V21" s="40">
        <f t="shared" si="6"/>
        <v>0</v>
      </c>
      <c r="Y21" s="40">
        <f t="shared" si="7"/>
        <v>0</v>
      </c>
      <c r="AB21" s="40">
        <f t="shared" si="8"/>
        <v>0</v>
      </c>
      <c r="AE21" s="40">
        <v>0</v>
      </c>
      <c r="AH21" s="40">
        <v>0</v>
      </c>
      <c r="AI21" s="73">
        <f>54325000</f>
        <v>54325000</v>
      </c>
      <c r="AJ21" s="74">
        <v>2.6499999999999999E-2</v>
      </c>
      <c r="AK21" s="40">
        <f t="shared" si="9"/>
        <v>3998.9236111111113</v>
      </c>
      <c r="AL21" s="73">
        <f t="shared" si="52"/>
        <v>25000000</v>
      </c>
      <c r="AM21" s="74">
        <v>2.75E-2</v>
      </c>
      <c r="AN21" s="40">
        <f t="shared" si="10"/>
        <v>1909.7222222222222</v>
      </c>
      <c r="AO21" s="73"/>
      <c r="AP21" s="74"/>
      <c r="AQ21" s="40">
        <f t="shared" si="11"/>
        <v>0</v>
      </c>
      <c r="AT21" s="40">
        <f t="shared" si="12"/>
        <v>0</v>
      </c>
      <c r="AW21" s="40">
        <f t="shared" si="13"/>
        <v>0</v>
      </c>
      <c r="AZ21" s="40">
        <f t="shared" si="14"/>
        <v>0</v>
      </c>
      <c r="BC21" s="40">
        <f t="shared" si="15"/>
        <v>0</v>
      </c>
      <c r="BF21" s="40">
        <f t="shared" si="16"/>
        <v>0</v>
      </c>
      <c r="BI21" s="40">
        <f t="shared" si="17"/>
        <v>0</v>
      </c>
      <c r="BL21" s="40">
        <f t="shared" si="18"/>
        <v>0</v>
      </c>
      <c r="BO21" s="40">
        <f t="shared" si="19"/>
        <v>0</v>
      </c>
      <c r="BR21" s="40">
        <f t="shared" si="20"/>
        <v>0</v>
      </c>
      <c r="BU21" s="40">
        <f t="shared" si="21"/>
        <v>0</v>
      </c>
      <c r="BX21" s="40">
        <f t="shared" si="22"/>
        <v>0</v>
      </c>
      <c r="CA21" s="40">
        <f t="shared" si="23"/>
        <v>0</v>
      </c>
      <c r="CD21" s="40">
        <f t="shared" si="24"/>
        <v>0</v>
      </c>
      <c r="CG21" s="40">
        <f t="shared" si="25"/>
        <v>0</v>
      </c>
      <c r="CJ21" s="40">
        <f t="shared" si="26"/>
        <v>0</v>
      </c>
      <c r="CM21" s="40">
        <f t="shared" si="27"/>
        <v>0</v>
      </c>
      <c r="CP21" s="40">
        <f t="shared" si="28"/>
        <v>0</v>
      </c>
      <c r="CS21" s="40">
        <f t="shared" si="29"/>
        <v>0</v>
      </c>
      <c r="CV21" s="40">
        <f t="shared" si="30"/>
        <v>0</v>
      </c>
      <c r="CY21" s="40">
        <f t="shared" si="31"/>
        <v>0</v>
      </c>
      <c r="DB21" s="40">
        <f t="shared" si="32"/>
        <v>0</v>
      </c>
      <c r="DE21" s="40">
        <f t="shared" si="33"/>
        <v>0</v>
      </c>
      <c r="DH21" s="40">
        <f t="shared" si="34"/>
        <v>0</v>
      </c>
      <c r="DK21" s="40">
        <f t="shared" si="35"/>
        <v>0</v>
      </c>
      <c r="DN21" s="40">
        <f t="shared" si="36"/>
        <v>0</v>
      </c>
      <c r="DQ21" s="40">
        <f t="shared" si="37"/>
        <v>0</v>
      </c>
      <c r="DT21" s="40">
        <f t="shared" si="38"/>
        <v>0</v>
      </c>
      <c r="DW21" s="40">
        <f t="shared" si="39"/>
        <v>0</v>
      </c>
      <c r="DZ21" s="40"/>
      <c r="EA21" s="40"/>
      <c r="EB21" s="75">
        <f t="shared" si="40"/>
        <v>79325000</v>
      </c>
      <c r="EC21" s="75">
        <f t="shared" si="41"/>
        <v>0</v>
      </c>
      <c r="ED21" s="40">
        <f t="shared" si="42"/>
        <v>5908.6458333333339</v>
      </c>
      <c r="EE21" s="41">
        <f t="shared" si="43"/>
        <v>2.6815159155373469E-2</v>
      </c>
      <c r="EG21" s="75">
        <f t="shared" si="44"/>
        <v>0</v>
      </c>
      <c r="EH21" s="40">
        <f t="shared" si="45"/>
        <v>0</v>
      </c>
      <c r="EI21" s="41">
        <f t="shared" si="46"/>
        <v>0</v>
      </c>
      <c r="EJ21" s="41"/>
      <c r="EK21" s="75">
        <f t="shared" si="47"/>
        <v>79325000</v>
      </c>
      <c r="EL21" s="75">
        <f t="shared" si="48"/>
        <v>0</v>
      </c>
      <c r="EM21" s="75">
        <f t="shared" si="49"/>
        <v>5908.6458333333339</v>
      </c>
      <c r="EN21" s="41">
        <f t="shared" si="50"/>
        <v>2.6815159155373469E-2</v>
      </c>
    </row>
    <row r="22" spans="1:144" x14ac:dyDescent="0.25">
      <c r="A22" s="25">
        <f t="shared" si="51"/>
        <v>43597</v>
      </c>
      <c r="B22" s="40">
        <v>0</v>
      </c>
      <c r="C22" s="41">
        <v>2.7413199999999999E-2</v>
      </c>
      <c r="D22" s="40">
        <f t="shared" si="0"/>
        <v>0</v>
      </c>
      <c r="G22" s="40">
        <f t="shared" si="1"/>
        <v>0</v>
      </c>
      <c r="J22" s="40">
        <f t="shared" si="2"/>
        <v>0</v>
      </c>
      <c r="M22" s="40">
        <f t="shared" si="3"/>
        <v>0</v>
      </c>
      <c r="P22" s="40">
        <f t="shared" si="4"/>
        <v>0</v>
      </c>
      <c r="S22" s="40">
        <f t="shared" si="5"/>
        <v>0</v>
      </c>
      <c r="V22" s="40">
        <f t="shared" si="6"/>
        <v>0</v>
      </c>
      <c r="Y22" s="40">
        <f t="shared" si="7"/>
        <v>0</v>
      </c>
      <c r="AB22" s="40">
        <f t="shared" si="8"/>
        <v>0</v>
      </c>
      <c r="AE22" s="40">
        <v>0</v>
      </c>
      <c r="AH22" s="40">
        <v>0</v>
      </c>
      <c r="AI22" s="73">
        <f>54325000</f>
        <v>54325000</v>
      </c>
      <c r="AJ22" s="74">
        <v>2.6499999999999999E-2</v>
      </c>
      <c r="AK22" s="40">
        <f t="shared" si="9"/>
        <v>3998.9236111111113</v>
      </c>
      <c r="AL22" s="73">
        <f t="shared" si="52"/>
        <v>25000000</v>
      </c>
      <c r="AM22" s="74">
        <v>2.75E-2</v>
      </c>
      <c r="AN22" s="40">
        <f t="shared" si="10"/>
        <v>1909.7222222222222</v>
      </c>
      <c r="AO22" s="73"/>
      <c r="AP22" s="74"/>
      <c r="AQ22" s="40">
        <f t="shared" si="11"/>
        <v>0</v>
      </c>
      <c r="AT22" s="40">
        <f t="shared" si="12"/>
        <v>0</v>
      </c>
      <c r="AW22" s="40">
        <f t="shared" si="13"/>
        <v>0</v>
      </c>
      <c r="AZ22" s="40">
        <f t="shared" si="14"/>
        <v>0</v>
      </c>
      <c r="BC22" s="40">
        <f t="shared" si="15"/>
        <v>0</v>
      </c>
      <c r="BF22" s="40">
        <f t="shared" si="16"/>
        <v>0</v>
      </c>
      <c r="BI22" s="40">
        <f t="shared" si="17"/>
        <v>0</v>
      </c>
      <c r="BL22" s="40">
        <f t="shared" si="18"/>
        <v>0</v>
      </c>
      <c r="BO22" s="40">
        <f t="shared" si="19"/>
        <v>0</v>
      </c>
      <c r="BR22" s="40">
        <f t="shared" si="20"/>
        <v>0</v>
      </c>
      <c r="BU22" s="40">
        <f t="shared" si="21"/>
        <v>0</v>
      </c>
      <c r="BX22" s="40">
        <f t="shared" si="22"/>
        <v>0</v>
      </c>
      <c r="CA22" s="40">
        <f t="shared" si="23"/>
        <v>0</v>
      </c>
      <c r="CD22" s="40">
        <f t="shared" si="24"/>
        <v>0</v>
      </c>
      <c r="CG22" s="40">
        <f t="shared" si="25"/>
        <v>0</v>
      </c>
      <c r="CJ22" s="40">
        <f t="shared" si="26"/>
        <v>0</v>
      </c>
      <c r="CM22" s="40">
        <f t="shared" si="27"/>
        <v>0</v>
      </c>
      <c r="CP22" s="40">
        <f t="shared" si="28"/>
        <v>0</v>
      </c>
      <c r="CS22" s="40">
        <f t="shared" si="29"/>
        <v>0</v>
      </c>
      <c r="CV22" s="40">
        <f t="shared" si="30"/>
        <v>0</v>
      </c>
      <c r="CY22" s="40">
        <f t="shared" si="31"/>
        <v>0</v>
      </c>
      <c r="DB22" s="40">
        <f t="shared" si="32"/>
        <v>0</v>
      </c>
      <c r="DE22" s="40">
        <f t="shared" si="33"/>
        <v>0</v>
      </c>
      <c r="DH22" s="40">
        <f t="shared" si="34"/>
        <v>0</v>
      </c>
      <c r="DK22" s="40">
        <f t="shared" si="35"/>
        <v>0</v>
      </c>
      <c r="DN22" s="40">
        <f t="shared" si="36"/>
        <v>0</v>
      </c>
      <c r="DQ22" s="40">
        <f t="shared" si="37"/>
        <v>0</v>
      </c>
      <c r="DT22" s="40">
        <f t="shared" si="38"/>
        <v>0</v>
      </c>
      <c r="DW22" s="40">
        <f t="shared" si="39"/>
        <v>0</v>
      </c>
      <c r="DZ22" s="40"/>
      <c r="EA22" s="40"/>
      <c r="EB22" s="75">
        <f t="shared" si="40"/>
        <v>79325000</v>
      </c>
      <c r="EC22" s="75">
        <f t="shared" si="41"/>
        <v>0</v>
      </c>
      <c r="ED22" s="40">
        <f t="shared" si="42"/>
        <v>5908.6458333333339</v>
      </c>
      <c r="EE22" s="41">
        <f t="shared" si="43"/>
        <v>2.6815159155373469E-2</v>
      </c>
      <c r="EG22" s="75">
        <f t="shared" si="44"/>
        <v>0</v>
      </c>
      <c r="EH22" s="40">
        <f t="shared" si="45"/>
        <v>0</v>
      </c>
      <c r="EI22" s="41">
        <f t="shared" si="46"/>
        <v>0</v>
      </c>
      <c r="EJ22" s="41"/>
      <c r="EK22" s="75">
        <f t="shared" si="47"/>
        <v>79325000</v>
      </c>
      <c r="EL22" s="75">
        <f t="shared" si="48"/>
        <v>0</v>
      </c>
      <c r="EM22" s="75">
        <f t="shared" si="49"/>
        <v>5908.6458333333339</v>
      </c>
      <c r="EN22" s="41">
        <f t="shared" si="50"/>
        <v>2.6815159155373469E-2</v>
      </c>
    </row>
    <row r="23" spans="1:144" x14ac:dyDescent="0.25">
      <c r="A23" s="25">
        <f t="shared" si="51"/>
        <v>43598</v>
      </c>
      <c r="B23" s="40">
        <v>0</v>
      </c>
      <c r="C23" s="41">
        <v>2.7406340000000001E-2</v>
      </c>
      <c r="D23" s="40">
        <f t="shared" si="0"/>
        <v>0</v>
      </c>
      <c r="G23" s="40">
        <f t="shared" si="1"/>
        <v>0</v>
      </c>
      <c r="J23" s="40">
        <f t="shared" si="2"/>
        <v>0</v>
      </c>
      <c r="M23" s="40">
        <f t="shared" si="3"/>
        <v>0</v>
      </c>
      <c r="P23" s="40">
        <f t="shared" si="4"/>
        <v>0</v>
      </c>
      <c r="S23" s="40">
        <f t="shared" si="5"/>
        <v>0</v>
      </c>
      <c r="V23" s="40">
        <f t="shared" si="6"/>
        <v>0</v>
      </c>
      <c r="Y23" s="40">
        <f t="shared" si="7"/>
        <v>0</v>
      </c>
      <c r="AB23" s="40">
        <f t="shared" si="8"/>
        <v>0</v>
      </c>
      <c r="AE23" s="40">
        <v>0</v>
      </c>
      <c r="AH23" s="40">
        <v>0</v>
      </c>
      <c r="AI23" s="73">
        <f>64325000</f>
        <v>64325000</v>
      </c>
      <c r="AJ23" s="74">
        <v>2.6499999999999999E-2</v>
      </c>
      <c r="AK23" s="40">
        <f t="shared" si="9"/>
        <v>4735.0347222222226</v>
      </c>
      <c r="AL23" s="73">
        <f t="shared" si="52"/>
        <v>25000000</v>
      </c>
      <c r="AM23" s="74">
        <v>2.75E-2</v>
      </c>
      <c r="AN23" s="40">
        <f t="shared" si="10"/>
        <v>1909.7222222222222</v>
      </c>
      <c r="AO23" s="73"/>
      <c r="AP23" s="74"/>
      <c r="AQ23" s="40">
        <f t="shared" si="11"/>
        <v>0</v>
      </c>
      <c r="AT23" s="40">
        <f t="shared" si="12"/>
        <v>0</v>
      </c>
      <c r="AW23" s="40">
        <f t="shared" si="13"/>
        <v>0</v>
      </c>
      <c r="AZ23" s="40">
        <f t="shared" si="14"/>
        <v>0</v>
      </c>
      <c r="BC23" s="40">
        <f t="shared" si="15"/>
        <v>0</v>
      </c>
      <c r="BF23" s="40">
        <f t="shared" si="16"/>
        <v>0</v>
      </c>
      <c r="BI23" s="40">
        <f t="shared" si="17"/>
        <v>0</v>
      </c>
      <c r="BL23" s="40">
        <f t="shared" si="18"/>
        <v>0</v>
      </c>
      <c r="BO23" s="40">
        <f t="shared" si="19"/>
        <v>0</v>
      </c>
      <c r="BR23" s="40">
        <f t="shared" si="20"/>
        <v>0</v>
      </c>
      <c r="BU23" s="40">
        <f t="shared" si="21"/>
        <v>0</v>
      </c>
      <c r="BX23" s="40">
        <f t="shared" si="22"/>
        <v>0</v>
      </c>
      <c r="CA23" s="40">
        <f t="shared" si="23"/>
        <v>0</v>
      </c>
      <c r="CD23" s="40">
        <f t="shared" si="24"/>
        <v>0</v>
      </c>
      <c r="CG23" s="40">
        <f t="shared" si="25"/>
        <v>0</v>
      </c>
      <c r="CJ23" s="40">
        <f t="shared" si="26"/>
        <v>0</v>
      </c>
      <c r="CM23" s="40">
        <f t="shared" si="27"/>
        <v>0</v>
      </c>
      <c r="CP23" s="40">
        <f t="shared" si="28"/>
        <v>0</v>
      </c>
      <c r="CS23" s="40">
        <f t="shared" si="29"/>
        <v>0</v>
      </c>
      <c r="CV23" s="40">
        <f t="shared" si="30"/>
        <v>0</v>
      </c>
      <c r="CY23" s="40">
        <f t="shared" si="31"/>
        <v>0</v>
      </c>
      <c r="DB23" s="40">
        <f t="shared" si="32"/>
        <v>0</v>
      </c>
      <c r="DE23" s="40">
        <f t="shared" si="33"/>
        <v>0</v>
      </c>
      <c r="DH23" s="40">
        <f t="shared" si="34"/>
        <v>0</v>
      </c>
      <c r="DK23" s="40">
        <f t="shared" si="35"/>
        <v>0</v>
      </c>
      <c r="DN23" s="40">
        <f t="shared" si="36"/>
        <v>0</v>
      </c>
      <c r="DQ23" s="40">
        <f t="shared" si="37"/>
        <v>0</v>
      </c>
      <c r="DT23" s="40">
        <f t="shared" si="38"/>
        <v>0</v>
      </c>
      <c r="DW23" s="40">
        <f t="shared" si="39"/>
        <v>0</v>
      </c>
      <c r="DZ23" s="40"/>
      <c r="EA23" s="40"/>
      <c r="EB23" s="75">
        <f t="shared" si="40"/>
        <v>89325000</v>
      </c>
      <c r="EC23" s="75">
        <f t="shared" si="41"/>
        <v>0</v>
      </c>
      <c r="ED23" s="40">
        <f t="shared" si="42"/>
        <v>6644.7569444444453</v>
      </c>
      <c r="EE23" s="41">
        <f t="shared" si="43"/>
        <v>2.6779876854184162E-2</v>
      </c>
      <c r="EG23" s="75">
        <f t="shared" si="44"/>
        <v>0</v>
      </c>
      <c r="EH23" s="40">
        <f t="shared" si="45"/>
        <v>0</v>
      </c>
      <c r="EI23" s="41">
        <f t="shared" si="46"/>
        <v>0</v>
      </c>
      <c r="EJ23" s="41"/>
      <c r="EK23" s="75">
        <f t="shared" si="47"/>
        <v>89325000</v>
      </c>
      <c r="EL23" s="75">
        <f t="shared" si="48"/>
        <v>0</v>
      </c>
      <c r="EM23" s="75">
        <f t="shared" si="49"/>
        <v>6644.7569444444453</v>
      </c>
      <c r="EN23" s="41">
        <f t="shared" si="50"/>
        <v>2.6779876854184162E-2</v>
      </c>
    </row>
    <row r="24" spans="1:144" x14ac:dyDescent="0.25">
      <c r="A24" s="25">
        <f t="shared" si="51"/>
        <v>43599</v>
      </c>
      <c r="B24" s="40">
        <v>0</v>
      </c>
      <c r="C24" s="41">
        <v>2.7406050000000001E-2</v>
      </c>
      <c r="D24" s="40">
        <f t="shared" si="0"/>
        <v>0</v>
      </c>
      <c r="G24" s="40">
        <f t="shared" si="1"/>
        <v>0</v>
      </c>
      <c r="J24" s="40">
        <f t="shared" si="2"/>
        <v>0</v>
      </c>
      <c r="M24" s="40">
        <f t="shared" si="3"/>
        <v>0</v>
      </c>
      <c r="P24" s="40">
        <f t="shared" si="4"/>
        <v>0</v>
      </c>
      <c r="S24" s="40">
        <f t="shared" si="5"/>
        <v>0</v>
      </c>
      <c r="V24" s="40">
        <f t="shared" si="6"/>
        <v>0</v>
      </c>
      <c r="Y24" s="40">
        <f t="shared" si="7"/>
        <v>0</v>
      </c>
      <c r="AB24" s="40">
        <f t="shared" si="8"/>
        <v>0</v>
      </c>
      <c r="AE24" s="40">
        <v>0</v>
      </c>
      <c r="AH24" s="40">
        <v>0</v>
      </c>
      <c r="AI24" s="73">
        <f>65100000</f>
        <v>65100000</v>
      </c>
      <c r="AJ24" s="74">
        <v>2.6499999999999999E-2</v>
      </c>
      <c r="AK24" s="40">
        <f t="shared" si="9"/>
        <v>4792.083333333333</v>
      </c>
      <c r="AL24" s="73">
        <f t="shared" si="52"/>
        <v>25000000</v>
      </c>
      <c r="AM24" s="74">
        <v>2.75E-2</v>
      </c>
      <c r="AN24" s="40">
        <f t="shared" si="10"/>
        <v>1909.7222222222222</v>
      </c>
      <c r="AO24" s="73"/>
      <c r="AP24" s="74"/>
      <c r="AQ24" s="40">
        <f t="shared" si="11"/>
        <v>0</v>
      </c>
      <c r="AT24" s="40">
        <f t="shared" si="12"/>
        <v>0</v>
      </c>
      <c r="AW24" s="40">
        <f t="shared" si="13"/>
        <v>0</v>
      </c>
      <c r="AZ24" s="40">
        <f t="shared" si="14"/>
        <v>0</v>
      </c>
      <c r="BC24" s="40">
        <f t="shared" si="15"/>
        <v>0</v>
      </c>
      <c r="BF24" s="40">
        <f t="shared" si="16"/>
        <v>0</v>
      </c>
      <c r="BI24" s="40">
        <f t="shared" si="17"/>
        <v>0</v>
      </c>
      <c r="BL24" s="40">
        <f t="shared" si="18"/>
        <v>0</v>
      </c>
      <c r="BO24" s="40">
        <f t="shared" si="19"/>
        <v>0</v>
      </c>
      <c r="BR24" s="40">
        <f t="shared" si="20"/>
        <v>0</v>
      </c>
      <c r="BU24" s="40">
        <f t="shared" si="21"/>
        <v>0</v>
      </c>
      <c r="BX24" s="40">
        <f t="shared" si="22"/>
        <v>0</v>
      </c>
      <c r="CA24" s="40">
        <f t="shared" si="23"/>
        <v>0</v>
      </c>
      <c r="CD24" s="40">
        <f t="shared" si="24"/>
        <v>0</v>
      </c>
      <c r="CG24" s="40">
        <f t="shared" si="25"/>
        <v>0</v>
      </c>
      <c r="CJ24" s="40">
        <f t="shared" si="26"/>
        <v>0</v>
      </c>
      <c r="CM24" s="40">
        <f t="shared" si="27"/>
        <v>0</v>
      </c>
      <c r="CP24" s="40">
        <f t="shared" si="28"/>
        <v>0</v>
      </c>
      <c r="CS24" s="40">
        <f t="shared" si="29"/>
        <v>0</v>
      </c>
      <c r="CV24" s="40">
        <f t="shared" si="30"/>
        <v>0</v>
      </c>
      <c r="CY24" s="40">
        <f t="shared" si="31"/>
        <v>0</v>
      </c>
      <c r="DB24" s="40">
        <f t="shared" si="32"/>
        <v>0</v>
      </c>
      <c r="DE24" s="40">
        <f t="shared" si="33"/>
        <v>0</v>
      </c>
      <c r="DH24" s="40">
        <f t="shared" si="34"/>
        <v>0</v>
      </c>
      <c r="DK24" s="40">
        <f t="shared" si="35"/>
        <v>0</v>
      </c>
      <c r="DN24" s="40">
        <f t="shared" si="36"/>
        <v>0</v>
      </c>
      <c r="DQ24" s="40">
        <f t="shared" si="37"/>
        <v>0</v>
      </c>
      <c r="DT24" s="40">
        <f t="shared" si="38"/>
        <v>0</v>
      </c>
      <c r="DW24" s="40">
        <f t="shared" si="39"/>
        <v>0</v>
      </c>
      <c r="DZ24" s="40"/>
      <c r="EA24" s="40"/>
      <c r="EB24" s="75">
        <f t="shared" si="40"/>
        <v>90100000</v>
      </c>
      <c r="EC24" s="75">
        <f t="shared" si="41"/>
        <v>0</v>
      </c>
      <c r="ED24" s="40">
        <f t="shared" si="42"/>
        <v>6701.8055555555547</v>
      </c>
      <c r="EE24" s="41">
        <f t="shared" si="43"/>
        <v>2.6777469478357376E-2</v>
      </c>
      <c r="EG24" s="75">
        <f t="shared" si="44"/>
        <v>0</v>
      </c>
      <c r="EH24" s="40">
        <f t="shared" si="45"/>
        <v>0</v>
      </c>
      <c r="EI24" s="41">
        <f t="shared" si="46"/>
        <v>0</v>
      </c>
      <c r="EJ24" s="41"/>
      <c r="EK24" s="75">
        <f t="shared" si="47"/>
        <v>90100000</v>
      </c>
      <c r="EL24" s="75">
        <f t="shared" si="48"/>
        <v>0</v>
      </c>
      <c r="EM24" s="75">
        <f t="shared" si="49"/>
        <v>6701.8055555555547</v>
      </c>
      <c r="EN24" s="41">
        <f t="shared" si="50"/>
        <v>2.6777469478357376E-2</v>
      </c>
    </row>
    <row r="25" spans="1:144" x14ac:dyDescent="0.25">
      <c r="A25" s="25">
        <f t="shared" si="51"/>
        <v>43600</v>
      </c>
      <c r="B25" s="40">
        <v>0</v>
      </c>
      <c r="C25" s="41">
        <v>2.74661E-2</v>
      </c>
      <c r="D25" s="40">
        <f t="shared" si="0"/>
        <v>0</v>
      </c>
      <c r="G25" s="40">
        <f t="shared" si="1"/>
        <v>0</v>
      </c>
      <c r="J25" s="40">
        <f t="shared" si="2"/>
        <v>0</v>
      </c>
      <c r="M25" s="40">
        <f t="shared" si="3"/>
        <v>0</v>
      </c>
      <c r="P25" s="40">
        <f t="shared" si="4"/>
        <v>0</v>
      </c>
      <c r="S25" s="40">
        <f t="shared" si="5"/>
        <v>0</v>
      </c>
      <c r="V25" s="40">
        <f t="shared" si="6"/>
        <v>0</v>
      </c>
      <c r="Y25" s="40">
        <f t="shared" si="7"/>
        <v>0</v>
      </c>
      <c r="AB25" s="40">
        <f t="shared" si="8"/>
        <v>0</v>
      </c>
      <c r="AE25" s="40">
        <v>0</v>
      </c>
      <c r="AH25" s="40">
        <v>0</v>
      </c>
      <c r="AI25" s="73">
        <f>65725000</f>
        <v>65725000</v>
      </c>
      <c r="AJ25" s="74">
        <v>2.6499999999999999E-2</v>
      </c>
      <c r="AK25" s="40">
        <f t="shared" si="9"/>
        <v>4838.0902777777774</v>
      </c>
      <c r="AL25" s="73">
        <f t="shared" si="52"/>
        <v>25000000</v>
      </c>
      <c r="AM25" s="74">
        <v>2.75E-2</v>
      </c>
      <c r="AN25" s="40">
        <f t="shared" si="10"/>
        <v>1909.7222222222222</v>
      </c>
      <c r="AO25" s="73">
        <f t="shared" ref="AO25:AO41" si="53">25000000</f>
        <v>25000000</v>
      </c>
      <c r="AP25" s="74">
        <v>2.7699999999999999E-2</v>
      </c>
      <c r="AQ25" s="40">
        <f t="shared" si="11"/>
        <v>1923.6111111111111</v>
      </c>
      <c r="AT25" s="40">
        <f t="shared" si="12"/>
        <v>0</v>
      </c>
      <c r="AW25" s="40">
        <f t="shared" si="13"/>
        <v>0</v>
      </c>
      <c r="AZ25" s="40">
        <f t="shared" si="14"/>
        <v>0</v>
      </c>
      <c r="BC25" s="40">
        <f t="shared" si="15"/>
        <v>0</v>
      </c>
      <c r="BF25" s="40">
        <f t="shared" si="16"/>
        <v>0</v>
      </c>
      <c r="BI25" s="40">
        <f t="shared" si="17"/>
        <v>0</v>
      </c>
      <c r="BL25" s="40">
        <f t="shared" si="18"/>
        <v>0</v>
      </c>
      <c r="BO25" s="40">
        <f t="shared" si="19"/>
        <v>0</v>
      </c>
      <c r="BR25" s="40">
        <f t="shared" si="20"/>
        <v>0</v>
      </c>
      <c r="BU25" s="40">
        <f t="shared" si="21"/>
        <v>0</v>
      </c>
      <c r="BX25" s="40">
        <f t="shared" si="22"/>
        <v>0</v>
      </c>
      <c r="CA25" s="40">
        <f t="shared" si="23"/>
        <v>0</v>
      </c>
      <c r="CD25" s="40">
        <f t="shared" si="24"/>
        <v>0</v>
      </c>
      <c r="CG25" s="40">
        <f t="shared" si="25"/>
        <v>0</v>
      </c>
      <c r="CJ25" s="40">
        <f t="shared" si="26"/>
        <v>0</v>
      </c>
      <c r="CM25" s="40">
        <f t="shared" si="27"/>
        <v>0</v>
      </c>
      <c r="CP25" s="40">
        <f t="shared" si="28"/>
        <v>0</v>
      </c>
      <c r="CS25" s="40">
        <f t="shared" si="29"/>
        <v>0</v>
      </c>
      <c r="CV25" s="40">
        <f t="shared" si="30"/>
        <v>0</v>
      </c>
      <c r="CY25" s="40">
        <f t="shared" si="31"/>
        <v>0</v>
      </c>
      <c r="DB25" s="40">
        <f t="shared" si="32"/>
        <v>0</v>
      </c>
      <c r="DE25" s="40">
        <f t="shared" si="33"/>
        <v>0</v>
      </c>
      <c r="DH25" s="40">
        <f t="shared" si="34"/>
        <v>0</v>
      </c>
      <c r="DK25" s="40">
        <f t="shared" si="35"/>
        <v>0</v>
      </c>
      <c r="DN25" s="40">
        <f t="shared" si="36"/>
        <v>0</v>
      </c>
      <c r="DQ25" s="40">
        <f t="shared" si="37"/>
        <v>0</v>
      </c>
      <c r="DT25" s="40">
        <f t="shared" si="38"/>
        <v>0</v>
      </c>
      <c r="DW25" s="40">
        <f t="shared" si="39"/>
        <v>0</v>
      </c>
      <c r="DZ25" s="40"/>
      <c r="EA25" s="40"/>
      <c r="EB25" s="75">
        <f t="shared" si="40"/>
        <v>115725000</v>
      </c>
      <c r="EC25" s="75">
        <f t="shared" si="41"/>
        <v>0</v>
      </c>
      <c r="ED25" s="40">
        <f t="shared" si="42"/>
        <v>8671.4236111111113</v>
      </c>
      <c r="EE25" s="41">
        <f t="shared" si="43"/>
        <v>2.6975264635990495E-2</v>
      </c>
      <c r="EG25" s="75">
        <f t="shared" si="44"/>
        <v>0</v>
      </c>
      <c r="EH25" s="40">
        <f t="shared" si="45"/>
        <v>0</v>
      </c>
      <c r="EI25" s="41">
        <f t="shared" si="46"/>
        <v>0</v>
      </c>
      <c r="EJ25" s="41"/>
      <c r="EK25" s="75">
        <f t="shared" si="47"/>
        <v>115725000</v>
      </c>
      <c r="EL25" s="75">
        <f t="shared" si="48"/>
        <v>0</v>
      </c>
      <c r="EM25" s="75">
        <f t="shared" si="49"/>
        <v>8671.4236111111095</v>
      </c>
      <c r="EN25" s="41">
        <f t="shared" si="50"/>
        <v>2.6975264635990488E-2</v>
      </c>
    </row>
    <row r="26" spans="1:144" x14ac:dyDescent="0.25">
      <c r="A26" s="25">
        <f t="shared" si="51"/>
        <v>43601</v>
      </c>
      <c r="B26" s="40">
        <v>0</v>
      </c>
      <c r="C26" s="41">
        <v>2.7488009999999997E-2</v>
      </c>
      <c r="D26" s="40">
        <f t="shared" si="0"/>
        <v>0</v>
      </c>
      <c r="G26" s="40">
        <f t="shared" si="1"/>
        <v>0</v>
      </c>
      <c r="J26" s="40">
        <f t="shared" si="2"/>
        <v>0</v>
      </c>
      <c r="M26" s="40">
        <f t="shared" si="3"/>
        <v>0</v>
      </c>
      <c r="P26" s="40">
        <f t="shared" si="4"/>
        <v>0</v>
      </c>
      <c r="S26" s="40">
        <f t="shared" si="5"/>
        <v>0</v>
      </c>
      <c r="V26" s="40">
        <f t="shared" si="6"/>
        <v>0</v>
      </c>
      <c r="Y26" s="40">
        <f t="shared" si="7"/>
        <v>0</v>
      </c>
      <c r="AB26" s="40">
        <f t="shared" si="8"/>
        <v>0</v>
      </c>
      <c r="AE26" s="40">
        <v>0</v>
      </c>
      <c r="AH26" s="40">
        <v>0</v>
      </c>
      <c r="AI26" s="73">
        <f>57425000</f>
        <v>57425000</v>
      </c>
      <c r="AJ26" s="74">
        <v>2.6499999999999999E-2</v>
      </c>
      <c r="AK26" s="40">
        <f t="shared" si="9"/>
        <v>4227.1180555555557</v>
      </c>
      <c r="AL26" s="73">
        <f t="shared" si="52"/>
        <v>25000000</v>
      </c>
      <c r="AM26" s="74">
        <v>2.75E-2</v>
      </c>
      <c r="AN26" s="40">
        <f t="shared" si="10"/>
        <v>1909.7222222222222</v>
      </c>
      <c r="AO26" s="73">
        <f t="shared" si="53"/>
        <v>25000000</v>
      </c>
      <c r="AP26" s="74">
        <v>2.7699999999999999E-2</v>
      </c>
      <c r="AQ26" s="40">
        <f t="shared" si="11"/>
        <v>1923.6111111111111</v>
      </c>
      <c r="AT26" s="40">
        <f t="shared" si="12"/>
        <v>0</v>
      </c>
      <c r="AW26" s="40">
        <f t="shared" si="13"/>
        <v>0</v>
      </c>
      <c r="AZ26" s="40">
        <f t="shared" si="14"/>
        <v>0</v>
      </c>
      <c r="BC26" s="40">
        <f t="shared" si="15"/>
        <v>0</v>
      </c>
      <c r="BF26" s="40">
        <f t="shared" si="16"/>
        <v>0</v>
      </c>
      <c r="BI26" s="40">
        <f t="shared" si="17"/>
        <v>0</v>
      </c>
      <c r="BL26" s="40">
        <f t="shared" si="18"/>
        <v>0</v>
      </c>
      <c r="BO26" s="40">
        <f t="shared" si="19"/>
        <v>0</v>
      </c>
      <c r="BR26" s="40">
        <f t="shared" si="20"/>
        <v>0</v>
      </c>
      <c r="BU26" s="40">
        <f t="shared" si="21"/>
        <v>0</v>
      </c>
      <c r="BX26" s="40">
        <f t="shared" si="22"/>
        <v>0</v>
      </c>
      <c r="CA26" s="40">
        <f t="shared" si="23"/>
        <v>0</v>
      </c>
      <c r="CD26" s="40">
        <f t="shared" si="24"/>
        <v>0</v>
      </c>
      <c r="CG26" s="40">
        <f t="shared" si="25"/>
        <v>0</v>
      </c>
      <c r="CJ26" s="40">
        <f t="shared" si="26"/>
        <v>0</v>
      </c>
      <c r="CM26" s="40">
        <f t="shared" si="27"/>
        <v>0</v>
      </c>
      <c r="CP26" s="40">
        <f t="shared" si="28"/>
        <v>0</v>
      </c>
      <c r="CS26" s="40">
        <f t="shared" si="29"/>
        <v>0</v>
      </c>
      <c r="CV26" s="40">
        <f t="shared" si="30"/>
        <v>0</v>
      </c>
      <c r="CY26" s="40">
        <f t="shared" si="31"/>
        <v>0</v>
      </c>
      <c r="DB26" s="40">
        <f t="shared" si="32"/>
        <v>0</v>
      </c>
      <c r="DE26" s="40">
        <f t="shared" si="33"/>
        <v>0</v>
      </c>
      <c r="DH26" s="40">
        <f t="shared" si="34"/>
        <v>0</v>
      </c>
      <c r="DK26" s="40">
        <f t="shared" si="35"/>
        <v>0</v>
      </c>
      <c r="DN26" s="40">
        <f t="shared" si="36"/>
        <v>0</v>
      </c>
      <c r="DQ26" s="40">
        <f t="shared" si="37"/>
        <v>0</v>
      </c>
      <c r="DT26" s="40">
        <f t="shared" si="38"/>
        <v>0</v>
      </c>
      <c r="DW26" s="40">
        <f t="shared" si="39"/>
        <v>0</v>
      </c>
      <c r="DZ26" s="40"/>
      <c r="EA26" s="40"/>
      <c r="EB26" s="75">
        <f t="shared" si="40"/>
        <v>107425000</v>
      </c>
      <c r="EC26" s="75">
        <f t="shared" si="41"/>
        <v>0</v>
      </c>
      <c r="ED26" s="40">
        <f t="shared" si="42"/>
        <v>8060.4513888888887</v>
      </c>
      <c r="EE26" s="41">
        <f t="shared" si="43"/>
        <v>2.7011985105887832E-2</v>
      </c>
      <c r="EG26" s="75">
        <f t="shared" si="44"/>
        <v>0</v>
      </c>
      <c r="EH26" s="40">
        <f t="shared" si="45"/>
        <v>0</v>
      </c>
      <c r="EI26" s="41">
        <f t="shared" si="46"/>
        <v>0</v>
      </c>
      <c r="EJ26" s="41"/>
      <c r="EK26" s="75">
        <f t="shared" si="47"/>
        <v>107425000</v>
      </c>
      <c r="EL26" s="75">
        <f t="shared" si="48"/>
        <v>0</v>
      </c>
      <c r="EM26" s="75">
        <f t="shared" si="49"/>
        <v>8060.4513888888887</v>
      </c>
      <c r="EN26" s="41">
        <f t="shared" si="50"/>
        <v>2.7011985105887832E-2</v>
      </c>
    </row>
    <row r="27" spans="1:144" x14ac:dyDescent="0.25">
      <c r="A27" s="25">
        <f t="shared" si="51"/>
        <v>43602</v>
      </c>
      <c r="B27" s="40">
        <v>0</v>
      </c>
      <c r="C27" s="41">
        <v>2.7531139999999999E-2</v>
      </c>
      <c r="D27" s="40">
        <f t="shared" si="0"/>
        <v>0</v>
      </c>
      <c r="G27" s="40">
        <f t="shared" si="1"/>
        <v>0</v>
      </c>
      <c r="J27" s="40">
        <f t="shared" si="2"/>
        <v>0</v>
      </c>
      <c r="M27" s="40">
        <f t="shared" si="3"/>
        <v>0</v>
      </c>
      <c r="P27" s="40">
        <f t="shared" si="4"/>
        <v>0</v>
      </c>
      <c r="S27" s="40">
        <f t="shared" si="5"/>
        <v>0</v>
      </c>
      <c r="V27" s="40">
        <f t="shared" si="6"/>
        <v>0</v>
      </c>
      <c r="Y27" s="40">
        <f t="shared" si="7"/>
        <v>0</v>
      </c>
      <c r="AB27" s="40">
        <f t="shared" si="8"/>
        <v>0</v>
      </c>
      <c r="AE27" s="40">
        <v>0</v>
      </c>
      <c r="AH27" s="40">
        <v>0</v>
      </c>
      <c r="AI27" s="73">
        <f>52350000</f>
        <v>52350000</v>
      </c>
      <c r="AJ27" s="74">
        <v>2.6499999999999999E-2</v>
      </c>
      <c r="AK27" s="40">
        <f t="shared" si="9"/>
        <v>3853.5416666666665</v>
      </c>
      <c r="AL27" s="73">
        <f t="shared" si="52"/>
        <v>25000000</v>
      </c>
      <c r="AM27" s="74">
        <v>2.75E-2</v>
      </c>
      <c r="AN27" s="40">
        <f t="shared" si="10"/>
        <v>1909.7222222222222</v>
      </c>
      <c r="AO27" s="73">
        <f t="shared" si="53"/>
        <v>25000000</v>
      </c>
      <c r="AP27" s="74">
        <v>2.7699999999999999E-2</v>
      </c>
      <c r="AQ27" s="40">
        <f t="shared" si="11"/>
        <v>1923.6111111111111</v>
      </c>
      <c r="AT27" s="40">
        <f t="shared" si="12"/>
        <v>0</v>
      </c>
      <c r="AW27" s="40">
        <f t="shared" si="13"/>
        <v>0</v>
      </c>
      <c r="AZ27" s="40">
        <f t="shared" si="14"/>
        <v>0</v>
      </c>
      <c r="BC27" s="40">
        <f t="shared" si="15"/>
        <v>0</v>
      </c>
      <c r="BF27" s="40">
        <f t="shared" si="16"/>
        <v>0</v>
      </c>
      <c r="BI27" s="40">
        <f t="shared" si="17"/>
        <v>0</v>
      </c>
      <c r="BL27" s="40">
        <f t="shared" si="18"/>
        <v>0</v>
      </c>
      <c r="BO27" s="40">
        <f t="shared" si="19"/>
        <v>0</v>
      </c>
      <c r="BR27" s="40">
        <f t="shared" si="20"/>
        <v>0</v>
      </c>
      <c r="BU27" s="40">
        <f t="shared" si="21"/>
        <v>0</v>
      </c>
      <c r="BX27" s="40">
        <f t="shared" si="22"/>
        <v>0</v>
      </c>
      <c r="CA27" s="40">
        <f t="shared" si="23"/>
        <v>0</v>
      </c>
      <c r="CD27" s="40">
        <f t="shared" si="24"/>
        <v>0</v>
      </c>
      <c r="CG27" s="40">
        <f t="shared" si="25"/>
        <v>0</v>
      </c>
      <c r="CJ27" s="40">
        <f t="shared" si="26"/>
        <v>0</v>
      </c>
      <c r="CM27" s="40">
        <f t="shared" si="27"/>
        <v>0</v>
      </c>
      <c r="CP27" s="40">
        <f t="shared" si="28"/>
        <v>0</v>
      </c>
      <c r="CS27" s="40">
        <f t="shared" si="29"/>
        <v>0</v>
      </c>
      <c r="CV27" s="40">
        <f t="shared" si="30"/>
        <v>0</v>
      </c>
      <c r="CY27" s="40">
        <f t="shared" si="31"/>
        <v>0</v>
      </c>
      <c r="DB27" s="40">
        <f t="shared" si="32"/>
        <v>0</v>
      </c>
      <c r="DE27" s="40">
        <f t="shared" si="33"/>
        <v>0</v>
      </c>
      <c r="DH27" s="40">
        <f t="shared" si="34"/>
        <v>0</v>
      </c>
      <c r="DK27" s="40">
        <f t="shared" si="35"/>
        <v>0</v>
      </c>
      <c r="DN27" s="40">
        <f t="shared" si="36"/>
        <v>0</v>
      </c>
      <c r="DQ27" s="40">
        <f t="shared" si="37"/>
        <v>0</v>
      </c>
      <c r="DT27" s="40">
        <f t="shared" si="38"/>
        <v>0</v>
      </c>
      <c r="DW27" s="40">
        <f t="shared" si="39"/>
        <v>0</v>
      </c>
      <c r="DZ27" s="40"/>
      <c r="EA27" s="40"/>
      <c r="EB27" s="75">
        <f t="shared" si="40"/>
        <v>102350000</v>
      </c>
      <c r="EC27" s="75">
        <f t="shared" si="41"/>
        <v>0</v>
      </c>
      <c r="ED27" s="40">
        <f t="shared" si="42"/>
        <v>7686.875</v>
      </c>
      <c r="EE27" s="41">
        <f t="shared" si="43"/>
        <v>2.7037371763556427E-2</v>
      </c>
      <c r="EG27" s="75">
        <f t="shared" si="44"/>
        <v>0</v>
      </c>
      <c r="EH27" s="40">
        <f t="shared" si="45"/>
        <v>0</v>
      </c>
      <c r="EI27" s="41">
        <f t="shared" si="46"/>
        <v>0</v>
      </c>
      <c r="EJ27" s="41"/>
      <c r="EK27" s="75">
        <f t="shared" si="47"/>
        <v>102350000</v>
      </c>
      <c r="EL27" s="75">
        <f t="shared" si="48"/>
        <v>0</v>
      </c>
      <c r="EM27" s="75">
        <f t="shared" si="49"/>
        <v>7686.875</v>
      </c>
      <c r="EN27" s="41">
        <f t="shared" si="50"/>
        <v>2.7037371763556427E-2</v>
      </c>
    </row>
    <row r="28" spans="1:144" x14ac:dyDescent="0.25">
      <c r="A28" s="25">
        <f t="shared" si="51"/>
        <v>43603</v>
      </c>
      <c r="B28" s="40">
        <v>0</v>
      </c>
      <c r="C28" s="41">
        <v>2.7531139999999999E-2</v>
      </c>
      <c r="D28" s="40">
        <f t="shared" si="0"/>
        <v>0</v>
      </c>
      <c r="G28" s="40">
        <f t="shared" si="1"/>
        <v>0</v>
      </c>
      <c r="J28" s="40">
        <f t="shared" si="2"/>
        <v>0</v>
      </c>
      <c r="M28" s="40">
        <f t="shared" si="3"/>
        <v>0</v>
      </c>
      <c r="P28" s="40">
        <f t="shared" si="4"/>
        <v>0</v>
      </c>
      <c r="S28" s="40">
        <f t="shared" si="5"/>
        <v>0</v>
      </c>
      <c r="V28" s="40">
        <f t="shared" si="6"/>
        <v>0</v>
      </c>
      <c r="Y28" s="40">
        <f t="shared" si="7"/>
        <v>0</v>
      </c>
      <c r="AB28" s="40">
        <f t="shared" si="8"/>
        <v>0</v>
      </c>
      <c r="AE28" s="40">
        <v>0</v>
      </c>
      <c r="AH28" s="40">
        <v>0</v>
      </c>
      <c r="AI28" s="73">
        <f>52350000</f>
        <v>52350000</v>
      </c>
      <c r="AJ28" s="74">
        <v>2.6499999999999999E-2</v>
      </c>
      <c r="AK28" s="40">
        <f t="shared" si="9"/>
        <v>3853.5416666666665</v>
      </c>
      <c r="AL28" s="73">
        <f t="shared" si="52"/>
        <v>25000000</v>
      </c>
      <c r="AM28" s="74">
        <v>2.75E-2</v>
      </c>
      <c r="AN28" s="40">
        <f t="shared" si="10"/>
        <v>1909.7222222222222</v>
      </c>
      <c r="AO28" s="73">
        <f t="shared" si="53"/>
        <v>25000000</v>
      </c>
      <c r="AP28" s="74">
        <v>2.7699999999999999E-2</v>
      </c>
      <c r="AQ28" s="40">
        <f t="shared" si="11"/>
        <v>1923.6111111111111</v>
      </c>
      <c r="AT28" s="40">
        <f t="shared" si="12"/>
        <v>0</v>
      </c>
      <c r="AW28" s="40">
        <f t="shared" si="13"/>
        <v>0</v>
      </c>
      <c r="AZ28" s="40">
        <f t="shared" si="14"/>
        <v>0</v>
      </c>
      <c r="BC28" s="40">
        <f t="shared" si="15"/>
        <v>0</v>
      </c>
      <c r="BF28" s="40">
        <f t="shared" si="16"/>
        <v>0</v>
      </c>
      <c r="BI28" s="40">
        <f t="shared" si="17"/>
        <v>0</v>
      </c>
      <c r="BL28" s="40">
        <f t="shared" si="18"/>
        <v>0</v>
      </c>
      <c r="BO28" s="40">
        <f t="shared" si="19"/>
        <v>0</v>
      </c>
      <c r="BR28" s="40">
        <f t="shared" si="20"/>
        <v>0</v>
      </c>
      <c r="BU28" s="40">
        <f t="shared" si="21"/>
        <v>0</v>
      </c>
      <c r="BX28" s="40">
        <f t="shared" si="22"/>
        <v>0</v>
      </c>
      <c r="CA28" s="40">
        <f t="shared" si="23"/>
        <v>0</v>
      </c>
      <c r="CD28" s="40">
        <f t="shared" si="24"/>
        <v>0</v>
      </c>
      <c r="CG28" s="40">
        <f t="shared" si="25"/>
        <v>0</v>
      </c>
      <c r="CJ28" s="40">
        <f t="shared" si="26"/>
        <v>0</v>
      </c>
      <c r="CM28" s="40">
        <f t="shared" si="27"/>
        <v>0</v>
      </c>
      <c r="CP28" s="40">
        <f t="shared" si="28"/>
        <v>0</v>
      </c>
      <c r="CS28" s="40">
        <f t="shared" si="29"/>
        <v>0</v>
      </c>
      <c r="CV28" s="40">
        <f t="shared" si="30"/>
        <v>0</v>
      </c>
      <c r="CY28" s="40">
        <f t="shared" si="31"/>
        <v>0</v>
      </c>
      <c r="DB28" s="40">
        <f t="shared" si="32"/>
        <v>0</v>
      </c>
      <c r="DE28" s="40">
        <f t="shared" si="33"/>
        <v>0</v>
      </c>
      <c r="DH28" s="40">
        <f t="shared" si="34"/>
        <v>0</v>
      </c>
      <c r="DK28" s="40">
        <f t="shared" si="35"/>
        <v>0</v>
      </c>
      <c r="DN28" s="40">
        <f t="shared" si="36"/>
        <v>0</v>
      </c>
      <c r="DQ28" s="40">
        <f t="shared" si="37"/>
        <v>0</v>
      </c>
      <c r="DT28" s="40">
        <f t="shared" si="38"/>
        <v>0</v>
      </c>
      <c r="DW28" s="40">
        <f t="shared" si="39"/>
        <v>0</v>
      </c>
      <c r="DZ28" s="40"/>
      <c r="EA28" s="40"/>
      <c r="EB28" s="75">
        <f t="shared" si="40"/>
        <v>102350000</v>
      </c>
      <c r="EC28" s="75">
        <f t="shared" si="41"/>
        <v>0</v>
      </c>
      <c r="ED28" s="40">
        <f t="shared" si="42"/>
        <v>7686.875</v>
      </c>
      <c r="EE28" s="41">
        <f t="shared" si="43"/>
        <v>2.7037371763556427E-2</v>
      </c>
      <c r="EG28" s="75">
        <f t="shared" si="44"/>
        <v>0</v>
      </c>
      <c r="EH28" s="40">
        <f t="shared" si="45"/>
        <v>0</v>
      </c>
      <c r="EI28" s="41">
        <f t="shared" si="46"/>
        <v>0</v>
      </c>
      <c r="EJ28" s="41"/>
      <c r="EK28" s="75">
        <f t="shared" si="47"/>
        <v>102350000</v>
      </c>
      <c r="EL28" s="75">
        <f t="shared" si="48"/>
        <v>0</v>
      </c>
      <c r="EM28" s="75">
        <f t="shared" si="49"/>
        <v>7686.875</v>
      </c>
      <c r="EN28" s="41">
        <f t="shared" si="50"/>
        <v>2.7037371763556427E-2</v>
      </c>
    </row>
    <row r="29" spans="1:144" x14ac:dyDescent="0.25">
      <c r="A29" s="25">
        <f t="shared" si="51"/>
        <v>43604</v>
      </c>
      <c r="B29" s="40">
        <v>0</v>
      </c>
      <c r="C29" s="41">
        <v>2.7531139999999999E-2</v>
      </c>
      <c r="D29" s="40">
        <f t="shared" si="0"/>
        <v>0</v>
      </c>
      <c r="G29" s="40">
        <f t="shared" si="1"/>
        <v>0</v>
      </c>
      <c r="J29" s="40">
        <f t="shared" si="2"/>
        <v>0</v>
      </c>
      <c r="M29" s="40">
        <f t="shared" si="3"/>
        <v>0</v>
      </c>
      <c r="P29" s="40">
        <f t="shared" si="4"/>
        <v>0</v>
      </c>
      <c r="S29" s="40">
        <f t="shared" si="5"/>
        <v>0</v>
      </c>
      <c r="V29" s="40">
        <f t="shared" si="6"/>
        <v>0</v>
      </c>
      <c r="Y29" s="40">
        <f t="shared" si="7"/>
        <v>0</v>
      </c>
      <c r="AB29" s="40">
        <f t="shared" si="8"/>
        <v>0</v>
      </c>
      <c r="AE29" s="40">
        <v>0</v>
      </c>
      <c r="AH29" s="40">
        <v>0</v>
      </c>
      <c r="AI29" s="73">
        <f>52350000</f>
        <v>52350000</v>
      </c>
      <c r="AJ29" s="74">
        <v>2.6499999999999999E-2</v>
      </c>
      <c r="AK29" s="40">
        <f t="shared" si="9"/>
        <v>3853.5416666666665</v>
      </c>
      <c r="AL29" s="73">
        <f t="shared" si="52"/>
        <v>25000000</v>
      </c>
      <c r="AM29" s="74">
        <v>2.75E-2</v>
      </c>
      <c r="AN29" s="40">
        <f t="shared" si="10"/>
        <v>1909.7222222222222</v>
      </c>
      <c r="AO29" s="73">
        <f t="shared" si="53"/>
        <v>25000000</v>
      </c>
      <c r="AP29" s="74">
        <v>2.7699999999999999E-2</v>
      </c>
      <c r="AQ29" s="40">
        <f t="shared" si="11"/>
        <v>1923.6111111111111</v>
      </c>
      <c r="AT29" s="40">
        <f t="shared" si="12"/>
        <v>0</v>
      </c>
      <c r="AW29" s="40">
        <f t="shared" si="13"/>
        <v>0</v>
      </c>
      <c r="AZ29" s="40">
        <f t="shared" si="14"/>
        <v>0</v>
      </c>
      <c r="BC29" s="40">
        <f t="shared" si="15"/>
        <v>0</v>
      </c>
      <c r="BF29" s="40">
        <f t="shared" si="16"/>
        <v>0</v>
      </c>
      <c r="BI29" s="40">
        <f t="shared" si="17"/>
        <v>0</v>
      </c>
      <c r="BL29" s="40">
        <f t="shared" si="18"/>
        <v>0</v>
      </c>
      <c r="BO29" s="40">
        <f t="shared" si="19"/>
        <v>0</v>
      </c>
      <c r="BR29" s="40">
        <f t="shared" si="20"/>
        <v>0</v>
      </c>
      <c r="BU29" s="40">
        <f t="shared" si="21"/>
        <v>0</v>
      </c>
      <c r="BX29" s="40">
        <f t="shared" si="22"/>
        <v>0</v>
      </c>
      <c r="CA29" s="40">
        <f t="shared" si="23"/>
        <v>0</v>
      </c>
      <c r="CD29" s="40">
        <f t="shared" si="24"/>
        <v>0</v>
      </c>
      <c r="CG29" s="40">
        <f t="shared" si="25"/>
        <v>0</v>
      </c>
      <c r="CJ29" s="40">
        <f t="shared" si="26"/>
        <v>0</v>
      </c>
      <c r="CM29" s="40">
        <f t="shared" si="27"/>
        <v>0</v>
      </c>
      <c r="CP29" s="40">
        <f t="shared" si="28"/>
        <v>0</v>
      </c>
      <c r="CS29" s="40">
        <f t="shared" si="29"/>
        <v>0</v>
      </c>
      <c r="CV29" s="40">
        <f t="shared" si="30"/>
        <v>0</v>
      </c>
      <c r="CY29" s="40">
        <f t="shared" si="31"/>
        <v>0</v>
      </c>
      <c r="DB29" s="40">
        <f t="shared" si="32"/>
        <v>0</v>
      </c>
      <c r="DE29" s="40">
        <f t="shared" si="33"/>
        <v>0</v>
      </c>
      <c r="DH29" s="40">
        <f t="shared" si="34"/>
        <v>0</v>
      </c>
      <c r="DK29" s="40">
        <f t="shared" si="35"/>
        <v>0</v>
      </c>
      <c r="DN29" s="40">
        <f t="shared" si="36"/>
        <v>0</v>
      </c>
      <c r="DQ29" s="40">
        <f t="shared" si="37"/>
        <v>0</v>
      </c>
      <c r="DT29" s="40">
        <f t="shared" si="38"/>
        <v>0</v>
      </c>
      <c r="DW29" s="40">
        <f t="shared" si="39"/>
        <v>0</v>
      </c>
      <c r="DZ29" s="40"/>
      <c r="EA29" s="40"/>
      <c r="EB29" s="75">
        <f t="shared" si="40"/>
        <v>102350000</v>
      </c>
      <c r="EC29" s="75">
        <f t="shared" si="41"/>
        <v>0</v>
      </c>
      <c r="ED29" s="40">
        <f t="shared" si="42"/>
        <v>7686.875</v>
      </c>
      <c r="EE29" s="41">
        <f t="shared" si="43"/>
        <v>2.7037371763556427E-2</v>
      </c>
      <c r="EG29" s="75">
        <f t="shared" si="44"/>
        <v>0</v>
      </c>
      <c r="EH29" s="40">
        <f t="shared" si="45"/>
        <v>0</v>
      </c>
      <c r="EI29" s="41">
        <f t="shared" si="46"/>
        <v>0</v>
      </c>
      <c r="EJ29" s="41"/>
      <c r="EK29" s="75">
        <f t="shared" si="47"/>
        <v>102350000</v>
      </c>
      <c r="EL29" s="75">
        <f t="shared" si="48"/>
        <v>0</v>
      </c>
      <c r="EM29" s="75">
        <f t="shared" si="49"/>
        <v>7686.875</v>
      </c>
      <c r="EN29" s="41">
        <f t="shared" si="50"/>
        <v>2.7037371763556427E-2</v>
      </c>
    </row>
    <row r="30" spans="1:144" x14ac:dyDescent="0.25">
      <c r="A30" s="25">
        <f t="shared" si="51"/>
        <v>43605</v>
      </c>
      <c r="B30" s="40">
        <v>0</v>
      </c>
      <c r="C30" s="41">
        <v>2.7523010000000001E-2</v>
      </c>
      <c r="D30" s="40">
        <f t="shared" si="0"/>
        <v>0</v>
      </c>
      <c r="G30" s="40">
        <f t="shared" si="1"/>
        <v>0</v>
      </c>
      <c r="J30" s="40">
        <f t="shared" si="2"/>
        <v>0</v>
      </c>
      <c r="M30" s="40">
        <f t="shared" si="3"/>
        <v>0</v>
      </c>
      <c r="P30" s="40">
        <f t="shared" si="4"/>
        <v>0</v>
      </c>
      <c r="S30" s="40">
        <f t="shared" si="5"/>
        <v>0</v>
      </c>
      <c r="V30" s="40">
        <f t="shared" si="6"/>
        <v>0</v>
      </c>
      <c r="Y30" s="40">
        <f t="shared" si="7"/>
        <v>0</v>
      </c>
      <c r="AB30" s="40">
        <f t="shared" si="8"/>
        <v>0</v>
      </c>
      <c r="AE30" s="40">
        <v>0</v>
      </c>
      <c r="AH30" s="40">
        <v>0</v>
      </c>
      <c r="AI30" s="73">
        <f>70050000</f>
        <v>70050000</v>
      </c>
      <c r="AJ30" s="74">
        <v>2.63E-2</v>
      </c>
      <c r="AK30" s="40">
        <f t="shared" si="9"/>
        <v>5117.541666666667</v>
      </c>
      <c r="AL30" s="73">
        <f t="shared" si="52"/>
        <v>25000000</v>
      </c>
      <c r="AM30" s="74">
        <v>2.75E-2</v>
      </c>
      <c r="AN30" s="40">
        <f t="shared" si="10"/>
        <v>1909.7222222222222</v>
      </c>
      <c r="AO30" s="73">
        <f t="shared" si="53"/>
        <v>25000000</v>
      </c>
      <c r="AP30" s="74">
        <v>2.7699999999999999E-2</v>
      </c>
      <c r="AQ30" s="40">
        <f t="shared" si="11"/>
        <v>1923.6111111111111</v>
      </c>
      <c r="AT30" s="40">
        <f t="shared" si="12"/>
        <v>0</v>
      </c>
      <c r="AW30" s="40">
        <f t="shared" si="13"/>
        <v>0</v>
      </c>
      <c r="AZ30" s="40">
        <f t="shared" si="14"/>
        <v>0</v>
      </c>
      <c r="BC30" s="40">
        <f t="shared" si="15"/>
        <v>0</v>
      </c>
      <c r="BF30" s="40">
        <f t="shared" si="16"/>
        <v>0</v>
      </c>
      <c r="BI30" s="40">
        <f t="shared" si="17"/>
        <v>0</v>
      </c>
      <c r="BL30" s="40">
        <f t="shared" si="18"/>
        <v>0</v>
      </c>
      <c r="BO30" s="40">
        <f t="shared" si="19"/>
        <v>0</v>
      </c>
      <c r="BR30" s="40">
        <f t="shared" si="20"/>
        <v>0</v>
      </c>
      <c r="BU30" s="40">
        <f t="shared" si="21"/>
        <v>0</v>
      </c>
      <c r="BX30" s="40">
        <f t="shared" si="22"/>
        <v>0</v>
      </c>
      <c r="CA30" s="40">
        <f t="shared" si="23"/>
        <v>0</v>
      </c>
      <c r="CD30" s="40">
        <f t="shared" si="24"/>
        <v>0</v>
      </c>
      <c r="CG30" s="40">
        <f t="shared" si="25"/>
        <v>0</v>
      </c>
      <c r="CJ30" s="40">
        <f t="shared" si="26"/>
        <v>0</v>
      </c>
      <c r="CM30" s="40">
        <f t="shared" si="27"/>
        <v>0</v>
      </c>
      <c r="CP30" s="40">
        <f t="shared" si="28"/>
        <v>0</v>
      </c>
      <c r="CS30" s="40">
        <f t="shared" si="29"/>
        <v>0</v>
      </c>
      <c r="CV30" s="40">
        <f t="shared" si="30"/>
        <v>0</v>
      </c>
      <c r="CY30" s="40">
        <f t="shared" si="31"/>
        <v>0</v>
      </c>
      <c r="DB30" s="40">
        <f t="shared" si="32"/>
        <v>0</v>
      </c>
      <c r="DE30" s="40">
        <f t="shared" si="33"/>
        <v>0</v>
      </c>
      <c r="DH30" s="40">
        <f t="shared" si="34"/>
        <v>0</v>
      </c>
      <c r="DK30" s="40">
        <f t="shared" si="35"/>
        <v>0</v>
      </c>
      <c r="DN30" s="40">
        <f t="shared" si="36"/>
        <v>0</v>
      </c>
      <c r="DQ30" s="40">
        <f t="shared" si="37"/>
        <v>0</v>
      </c>
      <c r="DT30" s="40">
        <f t="shared" si="38"/>
        <v>0</v>
      </c>
      <c r="DW30" s="40">
        <f t="shared" si="39"/>
        <v>0</v>
      </c>
      <c r="DZ30" s="40"/>
      <c r="EA30" s="40"/>
      <c r="EB30" s="75">
        <f t="shared" si="40"/>
        <v>120050000</v>
      </c>
      <c r="EC30" s="75">
        <f t="shared" si="41"/>
        <v>0</v>
      </c>
      <c r="ED30" s="40">
        <f t="shared" si="42"/>
        <v>8950.875</v>
      </c>
      <c r="EE30" s="41">
        <f t="shared" si="43"/>
        <v>2.6841441066222407E-2</v>
      </c>
      <c r="EG30" s="75">
        <f t="shared" si="44"/>
        <v>0</v>
      </c>
      <c r="EH30" s="40">
        <f t="shared" si="45"/>
        <v>0</v>
      </c>
      <c r="EI30" s="41">
        <f t="shared" si="46"/>
        <v>0</v>
      </c>
      <c r="EJ30" s="41"/>
      <c r="EK30" s="75">
        <f t="shared" si="47"/>
        <v>120050000</v>
      </c>
      <c r="EL30" s="75">
        <f t="shared" si="48"/>
        <v>0</v>
      </c>
      <c r="EM30" s="75">
        <f t="shared" si="49"/>
        <v>8950.875</v>
      </c>
      <c r="EN30" s="41">
        <f t="shared" si="50"/>
        <v>2.6841441066222407E-2</v>
      </c>
    </row>
    <row r="31" spans="1:144" x14ac:dyDescent="0.25">
      <c r="A31" s="25">
        <f t="shared" si="51"/>
        <v>43606</v>
      </c>
      <c r="B31" s="40">
        <v>0</v>
      </c>
      <c r="C31" s="41">
        <v>2.7519200000000001E-2</v>
      </c>
      <c r="D31" s="40">
        <f t="shared" si="0"/>
        <v>0</v>
      </c>
      <c r="G31" s="40">
        <f t="shared" si="1"/>
        <v>0</v>
      </c>
      <c r="J31" s="40">
        <f t="shared" si="2"/>
        <v>0</v>
      </c>
      <c r="M31" s="40">
        <f t="shared" si="3"/>
        <v>0</v>
      </c>
      <c r="P31" s="40">
        <f t="shared" si="4"/>
        <v>0</v>
      </c>
      <c r="S31" s="40">
        <f t="shared" si="5"/>
        <v>0</v>
      </c>
      <c r="V31" s="40">
        <f t="shared" si="6"/>
        <v>0</v>
      </c>
      <c r="Y31" s="40">
        <f t="shared" si="7"/>
        <v>0</v>
      </c>
      <c r="AB31" s="40">
        <f t="shared" si="8"/>
        <v>0</v>
      </c>
      <c r="AE31" s="40">
        <v>0</v>
      </c>
      <c r="AH31" s="40">
        <v>0</v>
      </c>
      <c r="AI31" s="73">
        <f>63575000</f>
        <v>63575000</v>
      </c>
      <c r="AJ31" s="74">
        <v>2.63E-2</v>
      </c>
      <c r="AK31" s="40">
        <f t="shared" si="9"/>
        <v>4644.5069444444443</v>
      </c>
      <c r="AL31" s="73">
        <f t="shared" si="52"/>
        <v>25000000</v>
      </c>
      <c r="AM31" s="74">
        <v>2.75E-2</v>
      </c>
      <c r="AN31" s="40">
        <f t="shared" si="10"/>
        <v>1909.7222222222222</v>
      </c>
      <c r="AO31" s="73">
        <f t="shared" si="53"/>
        <v>25000000</v>
      </c>
      <c r="AP31" s="74">
        <v>2.7699999999999999E-2</v>
      </c>
      <c r="AQ31" s="40">
        <f t="shared" si="11"/>
        <v>1923.6111111111111</v>
      </c>
      <c r="AT31" s="40">
        <f t="shared" si="12"/>
        <v>0</v>
      </c>
      <c r="AW31" s="40">
        <f t="shared" si="13"/>
        <v>0</v>
      </c>
      <c r="AZ31" s="40">
        <f t="shared" si="14"/>
        <v>0</v>
      </c>
      <c r="BC31" s="40">
        <f t="shared" si="15"/>
        <v>0</v>
      </c>
      <c r="BF31" s="40">
        <f t="shared" si="16"/>
        <v>0</v>
      </c>
      <c r="BI31" s="40">
        <f t="shared" si="17"/>
        <v>0</v>
      </c>
      <c r="BL31" s="40">
        <f t="shared" si="18"/>
        <v>0</v>
      </c>
      <c r="BO31" s="40">
        <f t="shared" si="19"/>
        <v>0</v>
      </c>
      <c r="BR31" s="40">
        <f t="shared" si="20"/>
        <v>0</v>
      </c>
      <c r="BU31" s="40">
        <f t="shared" si="21"/>
        <v>0</v>
      </c>
      <c r="BX31" s="40">
        <f t="shared" si="22"/>
        <v>0</v>
      </c>
      <c r="CA31" s="40">
        <f t="shared" si="23"/>
        <v>0</v>
      </c>
      <c r="CD31" s="40">
        <f t="shared" si="24"/>
        <v>0</v>
      </c>
      <c r="CG31" s="40">
        <f t="shared" si="25"/>
        <v>0</v>
      </c>
      <c r="CJ31" s="40">
        <f t="shared" si="26"/>
        <v>0</v>
      </c>
      <c r="CM31" s="40">
        <f t="shared" si="27"/>
        <v>0</v>
      </c>
      <c r="CP31" s="40">
        <f t="shared" si="28"/>
        <v>0</v>
      </c>
      <c r="CS31" s="40">
        <f t="shared" si="29"/>
        <v>0</v>
      </c>
      <c r="CV31" s="40">
        <f t="shared" si="30"/>
        <v>0</v>
      </c>
      <c r="CY31" s="40">
        <f t="shared" si="31"/>
        <v>0</v>
      </c>
      <c r="DB31" s="40">
        <f t="shared" si="32"/>
        <v>0</v>
      </c>
      <c r="DE31" s="40">
        <f t="shared" si="33"/>
        <v>0</v>
      </c>
      <c r="DH31" s="40">
        <f t="shared" si="34"/>
        <v>0</v>
      </c>
      <c r="DK31" s="40">
        <f t="shared" si="35"/>
        <v>0</v>
      </c>
      <c r="DN31" s="40">
        <f t="shared" si="36"/>
        <v>0</v>
      </c>
      <c r="DQ31" s="40">
        <f t="shared" si="37"/>
        <v>0</v>
      </c>
      <c r="DT31" s="40">
        <f t="shared" si="38"/>
        <v>0</v>
      </c>
      <c r="DW31" s="40">
        <f t="shared" si="39"/>
        <v>0</v>
      </c>
      <c r="DZ31" s="40"/>
      <c r="EA31" s="40"/>
      <c r="EB31" s="75">
        <f t="shared" si="40"/>
        <v>113575000</v>
      </c>
      <c r="EC31" s="75">
        <f t="shared" si="41"/>
        <v>0</v>
      </c>
      <c r="ED31" s="40">
        <f t="shared" si="42"/>
        <v>8477.8402777777774</v>
      </c>
      <c r="EE31" s="41">
        <f t="shared" si="43"/>
        <v>2.6872309046885316E-2</v>
      </c>
      <c r="EG31" s="75">
        <f t="shared" si="44"/>
        <v>0</v>
      </c>
      <c r="EH31" s="40">
        <f t="shared" si="45"/>
        <v>0</v>
      </c>
      <c r="EI31" s="41">
        <f t="shared" si="46"/>
        <v>0</v>
      </c>
      <c r="EJ31" s="41"/>
      <c r="EK31" s="75">
        <f t="shared" si="47"/>
        <v>113575000</v>
      </c>
      <c r="EL31" s="75">
        <f t="shared" si="48"/>
        <v>0</v>
      </c>
      <c r="EM31" s="75">
        <f t="shared" si="49"/>
        <v>8477.8402777777774</v>
      </c>
      <c r="EN31" s="41">
        <f t="shared" si="50"/>
        <v>2.6872309046885316E-2</v>
      </c>
    </row>
    <row r="32" spans="1:144" x14ac:dyDescent="0.25">
      <c r="A32" s="25">
        <f t="shared" si="51"/>
        <v>43607</v>
      </c>
      <c r="B32" s="40">
        <v>0</v>
      </c>
      <c r="C32" s="41">
        <v>2.7506270000000003E-2</v>
      </c>
      <c r="D32" s="40">
        <f t="shared" si="0"/>
        <v>0</v>
      </c>
      <c r="G32" s="40">
        <f t="shared" si="1"/>
        <v>0</v>
      </c>
      <c r="J32" s="40">
        <f t="shared" si="2"/>
        <v>0</v>
      </c>
      <c r="M32" s="40">
        <f t="shared" si="3"/>
        <v>0</v>
      </c>
      <c r="P32" s="40">
        <f t="shared" si="4"/>
        <v>0</v>
      </c>
      <c r="S32" s="40">
        <f t="shared" si="5"/>
        <v>0</v>
      </c>
      <c r="V32" s="40">
        <f t="shared" si="6"/>
        <v>0</v>
      </c>
      <c r="Y32" s="40">
        <f t="shared" si="7"/>
        <v>0</v>
      </c>
      <c r="AB32" s="40">
        <f t="shared" si="8"/>
        <v>0</v>
      </c>
      <c r="AE32" s="40">
        <v>0</v>
      </c>
      <c r="AH32" s="40">
        <v>0</v>
      </c>
      <c r="AI32" s="73">
        <f>59025000</f>
        <v>59025000</v>
      </c>
      <c r="AJ32" s="74">
        <v>2.63E-2</v>
      </c>
      <c r="AK32" s="40">
        <f t="shared" si="9"/>
        <v>4312.104166666667</v>
      </c>
      <c r="AL32" s="73">
        <f t="shared" si="52"/>
        <v>25000000</v>
      </c>
      <c r="AM32" s="74">
        <v>2.75E-2</v>
      </c>
      <c r="AN32" s="40">
        <f t="shared" si="10"/>
        <v>1909.7222222222222</v>
      </c>
      <c r="AO32" s="73">
        <f t="shared" si="53"/>
        <v>25000000</v>
      </c>
      <c r="AP32" s="74">
        <v>2.7699999999999999E-2</v>
      </c>
      <c r="AQ32" s="40">
        <f t="shared" si="11"/>
        <v>1923.6111111111111</v>
      </c>
      <c r="AT32" s="40">
        <f t="shared" si="12"/>
        <v>0</v>
      </c>
      <c r="AW32" s="40">
        <f t="shared" si="13"/>
        <v>0</v>
      </c>
      <c r="AZ32" s="40">
        <f t="shared" si="14"/>
        <v>0</v>
      </c>
      <c r="BC32" s="40">
        <f t="shared" si="15"/>
        <v>0</v>
      </c>
      <c r="BF32" s="40">
        <f t="shared" si="16"/>
        <v>0</v>
      </c>
      <c r="BI32" s="40">
        <f t="shared" si="17"/>
        <v>0</v>
      </c>
      <c r="BL32" s="40">
        <f t="shared" si="18"/>
        <v>0</v>
      </c>
      <c r="BO32" s="40">
        <f t="shared" si="19"/>
        <v>0</v>
      </c>
      <c r="BR32" s="40">
        <f t="shared" si="20"/>
        <v>0</v>
      </c>
      <c r="BU32" s="40">
        <f t="shared" si="21"/>
        <v>0</v>
      </c>
      <c r="BX32" s="40">
        <f t="shared" si="22"/>
        <v>0</v>
      </c>
      <c r="CA32" s="40">
        <f t="shared" si="23"/>
        <v>0</v>
      </c>
      <c r="CD32" s="40">
        <f t="shared" si="24"/>
        <v>0</v>
      </c>
      <c r="CG32" s="40">
        <f t="shared" si="25"/>
        <v>0</v>
      </c>
      <c r="CJ32" s="40">
        <f t="shared" si="26"/>
        <v>0</v>
      </c>
      <c r="CM32" s="40">
        <f t="shared" si="27"/>
        <v>0</v>
      </c>
      <c r="CP32" s="40">
        <f t="shared" si="28"/>
        <v>0</v>
      </c>
      <c r="CS32" s="40">
        <f t="shared" si="29"/>
        <v>0</v>
      </c>
      <c r="CV32" s="40">
        <f t="shared" si="30"/>
        <v>0</v>
      </c>
      <c r="CY32" s="40">
        <f t="shared" si="31"/>
        <v>0</v>
      </c>
      <c r="DB32" s="40">
        <f t="shared" si="32"/>
        <v>0</v>
      </c>
      <c r="DE32" s="40">
        <f t="shared" si="33"/>
        <v>0</v>
      </c>
      <c r="DH32" s="40">
        <f t="shared" si="34"/>
        <v>0</v>
      </c>
      <c r="DK32" s="40">
        <f t="shared" si="35"/>
        <v>0</v>
      </c>
      <c r="DN32" s="40">
        <f t="shared" si="36"/>
        <v>0</v>
      </c>
      <c r="DQ32" s="40">
        <f t="shared" si="37"/>
        <v>0</v>
      </c>
      <c r="DT32" s="40">
        <f t="shared" si="38"/>
        <v>0</v>
      </c>
      <c r="DW32" s="40">
        <f t="shared" si="39"/>
        <v>0</v>
      </c>
      <c r="DZ32" s="40"/>
      <c r="EA32" s="40"/>
      <c r="EB32" s="75">
        <f t="shared" si="40"/>
        <v>109025000</v>
      </c>
      <c r="EC32" s="75">
        <f t="shared" si="41"/>
        <v>0</v>
      </c>
      <c r="ED32" s="40">
        <f t="shared" si="42"/>
        <v>8145.4375</v>
      </c>
      <c r="EE32" s="41">
        <f t="shared" si="43"/>
        <v>2.6896193533593214E-2</v>
      </c>
      <c r="EG32" s="75">
        <f t="shared" si="44"/>
        <v>0</v>
      </c>
      <c r="EH32" s="40">
        <f t="shared" si="45"/>
        <v>0</v>
      </c>
      <c r="EI32" s="41">
        <f t="shared" si="46"/>
        <v>0</v>
      </c>
      <c r="EJ32" s="41"/>
      <c r="EK32" s="75">
        <f t="shared" si="47"/>
        <v>109025000</v>
      </c>
      <c r="EL32" s="75">
        <f t="shared" si="48"/>
        <v>0</v>
      </c>
      <c r="EM32" s="75">
        <f t="shared" si="49"/>
        <v>8145.4375</v>
      </c>
      <c r="EN32" s="41">
        <f t="shared" si="50"/>
        <v>2.6896193533593214E-2</v>
      </c>
    </row>
    <row r="33" spans="1:144" x14ac:dyDescent="0.25">
      <c r="A33" s="25">
        <f t="shared" si="51"/>
        <v>43608</v>
      </c>
      <c r="B33" s="40">
        <v>0</v>
      </c>
      <c r="C33" s="41">
        <v>2.750505E-2</v>
      </c>
      <c r="D33" s="40">
        <f t="shared" si="0"/>
        <v>0</v>
      </c>
      <c r="G33" s="40">
        <f t="shared" si="1"/>
        <v>0</v>
      </c>
      <c r="J33" s="40">
        <f t="shared" si="2"/>
        <v>0</v>
      </c>
      <c r="M33" s="40">
        <f t="shared" si="3"/>
        <v>0</v>
      </c>
      <c r="P33" s="40">
        <f t="shared" si="4"/>
        <v>0</v>
      </c>
      <c r="S33" s="40">
        <f t="shared" si="5"/>
        <v>0</v>
      </c>
      <c r="V33" s="40">
        <f t="shared" si="6"/>
        <v>0</v>
      </c>
      <c r="Y33" s="40">
        <f t="shared" si="7"/>
        <v>0</v>
      </c>
      <c r="AB33" s="40">
        <f t="shared" si="8"/>
        <v>0</v>
      </c>
      <c r="AE33" s="40">
        <v>0</v>
      </c>
      <c r="AH33" s="40">
        <v>0</v>
      </c>
      <c r="AI33" s="73">
        <f>53150000</f>
        <v>53150000</v>
      </c>
      <c r="AJ33" s="74">
        <v>2.63E-2</v>
      </c>
      <c r="AK33" s="40">
        <f t="shared" si="9"/>
        <v>3882.9027777777778</v>
      </c>
      <c r="AL33" s="73">
        <f t="shared" si="52"/>
        <v>25000000</v>
      </c>
      <c r="AM33" s="74">
        <v>2.75E-2</v>
      </c>
      <c r="AN33" s="40">
        <f t="shared" si="10"/>
        <v>1909.7222222222222</v>
      </c>
      <c r="AO33" s="73">
        <f t="shared" si="53"/>
        <v>25000000</v>
      </c>
      <c r="AP33" s="74">
        <v>2.7699999999999999E-2</v>
      </c>
      <c r="AQ33" s="40">
        <f t="shared" si="11"/>
        <v>1923.6111111111111</v>
      </c>
      <c r="AT33" s="40">
        <f t="shared" si="12"/>
        <v>0</v>
      </c>
      <c r="AW33" s="40">
        <f t="shared" si="13"/>
        <v>0</v>
      </c>
      <c r="AZ33" s="40">
        <f t="shared" si="14"/>
        <v>0</v>
      </c>
      <c r="BC33" s="40">
        <f t="shared" si="15"/>
        <v>0</v>
      </c>
      <c r="BF33" s="40">
        <f t="shared" si="16"/>
        <v>0</v>
      </c>
      <c r="BI33" s="40">
        <f t="shared" si="17"/>
        <v>0</v>
      </c>
      <c r="BL33" s="40">
        <f t="shared" si="18"/>
        <v>0</v>
      </c>
      <c r="BO33" s="40">
        <f t="shared" si="19"/>
        <v>0</v>
      </c>
      <c r="BR33" s="40">
        <f t="shared" si="20"/>
        <v>0</v>
      </c>
      <c r="BU33" s="40">
        <f t="shared" si="21"/>
        <v>0</v>
      </c>
      <c r="BX33" s="40">
        <f t="shared" si="22"/>
        <v>0</v>
      </c>
      <c r="CA33" s="40">
        <f t="shared" si="23"/>
        <v>0</v>
      </c>
      <c r="CD33" s="40">
        <f t="shared" si="24"/>
        <v>0</v>
      </c>
      <c r="CG33" s="40">
        <f t="shared" si="25"/>
        <v>0</v>
      </c>
      <c r="CJ33" s="40">
        <f t="shared" si="26"/>
        <v>0</v>
      </c>
      <c r="CM33" s="40">
        <f t="shared" si="27"/>
        <v>0</v>
      </c>
      <c r="CP33" s="40">
        <f t="shared" si="28"/>
        <v>0</v>
      </c>
      <c r="CS33" s="40">
        <f t="shared" si="29"/>
        <v>0</v>
      </c>
      <c r="CV33" s="40">
        <f t="shared" si="30"/>
        <v>0</v>
      </c>
      <c r="CY33" s="40">
        <f t="shared" si="31"/>
        <v>0</v>
      </c>
      <c r="DB33" s="40">
        <f t="shared" si="32"/>
        <v>0</v>
      </c>
      <c r="DE33" s="40">
        <f t="shared" si="33"/>
        <v>0</v>
      </c>
      <c r="DH33" s="40">
        <f t="shared" si="34"/>
        <v>0</v>
      </c>
      <c r="DK33" s="40">
        <f t="shared" si="35"/>
        <v>0</v>
      </c>
      <c r="DN33" s="40">
        <f t="shared" si="36"/>
        <v>0</v>
      </c>
      <c r="DQ33" s="40">
        <f t="shared" si="37"/>
        <v>0</v>
      </c>
      <c r="DT33" s="40">
        <f t="shared" si="38"/>
        <v>0</v>
      </c>
      <c r="DW33" s="40">
        <f t="shared" si="39"/>
        <v>0</v>
      </c>
      <c r="DZ33" s="40"/>
      <c r="EA33" s="40"/>
      <c r="EB33" s="75">
        <f t="shared" si="40"/>
        <v>103150000</v>
      </c>
      <c r="EC33" s="75">
        <f t="shared" si="41"/>
        <v>0</v>
      </c>
      <c r="ED33" s="40">
        <f t="shared" si="42"/>
        <v>7716.2361111111113</v>
      </c>
      <c r="EE33" s="41">
        <f t="shared" si="43"/>
        <v>2.6930150266602036E-2</v>
      </c>
      <c r="EG33" s="75">
        <f t="shared" si="44"/>
        <v>0</v>
      </c>
      <c r="EH33" s="40">
        <f t="shared" si="45"/>
        <v>0</v>
      </c>
      <c r="EI33" s="41">
        <f t="shared" si="46"/>
        <v>0</v>
      </c>
      <c r="EJ33" s="41"/>
      <c r="EK33" s="75">
        <f t="shared" si="47"/>
        <v>103150000</v>
      </c>
      <c r="EL33" s="75">
        <f t="shared" si="48"/>
        <v>0</v>
      </c>
      <c r="EM33" s="75">
        <f t="shared" si="49"/>
        <v>7716.2361111111113</v>
      </c>
      <c r="EN33" s="41">
        <f t="shared" si="50"/>
        <v>2.6930150266602036E-2</v>
      </c>
    </row>
    <row r="34" spans="1:144" x14ac:dyDescent="0.25">
      <c r="A34" s="25">
        <f t="shared" si="51"/>
        <v>43609</v>
      </c>
      <c r="B34" s="40">
        <v>0</v>
      </c>
      <c r="C34" s="41">
        <v>2.748743E-2</v>
      </c>
      <c r="D34" s="40">
        <f t="shared" si="0"/>
        <v>0</v>
      </c>
      <c r="G34" s="40">
        <f t="shared" si="1"/>
        <v>0</v>
      </c>
      <c r="J34" s="40">
        <f t="shared" si="2"/>
        <v>0</v>
      </c>
      <c r="M34" s="40">
        <f t="shared" si="3"/>
        <v>0</v>
      </c>
      <c r="P34" s="40">
        <f t="shared" si="4"/>
        <v>0</v>
      </c>
      <c r="S34" s="40">
        <f t="shared" si="5"/>
        <v>0</v>
      </c>
      <c r="V34" s="40">
        <f t="shared" si="6"/>
        <v>0</v>
      </c>
      <c r="Y34" s="40">
        <f t="shared" si="7"/>
        <v>0</v>
      </c>
      <c r="AB34" s="40">
        <f t="shared" si="8"/>
        <v>0</v>
      </c>
      <c r="AE34" s="40">
        <v>0</v>
      </c>
      <c r="AH34" s="40">
        <v>0</v>
      </c>
      <c r="AI34" s="73">
        <f>55750000</f>
        <v>55750000</v>
      </c>
      <c r="AJ34" s="74">
        <v>2.63E-2</v>
      </c>
      <c r="AK34" s="40">
        <f t="shared" si="9"/>
        <v>4072.8472222222222</v>
      </c>
      <c r="AL34" s="73">
        <f t="shared" si="52"/>
        <v>25000000</v>
      </c>
      <c r="AM34" s="74">
        <v>2.75E-2</v>
      </c>
      <c r="AN34" s="40">
        <f t="shared" si="10"/>
        <v>1909.7222222222222</v>
      </c>
      <c r="AO34" s="73">
        <f t="shared" si="53"/>
        <v>25000000</v>
      </c>
      <c r="AP34" s="74">
        <v>2.7699999999999999E-2</v>
      </c>
      <c r="AQ34" s="40">
        <f t="shared" si="11"/>
        <v>1923.6111111111111</v>
      </c>
      <c r="AT34" s="40">
        <f t="shared" si="12"/>
        <v>0</v>
      </c>
      <c r="AW34" s="40">
        <f t="shared" si="13"/>
        <v>0</v>
      </c>
      <c r="AZ34" s="40">
        <f t="shared" si="14"/>
        <v>0</v>
      </c>
      <c r="BC34" s="40">
        <f t="shared" si="15"/>
        <v>0</v>
      </c>
      <c r="BF34" s="40">
        <f t="shared" si="16"/>
        <v>0</v>
      </c>
      <c r="BI34" s="40">
        <f t="shared" si="17"/>
        <v>0</v>
      </c>
      <c r="BL34" s="40">
        <f t="shared" si="18"/>
        <v>0</v>
      </c>
      <c r="BO34" s="40">
        <f t="shared" si="19"/>
        <v>0</v>
      </c>
      <c r="BR34" s="40">
        <f t="shared" si="20"/>
        <v>0</v>
      </c>
      <c r="BU34" s="40">
        <f t="shared" si="21"/>
        <v>0</v>
      </c>
      <c r="BX34" s="40">
        <f t="shared" si="22"/>
        <v>0</v>
      </c>
      <c r="CA34" s="40">
        <f t="shared" si="23"/>
        <v>0</v>
      </c>
      <c r="CD34" s="40">
        <f t="shared" si="24"/>
        <v>0</v>
      </c>
      <c r="CG34" s="40">
        <f t="shared" si="25"/>
        <v>0</v>
      </c>
      <c r="CJ34" s="40">
        <f t="shared" si="26"/>
        <v>0</v>
      </c>
      <c r="CM34" s="40">
        <f t="shared" si="27"/>
        <v>0</v>
      </c>
      <c r="CP34" s="40">
        <f t="shared" si="28"/>
        <v>0</v>
      </c>
      <c r="CS34" s="40">
        <f t="shared" si="29"/>
        <v>0</v>
      </c>
      <c r="CV34" s="40">
        <f t="shared" si="30"/>
        <v>0</v>
      </c>
      <c r="CY34" s="40">
        <f t="shared" si="31"/>
        <v>0</v>
      </c>
      <c r="DB34" s="40">
        <f t="shared" si="32"/>
        <v>0</v>
      </c>
      <c r="DE34" s="40">
        <f t="shared" si="33"/>
        <v>0</v>
      </c>
      <c r="DH34" s="40">
        <f t="shared" si="34"/>
        <v>0</v>
      </c>
      <c r="DK34" s="40">
        <f t="shared" si="35"/>
        <v>0</v>
      </c>
      <c r="DN34" s="40">
        <f t="shared" si="36"/>
        <v>0</v>
      </c>
      <c r="DQ34" s="40">
        <f t="shared" si="37"/>
        <v>0</v>
      </c>
      <c r="DT34" s="40">
        <f t="shared" si="38"/>
        <v>0</v>
      </c>
      <c r="DW34" s="40">
        <f t="shared" si="39"/>
        <v>0</v>
      </c>
      <c r="DZ34" s="40"/>
      <c r="EA34" s="40"/>
      <c r="EB34" s="75">
        <f t="shared" si="40"/>
        <v>105750000</v>
      </c>
      <c r="EC34" s="75">
        <f t="shared" si="41"/>
        <v>0</v>
      </c>
      <c r="ED34" s="40">
        <f t="shared" si="42"/>
        <v>7906.1805555555557</v>
      </c>
      <c r="EE34" s="41">
        <f t="shared" si="43"/>
        <v>2.6914657210401892E-2</v>
      </c>
      <c r="EG34" s="75">
        <f t="shared" si="44"/>
        <v>0</v>
      </c>
      <c r="EH34" s="40">
        <f t="shared" si="45"/>
        <v>0</v>
      </c>
      <c r="EI34" s="41">
        <f t="shared" si="46"/>
        <v>0</v>
      </c>
      <c r="EJ34" s="41"/>
      <c r="EK34" s="75">
        <f t="shared" si="47"/>
        <v>105750000</v>
      </c>
      <c r="EL34" s="75">
        <f t="shared" si="48"/>
        <v>0</v>
      </c>
      <c r="EM34" s="75">
        <f t="shared" si="49"/>
        <v>7906.1805555555547</v>
      </c>
      <c r="EN34" s="41">
        <f t="shared" si="50"/>
        <v>2.6914657210401888E-2</v>
      </c>
    </row>
    <row r="35" spans="1:144" x14ac:dyDescent="0.25">
      <c r="A35" s="25">
        <f t="shared" si="51"/>
        <v>43610</v>
      </c>
      <c r="B35" s="40">
        <v>0</v>
      </c>
      <c r="C35" s="41">
        <v>2.748743E-2</v>
      </c>
      <c r="D35" s="40">
        <f t="shared" si="0"/>
        <v>0</v>
      </c>
      <c r="G35" s="40">
        <f t="shared" si="1"/>
        <v>0</v>
      </c>
      <c r="J35" s="40">
        <f t="shared" si="2"/>
        <v>0</v>
      </c>
      <c r="M35" s="40">
        <f t="shared" si="3"/>
        <v>0</v>
      </c>
      <c r="P35" s="40">
        <f t="shared" si="4"/>
        <v>0</v>
      </c>
      <c r="S35" s="40">
        <f t="shared" si="5"/>
        <v>0</v>
      </c>
      <c r="V35" s="40">
        <f t="shared" si="6"/>
        <v>0</v>
      </c>
      <c r="Y35" s="40">
        <f t="shared" si="7"/>
        <v>0</v>
      </c>
      <c r="AB35" s="40">
        <f t="shared" si="8"/>
        <v>0</v>
      </c>
      <c r="AE35" s="40">
        <v>0</v>
      </c>
      <c r="AH35" s="40">
        <v>0</v>
      </c>
      <c r="AI35" s="73">
        <f>55750000</f>
        <v>55750000</v>
      </c>
      <c r="AJ35" s="74">
        <v>2.63E-2</v>
      </c>
      <c r="AK35" s="40">
        <f t="shared" si="9"/>
        <v>4072.8472222222222</v>
      </c>
      <c r="AL35" s="73">
        <f t="shared" si="52"/>
        <v>25000000</v>
      </c>
      <c r="AM35" s="74">
        <v>2.75E-2</v>
      </c>
      <c r="AN35" s="40">
        <f t="shared" si="10"/>
        <v>1909.7222222222222</v>
      </c>
      <c r="AO35" s="73">
        <f t="shared" si="53"/>
        <v>25000000</v>
      </c>
      <c r="AP35" s="74">
        <v>2.7699999999999999E-2</v>
      </c>
      <c r="AQ35" s="40">
        <f t="shared" si="11"/>
        <v>1923.6111111111111</v>
      </c>
      <c r="AT35" s="40">
        <f t="shared" si="12"/>
        <v>0</v>
      </c>
      <c r="AW35" s="40">
        <f t="shared" si="13"/>
        <v>0</v>
      </c>
      <c r="AZ35" s="40">
        <f t="shared" si="14"/>
        <v>0</v>
      </c>
      <c r="BC35" s="40">
        <f t="shared" si="15"/>
        <v>0</v>
      </c>
      <c r="BF35" s="40">
        <f t="shared" si="16"/>
        <v>0</v>
      </c>
      <c r="BI35" s="40">
        <f t="shared" si="17"/>
        <v>0</v>
      </c>
      <c r="BL35" s="40">
        <f t="shared" si="18"/>
        <v>0</v>
      </c>
      <c r="BO35" s="40">
        <f t="shared" si="19"/>
        <v>0</v>
      </c>
      <c r="BR35" s="40">
        <f t="shared" si="20"/>
        <v>0</v>
      </c>
      <c r="BU35" s="40">
        <f t="shared" si="21"/>
        <v>0</v>
      </c>
      <c r="BX35" s="40">
        <f t="shared" si="22"/>
        <v>0</v>
      </c>
      <c r="CA35" s="40">
        <f t="shared" si="23"/>
        <v>0</v>
      </c>
      <c r="CD35" s="40">
        <f t="shared" si="24"/>
        <v>0</v>
      </c>
      <c r="CG35" s="40">
        <f t="shared" si="25"/>
        <v>0</v>
      </c>
      <c r="CJ35" s="40">
        <f t="shared" si="26"/>
        <v>0</v>
      </c>
      <c r="CM35" s="40">
        <f t="shared" si="27"/>
        <v>0</v>
      </c>
      <c r="CP35" s="40">
        <f t="shared" si="28"/>
        <v>0</v>
      </c>
      <c r="CS35" s="40">
        <f t="shared" si="29"/>
        <v>0</v>
      </c>
      <c r="CV35" s="40">
        <f t="shared" si="30"/>
        <v>0</v>
      </c>
      <c r="CY35" s="40">
        <f t="shared" si="31"/>
        <v>0</v>
      </c>
      <c r="DB35" s="40">
        <f t="shared" si="32"/>
        <v>0</v>
      </c>
      <c r="DE35" s="40">
        <f t="shared" si="33"/>
        <v>0</v>
      </c>
      <c r="DH35" s="40">
        <f t="shared" si="34"/>
        <v>0</v>
      </c>
      <c r="DK35" s="40">
        <f t="shared" si="35"/>
        <v>0</v>
      </c>
      <c r="DN35" s="40">
        <f t="shared" si="36"/>
        <v>0</v>
      </c>
      <c r="DQ35" s="40">
        <f t="shared" si="37"/>
        <v>0</v>
      </c>
      <c r="DT35" s="40">
        <f t="shared" si="38"/>
        <v>0</v>
      </c>
      <c r="DW35" s="40">
        <f t="shared" si="39"/>
        <v>0</v>
      </c>
      <c r="DZ35" s="40"/>
      <c r="EA35" s="40"/>
      <c r="EB35" s="75">
        <f t="shared" si="40"/>
        <v>105750000</v>
      </c>
      <c r="EC35" s="75">
        <f t="shared" si="41"/>
        <v>0</v>
      </c>
      <c r="ED35" s="40">
        <f t="shared" si="42"/>
        <v>7906.1805555555557</v>
      </c>
      <c r="EE35" s="41">
        <f t="shared" si="43"/>
        <v>2.6914657210401892E-2</v>
      </c>
      <c r="EG35" s="75">
        <f t="shared" si="44"/>
        <v>0</v>
      </c>
      <c r="EH35" s="40">
        <f t="shared" si="45"/>
        <v>0</v>
      </c>
      <c r="EI35" s="41">
        <f t="shared" si="46"/>
        <v>0</v>
      </c>
      <c r="EJ35" s="41"/>
      <c r="EK35" s="75">
        <f t="shared" si="47"/>
        <v>105750000</v>
      </c>
      <c r="EL35" s="75">
        <f t="shared" si="48"/>
        <v>0</v>
      </c>
      <c r="EM35" s="75">
        <f t="shared" si="49"/>
        <v>7906.1805555555547</v>
      </c>
      <c r="EN35" s="41">
        <f t="shared" si="50"/>
        <v>2.6914657210401888E-2</v>
      </c>
    </row>
    <row r="36" spans="1:144" x14ac:dyDescent="0.25">
      <c r="A36" s="25">
        <f t="shared" si="51"/>
        <v>43611</v>
      </c>
      <c r="B36" s="40">
        <v>0</v>
      </c>
      <c r="C36" s="41">
        <v>2.748743E-2</v>
      </c>
      <c r="D36" s="40">
        <f t="shared" si="0"/>
        <v>0</v>
      </c>
      <c r="G36" s="40">
        <f t="shared" si="1"/>
        <v>0</v>
      </c>
      <c r="J36" s="40">
        <f t="shared" si="2"/>
        <v>0</v>
      </c>
      <c r="M36" s="40">
        <f t="shared" si="3"/>
        <v>0</v>
      </c>
      <c r="P36" s="40">
        <f t="shared" si="4"/>
        <v>0</v>
      </c>
      <c r="S36" s="40">
        <f t="shared" si="5"/>
        <v>0</v>
      </c>
      <c r="V36" s="40">
        <f t="shared" si="6"/>
        <v>0</v>
      </c>
      <c r="Y36" s="40">
        <f t="shared" si="7"/>
        <v>0</v>
      </c>
      <c r="AB36" s="40">
        <f t="shared" si="8"/>
        <v>0</v>
      </c>
      <c r="AE36" s="40">
        <v>0</v>
      </c>
      <c r="AH36" s="40">
        <v>0</v>
      </c>
      <c r="AI36" s="73">
        <f>55750000</f>
        <v>55750000</v>
      </c>
      <c r="AJ36" s="74">
        <v>2.63E-2</v>
      </c>
      <c r="AK36" s="40">
        <f t="shared" si="9"/>
        <v>4072.8472222222222</v>
      </c>
      <c r="AL36" s="73">
        <f t="shared" si="52"/>
        <v>25000000</v>
      </c>
      <c r="AM36" s="74">
        <v>2.75E-2</v>
      </c>
      <c r="AN36" s="40">
        <f t="shared" si="10"/>
        <v>1909.7222222222222</v>
      </c>
      <c r="AO36" s="73">
        <f t="shared" si="53"/>
        <v>25000000</v>
      </c>
      <c r="AP36" s="74">
        <v>2.7699999999999999E-2</v>
      </c>
      <c r="AQ36" s="40">
        <f t="shared" si="11"/>
        <v>1923.6111111111111</v>
      </c>
      <c r="AT36" s="40">
        <f t="shared" si="12"/>
        <v>0</v>
      </c>
      <c r="AW36" s="40">
        <f t="shared" si="13"/>
        <v>0</v>
      </c>
      <c r="AZ36" s="40">
        <f t="shared" si="14"/>
        <v>0</v>
      </c>
      <c r="BC36" s="40">
        <f t="shared" si="15"/>
        <v>0</v>
      </c>
      <c r="BF36" s="40">
        <f t="shared" si="16"/>
        <v>0</v>
      </c>
      <c r="BI36" s="40">
        <f t="shared" si="17"/>
        <v>0</v>
      </c>
      <c r="BL36" s="40">
        <f t="shared" si="18"/>
        <v>0</v>
      </c>
      <c r="BO36" s="40">
        <f t="shared" si="19"/>
        <v>0</v>
      </c>
      <c r="BR36" s="40">
        <f t="shared" si="20"/>
        <v>0</v>
      </c>
      <c r="BU36" s="40">
        <f t="shared" si="21"/>
        <v>0</v>
      </c>
      <c r="BX36" s="40">
        <f t="shared" si="22"/>
        <v>0</v>
      </c>
      <c r="CA36" s="40">
        <f t="shared" si="23"/>
        <v>0</v>
      </c>
      <c r="CD36" s="40">
        <f t="shared" si="24"/>
        <v>0</v>
      </c>
      <c r="CG36" s="40">
        <f t="shared" si="25"/>
        <v>0</v>
      </c>
      <c r="CJ36" s="40">
        <f t="shared" si="26"/>
        <v>0</v>
      </c>
      <c r="CM36" s="40">
        <f t="shared" si="27"/>
        <v>0</v>
      </c>
      <c r="CP36" s="40">
        <f t="shared" si="28"/>
        <v>0</v>
      </c>
      <c r="CS36" s="40">
        <f t="shared" si="29"/>
        <v>0</v>
      </c>
      <c r="CV36" s="40">
        <f t="shared" si="30"/>
        <v>0</v>
      </c>
      <c r="CY36" s="40">
        <f t="shared" si="31"/>
        <v>0</v>
      </c>
      <c r="DB36" s="40">
        <f t="shared" si="32"/>
        <v>0</v>
      </c>
      <c r="DE36" s="40">
        <f t="shared" si="33"/>
        <v>0</v>
      </c>
      <c r="DH36" s="40">
        <f t="shared" si="34"/>
        <v>0</v>
      </c>
      <c r="DK36" s="40">
        <f t="shared" si="35"/>
        <v>0</v>
      </c>
      <c r="DN36" s="40">
        <f t="shared" si="36"/>
        <v>0</v>
      </c>
      <c r="DQ36" s="40">
        <f t="shared" si="37"/>
        <v>0</v>
      </c>
      <c r="DT36" s="40">
        <f t="shared" si="38"/>
        <v>0</v>
      </c>
      <c r="DW36" s="40">
        <f t="shared" si="39"/>
        <v>0</v>
      </c>
      <c r="DZ36" s="40"/>
      <c r="EA36" s="40"/>
      <c r="EB36" s="75">
        <f t="shared" si="40"/>
        <v>105750000</v>
      </c>
      <c r="EC36" s="75">
        <f t="shared" si="41"/>
        <v>0</v>
      </c>
      <c r="ED36" s="40">
        <f t="shared" si="42"/>
        <v>7906.1805555555557</v>
      </c>
      <c r="EE36" s="41">
        <f t="shared" si="43"/>
        <v>2.6914657210401892E-2</v>
      </c>
      <c r="EG36" s="75">
        <f t="shared" si="44"/>
        <v>0</v>
      </c>
      <c r="EH36" s="40">
        <f t="shared" si="45"/>
        <v>0</v>
      </c>
      <c r="EI36" s="41">
        <f t="shared" si="46"/>
        <v>0</v>
      </c>
      <c r="EJ36" s="41"/>
      <c r="EK36" s="75">
        <f t="shared" si="47"/>
        <v>105750000</v>
      </c>
      <c r="EL36" s="75">
        <f t="shared" si="48"/>
        <v>0</v>
      </c>
      <c r="EM36" s="75">
        <f t="shared" si="49"/>
        <v>7906.1805555555547</v>
      </c>
      <c r="EN36" s="41">
        <f t="shared" si="50"/>
        <v>2.6914657210401888E-2</v>
      </c>
    </row>
    <row r="37" spans="1:144" x14ac:dyDescent="0.25">
      <c r="A37" s="25">
        <f t="shared" si="51"/>
        <v>43612</v>
      </c>
      <c r="B37" s="40">
        <v>0</v>
      </c>
      <c r="C37" s="41">
        <v>2.748743E-2</v>
      </c>
      <c r="D37" s="40">
        <f t="shared" si="0"/>
        <v>0</v>
      </c>
      <c r="G37" s="40">
        <f t="shared" si="1"/>
        <v>0</v>
      </c>
      <c r="J37" s="40">
        <f t="shared" si="2"/>
        <v>0</v>
      </c>
      <c r="M37" s="40">
        <f t="shared" si="3"/>
        <v>0</v>
      </c>
      <c r="P37" s="40">
        <f t="shared" si="4"/>
        <v>0</v>
      </c>
      <c r="S37" s="40">
        <f t="shared" si="5"/>
        <v>0</v>
      </c>
      <c r="V37" s="40">
        <f t="shared" si="6"/>
        <v>0</v>
      </c>
      <c r="Y37" s="40">
        <f t="shared" si="7"/>
        <v>0</v>
      </c>
      <c r="AB37" s="40">
        <f t="shared" si="8"/>
        <v>0</v>
      </c>
      <c r="AE37" s="40">
        <v>0</v>
      </c>
      <c r="AH37" s="40">
        <v>0</v>
      </c>
      <c r="AI37" s="73">
        <f>55750000</f>
        <v>55750000</v>
      </c>
      <c r="AJ37" s="74">
        <v>2.63E-2</v>
      </c>
      <c r="AK37" s="40">
        <f t="shared" si="9"/>
        <v>4072.8472222222222</v>
      </c>
      <c r="AL37" s="73">
        <f t="shared" si="52"/>
        <v>25000000</v>
      </c>
      <c r="AM37" s="74">
        <v>2.75E-2</v>
      </c>
      <c r="AN37" s="40">
        <f t="shared" si="10"/>
        <v>1909.7222222222222</v>
      </c>
      <c r="AO37" s="73">
        <f t="shared" si="53"/>
        <v>25000000</v>
      </c>
      <c r="AP37" s="74">
        <v>2.7699999999999999E-2</v>
      </c>
      <c r="AQ37" s="40">
        <f t="shared" si="11"/>
        <v>1923.6111111111111</v>
      </c>
      <c r="AT37" s="40">
        <f t="shared" si="12"/>
        <v>0</v>
      </c>
      <c r="AW37" s="40">
        <f t="shared" si="13"/>
        <v>0</v>
      </c>
      <c r="AZ37" s="40">
        <f t="shared" si="14"/>
        <v>0</v>
      </c>
      <c r="BC37" s="40">
        <f t="shared" si="15"/>
        <v>0</v>
      </c>
      <c r="BF37" s="40">
        <f t="shared" si="16"/>
        <v>0</v>
      </c>
      <c r="BI37" s="40">
        <f t="shared" si="17"/>
        <v>0</v>
      </c>
      <c r="BL37" s="40">
        <f t="shared" si="18"/>
        <v>0</v>
      </c>
      <c r="BO37" s="40">
        <f t="shared" si="19"/>
        <v>0</v>
      </c>
      <c r="BR37" s="40">
        <f t="shared" si="20"/>
        <v>0</v>
      </c>
      <c r="BU37" s="40">
        <f t="shared" si="21"/>
        <v>0</v>
      </c>
      <c r="BX37" s="40">
        <f t="shared" si="22"/>
        <v>0</v>
      </c>
      <c r="CA37" s="40">
        <f t="shared" si="23"/>
        <v>0</v>
      </c>
      <c r="CD37" s="40">
        <f t="shared" si="24"/>
        <v>0</v>
      </c>
      <c r="CG37" s="40">
        <f t="shared" si="25"/>
        <v>0</v>
      </c>
      <c r="CJ37" s="40">
        <f t="shared" si="26"/>
        <v>0</v>
      </c>
      <c r="CM37" s="40">
        <f t="shared" si="27"/>
        <v>0</v>
      </c>
      <c r="CP37" s="40">
        <f t="shared" si="28"/>
        <v>0</v>
      </c>
      <c r="CS37" s="40">
        <f t="shared" si="29"/>
        <v>0</v>
      </c>
      <c r="CV37" s="40">
        <f t="shared" si="30"/>
        <v>0</v>
      </c>
      <c r="CY37" s="40">
        <f t="shared" si="31"/>
        <v>0</v>
      </c>
      <c r="DB37" s="40">
        <f t="shared" si="32"/>
        <v>0</v>
      </c>
      <c r="DE37" s="40">
        <f t="shared" si="33"/>
        <v>0</v>
      </c>
      <c r="DH37" s="40">
        <f t="shared" si="34"/>
        <v>0</v>
      </c>
      <c r="DK37" s="40">
        <f t="shared" si="35"/>
        <v>0</v>
      </c>
      <c r="DN37" s="40">
        <f t="shared" si="36"/>
        <v>0</v>
      </c>
      <c r="DQ37" s="40">
        <f t="shared" si="37"/>
        <v>0</v>
      </c>
      <c r="DT37" s="40">
        <f t="shared" si="38"/>
        <v>0</v>
      </c>
      <c r="DW37" s="40">
        <f t="shared" si="39"/>
        <v>0</v>
      </c>
      <c r="DZ37" s="40"/>
      <c r="EA37" s="40"/>
      <c r="EB37" s="75">
        <f t="shared" si="40"/>
        <v>105750000</v>
      </c>
      <c r="EC37" s="75">
        <f t="shared" si="41"/>
        <v>0</v>
      </c>
      <c r="ED37" s="40">
        <f t="shared" si="42"/>
        <v>7906.1805555555557</v>
      </c>
      <c r="EE37" s="41">
        <f t="shared" si="43"/>
        <v>2.6914657210401892E-2</v>
      </c>
      <c r="EG37" s="75">
        <f t="shared" si="44"/>
        <v>0</v>
      </c>
      <c r="EH37" s="40">
        <f t="shared" si="45"/>
        <v>0</v>
      </c>
      <c r="EI37" s="41">
        <f t="shared" si="46"/>
        <v>0</v>
      </c>
      <c r="EJ37" s="41"/>
      <c r="EK37" s="75">
        <f t="shared" si="47"/>
        <v>105750000</v>
      </c>
      <c r="EL37" s="75">
        <f t="shared" si="48"/>
        <v>0</v>
      </c>
      <c r="EM37" s="75">
        <f t="shared" si="49"/>
        <v>7906.1805555555547</v>
      </c>
      <c r="EN37" s="41">
        <f t="shared" si="50"/>
        <v>2.6914657210401888E-2</v>
      </c>
    </row>
    <row r="38" spans="1:144" x14ac:dyDescent="0.25">
      <c r="A38" s="25">
        <f t="shared" si="51"/>
        <v>43613</v>
      </c>
      <c r="B38" s="40">
        <v>0</v>
      </c>
      <c r="C38" s="41">
        <v>2.7457850000000002E-2</v>
      </c>
      <c r="D38" s="40">
        <f t="shared" si="0"/>
        <v>0</v>
      </c>
      <c r="G38" s="40">
        <f t="shared" si="1"/>
        <v>0</v>
      </c>
      <c r="J38" s="40">
        <f t="shared" si="2"/>
        <v>0</v>
      </c>
      <c r="M38" s="40">
        <f t="shared" si="3"/>
        <v>0</v>
      </c>
      <c r="P38" s="40">
        <f t="shared" si="4"/>
        <v>0</v>
      </c>
      <c r="S38" s="40">
        <f t="shared" si="5"/>
        <v>0</v>
      </c>
      <c r="V38" s="40">
        <f t="shared" si="6"/>
        <v>0</v>
      </c>
      <c r="Y38" s="40">
        <f t="shared" si="7"/>
        <v>0</v>
      </c>
      <c r="AB38" s="40">
        <f t="shared" si="8"/>
        <v>0</v>
      </c>
      <c r="AE38" s="40">
        <v>0</v>
      </c>
      <c r="AH38" s="40">
        <v>0</v>
      </c>
      <c r="AI38" s="73">
        <f>81375000</f>
        <v>81375000</v>
      </c>
      <c r="AJ38" s="74">
        <v>2.5999999999999999E-2</v>
      </c>
      <c r="AK38" s="40">
        <f t="shared" si="9"/>
        <v>5877.083333333333</v>
      </c>
      <c r="AL38" s="73">
        <f t="shared" si="52"/>
        <v>25000000</v>
      </c>
      <c r="AM38" s="74">
        <v>2.75E-2</v>
      </c>
      <c r="AN38" s="40">
        <f t="shared" si="10"/>
        <v>1909.7222222222222</v>
      </c>
      <c r="AO38" s="73">
        <f t="shared" si="53"/>
        <v>25000000</v>
      </c>
      <c r="AP38" s="74">
        <v>2.7699999999999999E-2</v>
      </c>
      <c r="AQ38" s="40">
        <f t="shared" si="11"/>
        <v>1923.6111111111111</v>
      </c>
      <c r="AT38" s="40">
        <f t="shared" si="12"/>
        <v>0</v>
      </c>
      <c r="AW38" s="40">
        <f t="shared" si="13"/>
        <v>0</v>
      </c>
      <c r="AZ38" s="40">
        <f t="shared" si="14"/>
        <v>0</v>
      </c>
      <c r="BC38" s="40">
        <f t="shared" si="15"/>
        <v>0</v>
      </c>
      <c r="BF38" s="40">
        <f t="shared" si="16"/>
        <v>0</v>
      </c>
      <c r="BI38" s="40">
        <f t="shared" si="17"/>
        <v>0</v>
      </c>
      <c r="BL38" s="40">
        <f t="shared" si="18"/>
        <v>0</v>
      </c>
      <c r="BO38" s="40">
        <f t="shared" si="19"/>
        <v>0</v>
      </c>
      <c r="BR38" s="40">
        <f t="shared" si="20"/>
        <v>0</v>
      </c>
      <c r="BU38" s="40">
        <f t="shared" si="21"/>
        <v>0</v>
      </c>
      <c r="BX38" s="40">
        <f t="shared" si="22"/>
        <v>0</v>
      </c>
      <c r="CA38" s="40">
        <f t="shared" si="23"/>
        <v>0</v>
      </c>
      <c r="CD38" s="40">
        <f t="shared" si="24"/>
        <v>0</v>
      </c>
      <c r="CG38" s="40">
        <f t="shared" si="25"/>
        <v>0</v>
      </c>
      <c r="CJ38" s="40">
        <f t="shared" si="26"/>
        <v>0</v>
      </c>
      <c r="CM38" s="40">
        <f t="shared" si="27"/>
        <v>0</v>
      </c>
      <c r="CP38" s="40">
        <f t="shared" si="28"/>
        <v>0</v>
      </c>
      <c r="CS38" s="40">
        <f t="shared" si="29"/>
        <v>0</v>
      </c>
      <c r="CV38" s="40">
        <f t="shared" si="30"/>
        <v>0</v>
      </c>
      <c r="CY38" s="40">
        <f t="shared" si="31"/>
        <v>0</v>
      </c>
      <c r="DB38" s="40">
        <f t="shared" si="32"/>
        <v>0</v>
      </c>
      <c r="DE38" s="40">
        <f t="shared" si="33"/>
        <v>0</v>
      </c>
      <c r="DH38" s="40">
        <f t="shared" si="34"/>
        <v>0</v>
      </c>
      <c r="DK38" s="40">
        <f t="shared" si="35"/>
        <v>0</v>
      </c>
      <c r="DN38" s="40">
        <f t="shared" si="36"/>
        <v>0</v>
      </c>
      <c r="DQ38" s="40">
        <f t="shared" si="37"/>
        <v>0</v>
      </c>
      <c r="DT38" s="40">
        <f t="shared" si="38"/>
        <v>0</v>
      </c>
      <c r="DW38" s="40">
        <f t="shared" si="39"/>
        <v>0</v>
      </c>
      <c r="DZ38" s="40"/>
      <c r="EA38" s="40"/>
      <c r="EB38" s="75">
        <f t="shared" si="40"/>
        <v>131375000</v>
      </c>
      <c r="EC38" s="75">
        <f t="shared" si="41"/>
        <v>0</v>
      </c>
      <c r="ED38" s="40">
        <f t="shared" si="42"/>
        <v>9710.4166666666661</v>
      </c>
      <c r="EE38" s="41">
        <f t="shared" si="43"/>
        <v>2.6608943862987629E-2</v>
      </c>
      <c r="EG38" s="75">
        <f t="shared" si="44"/>
        <v>0</v>
      </c>
      <c r="EH38" s="40">
        <f t="shared" si="45"/>
        <v>0</v>
      </c>
      <c r="EI38" s="41">
        <f t="shared" si="46"/>
        <v>0</v>
      </c>
      <c r="EJ38" s="41"/>
      <c r="EK38" s="75">
        <f t="shared" si="47"/>
        <v>131375000</v>
      </c>
      <c r="EL38" s="75">
        <f t="shared" si="48"/>
        <v>0</v>
      </c>
      <c r="EM38" s="75">
        <f t="shared" si="49"/>
        <v>9710.4166666666661</v>
      </c>
      <c r="EN38" s="41">
        <f t="shared" si="50"/>
        <v>2.6608943862987629E-2</v>
      </c>
    </row>
    <row r="39" spans="1:144" x14ac:dyDescent="0.25">
      <c r="A39" s="25">
        <f t="shared" si="51"/>
        <v>43614</v>
      </c>
      <c r="B39" s="40">
        <v>0</v>
      </c>
      <c r="C39" s="41">
        <v>2.7462799999999999E-2</v>
      </c>
      <c r="D39" s="40">
        <f t="shared" si="0"/>
        <v>0</v>
      </c>
      <c r="G39" s="40">
        <f t="shared" si="1"/>
        <v>0</v>
      </c>
      <c r="J39" s="40">
        <f t="shared" si="2"/>
        <v>0</v>
      </c>
      <c r="M39" s="40">
        <f t="shared" si="3"/>
        <v>0</v>
      </c>
      <c r="P39" s="40">
        <f t="shared" si="4"/>
        <v>0</v>
      </c>
      <c r="S39" s="40">
        <f t="shared" si="5"/>
        <v>0</v>
      </c>
      <c r="V39" s="40">
        <f t="shared" si="6"/>
        <v>0</v>
      </c>
      <c r="Y39" s="40">
        <f t="shared" si="7"/>
        <v>0</v>
      </c>
      <c r="AB39" s="40">
        <f t="shared" si="8"/>
        <v>0</v>
      </c>
      <c r="AE39" s="40">
        <v>0</v>
      </c>
      <c r="AH39" s="40">
        <v>0</v>
      </c>
      <c r="AI39" s="73">
        <f>79650000</f>
        <v>79650000</v>
      </c>
      <c r="AJ39" s="74">
        <v>2.5999999999999999E-2</v>
      </c>
      <c r="AK39" s="40">
        <f t="shared" si="9"/>
        <v>5752.5</v>
      </c>
      <c r="AL39" s="73">
        <f t="shared" si="52"/>
        <v>25000000</v>
      </c>
      <c r="AM39" s="74">
        <v>2.75E-2</v>
      </c>
      <c r="AN39" s="40">
        <f t="shared" si="10"/>
        <v>1909.7222222222222</v>
      </c>
      <c r="AO39" s="73">
        <f t="shared" si="53"/>
        <v>25000000</v>
      </c>
      <c r="AP39" s="74">
        <v>2.7699999999999999E-2</v>
      </c>
      <c r="AQ39" s="40">
        <f t="shared" si="11"/>
        <v>1923.6111111111111</v>
      </c>
      <c r="AT39" s="40">
        <f t="shared" si="12"/>
        <v>0</v>
      </c>
      <c r="AW39" s="40">
        <f t="shared" si="13"/>
        <v>0</v>
      </c>
      <c r="AZ39" s="40">
        <f t="shared" si="14"/>
        <v>0</v>
      </c>
      <c r="BC39" s="40">
        <f t="shared" si="15"/>
        <v>0</v>
      </c>
      <c r="BF39" s="40">
        <f t="shared" si="16"/>
        <v>0</v>
      </c>
      <c r="BI39" s="40">
        <f t="shared" si="17"/>
        <v>0</v>
      </c>
      <c r="BL39" s="40">
        <f t="shared" si="18"/>
        <v>0</v>
      </c>
      <c r="BO39" s="40">
        <f t="shared" si="19"/>
        <v>0</v>
      </c>
      <c r="BR39" s="40">
        <f t="shared" si="20"/>
        <v>0</v>
      </c>
      <c r="BU39" s="40">
        <f t="shared" si="21"/>
        <v>0</v>
      </c>
      <c r="BX39" s="40">
        <f t="shared" si="22"/>
        <v>0</v>
      </c>
      <c r="CA39" s="40">
        <f t="shared" si="23"/>
        <v>0</v>
      </c>
      <c r="CD39" s="40">
        <f t="shared" si="24"/>
        <v>0</v>
      </c>
      <c r="CG39" s="40">
        <f t="shared" si="25"/>
        <v>0</v>
      </c>
      <c r="CJ39" s="40">
        <f t="shared" si="26"/>
        <v>0</v>
      </c>
      <c r="CM39" s="40">
        <f t="shared" si="27"/>
        <v>0</v>
      </c>
      <c r="CP39" s="40">
        <f t="shared" si="28"/>
        <v>0</v>
      </c>
      <c r="CS39" s="40">
        <f t="shared" si="29"/>
        <v>0</v>
      </c>
      <c r="CV39" s="40">
        <f t="shared" si="30"/>
        <v>0</v>
      </c>
      <c r="CY39" s="40">
        <f t="shared" si="31"/>
        <v>0</v>
      </c>
      <c r="DB39" s="40">
        <f t="shared" si="32"/>
        <v>0</v>
      </c>
      <c r="DE39" s="40">
        <f t="shared" si="33"/>
        <v>0</v>
      </c>
      <c r="DH39" s="40">
        <f t="shared" si="34"/>
        <v>0</v>
      </c>
      <c r="DK39" s="40">
        <f t="shared" si="35"/>
        <v>0</v>
      </c>
      <c r="DN39" s="40">
        <f t="shared" si="36"/>
        <v>0</v>
      </c>
      <c r="DQ39" s="40">
        <f t="shared" si="37"/>
        <v>0</v>
      </c>
      <c r="DT39" s="40">
        <f t="shared" si="38"/>
        <v>0</v>
      </c>
      <c r="DW39" s="40">
        <f t="shared" si="39"/>
        <v>0</v>
      </c>
      <c r="DZ39" s="40"/>
      <c r="EA39" s="40"/>
      <c r="EB39" s="75">
        <f t="shared" si="40"/>
        <v>129650000</v>
      </c>
      <c r="EC39" s="75">
        <f t="shared" si="41"/>
        <v>0</v>
      </c>
      <c r="ED39" s="40">
        <f t="shared" si="42"/>
        <v>9585.8333333333339</v>
      </c>
      <c r="EE39" s="41">
        <f t="shared" si="43"/>
        <v>2.661704589278828E-2</v>
      </c>
      <c r="EG39" s="75">
        <f t="shared" si="44"/>
        <v>0</v>
      </c>
      <c r="EH39" s="40">
        <f t="shared" si="45"/>
        <v>0</v>
      </c>
      <c r="EI39" s="41">
        <f t="shared" si="46"/>
        <v>0</v>
      </c>
      <c r="EJ39" s="41"/>
      <c r="EK39" s="75">
        <f t="shared" si="47"/>
        <v>129650000</v>
      </c>
      <c r="EL39" s="75">
        <f t="shared" si="48"/>
        <v>0</v>
      </c>
      <c r="EM39" s="75">
        <f t="shared" si="49"/>
        <v>9585.8333333333321</v>
      </c>
      <c r="EN39" s="41">
        <f t="shared" si="50"/>
        <v>2.6617045892788273E-2</v>
      </c>
    </row>
    <row r="40" spans="1:144" x14ac:dyDescent="0.25">
      <c r="A40" s="25">
        <f t="shared" si="51"/>
        <v>43615</v>
      </c>
      <c r="B40" s="40">
        <v>0</v>
      </c>
      <c r="C40" s="41">
        <v>2.742876E-2</v>
      </c>
      <c r="D40" s="40">
        <f t="shared" si="0"/>
        <v>0</v>
      </c>
      <c r="G40" s="40">
        <f t="shared" si="1"/>
        <v>0</v>
      </c>
      <c r="J40" s="40">
        <f t="shared" si="2"/>
        <v>0</v>
      </c>
      <c r="M40" s="40">
        <f t="shared" si="3"/>
        <v>0</v>
      </c>
      <c r="P40" s="40">
        <f t="shared" si="4"/>
        <v>0</v>
      </c>
      <c r="S40" s="40">
        <f t="shared" si="5"/>
        <v>0</v>
      </c>
      <c r="V40" s="40">
        <f t="shared" si="6"/>
        <v>0</v>
      </c>
      <c r="Y40" s="40">
        <f t="shared" si="7"/>
        <v>0</v>
      </c>
      <c r="AB40" s="40">
        <f t="shared" si="8"/>
        <v>0</v>
      </c>
      <c r="AE40" s="40">
        <v>0</v>
      </c>
      <c r="AH40" s="40">
        <v>0</v>
      </c>
      <c r="AI40" s="73">
        <v>83575000</v>
      </c>
      <c r="AJ40" s="74">
        <v>2.5899999999999999E-2</v>
      </c>
      <c r="AK40" s="40">
        <f t="shared" si="9"/>
        <v>6012.7569444444443</v>
      </c>
      <c r="AL40" s="73">
        <f t="shared" si="52"/>
        <v>25000000</v>
      </c>
      <c r="AM40" s="74">
        <v>2.75E-2</v>
      </c>
      <c r="AN40" s="40">
        <f t="shared" si="10"/>
        <v>1909.7222222222222</v>
      </c>
      <c r="AO40" s="73">
        <f t="shared" si="53"/>
        <v>25000000</v>
      </c>
      <c r="AP40" s="74">
        <v>2.7699999999999999E-2</v>
      </c>
      <c r="AQ40" s="40">
        <f t="shared" si="11"/>
        <v>1923.6111111111111</v>
      </c>
      <c r="AT40" s="40">
        <f t="shared" si="12"/>
        <v>0</v>
      </c>
      <c r="AW40" s="40">
        <f t="shared" si="13"/>
        <v>0</v>
      </c>
      <c r="AZ40" s="40">
        <f t="shared" si="14"/>
        <v>0</v>
      </c>
      <c r="BC40" s="40">
        <f t="shared" si="15"/>
        <v>0</v>
      </c>
      <c r="BF40" s="40">
        <f t="shared" si="16"/>
        <v>0</v>
      </c>
      <c r="BI40" s="40">
        <f t="shared" si="17"/>
        <v>0</v>
      </c>
      <c r="BL40" s="40">
        <f t="shared" si="18"/>
        <v>0</v>
      </c>
      <c r="BO40" s="40">
        <f t="shared" si="19"/>
        <v>0</v>
      </c>
      <c r="BR40" s="40">
        <f t="shared" si="20"/>
        <v>0</v>
      </c>
      <c r="BU40" s="40">
        <f t="shared" si="21"/>
        <v>0</v>
      </c>
      <c r="BX40" s="40">
        <f t="shared" si="22"/>
        <v>0</v>
      </c>
      <c r="CA40" s="40">
        <f t="shared" si="23"/>
        <v>0</v>
      </c>
      <c r="CD40" s="40">
        <f t="shared" si="24"/>
        <v>0</v>
      </c>
      <c r="CG40" s="40">
        <f t="shared" si="25"/>
        <v>0</v>
      </c>
      <c r="CJ40" s="40">
        <f t="shared" si="26"/>
        <v>0</v>
      </c>
      <c r="CM40" s="40">
        <f t="shared" si="27"/>
        <v>0</v>
      </c>
      <c r="CP40" s="40">
        <f t="shared" si="28"/>
        <v>0</v>
      </c>
      <c r="CS40" s="40">
        <f t="shared" si="29"/>
        <v>0</v>
      </c>
      <c r="CV40" s="40">
        <f t="shared" si="30"/>
        <v>0</v>
      </c>
      <c r="CY40" s="40">
        <f t="shared" si="31"/>
        <v>0</v>
      </c>
      <c r="DB40" s="40">
        <f t="shared" si="32"/>
        <v>0</v>
      </c>
      <c r="DE40" s="40">
        <f t="shared" si="33"/>
        <v>0</v>
      </c>
      <c r="DH40" s="40">
        <f t="shared" si="34"/>
        <v>0</v>
      </c>
      <c r="DK40" s="40">
        <f t="shared" si="35"/>
        <v>0</v>
      </c>
      <c r="DN40" s="40">
        <f t="shared" si="36"/>
        <v>0</v>
      </c>
      <c r="DQ40" s="40">
        <f t="shared" si="37"/>
        <v>0</v>
      </c>
      <c r="DT40" s="40">
        <f t="shared" si="38"/>
        <v>0</v>
      </c>
      <c r="DW40" s="40">
        <f t="shared" si="39"/>
        <v>0</v>
      </c>
      <c r="DZ40" s="38"/>
      <c r="EA40" s="40"/>
      <c r="EB40" s="75">
        <f t="shared" si="40"/>
        <v>133575000</v>
      </c>
      <c r="EC40" s="75">
        <f t="shared" si="41"/>
        <v>0</v>
      </c>
      <c r="ED40" s="40">
        <f t="shared" si="42"/>
        <v>9846.0902777777774</v>
      </c>
      <c r="EE40" s="41">
        <f t="shared" si="43"/>
        <v>2.6536346621748079E-2</v>
      </c>
      <c r="EG40" s="75">
        <f t="shared" si="44"/>
        <v>0</v>
      </c>
      <c r="EH40" s="40">
        <f t="shared" si="45"/>
        <v>0</v>
      </c>
      <c r="EI40" s="41">
        <f t="shared" si="46"/>
        <v>0</v>
      </c>
      <c r="EJ40" s="41"/>
      <c r="EK40" s="75">
        <f t="shared" si="47"/>
        <v>133575000</v>
      </c>
      <c r="EL40" s="75">
        <f t="shared" si="48"/>
        <v>0</v>
      </c>
      <c r="EM40" s="75">
        <f t="shared" si="49"/>
        <v>9846.0902777777774</v>
      </c>
      <c r="EN40" s="41">
        <f t="shared" si="50"/>
        <v>2.6536346621748079E-2</v>
      </c>
    </row>
    <row r="41" spans="1:144" x14ac:dyDescent="0.25">
      <c r="A41" s="25">
        <f t="shared" si="51"/>
        <v>43616</v>
      </c>
      <c r="B41" s="40">
        <v>0</v>
      </c>
      <c r="C41" s="41">
        <v>2.7406239999999998E-2</v>
      </c>
      <c r="D41" s="40">
        <f t="shared" si="0"/>
        <v>0</v>
      </c>
      <c r="G41" s="40">
        <f t="shared" si="1"/>
        <v>0</v>
      </c>
      <c r="J41" s="40">
        <f t="shared" si="2"/>
        <v>0</v>
      </c>
      <c r="M41" s="40">
        <f t="shared" si="3"/>
        <v>0</v>
      </c>
      <c r="P41" s="40">
        <f t="shared" si="4"/>
        <v>0</v>
      </c>
      <c r="S41" s="40">
        <f t="shared" si="5"/>
        <v>0</v>
      </c>
      <c r="V41" s="40">
        <f t="shared" si="6"/>
        <v>0</v>
      </c>
      <c r="Y41" s="40">
        <f t="shared" si="7"/>
        <v>0</v>
      </c>
      <c r="AB41" s="40">
        <f t="shared" si="8"/>
        <v>0</v>
      </c>
      <c r="AE41" s="40">
        <v>0</v>
      </c>
      <c r="AH41" s="40">
        <v>0</v>
      </c>
      <c r="AI41" s="73">
        <f>96425000</f>
        <v>96425000</v>
      </c>
      <c r="AJ41" s="74">
        <v>2.5899999999999999E-2</v>
      </c>
      <c r="AK41" s="40">
        <f t="shared" si="9"/>
        <v>6937.2430555555557</v>
      </c>
      <c r="AL41" s="73">
        <f t="shared" si="52"/>
        <v>25000000</v>
      </c>
      <c r="AM41" s="74">
        <v>2.75E-2</v>
      </c>
      <c r="AN41" s="40">
        <f t="shared" si="10"/>
        <v>1909.7222222222222</v>
      </c>
      <c r="AO41" s="73">
        <f t="shared" si="53"/>
        <v>25000000</v>
      </c>
      <c r="AP41" s="74">
        <v>2.7699999999999999E-2</v>
      </c>
      <c r="AQ41" s="40">
        <f t="shared" si="11"/>
        <v>1923.6111111111111</v>
      </c>
      <c r="AT41" s="40">
        <f t="shared" si="12"/>
        <v>0</v>
      </c>
      <c r="AW41" s="40">
        <f t="shared" si="13"/>
        <v>0</v>
      </c>
      <c r="AZ41" s="40">
        <f t="shared" si="14"/>
        <v>0</v>
      </c>
      <c r="BC41" s="40">
        <f t="shared" si="15"/>
        <v>0</v>
      </c>
      <c r="BF41" s="40">
        <f t="shared" si="16"/>
        <v>0</v>
      </c>
      <c r="BI41" s="40">
        <f t="shared" si="17"/>
        <v>0</v>
      </c>
      <c r="BL41" s="40">
        <f t="shared" si="18"/>
        <v>0</v>
      </c>
      <c r="BO41" s="40">
        <f t="shared" si="19"/>
        <v>0</v>
      </c>
      <c r="BR41" s="40">
        <f t="shared" si="20"/>
        <v>0</v>
      </c>
      <c r="BU41" s="40">
        <f t="shared" si="21"/>
        <v>0</v>
      </c>
      <c r="BX41" s="40">
        <f t="shared" si="22"/>
        <v>0</v>
      </c>
      <c r="CA41" s="40">
        <f t="shared" si="23"/>
        <v>0</v>
      </c>
      <c r="CD41" s="40">
        <f t="shared" si="24"/>
        <v>0</v>
      </c>
      <c r="CG41" s="40">
        <f t="shared" si="25"/>
        <v>0</v>
      </c>
      <c r="CJ41" s="40">
        <f t="shared" si="26"/>
        <v>0</v>
      </c>
      <c r="CM41" s="40">
        <f t="shared" si="27"/>
        <v>0</v>
      </c>
      <c r="CP41" s="40">
        <f t="shared" si="28"/>
        <v>0</v>
      </c>
      <c r="CS41" s="40">
        <f t="shared" si="29"/>
        <v>0</v>
      </c>
      <c r="CV41" s="40">
        <f t="shared" si="30"/>
        <v>0</v>
      </c>
      <c r="CY41" s="40">
        <f t="shared" si="31"/>
        <v>0</v>
      </c>
      <c r="DB41" s="40">
        <f t="shared" si="32"/>
        <v>0</v>
      </c>
      <c r="DE41" s="40">
        <f t="shared" si="33"/>
        <v>0</v>
      </c>
      <c r="DH41" s="40">
        <f t="shared" si="34"/>
        <v>0</v>
      </c>
      <c r="DK41" s="40">
        <f t="shared" si="35"/>
        <v>0</v>
      </c>
      <c r="DN41" s="40">
        <f t="shared" si="36"/>
        <v>0</v>
      </c>
      <c r="DQ41" s="40">
        <f t="shared" si="37"/>
        <v>0</v>
      </c>
      <c r="DT41" s="40">
        <f t="shared" si="38"/>
        <v>0</v>
      </c>
      <c r="DW41" s="40">
        <f t="shared" si="39"/>
        <v>0</v>
      </c>
      <c r="DZ41" s="38"/>
      <c r="EA41" s="40"/>
      <c r="EB41" s="75">
        <f t="shared" si="40"/>
        <v>146425000</v>
      </c>
      <c r="EC41" s="75">
        <f t="shared" si="41"/>
        <v>0</v>
      </c>
      <c r="ED41" s="40">
        <f t="shared" si="42"/>
        <v>10770.576388888889</v>
      </c>
      <c r="EE41" s="41">
        <f t="shared" si="43"/>
        <v>2.6480501963462522E-2</v>
      </c>
      <c r="EG41" s="75">
        <f t="shared" si="44"/>
        <v>0</v>
      </c>
      <c r="EH41" s="40">
        <f t="shared" si="45"/>
        <v>0</v>
      </c>
      <c r="EI41" s="41">
        <f t="shared" si="46"/>
        <v>0</v>
      </c>
      <c r="EJ41" s="41"/>
      <c r="EK41" s="75">
        <f t="shared" si="47"/>
        <v>146425000</v>
      </c>
      <c r="EL41" s="75">
        <f t="shared" si="48"/>
        <v>0</v>
      </c>
      <c r="EM41" s="75">
        <f t="shared" si="49"/>
        <v>10770.576388888889</v>
      </c>
      <c r="EN41" s="41">
        <f t="shared" si="50"/>
        <v>2.6480501963462522E-2</v>
      </c>
    </row>
    <row r="42" spans="1:144" x14ac:dyDescent="0.25">
      <c r="A42" s="76" t="s">
        <v>75</v>
      </c>
      <c r="D42" s="77">
        <f>SUM(D11:D41)</f>
        <v>0</v>
      </c>
      <c r="G42" s="77">
        <f>SUM(G11:G41)</f>
        <v>0</v>
      </c>
      <c r="J42" s="77">
        <f>SUM(J11:J41)</f>
        <v>0</v>
      </c>
      <c r="M42" s="77">
        <f>SUM(M11:M41)</f>
        <v>0</v>
      </c>
      <c r="P42" s="77">
        <f>SUM(P11:P41)</f>
        <v>0</v>
      </c>
      <c r="S42" s="77">
        <f>SUM(S11:S41)</f>
        <v>0</v>
      </c>
      <c r="V42" s="77">
        <f>SUM(V11:V41)</f>
        <v>0</v>
      </c>
      <c r="Y42" s="77">
        <f>SUM(Y11:Y41)</f>
        <v>0</v>
      </c>
      <c r="AB42" s="77">
        <f>SUM(AB11:AB41)</f>
        <v>0</v>
      </c>
      <c r="AE42" s="77">
        <f>SUM(AE11:AE41)</f>
        <v>0</v>
      </c>
      <c r="AH42" s="77">
        <f>SUM(AH11:AH41)</f>
        <v>0</v>
      </c>
      <c r="AK42" s="77">
        <f>SUM(AK11:AK41)</f>
        <v>151338.79166666669</v>
      </c>
      <c r="AN42" s="77">
        <f>SUM(AN11:AN41)</f>
        <v>47743.055555555533</v>
      </c>
      <c r="AQ42" s="77">
        <f>SUM(AQ11:AQ41)</f>
        <v>32701.388888888876</v>
      </c>
      <c r="AT42" s="77">
        <f>SUM(AT11:AT41)</f>
        <v>0</v>
      </c>
      <c r="AW42" s="77">
        <f>SUM(AW11:AW41)</f>
        <v>0</v>
      </c>
      <c r="AZ42" s="77">
        <f>SUM(AZ11:AZ41)</f>
        <v>0</v>
      </c>
      <c r="BC42" s="77">
        <f>SUM(BC11:BC41)</f>
        <v>0</v>
      </c>
      <c r="BF42" s="77">
        <f>SUM(BF11:BF41)</f>
        <v>0</v>
      </c>
      <c r="BI42" s="77">
        <f>SUM(BI11:BI41)</f>
        <v>0</v>
      </c>
      <c r="BL42" s="77">
        <f>SUM(BL11:BL41)</f>
        <v>0</v>
      </c>
      <c r="BO42" s="77">
        <f>SUM(BO11:BO41)</f>
        <v>0</v>
      </c>
      <c r="BR42" s="77">
        <f>SUM(BR11:BR41)</f>
        <v>0</v>
      </c>
      <c r="BU42" s="77">
        <f>SUM(BU11:BU41)</f>
        <v>0</v>
      </c>
      <c r="BX42" s="77">
        <f>SUM(BX11:BX41)</f>
        <v>0</v>
      </c>
      <c r="CA42" s="77">
        <f>SUM(CA11:CA41)</f>
        <v>0</v>
      </c>
      <c r="CD42" s="77">
        <f>SUM(CD11:CD41)</f>
        <v>0</v>
      </c>
      <c r="CG42" s="77">
        <f>SUM(CG11:CG41)</f>
        <v>0</v>
      </c>
      <c r="CJ42" s="77">
        <f>SUM(CJ11:CJ41)</f>
        <v>0</v>
      </c>
      <c r="CM42" s="77">
        <f>SUM(CM11:CM41)</f>
        <v>0</v>
      </c>
      <c r="CP42" s="77">
        <f>SUM(CP11:CP41)</f>
        <v>0</v>
      </c>
      <c r="CS42" s="77">
        <f>SUM(CS11:CS41)</f>
        <v>0</v>
      </c>
      <c r="CV42" s="77">
        <f>SUM(CV11:CV41)</f>
        <v>0</v>
      </c>
      <c r="CY42" s="77">
        <f>SUM(CY11:CY41)</f>
        <v>0</v>
      </c>
      <c r="DB42" s="77">
        <f>SUM(DB11:DB41)</f>
        <v>0</v>
      </c>
      <c r="DE42" s="77">
        <f>SUM(DE11:DE41)</f>
        <v>0</v>
      </c>
      <c r="DH42" s="77">
        <f>SUM(DH11:DH41)</f>
        <v>0</v>
      </c>
      <c r="DK42" s="77">
        <f>SUM(DK11:DK41)</f>
        <v>0</v>
      </c>
      <c r="DN42" s="77">
        <f>SUM(DN11:DN41)</f>
        <v>0</v>
      </c>
      <c r="DQ42" s="77">
        <f>SUM(DQ11:DQ41)</f>
        <v>0</v>
      </c>
      <c r="DT42" s="77">
        <f>SUM(DT11:DT41)</f>
        <v>0</v>
      </c>
      <c r="DW42" s="77">
        <f>SUM(DW11:DW41)</f>
        <v>0</v>
      </c>
      <c r="DZ42" s="38"/>
      <c r="EA42" s="38"/>
      <c r="EB42" s="40"/>
      <c r="EC42" s="40"/>
      <c r="ED42" s="77">
        <f>SUM(ED11:ED41)</f>
        <v>231783.23611111115</v>
      </c>
      <c r="EE42" s="41"/>
      <c r="EG42" s="40"/>
      <c r="EH42" s="77">
        <f>SUM(EH11:EH41)</f>
        <v>0</v>
      </c>
      <c r="EI42" s="41"/>
      <c r="EJ42" s="41"/>
      <c r="EK42" s="40"/>
      <c r="EL42" s="40"/>
      <c r="EM42" s="77">
        <f>SUM(EM11:EM41)</f>
        <v>231783.23611111115</v>
      </c>
      <c r="EN42" s="41"/>
    </row>
    <row r="44" spans="1:144" x14ac:dyDescent="0.25">
      <c r="EM44" s="78"/>
    </row>
    <row r="45" spans="1:144" x14ac:dyDescent="0.25">
      <c r="EM45" s="78"/>
    </row>
    <row r="46" spans="1:144" x14ac:dyDescent="0.25">
      <c r="EM46" s="40"/>
    </row>
    <row r="47" spans="1:144" x14ac:dyDescent="0.25">
      <c r="EM47" s="4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EQ47"/>
  <sheetViews>
    <sheetView workbookViewId="0">
      <selection activeCell="F26" sqref="F26"/>
    </sheetView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hidden="1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EB40</f>
        <v>205225000</v>
      </c>
      <c r="EI2" s="38">
        <f>EG40</f>
        <v>0</v>
      </c>
      <c r="EM2" s="38"/>
      <c r="EN2" s="38">
        <f>EK40</f>
        <v>205225000</v>
      </c>
      <c r="EO2" s="31">
        <v>-20641.669999999998</v>
      </c>
      <c r="EP2" s="31">
        <f>EN2+EO2</f>
        <v>205204358.33000001</v>
      </c>
      <c r="EQ2" s="31">
        <f>EE2+EO2</f>
        <v>205204358.33000001</v>
      </c>
    </row>
    <row r="3" spans="1:147" ht="16.5" thickTop="1" x14ac:dyDescent="0.25">
      <c r="A3" s="39" t="s">
        <v>171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AVERAGE(EB11:EB40)</f>
        <v>132703333.33333333</v>
      </c>
      <c r="EI3" s="38">
        <f>AVERAGE(EG11:EG40)</f>
        <v>0</v>
      </c>
      <c r="EM3" s="38"/>
      <c r="EN3" s="38">
        <f>AVERAGE(EK11:EK40)</f>
        <v>132703333.33333333</v>
      </c>
    </row>
    <row r="4" spans="1:147" x14ac:dyDescent="0.25">
      <c r="D4" s="24"/>
      <c r="E4" s="48" t="s">
        <v>98</v>
      </c>
      <c r="F4" s="38"/>
      <c r="G4" s="49">
        <f>EQ2</f>
        <v>205204358.33000001</v>
      </c>
      <c r="AI4" s="50" t="s">
        <v>102</v>
      </c>
      <c r="EB4" s="24" t="s">
        <v>103</v>
      </c>
      <c r="EC4" s="24"/>
      <c r="ED4" s="46"/>
      <c r="EE4" s="46">
        <f>IF(EE3=0,0,360*(AVERAGE(ED11:ED40)/EE3))</f>
        <v>2.6500566426364579E-2</v>
      </c>
      <c r="EI4" s="46">
        <f>IF(EI3=0,0,360*(AVERAGE(EH11:EH40)/EI3))</f>
        <v>0</v>
      </c>
      <c r="EM4" s="46"/>
      <c r="EN4" s="46">
        <f>IF(EN3=0,0,360*(AVERAGE(EM11:EM40)/EN3))</f>
        <v>2.6500566426364579E-2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132703333.33333333</v>
      </c>
      <c r="AI5" s="53" t="s">
        <v>93</v>
      </c>
      <c r="EB5" s="54" t="s">
        <v>105</v>
      </c>
      <c r="EC5" s="54"/>
      <c r="ED5" s="38"/>
      <c r="EE5" s="38">
        <f>MAX(EB11:EB40)</f>
        <v>205225000</v>
      </c>
      <c r="EI5" s="38">
        <f>MAX(EG11:EG40)</f>
        <v>0</v>
      </c>
      <c r="EM5" s="38"/>
      <c r="EN5" s="38">
        <f>MAX(EK11:EK40)</f>
        <v>205225000</v>
      </c>
    </row>
    <row r="6" spans="1:147" x14ac:dyDescent="0.25">
      <c r="D6" s="24"/>
      <c r="E6" s="48" t="s">
        <v>103</v>
      </c>
      <c r="F6" s="38"/>
      <c r="G6" s="55">
        <f>EE4</f>
        <v>2.6500566426364579E-2</v>
      </c>
    </row>
    <row r="7" spans="1:147" ht="16.5" thickBot="1" x14ac:dyDescent="0.3">
      <c r="D7" s="24"/>
      <c r="E7" s="56" t="s">
        <v>105</v>
      </c>
      <c r="F7" s="57"/>
      <c r="G7" s="58">
        <f>EE5</f>
        <v>205225000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43617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73">
        <f>96425000</f>
        <v>96425000</v>
      </c>
      <c r="AJ11" s="74">
        <v>2.5899999999999999E-2</v>
      </c>
      <c r="AK11" s="40">
        <f>(AI11*AJ11)/360</f>
        <v>6937.2430555555557</v>
      </c>
      <c r="AL11" s="73">
        <f t="shared" ref="AL11:AL16" si="0">25000000</f>
        <v>25000000</v>
      </c>
      <c r="AM11" s="74">
        <v>2.75E-2</v>
      </c>
      <c r="AN11" s="40">
        <f>(AL11*AM11)/360</f>
        <v>1909.7222222222222</v>
      </c>
      <c r="AO11" s="73">
        <f t="shared" ref="AO11:AO23" si="1">25000000</f>
        <v>25000000</v>
      </c>
      <c r="AP11" s="74">
        <v>2.7699999999999999E-2</v>
      </c>
      <c r="AQ11" s="40">
        <f>(AO11*AP11)/360</f>
        <v>1923.6111111111111</v>
      </c>
      <c r="AR11" s="73"/>
      <c r="AS11" s="74"/>
      <c r="AT11" s="40">
        <f>(AR11*AS11)/360</f>
        <v>0</v>
      </c>
      <c r="AW11" s="40">
        <f>(AU11*AV11)/360</f>
        <v>0</v>
      </c>
      <c r="AZ11" s="40">
        <f>(AX11*AY11)/360</f>
        <v>0</v>
      </c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146425000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10770.576388888889</v>
      </c>
      <c r="EE11" s="41">
        <f>IF(EB11&lt;&gt;0,((ED11/EB11)*360),0)</f>
        <v>2.6480501963462522E-2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146425000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10770.576388888889</v>
      </c>
      <c r="EN11" s="41">
        <f>IF(EK11&lt;&gt;0,((EM11/EK11)*360),0)</f>
        <v>2.6480501963462522E-2</v>
      </c>
      <c r="EO11" s="78"/>
      <c r="EP11" s="40"/>
    </row>
    <row r="12" spans="1:147" x14ac:dyDescent="0.25">
      <c r="A12" s="25">
        <f>1+A11</f>
        <v>43618</v>
      </c>
      <c r="D12" s="40">
        <f t="shared" ref="D12:D40" si="2">(B12*C12)/360</f>
        <v>0</v>
      </c>
      <c r="G12" s="40">
        <f t="shared" ref="G12:G40" si="3">(E12*F12)/360</f>
        <v>0</v>
      </c>
      <c r="J12" s="40">
        <f t="shared" ref="J12:J40" si="4">(H12*I12)/360</f>
        <v>0</v>
      </c>
      <c r="M12" s="40">
        <f t="shared" ref="M12:M40" si="5">(K12*L12)/360</f>
        <v>0</v>
      </c>
      <c r="P12" s="40">
        <f t="shared" ref="P12:P40" si="6">(N12*O12)/360</f>
        <v>0</v>
      </c>
      <c r="S12" s="40">
        <f t="shared" ref="S12:S40" si="7">(Q12*R12)/360</f>
        <v>0</v>
      </c>
      <c r="V12" s="40">
        <f t="shared" ref="V12:V40" si="8">(T12*U12)/360</f>
        <v>0</v>
      </c>
      <c r="Y12" s="40">
        <f t="shared" ref="Y12:Y40" si="9">(W12*X12)/360</f>
        <v>0</v>
      </c>
      <c r="AB12" s="40">
        <f t="shared" ref="AB12:AB40" si="10">(Z12*AA12)/360</f>
        <v>0</v>
      </c>
      <c r="AE12" s="40">
        <v>0</v>
      </c>
      <c r="AH12" s="40">
        <v>0</v>
      </c>
      <c r="AI12" s="73">
        <f>96425000</f>
        <v>96425000</v>
      </c>
      <c r="AJ12" s="74">
        <v>2.5899999999999999E-2</v>
      </c>
      <c r="AK12" s="40">
        <f t="shared" ref="AK12:AK40" si="11">(AI12*AJ12)/360</f>
        <v>6937.2430555555557</v>
      </c>
      <c r="AL12" s="73">
        <f t="shared" si="0"/>
        <v>25000000</v>
      </c>
      <c r="AM12" s="74">
        <v>2.75E-2</v>
      </c>
      <c r="AN12" s="40">
        <f t="shared" ref="AN12:AN40" si="12">(AL12*AM12)/360</f>
        <v>1909.7222222222222</v>
      </c>
      <c r="AO12" s="73">
        <f t="shared" si="1"/>
        <v>25000000</v>
      </c>
      <c r="AP12" s="74">
        <v>2.7699999999999999E-2</v>
      </c>
      <c r="AQ12" s="40">
        <f t="shared" ref="AQ12:AQ40" si="13">(AO12*AP12)/360</f>
        <v>1923.6111111111111</v>
      </c>
      <c r="AR12" s="73"/>
      <c r="AS12" s="74"/>
      <c r="AT12" s="40">
        <f t="shared" ref="AT12:AT40" si="14">(AR12*AS12)/360</f>
        <v>0</v>
      </c>
      <c r="AW12" s="40">
        <f t="shared" ref="AW12:AW40" si="15">(AU12*AV12)/360</f>
        <v>0</v>
      </c>
      <c r="AZ12" s="40">
        <f t="shared" ref="AZ12:AZ40" si="16">(AX12*AY12)/360</f>
        <v>0</v>
      </c>
      <c r="BC12" s="40">
        <f t="shared" ref="BC12:BC40" si="17">(BA12*BB12)/360</f>
        <v>0</v>
      </c>
      <c r="BF12" s="40">
        <f t="shared" ref="BF12:BF40" si="18">(BD12*BE12)/360</f>
        <v>0</v>
      </c>
      <c r="BI12" s="40">
        <f t="shared" ref="BI12:BI40" si="19">(BG12*BH12)/360</f>
        <v>0</v>
      </c>
      <c r="BL12" s="40">
        <f t="shared" ref="BL12:BL40" si="20">(BJ12*BK12)/360</f>
        <v>0</v>
      </c>
      <c r="BO12" s="40">
        <f t="shared" ref="BO12:BO40" si="21">(BM12*BN12)/360</f>
        <v>0</v>
      </c>
      <c r="BR12" s="40">
        <f t="shared" ref="BR12:BR40" si="22">(BP12*BQ12)/360</f>
        <v>0</v>
      </c>
      <c r="BU12" s="40">
        <f t="shared" ref="BU12:BU40" si="23">(BS12*BT12)/360</f>
        <v>0</v>
      </c>
      <c r="BX12" s="40">
        <f t="shared" ref="BX12:BX40" si="24">(BV12*BW12)/360</f>
        <v>0</v>
      </c>
      <c r="CA12" s="40">
        <f t="shared" ref="CA12:CA40" si="25">(BY12*BZ12)/360</f>
        <v>0</v>
      </c>
      <c r="CD12" s="40">
        <f t="shared" ref="CD12:CD40" si="26">(CB12*CC12)/360</f>
        <v>0</v>
      </c>
      <c r="CG12" s="40">
        <f t="shared" ref="CG12:CG40" si="27">(CE12*CF12)/360</f>
        <v>0</v>
      </c>
      <c r="CJ12" s="40">
        <f t="shared" ref="CJ12:CJ40" si="28">(CH12*CI12)/360</f>
        <v>0</v>
      </c>
      <c r="CM12" s="40">
        <f t="shared" ref="CM12:CM40" si="29">(CK12*CL12)/360</f>
        <v>0</v>
      </c>
      <c r="CP12" s="40">
        <f t="shared" ref="CP12:CP40" si="30">(CN12*CO12)/360</f>
        <v>0</v>
      </c>
      <c r="CS12" s="40">
        <f t="shared" ref="CS12:CS40" si="31">(CQ12*CR12)/360</f>
        <v>0</v>
      </c>
      <c r="CV12" s="40">
        <f t="shared" ref="CV12:CV40" si="32">(CT12*CU12)/360</f>
        <v>0</v>
      </c>
      <c r="CY12" s="40">
        <f t="shared" ref="CY12:CY40" si="33">(CW12*CX12)/360</f>
        <v>0</v>
      </c>
      <c r="DB12" s="40">
        <f t="shared" ref="DB12:DB40" si="34">(CZ12*DA12)/360</f>
        <v>0</v>
      </c>
      <c r="DE12" s="40">
        <f t="shared" ref="DE12:DE40" si="35">(DC12*DD12)/360</f>
        <v>0</v>
      </c>
      <c r="DH12" s="40">
        <f t="shared" ref="DH12:DH40" si="36">(DF12*DG12)/360</f>
        <v>0</v>
      </c>
      <c r="DK12" s="40">
        <f t="shared" ref="DK12:DK40" si="37">(DI12*DJ12)/360</f>
        <v>0</v>
      </c>
      <c r="DN12" s="40">
        <f t="shared" ref="DN12:DN40" si="38">(DL12*DM12)/360</f>
        <v>0</v>
      </c>
      <c r="DQ12" s="40">
        <f t="shared" ref="DQ12:DQ40" si="39">(DO12*DP12)/360</f>
        <v>0</v>
      </c>
      <c r="DT12" s="40">
        <f t="shared" ref="DT12:DT40" si="40">(DR12*DS12)/360</f>
        <v>0</v>
      </c>
      <c r="DW12" s="40">
        <f t="shared" ref="DW12:DW40" si="41">(DU12*DV12)/360</f>
        <v>0</v>
      </c>
      <c r="DZ12" s="40"/>
      <c r="EA12" s="40"/>
      <c r="EB12" s="75">
        <f t="shared" ref="EB12:EB40" si="42">B12+E12+H12+K12+N12+Q12+T12+W12+Z12+AC12+AF12+AL12+AO12+AR12+AU12+AX12+BA12+BD12+BG12+DU12+AI12+DR12+DO12+DL12+DI12+DF12+DC12+CZ12+CW12+CT12+CQ12+CN12+CK12+CH12+CE12+CB12+BY12+BV12+BS12+BP12+BM12+BJ12</f>
        <v>146425000</v>
      </c>
      <c r="EC12" s="75">
        <f t="shared" ref="EC12:EC40" si="43">EB12-EK12+EL12</f>
        <v>0</v>
      </c>
      <c r="ED12" s="40">
        <f t="shared" ref="ED12:ED40" si="44">D12+G12+J12+M12+P12+S12+V12+Y12+AB12+AE12+AH12+AK12+AN12+AQ12+AT12+AW12+AZ12+BC12+BF12+BI12+DW12+DT12+DQ12+DN12+DK12+DH12+DE12+DB12+CY12+CV12+CS12+CP12+CM12+CJ12+CG12+CD12+CA12+BX12+BU12+BR12+BO12+BL12</f>
        <v>10770.576388888889</v>
      </c>
      <c r="EE12" s="41">
        <f t="shared" ref="EE12:EE40" si="45">IF(EB12&lt;&gt;0,((ED12/EB12)*360),0)</f>
        <v>2.6480501963462522E-2</v>
      </c>
      <c r="EG12" s="75">
        <f t="shared" ref="EG12:EG40" si="46">Q12+T12+W12+Z12+AC12+AF12</f>
        <v>0</v>
      </c>
      <c r="EH12" s="40">
        <f t="shared" ref="EH12:EH40" si="47">S12+V12+Y12+AB12+AE12+AH12</f>
        <v>0</v>
      </c>
      <c r="EI12" s="41">
        <f t="shared" ref="EI12:EI40" si="48">IF(EG12&lt;&gt;0,((EH12/EG12)*360),0)</f>
        <v>0</v>
      </c>
      <c r="EJ12" s="41"/>
      <c r="EK12" s="75">
        <f t="shared" ref="EK12:EK40" si="49">DR12+DL12+DI12+DF12+DC12+CZ12+CW12+CT12+CQ12+CN12+CK12+CH12+CE12+CB12+BY12+BV12+BS12+BP12+BM12+BJ12+BG12+BD12+BA12+AX12+AU12+AR12+AO12+AL12+AI12+DO12</f>
        <v>146425000</v>
      </c>
      <c r="EL12" s="75">
        <f t="shared" ref="EL12:EL40" si="50">DX12</f>
        <v>0</v>
      </c>
      <c r="EM12" s="75">
        <f t="shared" ref="EM12:EM40" si="51">DT12+DQ12+DN12+DK12+DH12+DE12+DB12+CY12+CV12+CS12+CP12+CM12+CJ12+CG12+CD12+CA12+BX12+BU12+BR12+BO12+BL12+BI12+BF12+BC12+AZ12+AW12+AT12+AQ12+AN12+AK12</f>
        <v>10770.576388888889</v>
      </c>
      <c r="EN12" s="41">
        <f t="shared" ref="EN12:EN40" si="52">IF(EK12&lt;&gt;0,((EM12/EK12)*360),0)</f>
        <v>2.6480501963462522E-2</v>
      </c>
      <c r="EO12" s="78"/>
      <c r="EP12" s="40"/>
    </row>
    <row r="13" spans="1:147" x14ac:dyDescent="0.25">
      <c r="A13" s="25">
        <f t="shared" ref="A13:A40" si="53">1+A12</f>
        <v>43619</v>
      </c>
      <c r="D13" s="40">
        <f t="shared" si="2"/>
        <v>0</v>
      </c>
      <c r="G13" s="40">
        <f t="shared" si="3"/>
        <v>0</v>
      </c>
      <c r="J13" s="40">
        <f t="shared" si="4"/>
        <v>0</v>
      </c>
      <c r="M13" s="40">
        <f t="shared" si="5"/>
        <v>0</v>
      </c>
      <c r="P13" s="40">
        <f t="shared" si="6"/>
        <v>0</v>
      </c>
      <c r="S13" s="40">
        <f t="shared" si="7"/>
        <v>0</v>
      </c>
      <c r="V13" s="40">
        <f t="shared" si="8"/>
        <v>0</v>
      </c>
      <c r="Y13" s="40">
        <f t="shared" si="9"/>
        <v>0</v>
      </c>
      <c r="AB13" s="40">
        <f t="shared" si="10"/>
        <v>0</v>
      </c>
      <c r="AE13" s="40">
        <v>0</v>
      </c>
      <c r="AH13" s="40">
        <v>0</v>
      </c>
      <c r="AI13" s="73">
        <f>70200000</f>
        <v>70200000</v>
      </c>
      <c r="AJ13" s="74">
        <v>2.5899999999999999E-2</v>
      </c>
      <c r="AK13" s="40">
        <f t="shared" si="11"/>
        <v>5050.5</v>
      </c>
      <c r="AL13" s="73">
        <f t="shared" si="0"/>
        <v>25000000</v>
      </c>
      <c r="AM13" s="74">
        <v>2.75E-2</v>
      </c>
      <c r="AN13" s="40">
        <f t="shared" si="12"/>
        <v>1909.7222222222222</v>
      </c>
      <c r="AO13" s="73">
        <f t="shared" si="1"/>
        <v>25000000</v>
      </c>
      <c r="AP13" s="74">
        <v>2.7699999999999999E-2</v>
      </c>
      <c r="AQ13" s="40">
        <f t="shared" si="13"/>
        <v>1923.6111111111111</v>
      </c>
      <c r="AR13" s="73">
        <f t="shared" ref="AR13:AR40" si="54">30000000</f>
        <v>30000000</v>
      </c>
      <c r="AS13" s="74">
        <v>2.7199999999999998E-2</v>
      </c>
      <c r="AT13" s="40">
        <f t="shared" si="14"/>
        <v>2266.6666666666665</v>
      </c>
      <c r="AW13" s="40">
        <f t="shared" si="15"/>
        <v>0</v>
      </c>
      <c r="AZ13" s="40">
        <f t="shared" si="16"/>
        <v>0</v>
      </c>
      <c r="BC13" s="40">
        <f t="shared" si="17"/>
        <v>0</v>
      </c>
      <c r="BF13" s="40">
        <f t="shared" si="18"/>
        <v>0</v>
      </c>
      <c r="BI13" s="40">
        <f t="shared" si="19"/>
        <v>0</v>
      </c>
      <c r="BL13" s="40">
        <f t="shared" si="20"/>
        <v>0</v>
      </c>
      <c r="BO13" s="40">
        <f t="shared" si="21"/>
        <v>0</v>
      </c>
      <c r="BR13" s="40">
        <f t="shared" si="22"/>
        <v>0</v>
      </c>
      <c r="BU13" s="40">
        <f t="shared" si="23"/>
        <v>0</v>
      </c>
      <c r="BX13" s="40">
        <f t="shared" si="24"/>
        <v>0</v>
      </c>
      <c r="CA13" s="40">
        <f t="shared" si="25"/>
        <v>0</v>
      </c>
      <c r="CD13" s="40">
        <f t="shared" si="26"/>
        <v>0</v>
      </c>
      <c r="CG13" s="40">
        <f t="shared" si="27"/>
        <v>0</v>
      </c>
      <c r="CJ13" s="40">
        <f t="shared" si="28"/>
        <v>0</v>
      </c>
      <c r="CM13" s="40">
        <f t="shared" si="29"/>
        <v>0</v>
      </c>
      <c r="CP13" s="40">
        <f t="shared" si="30"/>
        <v>0</v>
      </c>
      <c r="CS13" s="40">
        <f t="shared" si="31"/>
        <v>0</v>
      </c>
      <c r="CV13" s="40">
        <f t="shared" si="32"/>
        <v>0</v>
      </c>
      <c r="CY13" s="40">
        <f t="shared" si="33"/>
        <v>0</v>
      </c>
      <c r="DB13" s="40">
        <f t="shared" si="34"/>
        <v>0</v>
      </c>
      <c r="DE13" s="40">
        <f t="shared" si="35"/>
        <v>0</v>
      </c>
      <c r="DH13" s="40">
        <f t="shared" si="36"/>
        <v>0</v>
      </c>
      <c r="DK13" s="40">
        <f t="shared" si="37"/>
        <v>0</v>
      </c>
      <c r="DN13" s="40">
        <f t="shared" si="38"/>
        <v>0</v>
      </c>
      <c r="DQ13" s="40">
        <f t="shared" si="39"/>
        <v>0</v>
      </c>
      <c r="DT13" s="40">
        <f t="shared" si="40"/>
        <v>0</v>
      </c>
      <c r="DW13" s="40">
        <f t="shared" si="41"/>
        <v>0</v>
      </c>
      <c r="DZ13" s="40"/>
      <c r="EA13" s="40"/>
      <c r="EB13" s="75">
        <f t="shared" si="42"/>
        <v>150200000</v>
      </c>
      <c r="EC13" s="75">
        <f t="shared" si="43"/>
        <v>0</v>
      </c>
      <c r="ED13" s="40">
        <f t="shared" si="44"/>
        <v>11150.5</v>
      </c>
      <c r="EE13" s="41">
        <f t="shared" si="45"/>
        <v>2.672556591211718E-2</v>
      </c>
      <c r="EG13" s="75">
        <f t="shared" si="46"/>
        <v>0</v>
      </c>
      <c r="EH13" s="40">
        <f t="shared" si="47"/>
        <v>0</v>
      </c>
      <c r="EI13" s="41">
        <f t="shared" si="48"/>
        <v>0</v>
      </c>
      <c r="EJ13" s="41"/>
      <c r="EK13" s="75">
        <f t="shared" si="49"/>
        <v>150200000</v>
      </c>
      <c r="EL13" s="75">
        <f t="shared" si="50"/>
        <v>0</v>
      </c>
      <c r="EM13" s="75">
        <f t="shared" si="51"/>
        <v>11150.5</v>
      </c>
      <c r="EN13" s="41">
        <f t="shared" si="52"/>
        <v>2.672556591211718E-2</v>
      </c>
      <c r="EO13" s="40"/>
      <c r="EP13" s="40"/>
    </row>
    <row r="14" spans="1:147" x14ac:dyDescent="0.25">
      <c r="A14" s="25">
        <f t="shared" si="53"/>
        <v>43620</v>
      </c>
      <c r="D14" s="40">
        <f t="shared" si="2"/>
        <v>0</v>
      </c>
      <c r="G14" s="40">
        <f t="shared" si="3"/>
        <v>0</v>
      </c>
      <c r="J14" s="40">
        <f t="shared" si="4"/>
        <v>0</v>
      </c>
      <c r="M14" s="40">
        <f t="shared" si="5"/>
        <v>0</v>
      </c>
      <c r="P14" s="40">
        <f t="shared" si="6"/>
        <v>0</v>
      </c>
      <c r="S14" s="40">
        <f t="shared" si="7"/>
        <v>0</v>
      </c>
      <c r="V14" s="40">
        <f t="shared" si="8"/>
        <v>0</v>
      </c>
      <c r="Y14" s="40">
        <f t="shared" si="9"/>
        <v>0</v>
      </c>
      <c r="AB14" s="40">
        <f t="shared" si="10"/>
        <v>0</v>
      </c>
      <c r="AE14" s="40">
        <v>0</v>
      </c>
      <c r="AH14" s="40">
        <v>0</v>
      </c>
      <c r="AI14" s="73">
        <f>67475000</f>
        <v>67475000</v>
      </c>
      <c r="AJ14" s="74">
        <v>2.5899999999999999E-2</v>
      </c>
      <c r="AK14" s="40">
        <f t="shared" si="11"/>
        <v>4854.4513888888887</v>
      </c>
      <c r="AL14" s="73">
        <f t="shared" si="0"/>
        <v>25000000</v>
      </c>
      <c r="AM14" s="74">
        <v>2.75E-2</v>
      </c>
      <c r="AN14" s="40">
        <f t="shared" si="12"/>
        <v>1909.7222222222222</v>
      </c>
      <c r="AO14" s="73">
        <f t="shared" si="1"/>
        <v>25000000</v>
      </c>
      <c r="AP14" s="74">
        <v>2.7699999999999999E-2</v>
      </c>
      <c r="AQ14" s="40">
        <f t="shared" si="13"/>
        <v>1923.6111111111111</v>
      </c>
      <c r="AR14" s="73">
        <f t="shared" si="54"/>
        <v>30000000</v>
      </c>
      <c r="AS14" s="74">
        <v>2.7199999999999998E-2</v>
      </c>
      <c r="AT14" s="40">
        <f t="shared" si="14"/>
        <v>2266.6666666666665</v>
      </c>
      <c r="AW14" s="40">
        <f t="shared" si="15"/>
        <v>0</v>
      </c>
      <c r="AZ14" s="40">
        <f t="shared" si="16"/>
        <v>0</v>
      </c>
      <c r="BC14" s="40">
        <f t="shared" si="17"/>
        <v>0</v>
      </c>
      <c r="BF14" s="40">
        <f t="shared" si="18"/>
        <v>0</v>
      </c>
      <c r="BI14" s="40">
        <f t="shared" si="19"/>
        <v>0</v>
      </c>
      <c r="BL14" s="40">
        <f t="shared" si="20"/>
        <v>0</v>
      </c>
      <c r="BO14" s="40">
        <f t="shared" si="21"/>
        <v>0</v>
      </c>
      <c r="BR14" s="40">
        <f t="shared" si="22"/>
        <v>0</v>
      </c>
      <c r="BU14" s="40">
        <f t="shared" si="23"/>
        <v>0</v>
      </c>
      <c r="BX14" s="40">
        <f t="shared" si="24"/>
        <v>0</v>
      </c>
      <c r="CA14" s="40">
        <f t="shared" si="25"/>
        <v>0</v>
      </c>
      <c r="CD14" s="40">
        <f t="shared" si="26"/>
        <v>0</v>
      </c>
      <c r="CG14" s="40">
        <f t="shared" si="27"/>
        <v>0</v>
      </c>
      <c r="CJ14" s="40">
        <f t="shared" si="28"/>
        <v>0</v>
      </c>
      <c r="CM14" s="40">
        <f t="shared" si="29"/>
        <v>0</v>
      </c>
      <c r="CP14" s="40">
        <f t="shared" si="30"/>
        <v>0</v>
      </c>
      <c r="CS14" s="40">
        <f t="shared" si="31"/>
        <v>0</v>
      </c>
      <c r="CV14" s="40">
        <f t="shared" si="32"/>
        <v>0</v>
      </c>
      <c r="CY14" s="40">
        <f t="shared" si="33"/>
        <v>0</v>
      </c>
      <c r="DB14" s="40">
        <f t="shared" si="34"/>
        <v>0</v>
      </c>
      <c r="DE14" s="40">
        <f t="shared" si="35"/>
        <v>0</v>
      </c>
      <c r="DH14" s="40">
        <f t="shared" si="36"/>
        <v>0</v>
      </c>
      <c r="DK14" s="40">
        <f t="shared" si="37"/>
        <v>0</v>
      </c>
      <c r="DN14" s="40">
        <f t="shared" si="38"/>
        <v>0</v>
      </c>
      <c r="DQ14" s="40">
        <f t="shared" si="39"/>
        <v>0</v>
      </c>
      <c r="DT14" s="40">
        <f t="shared" si="40"/>
        <v>0</v>
      </c>
      <c r="DW14" s="40">
        <f t="shared" si="41"/>
        <v>0</v>
      </c>
      <c r="DZ14" s="40"/>
      <c r="EA14" s="40"/>
      <c r="EB14" s="75">
        <f t="shared" si="42"/>
        <v>147475000</v>
      </c>
      <c r="EC14" s="75">
        <f t="shared" si="43"/>
        <v>0</v>
      </c>
      <c r="ED14" s="40">
        <f t="shared" si="44"/>
        <v>10954.451388888889</v>
      </c>
      <c r="EE14" s="41">
        <f t="shared" si="45"/>
        <v>2.6740820478047125E-2</v>
      </c>
      <c r="EG14" s="75">
        <f t="shared" si="46"/>
        <v>0</v>
      </c>
      <c r="EH14" s="40">
        <f t="shared" si="47"/>
        <v>0</v>
      </c>
      <c r="EI14" s="41">
        <f t="shared" si="48"/>
        <v>0</v>
      </c>
      <c r="EJ14" s="41"/>
      <c r="EK14" s="75">
        <f t="shared" si="49"/>
        <v>147475000</v>
      </c>
      <c r="EL14" s="75">
        <f t="shared" si="50"/>
        <v>0</v>
      </c>
      <c r="EM14" s="75">
        <f t="shared" si="51"/>
        <v>10954.451388888889</v>
      </c>
      <c r="EN14" s="41">
        <f t="shared" si="52"/>
        <v>2.6740820478047125E-2</v>
      </c>
      <c r="EO14" s="40"/>
      <c r="EP14" s="40"/>
    </row>
    <row r="15" spans="1:147" x14ac:dyDescent="0.25">
      <c r="A15" s="25">
        <f t="shared" si="53"/>
        <v>43621</v>
      </c>
      <c r="D15" s="40">
        <f t="shared" si="2"/>
        <v>0</v>
      </c>
      <c r="G15" s="40">
        <f t="shared" si="3"/>
        <v>0</v>
      </c>
      <c r="J15" s="40">
        <f t="shared" si="4"/>
        <v>0</v>
      </c>
      <c r="M15" s="40">
        <f t="shared" si="5"/>
        <v>0</v>
      </c>
      <c r="P15" s="40">
        <f t="shared" si="6"/>
        <v>0</v>
      </c>
      <c r="S15" s="40">
        <f t="shared" si="7"/>
        <v>0</v>
      </c>
      <c r="V15" s="40">
        <f t="shared" si="8"/>
        <v>0</v>
      </c>
      <c r="Y15" s="40">
        <f t="shared" si="9"/>
        <v>0</v>
      </c>
      <c r="AB15" s="40">
        <f t="shared" si="10"/>
        <v>0</v>
      </c>
      <c r="AE15" s="40">
        <v>0</v>
      </c>
      <c r="AH15" s="40">
        <v>0</v>
      </c>
      <c r="AI15" s="73">
        <f>62625000</f>
        <v>62625000</v>
      </c>
      <c r="AJ15" s="74">
        <v>2.58E-2</v>
      </c>
      <c r="AK15" s="40">
        <f t="shared" si="11"/>
        <v>4488.125</v>
      </c>
      <c r="AL15" s="73">
        <f t="shared" si="0"/>
        <v>25000000</v>
      </c>
      <c r="AM15" s="74">
        <v>2.75E-2</v>
      </c>
      <c r="AN15" s="40">
        <f t="shared" si="12"/>
        <v>1909.7222222222222</v>
      </c>
      <c r="AO15" s="73">
        <f t="shared" si="1"/>
        <v>25000000</v>
      </c>
      <c r="AP15" s="74">
        <v>2.7699999999999999E-2</v>
      </c>
      <c r="AQ15" s="40">
        <f t="shared" si="13"/>
        <v>1923.6111111111111</v>
      </c>
      <c r="AR15" s="73">
        <f t="shared" si="54"/>
        <v>30000000</v>
      </c>
      <c r="AS15" s="74">
        <v>2.7199999999999998E-2</v>
      </c>
      <c r="AT15" s="40">
        <f t="shared" si="14"/>
        <v>2266.6666666666665</v>
      </c>
      <c r="AW15" s="40">
        <f t="shared" si="15"/>
        <v>0</v>
      </c>
      <c r="AZ15" s="40">
        <f t="shared" si="16"/>
        <v>0</v>
      </c>
      <c r="BC15" s="40">
        <f t="shared" si="17"/>
        <v>0</v>
      </c>
      <c r="BF15" s="40">
        <f t="shared" si="18"/>
        <v>0</v>
      </c>
      <c r="BI15" s="40">
        <f t="shared" si="19"/>
        <v>0</v>
      </c>
      <c r="BL15" s="40">
        <f t="shared" si="20"/>
        <v>0</v>
      </c>
      <c r="BO15" s="40">
        <f t="shared" si="21"/>
        <v>0</v>
      </c>
      <c r="BR15" s="40">
        <f t="shared" si="22"/>
        <v>0</v>
      </c>
      <c r="BU15" s="40">
        <f t="shared" si="23"/>
        <v>0</v>
      </c>
      <c r="BX15" s="40">
        <f t="shared" si="24"/>
        <v>0</v>
      </c>
      <c r="CA15" s="40">
        <f t="shared" si="25"/>
        <v>0</v>
      </c>
      <c r="CD15" s="40">
        <f t="shared" si="26"/>
        <v>0</v>
      </c>
      <c r="CG15" s="40">
        <f t="shared" si="27"/>
        <v>0</v>
      </c>
      <c r="CJ15" s="40">
        <f t="shared" si="28"/>
        <v>0</v>
      </c>
      <c r="CM15" s="40">
        <f t="shared" si="29"/>
        <v>0</v>
      </c>
      <c r="CP15" s="40">
        <f t="shared" si="30"/>
        <v>0</v>
      </c>
      <c r="CS15" s="40">
        <f t="shared" si="31"/>
        <v>0</v>
      </c>
      <c r="CV15" s="40">
        <f t="shared" si="32"/>
        <v>0</v>
      </c>
      <c r="CY15" s="40">
        <f t="shared" si="33"/>
        <v>0</v>
      </c>
      <c r="DB15" s="40">
        <f t="shared" si="34"/>
        <v>0</v>
      </c>
      <c r="DE15" s="40">
        <f t="shared" si="35"/>
        <v>0</v>
      </c>
      <c r="DH15" s="40">
        <f t="shared" si="36"/>
        <v>0</v>
      </c>
      <c r="DK15" s="40">
        <f t="shared" si="37"/>
        <v>0</v>
      </c>
      <c r="DN15" s="40">
        <f t="shared" si="38"/>
        <v>0</v>
      </c>
      <c r="DQ15" s="40">
        <f t="shared" si="39"/>
        <v>0</v>
      </c>
      <c r="DT15" s="40">
        <f t="shared" si="40"/>
        <v>0</v>
      </c>
      <c r="DW15" s="40">
        <f t="shared" si="41"/>
        <v>0</v>
      </c>
      <c r="DZ15" s="40"/>
      <c r="EA15" s="40"/>
      <c r="EB15" s="75">
        <f t="shared" si="42"/>
        <v>142625000</v>
      </c>
      <c r="EC15" s="75">
        <f t="shared" si="43"/>
        <v>0</v>
      </c>
      <c r="ED15" s="40">
        <f t="shared" si="44"/>
        <v>10588.125</v>
      </c>
      <c r="EE15" s="41">
        <f t="shared" si="45"/>
        <v>2.6725503943908852E-2</v>
      </c>
      <c r="EG15" s="75">
        <f t="shared" si="46"/>
        <v>0</v>
      </c>
      <c r="EH15" s="40">
        <f t="shared" si="47"/>
        <v>0</v>
      </c>
      <c r="EI15" s="41">
        <f t="shared" si="48"/>
        <v>0</v>
      </c>
      <c r="EJ15" s="41"/>
      <c r="EK15" s="75">
        <f t="shared" si="49"/>
        <v>142625000</v>
      </c>
      <c r="EL15" s="75">
        <f t="shared" si="50"/>
        <v>0</v>
      </c>
      <c r="EM15" s="75">
        <f t="shared" si="51"/>
        <v>10588.125</v>
      </c>
      <c r="EN15" s="41">
        <f t="shared" si="52"/>
        <v>2.6725503943908852E-2</v>
      </c>
      <c r="EP15" s="40"/>
    </row>
    <row r="16" spans="1:147" x14ac:dyDescent="0.25">
      <c r="A16" s="25">
        <f t="shared" si="53"/>
        <v>43622</v>
      </c>
      <c r="D16" s="40">
        <f t="shared" si="2"/>
        <v>0</v>
      </c>
      <c r="G16" s="40">
        <f t="shared" si="3"/>
        <v>0</v>
      </c>
      <c r="J16" s="40">
        <f t="shared" si="4"/>
        <v>0</v>
      </c>
      <c r="M16" s="40">
        <f t="shared" si="5"/>
        <v>0</v>
      </c>
      <c r="P16" s="40">
        <f t="shared" si="6"/>
        <v>0</v>
      </c>
      <c r="S16" s="40">
        <f t="shared" si="7"/>
        <v>0</v>
      </c>
      <c r="V16" s="40">
        <f t="shared" si="8"/>
        <v>0</v>
      </c>
      <c r="Y16" s="40">
        <f t="shared" si="9"/>
        <v>0</v>
      </c>
      <c r="AB16" s="40">
        <f t="shared" si="10"/>
        <v>0</v>
      </c>
      <c r="AE16" s="40">
        <v>0</v>
      </c>
      <c r="AH16" s="40">
        <v>0</v>
      </c>
      <c r="AI16" s="73">
        <f>58000000</f>
        <v>58000000</v>
      </c>
      <c r="AJ16" s="74">
        <v>2.58E-2</v>
      </c>
      <c r="AK16" s="40">
        <f t="shared" si="11"/>
        <v>4156.666666666667</v>
      </c>
      <c r="AL16" s="73">
        <f t="shared" si="0"/>
        <v>25000000</v>
      </c>
      <c r="AM16" s="74">
        <v>2.75E-2</v>
      </c>
      <c r="AN16" s="40">
        <f t="shared" si="12"/>
        <v>1909.7222222222222</v>
      </c>
      <c r="AO16" s="73">
        <f t="shared" si="1"/>
        <v>25000000</v>
      </c>
      <c r="AP16" s="74">
        <v>2.7699999999999999E-2</v>
      </c>
      <c r="AQ16" s="40">
        <f t="shared" si="13"/>
        <v>1923.6111111111111</v>
      </c>
      <c r="AR16" s="73">
        <f t="shared" si="54"/>
        <v>30000000</v>
      </c>
      <c r="AS16" s="74">
        <v>2.7199999999999998E-2</v>
      </c>
      <c r="AT16" s="40">
        <f t="shared" si="14"/>
        <v>2266.6666666666665</v>
      </c>
      <c r="AW16" s="40">
        <f t="shared" si="15"/>
        <v>0</v>
      </c>
      <c r="AZ16" s="40">
        <f t="shared" si="16"/>
        <v>0</v>
      </c>
      <c r="BC16" s="40">
        <f t="shared" si="17"/>
        <v>0</v>
      </c>
      <c r="BF16" s="40">
        <f t="shared" si="18"/>
        <v>0</v>
      </c>
      <c r="BI16" s="40">
        <f t="shared" si="19"/>
        <v>0</v>
      </c>
      <c r="BL16" s="40">
        <f t="shared" si="20"/>
        <v>0</v>
      </c>
      <c r="BO16" s="40">
        <f t="shared" si="21"/>
        <v>0</v>
      </c>
      <c r="BR16" s="40">
        <f t="shared" si="22"/>
        <v>0</v>
      </c>
      <c r="BU16" s="40">
        <f t="shared" si="23"/>
        <v>0</v>
      </c>
      <c r="BX16" s="40">
        <f t="shared" si="24"/>
        <v>0</v>
      </c>
      <c r="CA16" s="40">
        <f t="shared" si="25"/>
        <v>0</v>
      </c>
      <c r="CD16" s="40">
        <f t="shared" si="26"/>
        <v>0</v>
      </c>
      <c r="CG16" s="40">
        <f t="shared" si="27"/>
        <v>0</v>
      </c>
      <c r="CJ16" s="40">
        <f t="shared" si="28"/>
        <v>0</v>
      </c>
      <c r="CM16" s="40">
        <f t="shared" si="29"/>
        <v>0</v>
      </c>
      <c r="CP16" s="40">
        <f t="shared" si="30"/>
        <v>0</v>
      </c>
      <c r="CS16" s="40">
        <f t="shared" si="31"/>
        <v>0</v>
      </c>
      <c r="CV16" s="40">
        <f t="shared" si="32"/>
        <v>0</v>
      </c>
      <c r="CY16" s="40">
        <f t="shared" si="33"/>
        <v>0</v>
      </c>
      <c r="DB16" s="40">
        <f t="shared" si="34"/>
        <v>0</v>
      </c>
      <c r="DE16" s="40">
        <f t="shared" si="35"/>
        <v>0</v>
      </c>
      <c r="DH16" s="40">
        <f t="shared" si="36"/>
        <v>0</v>
      </c>
      <c r="DK16" s="40">
        <f t="shared" si="37"/>
        <v>0</v>
      </c>
      <c r="DN16" s="40">
        <f t="shared" si="38"/>
        <v>0</v>
      </c>
      <c r="DQ16" s="40">
        <f t="shared" si="39"/>
        <v>0</v>
      </c>
      <c r="DT16" s="40">
        <f t="shared" si="40"/>
        <v>0</v>
      </c>
      <c r="DW16" s="40">
        <f t="shared" si="41"/>
        <v>0</v>
      </c>
      <c r="DZ16" s="40"/>
      <c r="EA16" s="40"/>
      <c r="EB16" s="75">
        <f t="shared" si="42"/>
        <v>138000000</v>
      </c>
      <c r="EC16" s="75">
        <f t="shared" si="43"/>
        <v>0</v>
      </c>
      <c r="ED16" s="40">
        <f t="shared" si="44"/>
        <v>10256.666666666666</v>
      </c>
      <c r="EE16" s="41">
        <f t="shared" si="45"/>
        <v>2.6756521739130432E-2</v>
      </c>
      <c r="EG16" s="75">
        <f t="shared" si="46"/>
        <v>0</v>
      </c>
      <c r="EH16" s="40">
        <f t="shared" si="47"/>
        <v>0</v>
      </c>
      <c r="EI16" s="41">
        <f t="shared" si="48"/>
        <v>0</v>
      </c>
      <c r="EJ16" s="41"/>
      <c r="EK16" s="75">
        <f t="shared" si="49"/>
        <v>138000000</v>
      </c>
      <c r="EL16" s="75">
        <f t="shared" si="50"/>
        <v>0</v>
      </c>
      <c r="EM16" s="75">
        <f t="shared" si="51"/>
        <v>10256.666666666668</v>
      </c>
      <c r="EN16" s="41">
        <f t="shared" si="52"/>
        <v>2.6756521739130436E-2</v>
      </c>
      <c r="EP16" s="40"/>
    </row>
    <row r="17" spans="1:146" x14ac:dyDescent="0.25">
      <c r="A17" s="25">
        <f t="shared" si="53"/>
        <v>43623</v>
      </c>
      <c r="D17" s="40">
        <f t="shared" si="2"/>
        <v>0</v>
      </c>
      <c r="G17" s="40">
        <f t="shared" si="3"/>
        <v>0</v>
      </c>
      <c r="J17" s="40">
        <f t="shared" si="4"/>
        <v>0</v>
      </c>
      <c r="M17" s="40">
        <f t="shared" si="5"/>
        <v>0</v>
      </c>
      <c r="P17" s="40">
        <f t="shared" si="6"/>
        <v>0</v>
      </c>
      <c r="S17" s="40">
        <f t="shared" si="7"/>
        <v>0</v>
      </c>
      <c r="V17" s="40">
        <f t="shared" si="8"/>
        <v>0</v>
      </c>
      <c r="Y17" s="40">
        <f t="shared" si="9"/>
        <v>0</v>
      </c>
      <c r="AB17" s="40">
        <f t="shared" si="10"/>
        <v>0</v>
      </c>
      <c r="AE17" s="40">
        <v>0</v>
      </c>
      <c r="AH17" s="40">
        <v>0</v>
      </c>
      <c r="AI17" s="73">
        <f>46950000</f>
        <v>46950000</v>
      </c>
      <c r="AJ17" s="74">
        <v>2.58E-2</v>
      </c>
      <c r="AK17" s="40">
        <f t="shared" si="11"/>
        <v>3364.75</v>
      </c>
      <c r="AL17" s="73">
        <f t="shared" ref="AL17:AL40" si="55">35000000</f>
        <v>35000000</v>
      </c>
      <c r="AM17" s="74">
        <v>2.7E-2</v>
      </c>
      <c r="AN17" s="40">
        <f t="shared" si="12"/>
        <v>2625</v>
      </c>
      <c r="AO17" s="73">
        <f t="shared" si="1"/>
        <v>25000000</v>
      </c>
      <c r="AP17" s="74">
        <v>2.7699999999999999E-2</v>
      </c>
      <c r="AQ17" s="40">
        <f t="shared" si="13"/>
        <v>1923.6111111111111</v>
      </c>
      <c r="AR17" s="73">
        <f t="shared" si="54"/>
        <v>30000000</v>
      </c>
      <c r="AS17" s="74">
        <v>2.7199999999999998E-2</v>
      </c>
      <c r="AT17" s="40">
        <f t="shared" si="14"/>
        <v>2266.6666666666665</v>
      </c>
      <c r="AW17" s="40">
        <f t="shared" si="15"/>
        <v>0</v>
      </c>
      <c r="AZ17" s="40">
        <f t="shared" si="16"/>
        <v>0</v>
      </c>
      <c r="BC17" s="40">
        <f t="shared" si="17"/>
        <v>0</v>
      </c>
      <c r="BF17" s="40">
        <f t="shared" si="18"/>
        <v>0</v>
      </c>
      <c r="BI17" s="40">
        <f t="shared" si="19"/>
        <v>0</v>
      </c>
      <c r="BL17" s="40">
        <f t="shared" si="20"/>
        <v>0</v>
      </c>
      <c r="BO17" s="40">
        <f t="shared" si="21"/>
        <v>0</v>
      </c>
      <c r="BR17" s="40">
        <f t="shared" si="22"/>
        <v>0</v>
      </c>
      <c r="BU17" s="40">
        <f t="shared" si="23"/>
        <v>0</v>
      </c>
      <c r="BX17" s="40">
        <f t="shared" si="24"/>
        <v>0</v>
      </c>
      <c r="CA17" s="40">
        <f t="shared" si="25"/>
        <v>0</v>
      </c>
      <c r="CD17" s="40">
        <f t="shared" si="26"/>
        <v>0</v>
      </c>
      <c r="CG17" s="40">
        <f t="shared" si="27"/>
        <v>0</v>
      </c>
      <c r="CJ17" s="40">
        <f t="shared" si="28"/>
        <v>0</v>
      </c>
      <c r="CM17" s="40">
        <f t="shared" si="29"/>
        <v>0</v>
      </c>
      <c r="CP17" s="40">
        <f t="shared" si="30"/>
        <v>0</v>
      </c>
      <c r="CS17" s="40">
        <f t="shared" si="31"/>
        <v>0</v>
      </c>
      <c r="CV17" s="40">
        <f t="shared" si="32"/>
        <v>0</v>
      </c>
      <c r="CY17" s="40">
        <f t="shared" si="33"/>
        <v>0</v>
      </c>
      <c r="DB17" s="40">
        <f t="shared" si="34"/>
        <v>0</v>
      </c>
      <c r="DE17" s="40">
        <f t="shared" si="35"/>
        <v>0</v>
      </c>
      <c r="DH17" s="40">
        <f t="shared" si="36"/>
        <v>0</v>
      </c>
      <c r="DK17" s="40">
        <f t="shared" si="37"/>
        <v>0</v>
      </c>
      <c r="DN17" s="40">
        <f t="shared" si="38"/>
        <v>0</v>
      </c>
      <c r="DQ17" s="40">
        <f t="shared" si="39"/>
        <v>0</v>
      </c>
      <c r="DT17" s="40">
        <f t="shared" si="40"/>
        <v>0</v>
      </c>
      <c r="DW17" s="40">
        <f t="shared" si="41"/>
        <v>0</v>
      </c>
      <c r="DZ17" s="40"/>
      <c r="EA17" s="40"/>
      <c r="EB17" s="75">
        <f t="shared" si="42"/>
        <v>136950000</v>
      </c>
      <c r="EC17" s="75">
        <f t="shared" si="43"/>
        <v>0</v>
      </c>
      <c r="ED17" s="40">
        <f t="shared" si="44"/>
        <v>10180.027777777777</v>
      </c>
      <c r="EE17" s="41">
        <f t="shared" si="45"/>
        <v>2.6760204454180356E-2</v>
      </c>
      <c r="EG17" s="75">
        <f t="shared" si="46"/>
        <v>0</v>
      </c>
      <c r="EH17" s="40">
        <f t="shared" si="47"/>
        <v>0</v>
      </c>
      <c r="EI17" s="41">
        <f t="shared" si="48"/>
        <v>0</v>
      </c>
      <c r="EJ17" s="41"/>
      <c r="EK17" s="75">
        <f t="shared" si="49"/>
        <v>136950000</v>
      </c>
      <c r="EL17" s="75">
        <f t="shared" si="50"/>
        <v>0</v>
      </c>
      <c r="EM17" s="75">
        <f t="shared" si="51"/>
        <v>10180.027777777777</v>
      </c>
      <c r="EN17" s="41">
        <f t="shared" si="52"/>
        <v>2.6760204454180356E-2</v>
      </c>
      <c r="EP17" s="40"/>
    </row>
    <row r="18" spans="1:146" x14ac:dyDescent="0.25">
      <c r="A18" s="25">
        <f t="shared" si="53"/>
        <v>43624</v>
      </c>
      <c r="D18" s="40">
        <f t="shared" si="2"/>
        <v>0</v>
      </c>
      <c r="G18" s="40">
        <f t="shared" si="3"/>
        <v>0</v>
      </c>
      <c r="J18" s="40">
        <f t="shared" si="4"/>
        <v>0</v>
      </c>
      <c r="M18" s="40">
        <f t="shared" si="5"/>
        <v>0</v>
      </c>
      <c r="P18" s="40">
        <f t="shared" si="6"/>
        <v>0</v>
      </c>
      <c r="S18" s="40">
        <f t="shared" si="7"/>
        <v>0</v>
      </c>
      <c r="V18" s="40">
        <f t="shared" si="8"/>
        <v>0</v>
      </c>
      <c r="Y18" s="40">
        <f t="shared" si="9"/>
        <v>0</v>
      </c>
      <c r="AB18" s="40">
        <f t="shared" si="10"/>
        <v>0</v>
      </c>
      <c r="AE18" s="40">
        <v>0</v>
      </c>
      <c r="AH18" s="40">
        <v>0</v>
      </c>
      <c r="AI18" s="73">
        <f>46950000</f>
        <v>46950000</v>
      </c>
      <c r="AJ18" s="74">
        <v>2.58E-2</v>
      </c>
      <c r="AK18" s="40">
        <f t="shared" si="11"/>
        <v>3364.75</v>
      </c>
      <c r="AL18" s="73">
        <f t="shared" si="55"/>
        <v>35000000</v>
      </c>
      <c r="AM18" s="74">
        <v>2.7E-2</v>
      </c>
      <c r="AN18" s="40">
        <f t="shared" si="12"/>
        <v>2625</v>
      </c>
      <c r="AO18" s="73">
        <f t="shared" si="1"/>
        <v>25000000</v>
      </c>
      <c r="AP18" s="74">
        <v>2.7699999999999999E-2</v>
      </c>
      <c r="AQ18" s="40">
        <f t="shared" si="13"/>
        <v>1923.6111111111111</v>
      </c>
      <c r="AR18" s="73">
        <f t="shared" si="54"/>
        <v>30000000</v>
      </c>
      <c r="AS18" s="74">
        <v>2.7199999999999998E-2</v>
      </c>
      <c r="AT18" s="40">
        <f t="shared" si="14"/>
        <v>2266.6666666666665</v>
      </c>
      <c r="AW18" s="40">
        <f t="shared" si="15"/>
        <v>0</v>
      </c>
      <c r="AZ18" s="40">
        <f t="shared" si="16"/>
        <v>0</v>
      </c>
      <c r="BC18" s="40">
        <f t="shared" si="17"/>
        <v>0</v>
      </c>
      <c r="BF18" s="40">
        <f t="shared" si="18"/>
        <v>0</v>
      </c>
      <c r="BI18" s="40">
        <f t="shared" si="19"/>
        <v>0</v>
      </c>
      <c r="BL18" s="40">
        <f t="shared" si="20"/>
        <v>0</v>
      </c>
      <c r="BO18" s="40">
        <f t="shared" si="21"/>
        <v>0</v>
      </c>
      <c r="BR18" s="40">
        <f t="shared" si="22"/>
        <v>0</v>
      </c>
      <c r="BU18" s="40">
        <f t="shared" si="23"/>
        <v>0</v>
      </c>
      <c r="BX18" s="40">
        <f t="shared" si="24"/>
        <v>0</v>
      </c>
      <c r="CA18" s="40">
        <f t="shared" si="25"/>
        <v>0</v>
      </c>
      <c r="CD18" s="40">
        <f t="shared" si="26"/>
        <v>0</v>
      </c>
      <c r="CG18" s="40">
        <f t="shared" si="27"/>
        <v>0</v>
      </c>
      <c r="CJ18" s="40">
        <f t="shared" si="28"/>
        <v>0</v>
      </c>
      <c r="CM18" s="40">
        <f t="shared" si="29"/>
        <v>0</v>
      </c>
      <c r="CP18" s="40">
        <f t="shared" si="30"/>
        <v>0</v>
      </c>
      <c r="CS18" s="40">
        <f t="shared" si="31"/>
        <v>0</v>
      </c>
      <c r="CV18" s="40">
        <f t="shared" si="32"/>
        <v>0</v>
      </c>
      <c r="CY18" s="40">
        <f t="shared" si="33"/>
        <v>0</v>
      </c>
      <c r="DB18" s="40">
        <f t="shared" si="34"/>
        <v>0</v>
      </c>
      <c r="DE18" s="40">
        <f t="shared" si="35"/>
        <v>0</v>
      </c>
      <c r="DH18" s="40">
        <f t="shared" si="36"/>
        <v>0</v>
      </c>
      <c r="DK18" s="40">
        <f t="shared" si="37"/>
        <v>0</v>
      </c>
      <c r="DN18" s="40">
        <f t="shared" si="38"/>
        <v>0</v>
      </c>
      <c r="DQ18" s="40">
        <f t="shared" si="39"/>
        <v>0</v>
      </c>
      <c r="DT18" s="40">
        <f t="shared" si="40"/>
        <v>0</v>
      </c>
      <c r="DW18" s="40">
        <f t="shared" si="41"/>
        <v>0</v>
      </c>
      <c r="DZ18" s="40"/>
      <c r="EA18" s="40"/>
      <c r="EB18" s="75">
        <f t="shared" si="42"/>
        <v>136950000</v>
      </c>
      <c r="EC18" s="75">
        <f t="shared" si="43"/>
        <v>0</v>
      </c>
      <c r="ED18" s="40">
        <f t="shared" si="44"/>
        <v>10180.027777777777</v>
      </c>
      <c r="EE18" s="41">
        <f t="shared" si="45"/>
        <v>2.6760204454180356E-2</v>
      </c>
      <c r="EG18" s="75">
        <f t="shared" si="46"/>
        <v>0</v>
      </c>
      <c r="EH18" s="40">
        <f t="shared" si="47"/>
        <v>0</v>
      </c>
      <c r="EI18" s="41">
        <f t="shared" si="48"/>
        <v>0</v>
      </c>
      <c r="EJ18" s="41"/>
      <c r="EK18" s="75">
        <f t="shared" si="49"/>
        <v>136950000</v>
      </c>
      <c r="EL18" s="75">
        <f t="shared" si="50"/>
        <v>0</v>
      </c>
      <c r="EM18" s="75">
        <f t="shared" si="51"/>
        <v>10180.027777777777</v>
      </c>
      <c r="EN18" s="41">
        <f t="shared" si="52"/>
        <v>2.6760204454180356E-2</v>
      </c>
      <c r="EP18" s="40"/>
    </row>
    <row r="19" spans="1:146" x14ac:dyDescent="0.25">
      <c r="A19" s="25">
        <f t="shared" si="53"/>
        <v>43625</v>
      </c>
      <c r="D19" s="40">
        <f t="shared" si="2"/>
        <v>0</v>
      </c>
      <c r="G19" s="40">
        <f t="shared" si="3"/>
        <v>0</v>
      </c>
      <c r="J19" s="40">
        <f t="shared" si="4"/>
        <v>0</v>
      </c>
      <c r="M19" s="40">
        <f t="shared" si="5"/>
        <v>0</v>
      </c>
      <c r="P19" s="40">
        <f t="shared" si="6"/>
        <v>0</v>
      </c>
      <c r="S19" s="40">
        <f t="shared" si="7"/>
        <v>0</v>
      </c>
      <c r="V19" s="40">
        <f t="shared" si="8"/>
        <v>0</v>
      </c>
      <c r="Y19" s="40">
        <f t="shared" si="9"/>
        <v>0</v>
      </c>
      <c r="AB19" s="40">
        <f t="shared" si="10"/>
        <v>0</v>
      </c>
      <c r="AE19" s="40">
        <v>0</v>
      </c>
      <c r="AH19" s="40">
        <v>0</v>
      </c>
      <c r="AI19" s="73">
        <f>46950000</f>
        <v>46950000</v>
      </c>
      <c r="AJ19" s="74">
        <v>2.58E-2</v>
      </c>
      <c r="AK19" s="40">
        <f t="shared" si="11"/>
        <v>3364.75</v>
      </c>
      <c r="AL19" s="73">
        <f t="shared" si="55"/>
        <v>35000000</v>
      </c>
      <c r="AM19" s="74">
        <v>2.7E-2</v>
      </c>
      <c r="AN19" s="40">
        <f t="shared" si="12"/>
        <v>2625</v>
      </c>
      <c r="AO19" s="73">
        <f t="shared" si="1"/>
        <v>25000000</v>
      </c>
      <c r="AP19" s="74">
        <v>2.7699999999999999E-2</v>
      </c>
      <c r="AQ19" s="40">
        <f t="shared" si="13"/>
        <v>1923.6111111111111</v>
      </c>
      <c r="AR19" s="73">
        <f t="shared" si="54"/>
        <v>30000000</v>
      </c>
      <c r="AS19" s="74">
        <v>2.7199999999999998E-2</v>
      </c>
      <c r="AT19" s="40">
        <f t="shared" si="14"/>
        <v>2266.6666666666665</v>
      </c>
      <c r="AW19" s="40">
        <f t="shared" si="15"/>
        <v>0</v>
      </c>
      <c r="AZ19" s="40">
        <f t="shared" si="16"/>
        <v>0</v>
      </c>
      <c r="BC19" s="40">
        <f t="shared" si="17"/>
        <v>0</v>
      </c>
      <c r="BF19" s="40">
        <f t="shared" si="18"/>
        <v>0</v>
      </c>
      <c r="BI19" s="40">
        <f t="shared" si="19"/>
        <v>0</v>
      </c>
      <c r="BL19" s="40">
        <f t="shared" si="20"/>
        <v>0</v>
      </c>
      <c r="BO19" s="40">
        <f t="shared" si="21"/>
        <v>0</v>
      </c>
      <c r="BR19" s="40">
        <f t="shared" si="22"/>
        <v>0</v>
      </c>
      <c r="BU19" s="40">
        <f t="shared" si="23"/>
        <v>0</v>
      </c>
      <c r="BX19" s="40">
        <f t="shared" si="24"/>
        <v>0</v>
      </c>
      <c r="CA19" s="40">
        <f t="shared" si="25"/>
        <v>0</v>
      </c>
      <c r="CD19" s="40">
        <f t="shared" si="26"/>
        <v>0</v>
      </c>
      <c r="CG19" s="40">
        <f t="shared" si="27"/>
        <v>0</v>
      </c>
      <c r="CJ19" s="40">
        <f t="shared" si="28"/>
        <v>0</v>
      </c>
      <c r="CM19" s="40">
        <f t="shared" si="29"/>
        <v>0</v>
      </c>
      <c r="CP19" s="40">
        <f t="shared" si="30"/>
        <v>0</v>
      </c>
      <c r="CS19" s="40">
        <f t="shared" si="31"/>
        <v>0</v>
      </c>
      <c r="CV19" s="40">
        <f t="shared" si="32"/>
        <v>0</v>
      </c>
      <c r="CY19" s="40">
        <f t="shared" si="33"/>
        <v>0</v>
      </c>
      <c r="DB19" s="40">
        <f t="shared" si="34"/>
        <v>0</v>
      </c>
      <c r="DE19" s="40">
        <f t="shared" si="35"/>
        <v>0</v>
      </c>
      <c r="DH19" s="40">
        <f t="shared" si="36"/>
        <v>0</v>
      </c>
      <c r="DK19" s="40">
        <f t="shared" si="37"/>
        <v>0</v>
      </c>
      <c r="DN19" s="40">
        <f t="shared" si="38"/>
        <v>0</v>
      </c>
      <c r="DQ19" s="40">
        <f t="shared" si="39"/>
        <v>0</v>
      </c>
      <c r="DT19" s="40">
        <f t="shared" si="40"/>
        <v>0</v>
      </c>
      <c r="DW19" s="40">
        <f t="shared" si="41"/>
        <v>0</v>
      </c>
      <c r="DZ19" s="40"/>
      <c r="EA19" s="40"/>
      <c r="EB19" s="75">
        <f t="shared" si="42"/>
        <v>136950000</v>
      </c>
      <c r="EC19" s="75">
        <f t="shared" si="43"/>
        <v>0</v>
      </c>
      <c r="ED19" s="40">
        <f t="shared" si="44"/>
        <v>10180.027777777777</v>
      </c>
      <c r="EE19" s="41">
        <f t="shared" si="45"/>
        <v>2.6760204454180356E-2</v>
      </c>
      <c r="EG19" s="75">
        <f t="shared" si="46"/>
        <v>0</v>
      </c>
      <c r="EH19" s="40">
        <f t="shared" si="47"/>
        <v>0</v>
      </c>
      <c r="EI19" s="41">
        <f t="shared" si="48"/>
        <v>0</v>
      </c>
      <c r="EJ19" s="41"/>
      <c r="EK19" s="75">
        <f t="shared" si="49"/>
        <v>136950000</v>
      </c>
      <c r="EL19" s="75">
        <f t="shared" si="50"/>
        <v>0</v>
      </c>
      <c r="EM19" s="75">
        <f t="shared" si="51"/>
        <v>10180.027777777777</v>
      </c>
      <c r="EN19" s="41">
        <f t="shared" si="52"/>
        <v>2.6760204454180356E-2</v>
      </c>
      <c r="EP19" s="40"/>
    </row>
    <row r="20" spans="1:146" x14ac:dyDescent="0.25">
      <c r="A20" s="25">
        <f t="shared" si="53"/>
        <v>43626</v>
      </c>
      <c r="D20" s="40">
        <f t="shared" si="2"/>
        <v>0</v>
      </c>
      <c r="G20" s="40">
        <f t="shared" si="3"/>
        <v>0</v>
      </c>
      <c r="J20" s="40">
        <f t="shared" si="4"/>
        <v>0</v>
      </c>
      <c r="M20" s="40">
        <f t="shared" si="5"/>
        <v>0</v>
      </c>
      <c r="P20" s="40">
        <f t="shared" si="6"/>
        <v>0</v>
      </c>
      <c r="S20" s="40">
        <f t="shared" si="7"/>
        <v>0</v>
      </c>
      <c r="V20" s="40">
        <f t="shared" si="8"/>
        <v>0</v>
      </c>
      <c r="Y20" s="40">
        <f t="shared" si="9"/>
        <v>0</v>
      </c>
      <c r="AB20" s="40">
        <f t="shared" si="10"/>
        <v>0</v>
      </c>
      <c r="AE20" s="40">
        <v>0</v>
      </c>
      <c r="AH20" s="40">
        <v>0</v>
      </c>
      <c r="AI20" s="73">
        <f>44700000</f>
        <v>44700000</v>
      </c>
      <c r="AJ20" s="74">
        <v>2.58E-2</v>
      </c>
      <c r="AK20" s="40">
        <f t="shared" si="11"/>
        <v>3203.5</v>
      </c>
      <c r="AL20" s="73">
        <f t="shared" si="55"/>
        <v>35000000</v>
      </c>
      <c r="AM20" s="74">
        <v>2.7E-2</v>
      </c>
      <c r="AN20" s="40">
        <f t="shared" si="12"/>
        <v>2625</v>
      </c>
      <c r="AO20" s="73">
        <f t="shared" si="1"/>
        <v>25000000</v>
      </c>
      <c r="AP20" s="74">
        <v>2.7699999999999999E-2</v>
      </c>
      <c r="AQ20" s="40">
        <f t="shared" si="13"/>
        <v>1923.6111111111111</v>
      </c>
      <c r="AR20" s="73">
        <f t="shared" si="54"/>
        <v>30000000</v>
      </c>
      <c r="AS20" s="74">
        <v>2.7199999999999998E-2</v>
      </c>
      <c r="AT20" s="40">
        <f t="shared" si="14"/>
        <v>2266.6666666666665</v>
      </c>
      <c r="AW20" s="40">
        <f t="shared" si="15"/>
        <v>0</v>
      </c>
      <c r="AZ20" s="40">
        <f t="shared" si="16"/>
        <v>0</v>
      </c>
      <c r="BC20" s="40">
        <f t="shared" si="17"/>
        <v>0</v>
      </c>
      <c r="BF20" s="40">
        <f t="shared" si="18"/>
        <v>0</v>
      </c>
      <c r="BI20" s="40">
        <f t="shared" si="19"/>
        <v>0</v>
      </c>
      <c r="BL20" s="40">
        <f t="shared" si="20"/>
        <v>0</v>
      </c>
      <c r="BO20" s="40">
        <f t="shared" si="21"/>
        <v>0</v>
      </c>
      <c r="BR20" s="40">
        <f t="shared" si="22"/>
        <v>0</v>
      </c>
      <c r="BU20" s="40">
        <f t="shared" si="23"/>
        <v>0</v>
      </c>
      <c r="BX20" s="40">
        <f t="shared" si="24"/>
        <v>0</v>
      </c>
      <c r="CA20" s="40">
        <f t="shared" si="25"/>
        <v>0</v>
      </c>
      <c r="CD20" s="40">
        <f t="shared" si="26"/>
        <v>0</v>
      </c>
      <c r="CG20" s="40">
        <f t="shared" si="27"/>
        <v>0</v>
      </c>
      <c r="CJ20" s="40">
        <f t="shared" si="28"/>
        <v>0</v>
      </c>
      <c r="CM20" s="40">
        <f t="shared" si="29"/>
        <v>0</v>
      </c>
      <c r="CP20" s="40">
        <f t="shared" si="30"/>
        <v>0</v>
      </c>
      <c r="CS20" s="40">
        <f t="shared" si="31"/>
        <v>0</v>
      </c>
      <c r="CV20" s="40">
        <f t="shared" si="32"/>
        <v>0</v>
      </c>
      <c r="CY20" s="40">
        <f t="shared" si="33"/>
        <v>0</v>
      </c>
      <c r="DB20" s="40">
        <f t="shared" si="34"/>
        <v>0</v>
      </c>
      <c r="DE20" s="40">
        <f t="shared" si="35"/>
        <v>0</v>
      </c>
      <c r="DH20" s="40">
        <f t="shared" si="36"/>
        <v>0</v>
      </c>
      <c r="DK20" s="40">
        <f t="shared" si="37"/>
        <v>0</v>
      </c>
      <c r="DN20" s="40">
        <f t="shared" si="38"/>
        <v>0</v>
      </c>
      <c r="DQ20" s="40">
        <f t="shared" si="39"/>
        <v>0</v>
      </c>
      <c r="DT20" s="40">
        <f t="shared" si="40"/>
        <v>0</v>
      </c>
      <c r="DW20" s="40">
        <f t="shared" si="41"/>
        <v>0</v>
      </c>
      <c r="DZ20" s="40"/>
      <c r="EA20" s="40"/>
      <c r="EB20" s="75">
        <f t="shared" si="42"/>
        <v>134700000</v>
      </c>
      <c r="EC20" s="75">
        <f t="shared" si="43"/>
        <v>0</v>
      </c>
      <c r="ED20" s="40">
        <f t="shared" si="44"/>
        <v>10018.777777777777</v>
      </c>
      <c r="EE20" s="41">
        <f t="shared" si="45"/>
        <v>2.6776243504083148E-2</v>
      </c>
      <c r="EG20" s="75">
        <f t="shared" si="46"/>
        <v>0</v>
      </c>
      <c r="EH20" s="40">
        <f t="shared" si="47"/>
        <v>0</v>
      </c>
      <c r="EI20" s="41">
        <f t="shared" si="48"/>
        <v>0</v>
      </c>
      <c r="EJ20" s="41"/>
      <c r="EK20" s="75">
        <f t="shared" si="49"/>
        <v>134700000</v>
      </c>
      <c r="EL20" s="75">
        <f t="shared" si="50"/>
        <v>0</v>
      </c>
      <c r="EM20" s="75">
        <f t="shared" si="51"/>
        <v>10018.777777777777</v>
      </c>
      <c r="EN20" s="41">
        <f t="shared" si="52"/>
        <v>2.6776243504083148E-2</v>
      </c>
      <c r="EP20" s="40"/>
    </row>
    <row r="21" spans="1:146" x14ac:dyDescent="0.25">
      <c r="A21" s="25">
        <f t="shared" si="53"/>
        <v>43627</v>
      </c>
      <c r="D21" s="40">
        <f t="shared" si="2"/>
        <v>0</v>
      </c>
      <c r="G21" s="40">
        <f t="shared" si="3"/>
        <v>0</v>
      </c>
      <c r="J21" s="40">
        <f t="shared" si="4"/>
        <v>0</v>
      </c>
      <c r="M21" s="40">
        <f t="shared" si="5"/>
        <v>0</v>
      </c>
      <c r="P21" s="40">
        <f t="shared" si="6"/>
        <v>0</v>
      </c>
      <c r="S21" s="40">
        <f t="shared" si="7"/>
        <v>0</v>
      </c>
      <c r="V21" s="40">
        <f t="shared" si="8"/>
        <v>0</v>
      </c>
      <c r="Y21" s="40">
        <f t="shared" si="9"/>
        <v>0</v>
      </c>
      <c r="AB21" s="40">
        <f t="shared" si="10"/>
        <v>0</v>
      </c>
      <c r="AE21" s="40">
        <v>0</v>
      </c>
      <c r="AH21" s="40">
        <v>0</v>
      </c>
      <c r="AI21" s="73">
        <f>34800000</f>
        <v>34800000</v>
      </c>
      <c r="AJ21" s="74">
        <v>2.58E-2</v>
      </c>
      <c r="AK21" s="40">
        <f t="shared" si="11"/>
        <v>2494</v>
      </c>
      <c r="AL21" s="73">
        <f t="shared" si="55"/>
        <v>35000000</v>
      </c>
      <c r="AM21" s="74">
        <v>2.7E-2</v>
      </c>
      <c r="AN21" s="40">
        <f t="shared" si="12"/>
        <v>2625</v>
      </c>
      <c r="AO21" s="73">
        <f t="shared" si="1"/>
        <v>25000000</v>
      </c>
      <c r="AP21" s="74">
        <v>2.7699999999999999E-2</v>
      </c>
      <c r="AQ21" s="40">
        <f t="shared" si="13"/>
        <v>1923.6111111111111</v>
      </c>
      <c r="AR21" s="73">
        <f t="shared" si="54"/>
        <v>30000000</v>
      </c>
      <c r="AS21" s="74">
        <v>2.7199999999999998E-2</v>
      </c>
      <c r="AT21" s="40">
        <f t="shared" si="14"/>
        <v>2266.6666666666665</v>
      </c>
      <c r="AW21" s="40">
        <f t="shared" si="15"/>
        <v>0</v>
      </c>
      <c r="AZ21" s="40">
        <f t="shared" si="16"/>
        <v>0</v>
      </c>
      <c r="BC21" s="40">
        <f t="shared" si="17"/>
        <v>0</v>
      </c>
      <c r="BF21" s="40">
        <f t="shared" si="18"/>
        <v>0</v>
      </c>
      <c r="BI21" s="40">
        <f t="shared" si="19"/>
        <v>0</v>
      </c>
      <c r="BL21" s="40">
        <f t="shared" si="20"/>
        <v>0</v>
      </c>
      <c r="BO21" s="40">
        <f t="shared" si="21"/>
        <v>0</v>
      </c>
      <c r="BR21" s="40">
        <f t="shared" si="22"/>
        <v>0</v>
      </c>
      <c r="BU21" s="40">
        <f t="shared" si="23"/>
        <v>0</v>
      </c>
      <c r="BX21" s="40">
        <f t="shared" si="24"/>
        <v>0</v>
      </c>
      <c r="CA21" s="40">
        <f t="shared" si="25"/>
        <v>0</v>
      </c>
      <c r="CD21" s="40">
        <f t="shared" si="26"/>
        <v>0</v>
      </c>
      <c r="CG21" s="40">
        <f t="shared" si="27"/>
        <v>0</v>
      </c>
      <c r="CJ21" s="40">
        <f t="shared" si="28"/>
        <v>0</v>
      </c>
      <c r="CM21" s="40">
        <f t="shared" si="29"/>
        <v>0</v>
      </c>
      <c r="CP21" s="40">
        <f t="shared" si="30"/>
        <v>0</v>
      </c>
      <c r="CS21" s="40">
        <f t="shared" si="31"/>
        <v>0</v>
      </c>
      <c r="CV21" s="40">
        <f t="shared" si="32"/>
        <v>0</v>
      </c>
      <c r="CY21" s="40">
        <f t="shared" si="33"/>
        <v>0</v>
      </c>
      <c r="DB21" s="40">
        <f t="shared" si="34"/>
        <v>0</v>
      </c>
      <c r="DE21" s="40">
        <f t="shared" si="35"/>
        <v>0</v>
      </c>
      <c r="DH21" s="40">
        <f t="shared" si="36"/>
        <v>0</v>
      </c>
      <c r="DK21" s="40">
        <f t="shared" si="37"/>
        <v>0</v>
      </c>
      <c r="DN21" s="40">
        <f t="shared" si="38"/>
        <v>0</v>
      </c>
      <c r="DQ21" s="40">
        <f t="shared" si="39"/>
        <v>0</v>
      </c>
      <c r="DT21" s="40">
        <f t="shared" si="40"/>
        <v>0</v>
      </c>
      <c r="DW21" s="40">
        <f t="shared" si="41"/>
        <v>0</v>
      </c>
      <c r="DZ21" s="40"/>
      <c r="EA21" s="40"/>
      <c r="EB21" s="75">
        <f t="shared" si="42"/>
        <v>124800000</v>
      </c>
      <c r="EC21" s="75">
        <f t="shared" si="43"/>
        <v>0</v>
      </c>
      <c r="ED21" s="40">
        <f t="shared" si="44"/>
        <v>9309.2777777777774</v>
      </c>
      <c r="EE21" s="41">
        <f t="shared" si="45"/>
        <v>2.6853685897435895E-2</v>
      </c>
      <c r="EG21" s="75">
        <f t="shared" si="46"/>
        <v>0</v>
      </c>
      <c r="EH21" s="40">
        <f t="shared" si="47"/>
        <v>0</v>
      </c>
      <c r="EI21" s="41">
        <f t="shared" si="48"/>
        <v>0</v>
      </c>
      <c r="EJ21" s="41"/>
      <c r="EK21" s="75">
        <f t="shared" si="49"/>
        <v>124800000</v>
      </c>
      <c r="EL21" s="75">
        <f t="shared" si="50"/>
        <v>0</v>
      </c>
      <c r="EM21" s="75">
        <f t="shared" si="51"/>
        <v>9309.2777777777774</v>
      </c>
      <c r="EN21" s="41">
        <f t="shared" si="52"/>
        <v>2.6853685897435895E-2</v>
      </c>
      <c r="EP21" s="40"/>
    </row>
    <row r="22" spans="1:146" x14ac:dyDescent="0.25">
      <c r="A22" s="25">
        <f t="shared" si="53"/>
        <v>43628</v>
      </c>
      <c r="D22" s="40">
        <f t="shared" si="2"/>
        <v>0</v>
      </c>
      <c r="G22" s="40">
        <f t="shared" si="3"/>
        <v>0</v>
      </c>
      <c r="J22" s="40">
        <f t="shared" si="4"/>
        <v>0</v>
      </c>
      <c r="M22" s="40">
        <f t="shared" si="5"/>
        <v>0</v>
      </c>
      <c r="P22" s="40">
        <f t="shared" si="6"/>
        <v>0</v>
      </c>
      <c r="S22" s="40">
        <f t="shared" si="7"/>
        <v>0</v>
      </c>
      <c r="V22" s="40">
        <f t="shared" si="8"/>
        <v>0</v>
      </c>
      <c r="Y22" s="40">
        <f t="shared" si="9"/>
        <v>0</v>
      </c>
      <c r="AB22" s="40">
        <f t="shared" si="10"/>
        <v>0</v>
      </c>
      <c r="AE22" s="40">
        <v>0</v>
      </c>
      <c r="AH22" s="40">
        <v>0</v>
      </c>
      <c r="AI22" s="73">
        <f>32000000</f>
        <v>32000000</v>
      </c>
      <c r="AJ22" s="74">
        <v>2.5700000000000001E-2</v>
      </c>
      <c r="AK22" s="40">
        <f t="shared" si="11"/>
        <v>2284.4444444444443</v>
      </c>
      <c r="AL22" s="73">
        <f t="shared" si="55"/>
        <v>35000000</v>
      </c>
      <c r="AM22" s="74">
        <v>2.7E-2</v>
      </c>
      <c r="AN22" s="40">
        <f t="shared" si="12"/>
        <v>2625</v>
      </c>
      <c r="AO22" s="73">
        <f t="shared" si="1"/>
        <v>25000000</v>
      </c>
      <c r="AP22" s="74">
        <v>2.7699999999999999E-2</v>
      </c>
      <c r="AQ22" s="40">
        <f t="shared" si="13"/>
        <v>1923.6111111111111</v>
      </c>
      <c r="AR22" s="73">
        <f t="shared" si="54"/>
        <v>30000000</v>
      </c>
      <c r="AS22" s="74">
        <v>2.7199999999999998E-2</v>
      </c>
      <c r="AT22" s="40">
        <f t="shared" si="14"/>
        <v>2266.6666666666665</v>
      </c>
      <c r="AW22" s="40">
        <f t="shared" si="15"/>
        <v>0</v>
      </c>
      <c r="AZ22" s="40">
        <f t="shared" si="16"/>
        <v>0</v>
      </c>
      <c r="BC22" s="40">
        <f t="shared" si="17"/>
        <v>0</v>
      </c>
      <c r="BF22" s="40">
        <f t="shared" si="18"/>
        <v>0</v>
      </c>
      <c r="BI22" s="40">
        <f t="shared" si="19"/>
        <v>0</v>
      </c>
      <c r="BL22" s="40">
        <f t="shared" si="20"/>
        <v>0</v>
      </c>
      <c r="BO22" s="40">
        <f t="shared" si="21"/>
        <v>0</v>
      </c>
      <c r="BR22" s="40">
        <f t="shared" si="22"/>
        <v>0</v>
      </c>
      <c r="BU22" s="40">
        <f t="shared" si="23"/>
        <v>0</v>
      </c>
      <c r="BX22" s="40">
        <f t="shared" si="24"/>
        <v>0</v>
      </c>
      <c r="CA22" s="40">
        <f t="shared" si="25"/>
        <v>0</v>
      </c>
      <c r="CD22" s="40">
        <f t="shared" si="26"/>
        <v>0</v>
      </c>
      <c r="CG22" s="40">
        <f t="shared" si="27"/>
        <v>0</v>
      </c>
      <c r="CJ22" s="40">
        <f t="shared" si="28"/>
        <v>0</v>
      </c>
      <c r="CM22" s="40">
        <f t="shared" si="29"/>
        <v>0</v>
      </c>
      <c r="CP22" s="40">
        <f t="shared" si="30"/>
        <v>0</v>
      </c>
      <c r="CS22" s="40">
        <f t="shared" si="31"/>
        <v>0</v>
      </c>
      <c r="CV22" s="40">
        <f t="shared" si="32"/>
        <v>0</v>
      </c>
      <c r="CY22" s="40">
        <f t="shared" si="33"/>
        <v>0</v>
      </c>
      <c r="DB22" s="40">
        <f t="shared" si="34"/>
        <v>0</v>
      </c>
      <c r="DE22" s="40">
        <f t="shared" si="35"/>
        <v>0</v>
      </c>
      <c r="DH22" s="40">
        <f t="shared" si="36"/>
        <v>0</v>
      </c>
      <c r="DK22" s="40">
        <f t="shared" si="37"/>
        <v>0</v>
      </c>
      <c r="DN22" s="40">
        <f t="shared" si="38"/>
        <v>0</v>
      </c>
      <c r="DQ22" s="40">
        <f t="shared" si="39"/>
        <v>0</v>
      </c>
      <c r="DT22" s="40">
        <f t="shared" si="40"/>
        <v>0</v>
      </c>
      <c r="DW22" s="40">
        <f t="shared" si="41"/>
        <v>0</v>
      </c>
      <c r="DZ22" s="40"/>
      <c r="EA22" s="40"/>
      <c r="EB22" s="75">
        <f t="shared" si="42"/>
        <v>122000000</v>
      </c>
      <c r="EC22" s="75">
        <f t="shared" si="43"/>
        <v>0</v>
      </c>
      <c r="ED22" s="40">
        <f t="shared" si="44"/>
        <v>9099.7222222222226</v>
      </c>
      <c r="EE22" s="41">
        <f t="shared" si="45"/>
        <v>2.6851639344262296E-2</v>
      </c>
      <c r="EG22" s="75">
        <f t="shared" si="46"/>
        <v>0</v>
      </c>
      <c r="EH22" s="40">
        <f t="shared" si="47"/>
        <v>0</v>
      </c>
      <c r="EI22" s="41">
        <f t="shared" si="48"/>
        <v>0</v>
      </c>
      <c r="EJ22" s="41"/>
      <c r="EK22" s="75">
        <f t="shared" si="49"/>
        <v>122000000</v>
      </c>
      <c r="EL22" s="75">
        <f t="shared" si="50"/>
        <v>0</v>
      </c>
      <c r="EM22" s="75">
        <f t="shared" si="51"/>
        <v>9099.7222222222226</v>
      </c>
      <c r="EN22" s="41">
        <f t="shared" si="52"/>
        <v>2.6851639344262296E-2</v>
      </c>
      <c r="EP22" s="40"/>
    </row>
    <row r="23" spans="1:146" x14ac:dyDescent="0.25">
      <c r="A23" s="25">
        <f t="shared" si="53"/>
        <v>43629</v>
      </c>
      <c r="D23" s="40">
        <f t="shared" si="2"/>
        <v>0</v>
      </c>
      <c r="G23" s="40">
        <f t="shared" si="3"/>
        <v>0</v>
      </c>
      <c r="J23" s="40">
        <f t="shared" si="4"/>
        <v>0</v>
      </c>
      <c r="M23" s="40">
        <f t="shared" si="5"/>
        <v>0</v>
      </c>
      <c r="P23" s="40">
        <f t="shared" si="6"/>
        <v>0</v>
      </c>
      <c r="S23" s="40">
        <f t="shared" si="7"/>
        <v>0</v>
      </c>
      <c r="V23" s="40">
        <f t="shared" si="8"/>
        <v>0</v>
      </c>
      <c r="Y23" s="40">
        <f t="shared" si="9"/>
        <v>0</v>
      </c>
      <c r="AB23" s="40">
        <f t="shared" si="10"/>
        <v>0</v>
      </c>
      <c r="AE23" s="40">
        <v>0</v>
      </c>
      <c r="AH23" s="40">
        <v>0</v>
      </c>
      <c r="AI23" s="73">
        <f>37850000</f>
        <v>37850000</v>
      </c>
      <c r="AJ23" s="74">
        <v>2.5700000000000001E-2</v>
      </c>
      <c r="AK23" s="40">
        <f t="shared" si="11"/>
        <v>2702.0694444444443</v>
      </c>
      <c r="AL23" s="73">
        <f t="shared" si="55"/>
        <v>35000000</v>
      </c>
      <c r="AM23" s="74">
        <v>2.7E-2</v>
      </c>
      <c r="AN23" s="40">
        <f t="shared" si="12"/>
        <v>2625</v>
      </c>
      <c r="AO23" s="73">
        <f t="shared" si="1"/>
        <v>25000000</v>
      </c>
      <c r="AP23" s="74">
        <v>2.7699999999999999E-2</v>
      </c>
      <c r="AQ23" s="40">
        <f t="shared" si="13"/>
        <v>1923.6111111111111</v>
      </c>
      <c r="AR23" s="73">
        <f t="shared" si="54"/>
        <v>30000000</v>
      </c>
      <c r="AS23" s="74">
        <v>2.7199999999999998E-2</v>
      </c>
      <c r="AT23" s="40">
        <f t="shared" si="14"/>
        <v>2266.6666666666665</v>
      </c>
      <c r="AW23" s="40">
        <f t="shared" si="15"/>
        <v>0</v>
      </c>
      <c r="AZ23" s="40">
        <f t="shared" si="16"/>
        <v>0</v>
      </c>
      <c r="BC23" s="40">
        <f t="shared" si="17"/>
        <v>0</v>
      </c>
      <c r="BF23" s="40">
        <f t="shared" si="18"/>
        <v>0</v>
      </c>
      <c r="BI23" s="40">
        <f t="shared" si="19"/>
        <v>0</v>
      </c>
      <c r="BL23" s="40">
        <f t="shared" si="20"/>
        <v>0</v>
      </c>
      <c r="BO23" s="40">
        <f t="shared" si="21"/>
        <v>0</v>
      </c>
      <c r="BR23" s="40">
        <f t="shared" si="22"/>
        <v>0</v>
      </c>
      <c r="BU23" s="40">
        <f t="shared" si="23"/>
        <v>0</v>
      </c>
      <c r="BX23" s="40">
        <f t="shared" si="24"/>
        <v>0</v>
      </c>
      <c r="CA23" s="40">
        <f t="shared" si="25"/>
        <v>0</v>
      </c>
      <c r="CD23" s="40">
        <f t="shared" si="26"/>
        <v>0</v>
      </c>
      <c r="CG23" s="40">
        <f t="shared" si="27"/>
        <v>0</v>
      </c>
      <c r="CJ23" s="40">
        <f t="shared" si="28"/>
        <v>0</v>
      </c>
      <c r="CM23" s="40">
        <f t="shared" si="29"/>
        <v>0</v>
      </c>
      <c r="CP23" s="40">
        <f t="shared" si="30"/>
        <v>0</v>
      </c>
      <c r="CS23" s="40">
        <f t="shared" si="31"/>
        <v>0</v>
      </c>
      <c r="CV23" s="40">
        <f t="shared" si="32"/>
        <v>0</v>
      </c>
      <c r="CY23" s="40">
        <f t="shared" si="33"/>
        <v>0</v>
      </c>
      <c r="DB23" s="40">
        <f t="shared" si="34"/>
        <v>0</v>
      </c>
      <c r="DE23" s="40">
        <f t="shared" si="35"/>
        <v>0</v>
      </c>
      <c r="DH23" s="40">
        <f t="shared" si="36"/>
        <v>0</v>
      </c>
      <c r="DK23" s="40">
        <f t="shared" si="37"/>
        <v>0</v>
      </c>
      <c r="DN23" s="40">
        <f t="shared" si="38"/>
        <v>0</v>
      </c>
      <c r="DQ23" s="40">
        <f t="shared" si="39"/>
        <v>0</v>
      </c>
      <c r="DT23" s="40">
        <f t="shared" si="40"/>
        <v>0</v>
      </c>
      <c r="DW23" s="40">
        <f t="shared" si="41"/>
        <v>0</v>
      </c>
      <c r="DZ23" s="40"/>
      <c r="EA23" s="40"/>
      <c r="EB23" s="75">
        <f t="shared" si="42"/>
        <v>127850000</v>
      </c>
      <c r="EC23" s="75">
        <f t="shared" si="43"/>
        <v>0</v>
      </c>
      <c r="ED23" s="40">
        <f t="shared" si="44"/>
        <v>9517.3472222222226</v>
      </c>
      <c r="EE23" s="41">
        <f t="shared" si="45"/>
        <v>2.6798944075087996E-2</v>
      </c>
      <c r="EG23" s="75">
        <f t="shared" si="46"/>
        <v>0</v>
      </c>
      <c r="EH23" s="40">
        <f t="shared" si="47"/>
        <v>0</v>
      </c>
      <c r="EI23" s="41">
        <f t="shared" si="48"/>
        <v>0</v>
      </c>
      <c r="EJ23" s="41"/>
      <c r="EK23" s="75">
        <f t="shared" si="49"/>
        <v>127850000</v>
      </c>
      <c r="EL23" s="75">
        <f t="shared" si="50"/>
        <v>0</v>
      </c>
      <c r="EM23" s="75">
        <f t="shared" si="51"/>
        <v>9517.3472222222226</v>
      </c>
      <c r="EN23" s="41">
        <f t="shared" si="52"/>
        <v>2.6798944075087996E-2</v>
      </c>
      <c r="EP23" s="40"/>
    </row>
    <row r="24" spans="1:146" x14ac:dyDescent="0.25">
      <c r="A24" s="25">
        <f t="shared" si="53"/>
        <v>43630</v>
      </c>
      <c r="D24" s="40">
        <f t="shared" si="2"/>
        <v>0</v>
      </c>
      <c r="G24" s="40">
        <f t="shared" si="3"/>
        <v>0</v>
      </c>
      <c r="J24" s="40">
        <f t="shared" si="4"/>
        <v>0</v>
      </c>
      <c r="M24" s="40">
        <f t="shared" si="5"/>
        <v>0</v>
      </c>
      <c r="P24" s="40">
        <f t="shared" si="6"/>
        <v>0</v>
      </c>
      <c r="S24" s="40">
        <f t="shared" si="7"/>
        <v>0</v>
      </c>
      <c r="V24" s="40">
        <f t="shared" si="8"/>
        <v>0</v>
      </c>
      <c r="Y24" s="40">
        <f t="shared" si="9"/>
        <v>0</v>
      </c>
      <c r="AB24" s="40">
        <f t="shared" si="10"/>
        <v>0</v>
      </c>
      <c r="AE24" s="40">
        <v>0</v>
      </c>
      <c r="AH24" s="40">
        <v>0</v>
      </c>
      <c r="AI24" s="73">
        <f>46150000</f>
        <v>46150000</v>
      </c>
      <c r="AJ24" s="74">
        <v>2.5600000000000001E-2</v>
      </c>
      <c r="AK24" s="40">
        <f t="shared" si="11"/>
        <v>3281.7777777777778</v>
      </c>
      <c r="AL24" s="73">
        <f t="shared" si="55"/>
        <v>35000000</v>
      </c>
      <c r="AM24" s="74">
        <v>2.7E-2</v>
      </c>
      <c r="AN24" s="40">
        <f t="shared" si="12"/>
        <v>2625</v>
      </c>
      <c r="AO24" s="73"/>
      <c r="AP24" s="74"/>
      <c r="AQ24" s="40">
        <f t="shared" si="13"/>
        <v>0</v>
      </c>
      <c r="AR24" s="73">
        <f t="shared" si="54"/>
        <v>30000000</v>
      </c>
      <c r="AS24" s="74">
        <v>2.7199999999999998E-2</v>
      </c>
      <c r="AT24" s="40">
        <f t="shared" si="14"/>
        <v>2266.6666666666665</v>
      </c>
      <c r="AW24" s="40">
        <f t="shared" si="15"/>
        <v>0</v>
      </c>
      <c r="AZ24" s="40">
        <f t="shared" si="16"/>
        <v>0</v>
      </c>
      <c r="BC24" s="40">
        <f t="shared" si="17"/>
        <v>0</v>
      </c>
      <c r="BF24" s="40">
        <f t="shared" si="18"/>
        <v>0</v>
      </c>
      <c r="BI24" s="40">
        <f t="shared" si="19"/>
        <v>0</v>
      </c>
      <c r="BL24" s="40">
        <f t="shared" si="20"/>
        <v>0</v>
      </c>
      <c r="BO24" s="40">
        <f t="shared" si="21"/>
        <v>0</v>
      </c>
      <c r="BR24" s="40">
        <f t="shared" si="22"/>
        <v>0</v>
      </c>
      <c r="BU24" s="40">
        <f t="shared" si="23"/>
        <v>0</v>
      </c>
      <c r="BX24" s="40">
        <f t="shared" si="24"/>
        <v>0</v>
      </c>
      <c r="CA24" s="40">
        <f t="shared" si="25"/>
        <v>0</v>
      </c>
      <c r="CD24" s="40">
        <f t="shared" si="26"/>
        <v>0</v>
      </c>
      <c r="CG24" s="40">
        <f t="shared" si="27"/>
        <v>0</v>
      </c>
      <c r="CJ24" s="40">
        <f t="shared" si="28"/>
        <v>0</v>
      </c>
      <c r="CM24" s="40">
        <f t="shared" si="29"/>
        <v>0</v>
      </c>
      <c r="CP24" s="40">
        <f t="shared" si="30"/>
        <v>0</v>
      </c>
      <c r="CS24" s="40">
        <f t="shared" si="31"/>
        <v>0</v>
      </c>
      <c r="CV24" s="40">
        <f t="shared" si="32"/>
        <v>0</v>
      </c>
      <c r="CY24" s="40">
        <f t="shared" si="33"/>
        <v>0</v>
      </c>
      <c r="DB24" s="40">
        <f t="shared" si="34"/>
        <v>0</v>
      </c>
      <c r="DE24" s="40">
        <f t="shared" si="35"/>
        <v>0</v>
      </c>
      <c r="DH24" s="40">
        <f t="shared" si="36"/>
        <v>0</v>
      </c>
      <c r="DK24" s="40">
        <f t="shared" si="37"/>
        <v>0</v>
      </c>
      <c r="DN24" s="40">
        <f t="shared" si="38"/>
        <v>0</v>
      </c>
      <c r="DQ24" s="40">
        <f t="shared" si="39"/>
        <v>0</v>
      </c>
      <c r="DT24" s="40">
        <f t="shared" si="40"/>
        <v>0</v>
      </c>
      <c r="DW24" s="40">
        <f t="shared" si="41"/>
        <v>0</v>
      </c>
      <c r="DZ24" s="40"/>
      <c r="EA24" s="40"/>
      <c r="EB24" s="75">
        <f t="shared" si="42"/>
        <v>111150000</v>
      </c>
      <c r="EC24" s="75">
        <f t="shared" si="43"/>
        <v>0</v>
      </c>
      <c r="ED24" s="40">
        <f t="shared" si="44"/>
        <v>8173.4444444444434</v>
      </c>
      <c r="EE24" s="41">
        <f t="shared" si="45"/>
        <v>2.6472694556905083E-2</v>
      </c>
      <c r="EG24" s="75">
        <f t="shared" si="46"/>
        <v>0</v>
      </c>
      <c r="EH24" s="40">
        <f t="shared" si="47"/>
        <v>0</v>
      </c>
      <c r="EI24" s="41">
        <f t="shared" si="48"/>
        <v>0</v>
      </c>
      <c r="EJ24" s="41"/>
      <c r="EK24" s="75">
        <f t="shared" si="49"/>
        <v>111150000</v>
      </c>
      <c r="EL24" s="75">
        <f t="shared" si="50"/>
        <v>0</v>
      </c>
      <c r="EM24" s="75">
        <f t="shared" si="51"/>
        <v>8173.4444444444434</v>
      </c>
      <c r="EN24" s="41">
        <f t="shared" si="52"/>
        <v>2.6472694556905083E-2</v>
      </c>
      <c r="EP24" s="40"/>
    </row>
    <row r="25" spans="1:146" x14ac:dyDescent="0.25">
      <c r="A25" s="25">
        <f t="shared" si="53"/>
        <v>43631</v>
      </c>
      <c r="D25" s="40">
        <f t="shared" si="2"/>
        <v>0</v>
      </c>
      <c r="G25" s="40">
        <f t="shared" si="3"/>
        <v>0</v>
      </c>
      <c r="J25" s="40">
        <f t="shared" si="4"/>
        <v>0</v>
      </c>
      <c r="M25" s="40">
        <f t="shared" si="5"/>
        <v>0</v>
      </c>
      <c r="P25" s="40">
        <f t="shared" si="6"/>
        <v>0</v>
      </c>
      <c r="S25" s="40">
        <f t="shared" si="7"/>
        <v>0</v>
      </c>
      <c r="V25" s="40">
        <f t="shared" si="8"/>
        <v>0</v>
      </c>
      <c r="Y25" s="40">
        <f t="shared" si="9"/>
        <v>0</v>
      </c>
      <c r="AB25" s="40">
        <f t="shared" si="10"/>
        <v>0</v>
      </c>
      <c r="AE25" s="40">
        <v>0</v>
      </c>
      <c r="AH25" s="40">
        <v>0</v>
      </c>
      <c r="AI25" s="73">
        <f>46150000</f>
        <v>46150000</v>
      </c>
      <c r="AJ25" s="74">
        <v>2.5600000000000001E-2</v>
      </c>
      <c r="AK25" s="40">
        <f t="shared" si="11"/>
        <v>3281.7777777777778</v>
      </c>
      <c r="AL25" s="73">
        <f t="shared" si="55"/>
        <v>35000000</v>
      </c>
      <c r="AM25" s="74">
        <v>2.7E-2</v>
      </c>
      <c r="AN25" s="40">
        <f t="shared" si="12"/>
        <v>2625</v>
      </c>
      <c r="AO25" s="73"/>
      <c r="AP25" s="74"/>
      <c r="AQ25" s="40">
        <f t="shared" si="13"/>
        <v>0</v>
      </c>
      <c r="AR25" s="73">
        <f t="shared" si="54"/>
        <v>30000000</v>
      </c>
      <c r="AS25" s="74">
        <v>2.7199999999999998E-2</v>
      </c>
      <c r="AT25" s="40">
        <f t="shared" si="14"/>
        <v>2266.6666666666665</v>
      </c>
      <c r="AW25" s="40">
        <f t="shared" si="15"/>
        <v>0</v>
      </c>
      <c r="AZ25" s="40">
        <f t="shared" si="16"/>
        <v>0</v>
      </c>
      <c r="BC25" s="40">
        <f t="shared" si="17"/>
        <v>0</v>
      </c>
      <c r="BF25" s="40">
        <f t="shared" si="18"/>
        <v>0</v>
      </c>
      <c r="BI25" s="40">
        <f t="shared" si="19"/>
        <v>0</v>
      </c>
      <c r="BL25" s="40">
        <f t="shared" si="20"/>
        <v>0</v>
      </c>
      <c r="BO25" s="40">
        <f t="shared" si="21"/>
        <v>0</v>
      </c>
      <c r="BR25" s="40">
        <f t="shared" si="22"/>
        <v>0</v>
      </c>
      <c r="BU25" s="40">
        <f t="shared" si="23"/>
        <v>0</v>
      </c>
      <c r="BX25" s="40">
        <f t="shared" si="24"/>
        <v>0</v>
      </c>
      <c r="CA25" s="40">
        <f t="shared" si="25"/>
        <v>0</v>
      </c>
      <c r="CD25" s="40">
        <f t="shared" si="26"/>
        <v>0</v>
      </c>
      <c r="CG25" s="40">
        <f t="shared" si="27"/>
        <v>0</v>
      </c>
      <c r="CJ25" s="40">
        <f t="shared" si="28"/>
        <v>0</v>
      </c>
      <c r="CM25" s="40">
        <f t="shared" si="29"/>
        <v>0</v>
      </c>
      <c r="CP25" s="40">
        <f t="shared" si="30"/>
        <v>0</v>
      </c>
      <c r="CS25" s="40">
        <f t="shared" si="31"/>
        <v>0</v>
      </c>
      <c r="CV25" s="40">
        <f t="shared" si="32"/>
        <v>0</v>
      </c>
      <c r="CY25" s="40">
        <f t="shared" si="33"/>
        <v>0</v>
      </c>
      <c r="DB25" s="40">
        <f t="shared" si="34"/>
        <v>0</v>
      </c>
      <c r="DE25" s="40">
        <f t="shared" si="35"/>
        <v>0</v>
      </c>
      <c r="DH25" s="40">
        <f t="shared" si="36"/>
        <v>0</v>
      </c>
      <c r="DK25" s="40">
        <f t="shared" si="37"/>
        <v>0</v>
      </c>
      <c r="DN25" s="40">
        <f t="shared" si="38"/>
        <v>0</v>
      </c>
      <c r="DQ25" s="40">
        <f t="shared" si="39"/>
        <v>0</v>
      </c>
      <c r="DT25" s="40">
        <f t="shared" si="40"/>
        <v>0</v>
      </c>
      <c r="DW25" s="40">
        <f t="shared" si="41"/>
        <v>0</v>
      </c>
      <c r="DZ25" s="40"/>
      <c r="EA25" s="40"/>
      <c r="EB25" s="75">
        <f t="shared" si="42"/>
        <v>111150000</v>
      </c>
      <c r="EC25" s="75">
        <f t="shared" si="43"/>
        <v>0</v>
      </c>
      <c r="ED25" s="40">
        <f t="shared" si="44"/>
        <v>8173.4444444444434</v>
      </c>
      <c r="EE25" s="41">
        <f t="shared" si="45"/>
        <v>2.6472694556905083E-2</v>
      </c>
      <c r="EG25" s="75">
        <f t="shared" si="46"/>
        <v>0</v>
      </c>
      <c r="EH25" s="40">
        <f t="shared" si="47"/>
        <v>0</v>
      </c>
      <c r="EI25" s="41">
        <f t="shared" si="48"/>
        <v>0</v>
      </c>
      <c r="EJ25" s="41"/>
      <c r="EK25" s="75">
        <f t="shared" si="49"/>
        <v>111150000</v>
      </c>
      <c r="EL25" s="75">
        <f t="shared" si="50"/>
        <v>0</v>
      </c>
      <c r="EM25" s="75">
        <f t="shared" si="51"/>
        <v>8173.4444444444434</v>
      </c>
      <c r="EN25" s="41">
        <f t="shared" si="52"/>
        <v>2.6472694556905083E-2</v>
      </c>
      <c r="EP25" s="40"/>
    </row>
    <row r="26" spans="1:146" x14ac:dyDescent="0.25">
      <c r="A26" s="25">
        <f t="shared" si="53"/>
        <v>43632</v>
      </c>
      <c r="D26" s="40">
        <f t="shared" si="2"/>
        <v>0</v>
      </c>
      <c r="G26" s="40">
        <f t="shared" si="3"/>
        <v>0</v>
      </c>
      <c r="J26" s="40">
        <f t="shared" si="4"/>
        <v>0</v>
      </c>
      <c r="M26" s="40">
        <f t="shared" si="5"/>
        <v>0</v>
      </c>
      <c r="P26" s="40">
        <f t="shared" si="6"/>
        <v>0</v>
      </c>
      <c r="S26" s="40">
        <f t="shared" si="7"/>
        <v>0</v>
      </c>
      <c r="V26" s="40">
        <f t="shared" si="8"/>
        <v>0</v>
      </c>
      <c r="Y26" s="40">
        <f t="shared" si="9"/>
        <v>0</v>
      </c>
      <c r="AB26" s="40">
        <f t="shared" si="10"/>
        <v>0</v>
      </c>
      <c r="AE26" s="40">
        <v>0</v>
      </c>
      <c r="AH26" s="40">
        <v>0</v>
      </c>
      <c r="AI26" s="73">
        <f>46150000</f>
        <v>46150000</v>
      </c>
      <c r="AJ26" s="74">
        <v>2.5600000000000001E-2</v>
      </c>
      <c r="AK26" s="40">
        <f t="shared" si="11"/>
        <v>3281.7777777777778</v>
      </c>
      <c r="AL26" s="73">
        <f t="shared" si="55"/>
        <v>35000000</v>
      </c>
      <c r="AM26" s="74">
        <v>2.7E-2</v>
      </c>
      <c r="AN26" s="40">
        <f t="shared" si="12"/>
        <v>2625</v>
      </c>
      <c r="AO26" s="73"/>
      <c r="AP26" s="74"/>
      <c r="AQ26" s="40">
        <f t="shared" si="13"/>
        <v>0</v>
      </c>
      <c r="AR26" s="73">
        <f t="shared" si="54"/>
        <v>30000000</v>
      </c>
      <c r="AS26" s="74">
        <v>2.7199999999999998E-2</v>
      </c>
      <c r="AT26" s="40">
        <f t="shared" si="14"/>
        <v>2266.6666666666665</v>
      </c>
      <c r="AW26" s="40">
        <f t="shared" si="15"/>
        <v>0</v>
      </c>
      <c r="AZ26" s="40">
        <f t="shared" si="16"/>
        <v>0</v>
      </c>
      <c r="BC26" s="40">
        <f t="shared" si="17"/>
        <v>0</v>
      </c>
      <c r="BF26" s="40">
        <f t="shared" si="18"/>
        <v>0</v>
      </c>
      <c r="BI26" s="40">
        <f t="shared" si="19"/>
        <v>0</v>
      </c>
      <c r="BL26" s="40">
        <f t="shared" si="20"/>
        <v>0</v>
      </c>
      <c r="BO26" s="40">
        <f t="shared" si="21"/>
        <v>0</v>
      </c>
      <c r="BR26" s="40">
        <f t="shared" si="22"/>
        <v>0</v>
      </c>
      <c r="BU26" s="40">
        <f t="shared" si="23"/>
        <v>0</v>
      </c>
      <c r="BX26" s="40">
        <f t="shared" si="24"/>
        <v>0</v>
      </c>
      <c r="CA26" s="40">
        <f t="shared" si="25"/>
        <v>0</v>
      </c>
      <c r="CD26" s="40">
        <f t="shared" si="26"/>
        <v>0</v>
      </c>
      <c r="CG26" s="40">
        <f t="shared" si="27"/>
        <v>0</v>
      </c>
      <c r="CJ26" s="40">
        <f t="shared" si="28"/>
        <v>0</v>
      </c>
      <c r="CM26" s="40">
        <f t="shared" si="29"/>
        <v>0</v>
      </c>
      <c r="CP26" s="40">
        <f t="shared" si="30"/>
        <v>0</v>
      </c>
      <c r="CS26" s="40">
        <f t="shared" si="31"/>
        <v>0</v>
      </c>
      <c r="CV26" s="40">
        <f t="shared" si="32"/>
        <v>0</v>
      </c>
      <c r="CY26" s="40">
        <f t="shared" si="33"/>
        <v>0</v>
      </c>
      <c r="DB26" s="40">
        <f t="shared" si="34"/>
        <v>0</v>
      </c>
      <c r="DE26" s="40">
        <f t="shared" si="35"/>
        <v>0</v>
      </c>
      <c r="DH26" s="40">
        <f t="shared" si="36"/>
        <v>0</v>
      </c>
      <c r="DK26" s="40">
        <f t="shared" si="37"/>
        <v>0</v>
      </c>
      <c r="DN26" s="40">
        <f t="shared" si="38"/>
        <v>0</v>
      </c>
      <c r="DQ26" s="40">
        <f t="shared" si="39"/>
        <v>0</v>
      </c>
      <c r="DT26" s="40">
        <f t="shared" si="40"/>
        <v>0</v>
      </c>
      <c r="DW26" s="40">
        <f t="shared" si="41"/>
        <v>0</v>
      </c>
      <c r="DZ26" s="40"/>
      <c r="EA26" s="40"/>
      <c r="EB26" s="75">
        <f t="shared" si="42"/>
        <v>111150000</v>
      </c>
      <c r="EC26" s="75">
        <f t="shared" si="43"/>
        <v>0</v>
      </c>
      <c r="ED26" s="40">
        <f t="shared" si="44"/>
        <v>8173.4444444444434</v>
      </c>
      <c r="EE26" s="41">
        <f t="shared" si="45"/>
        <v>2.6472694556905083E-2</v>
      </c>
      <c r="EG26" s="75">
        <f t="shared" si="46"/>
        <v>0</v>
      </c>
      <c r="EH26" s="40">
        <f t="shared" si="47"/>
        <v>0</v>
      </c>
      <c r="EI26" s="41">
        <f t="shared" si="48"/>
        <v>0</v>
      </c>
      <c r="EJ26" s="41"/>
      <c r="EK26" s="75">
        <f t="shared" si="49"/>
        <v>111150000</v>
      </c>
      <c r="EL26" s="75">
        <f t="shared" si="50"/>
        <v>0</v>
      </c>
      <c r="EM26" s="75">
        <f t="shared" si="51"/>
        <v>8173.4444444444434</v>
      </c>
      <c r="EN26" s="41">
        <f t="shared" si="52"/>
        <v>2.6472694556905083E-2</v>
      </c>
      <c r="EP26" s="40"/>
    </row>
    <row r="27" spans="1:146" x14ac:dyDescent="0.25">
      <c r="A27" s="25">
        <f t="shared" si="53"/>
        <v>43633</v>
      </c>
      <c r="D27" s="40">
        <f t="shared" si="2"/>
        <v>0</v>
      </c>
      <c r="G27" s="40">
        <f t="shared" si="3"/>
        <v>0</v>
      </c>
      <c r="J27" s="40">
        <f t="shared" si="4"/>
        <v>0</v>
      </c>
      <c r="M27" s="40">
        <f t="shared" si="5"/>
        <v>0</v>
      </c>
      <c r="P27" s="40">
        <f t="shared" si="6"/>
        <v>0</v>
      </c>
      <c r="S27" s="40">
        <f t="shared" si="7"/>
        <v>0</v>
      </c>
      <c r="V27" s="40">
        <f t="shared" si="8"/>
        <v>0</v>
      </c>
      <c r="Y27" s="40">
        <f t="shared" si="9"/>
        <v>0</v>
      </c>
      <c r="AB27" s="40">
        <f t="shared" si="10"/>
        <v>0</v>
      </c>
      <c r="AE27" s="40">
        <v>0</v>
      </c>
      <c r="AH27" s="40">
        <v>0</v>
      </c>
      <c r="AI27" s="73">
        <f>65075000</f>
        <v>65075000</v>
      </c>
      <c r="AJ27" s="74">
        <v>2.5600000000000001E-2</v>
      </c>
      <c r="AK27" s="40">
        <f t="shared" si="11"/>
        <v>4627.5555555555557</v>
      </c>
      <c r="AL27" s="73">
        <f t="shared" si="55"/>
        <v>35000000</v>
      </c>
      <c r="AM27" s="74">
        <v>2.7E-2</v>
      </c>
      <c r="AN27" s="40">
        <f t="shared" si="12"/>
        <v>2625</v>
      </c>
      <c r="AO27" s="73"/>
      <c r="AP27" s="74"/>
      <c r="AQ27" s="40">
        <f t="shared" si="13"/>
        <v>0</v>
      </c>
      <c r="AR27" s="73">
        <f t="shared" si="54"/>
        <v>30000000</v>
      </c>
      <c r="AS27" s="74">
        <v>2.7199999999999998E-2</v>
      </c>
      <c r="AT27" s="40">
        <f t="shared" si="14"/>
        <v>2266.6666666666665</v>
      </c>
      <c r="AW27" s="40">
        <f t="shared" si="15"/>
        <v>0</v>
      </c>
      <c r="AZ27" s="40">
        <f t="shared" si="16"/>
        <v>0</v>
      </c>
      <c r="BC27" s="40">
        <f t="shared" si="17"/>
        <v>0</v>
      </c>
      <c r="BF27" s="40">
        <f t="shared" si="18"/>
        <v>0</v>
      </c>
      <c r="BI27" s="40">
        <f t="shared" si="19"/>
        <v>0</v>
      </c>
      <c r="BL27" s="40">
        <f t="shared" si="20"/>
        <v>0</v>
      </c>
      <c r="BO27" s="40">
        <f t="shared" si="21"/>
        <v>0</v>
      </c>
      <c r="BR27" s="40">
        <f t="shared" si="22"/>
        <v>0</v>
      </c>
      <c r="BU27" s="40">
        <f t="shared" si="23"/>
        <v>0</v>
      </c>
      <c r="BX27" s="40">
        <f t="shared" si="24"/>
        <v>0</v>
      </c>
      <c r="CA27" s="40">
        <f t="shared" si="25"/>
        <v>0</v>
      </c>
      <c r="CD27" s="40">
        <f t="shared" si="26"/>
        <v>0</v>
      </c>
      <c r="CG27" s="40">
        <f t="shared" si="27"/>
        <v>0</v>
      </c>
      <c r="CJ27" s="40">
        <f t="shared" si="28"/>
        <v>0</v>
      </c>
      <c r="CM27" s="40">
        <f t="shared" si="29"/>
        <v>0</v>
      </c>
      <c r="CP27" s="40">
        <f t="shared" si="30"/>
        <v>0</v>
      </c>
      <c r="CS27" s="40">
        <f t="shared" si="31"/>
        <v>0</v>
      </c>
      <c r="CV27" s="40">
        <f t="shared" si="32"/>
        <v>0</v>
      </c>
      <c r="CY27" s="40">
        <f t="shared" si="33"/>
        <v>0</v>
      </c>
      <c r="DB27" s="40">
        <f t="shared" si="34"/>
        <v>0</v>
      </c>
      <c r="DE27" s="40">
        <f t="shared" si="35"/>
        <v>0</v>
      </c>
      <c r="DH27" s="40">
        <f t="shared" si="36"/>
        <v>0</v>
      </c>
      <c r="DK27" s="40">
        <f t="shared" si="37"/>
        <v>0</v>
      </c>
      <c r="DN27" s="40">
        <f t="shared" si="38"/>
        <v>0</v>
      </c>
      <c r="DQ27" s="40">
        <f t="shared" si="39"/>
        <v>0</v>
      </c>
      <c r="DT27" s="40">
        <f t="shared" si="40"/>
        <v>0</v>
      </c>
      <c r="DW27" s="40">
        <f t="shared" si="41"/>
        <v>0</v>
      </c>
      <c r="DZ27" s="40"/>
      <c r="EA27" s="40"/>
      <c r="EB27" s="75">
        <f t="shared" si="42"/>
        <v>130075000</v>
      </c>
      <c r="EC27" s="75">
        <f t="shared" si="43"/>
        <v>0</v>
      </c>
      <c r="ED27" s="40">
        <f t="shared" si="44"/>
        <v>9519.2222222222226</v>
      </c>
      <c r="EE27" s="41">
        <f t="shared" si="45"/>
        <v>2.6345723620987894E-2</v>
      </c>
      <c r="EG27" s="75">
        <f t="shared" si="46"/>
        <v>0</v>
      </c>
      <c r="EH27" s="40">
        <f t="shared" si="47"/>
        <v>0</v>
      </c>
      <c r="EI27" s="41">
        <f t="shared" si="48"/>
        <v>0</v>
      </c>
      <c r="EJ27" s="41"/>
      <c r="EK27" s="75">
        <f t="shared" si="49"/>
        <v>130075000</v>
      </c>
      <c r="EL27" s="75">
        <f t="shared" si="50"/>
        <v>0</v>
      </c>
      <c r="EM27" s="75">
        <f t="shared" si="51"/>
        <v>9519.2222222222226</v>
      </c>
      <c r="EN27" s="41">
        <f t="shared" si="52"/>
        <v>2.6345723620987894E-2</v>
      </c>
      <c r="EP27" s="40"/>
    </row>
    <row r="28" spans="1:146" x14ac:dyDescent="0.25">
      <c r="A28" s="25">
        <f t="shared" si="53"/>
        <v>43634</v>
      </c>
      <c r="D28" s="40">
        <f t="shared" si="2"/>
        <v>0</v>
      </c>
      <c r="G28" s="40">
        <f t="shared" si="3"/>
        <v>0</v>
      </c>
      <c r="J28" s="40">
        <f t="shared" si="4"/>
        <v>0</v>
      </c>
      <c r="M28" s="40">
        <f t="shared" si="5"/>
        <v>0</v>
      </c>
      <c r="P28" s="40">
        <f t="shared" si="6"/>
        <v>0</v>
      </c>
      <c r="S28" s="40">
        <f t="shared" si="7"/>
        <v>0</v>
      </c>
      <c r="V28" s="40">
        <f t="shared" si="8"/>
        <v>0</v>
      </c>
      <c r="Y28" s="40">
        <f t="shared" si="9"/>
        <v>0</v>
      </c>
      <c r="AB28" s="40">
        <f t="shared" si="10"/>
        <v>0</v>
      </c>
      <c r="AE28" s="40">
        <v>0</v>
      </c>
      <c r="AH28" s="40">
        <v>0</v>
      </c>
      <c r="AI28" s="73">
        <f>60825000</f>
        <v>60825000</v>
      </c>
      <c r="AJ28" s="74">
        <v>2.5600000000000001E-2</v>
      </c>
      <c r="AK28" s="40">
        <f t="shared" si="11"/>
        <v>4325.333333333333</v>
      </c>
      <c r="AL28" s="73">
        <f t="shared" si="55"/>
        <v>35000000</v>
      </c>
      <c r="AM28" s="74">
        <v>2.7E-2</v>
      </c>
      <c r="AN28" s="40">
        <f t="shared" si="12"/>
        <v>2625</v>
      </c>
      <c r="AO28" s="73"/>
      <c r="AP28" s="74"/>
      <c r="AQ28" s="40">
        <f t="shared" si="13"/>
        <v>0</v>
      </c>
      <c r="AR28" s="73">
        <f t="shared" si="54"/>
        <v>30000000</v>
      </c>
      <c r="AS28" s="74">
        <v>2.7199999999999998E-2</v>
      </c>
      <c r="AT28" s="40">
        <f t="shared" si="14"/>
        <v>2266.6666666666665</v>
      </c>
      <c r="AW28" s="40">
        <f t="shared" si="15"/>
        <v>0</v>
      </c>
      <c r="AZ28" s="40">
        <f t="shared" si="16"/>
        <v>0</v>
      </c>
      <c r="BC28" s="40">
        <f t="shared" si="17"/>
        <v>0</v>
      </c>
      <c r="BF28" s="40">
        <f t="shared" si="18"/>
        <v>0</v>
      </c>
      <c r="BI28" s="40">
        <f t="shared" si="19"/>
        <v>0</v>
      </c>
      <c r="BL28" s="40">
        <f t="shared" si="20"/>
        <v>0</v>
      </c>
      <c r="BO28" s="40">
        <f t="shared" si="21"/>
        <v>0</v>
      </c>
      <c r="BR28" s="40">
        <f t="shared" si="22"/>
        <v>0</v>
      </c>
      <c r="BU28" s="40">
        <f t="shared" si="23"/>
        <v>0</v>
      </c>
      <c r="BX28" s="40">
        <f t="shared" si="24"/>
        <v>0</v>
      </c>
      <c r="CA28" s="40">
        <f t="shared" si="25"/>
        <v>0</v>
      </c>
      <c r="CD28" s="40">
        <f t="shared" si="26"/>
        <v>0</v>
      </c>
      <c r="CG28" s="40">
        <f t="shared" si="27"/>
        <v>0</v>
      </c>
      <c r="CJ28" s="40">
        <f t="shared" si="28"/>
        <v>0</v>
      </c>
      <c r="CM28" s="40">
        <f t="shared" si="29"/>
        <v>0</v>
      </c>
      <c r="CP28" s="40">
        <f t="shared" si="30"/>
        <v>0</v>
      </c>
      <c r="CS28" s="40">
        <f t="shared" si="31"/>
        <v>0</v>
      </c>
      <c r="CV28" s="40">
        <f t="shared" si="32"/>
        <v>0</v>
      </c>
      <c r="CY28" s="40">
        <f t="shared" si="33"/>
        <v>0</v>
      </c>
      <c r="DB28" s="40">
        <f t="shared" si="34"/>
        <v>0</v>
      </c>
      <c r="DE28" s="40">
        <f t="shared" si="35"/>
        <v>0</v>
      </c>
      <c r="DH28" s="40">
        <f t="shared" si="36"/>
        <v>0</v>
      </c>
      <c r="DK28" s="40">
        <f t="shared" si="37"/>
        <v>0</v>
      </c>
      <c r="DN28" s="40">
        <f t="shared" si="38"/>
        <v>0</v>
      </c>
      <c r="DQ28" s="40">
        <f t="shared" si="39"/>
        <v>0</v>
      </c>
      <c r="DT28" s="40">
        <f t="shared" si="40"/>
        <v>0</v>
      </c>
      <c r="DW28" s="40">
        <f t="shared" si="41"/>
        <v>0</v>
      </c>
      <c r="DZ28" s="40"/>
      <c r="EA28" s="40"/>
      <c r="EB28" s="75">
        <f t="shared" si="42"/>
        <v>125825000</v>
      </c>
      <c r="EC28" s="75">
        <f t="shared" si="43"/>
        <v>0</v>
      </c>
      <c r="ED28" s="40">
        <f t="shared" si="44"/>
        <v>9217</v>
      </c>
      <c r="EE28" s="41">
        <f t="shared" si="45"/>
        <v>2.6370911980925893E-2</v>
      </c>
      <c r="EG28" s="75">
        <f t="shared" si="46"/>
        <v>0</v>
      </c>
      <c r="EH28" s="40">
        <f t="shared" si="47"/>
        <v>0</v>
      </c>
      <c r="EI28" s="41">
        <f t="shared" si="48"/>
        <v>0</v>
      </c>
      <c r="EJ28" s="41"/>
      <c r="EK28" s="75">
        <f t="shared" si="49"/>
        <v>125825000</v>
      </c>
      <c r="EL28" s="75">
        <f t="shared" si="50"/>
        <v>0</v>
      </c>
      <c r="EM28" s="75">
        <f t="shared" si="51"/>
        <v>9217</v>
      </c>
      <c r="EN28" s="41">
        <f t="shared" si="52"/>
        <v>2.6370911980925893E-2</v>
      </c>
      <c r="EP28" s="40"/>
    </row>
    <row r="29" spans="1:146" x14ac:dyDescent="0.25">
      <c r="A29" s="25">
        <f t="shared" si="53"/>
        <v>43635</v>
      </c>
      <c r="D29" s="40">
        <f t="shared" si="2"/>
        <v>0</v>
      </c>
      <c r="G29" s="40">
        <f t="shared" si="3"/>
        <v>0</v>
      </c>
      <c r="J29" s="40">
        <f t="shared" si="4"/>
        <v>0</v>
      </c>
      <c r="M29" s="40">
        <f t="shared" si="5"/>
        <v>0</v>
      </c>
      <c r="P29" s="40">
        <f t="shared" si="6"/>
        <v>0</v>
      </c>
      <c r="S29" s="40">
        <f t="shared" si="7"/>
        <v>0</v>
      </c>
      <c r="V29" s="40">
        <f t="shared" si="8"/>
        <v>0</v>
      </c>
      <c r="Y29" s="40">
        <f t="shared" si="9"/>
        <v>0</v>
      </c>
      <c r="AB29" s="40">
        <f t="shared" si="10"/>
        <v>0</v>
      </c>
      <c r="AE29" s="40">
        <v>0</v>
      </c>
      <c r="AH29" s="40">
        <v>0</v>
      </c>
      <c r="AI29" s="73">
        <f>54475000</f>
        <v>54475000</v>
      </c>
      <c r="AJ29" s="74">
        <v>2.5600000000000001E-2</v>
      </c>
      <c r="AK29" s="40">
        <f t="shared" si="11"/>
        <v>3873.7777777777778</v>
      </c>
      <c r="AL29" s="73">
        <f t="shared" si="55"/>
        <v>35000000</v>
      </c>
      <c r="AM29" s="74">
        <v>2.7E-2</v>
      </c>
      <c r="AN29" s="40">
        <f t="shared" si="12"/>
        <v>2625</v>
      </c>
      <c r="AO29" s="73"/>
      <c r="AP29" s="74"/>
      <c r="AQ29" s="40">
        <f t="shared" si="13"/>
        <v>0</v>
      </c>
      <c r="AR29" s="73">
        <f t="shared" si="54"/>
        <v>30000000</v>
      </c>
      <c r="AS29" s="74">
        <v>2.7199999999999998E-2</v>
      </c>
      <c r="AT29" s="40">
        <f t="shared" si="14"/>
        <v>2266.6666666666665</v>
      </c>
      <c r="AW29" s="40">
        <f t="shared" si="15"/>
        <v>0</v>
      </c>
      <c r="AZ29" s="40">
        <f t="shared" si="16"/>
        <v>0</v>
      </c>
      <c r="BC29" s="40">
        <f t="shared" si="17"/>
        <v>0</v>
      </c>
      <c r="BF29" s="40">
        <f t="shared" si="18"/>
        <v>0</v>
      </c>
      <c r="BI29" s="40">
        <f t="shared" si="19"/>
        <v>0</v>
      </c>
      <c r="BL29" s="40">
        <f t="shared" si="20"/>
        <v>0</v>
      </c>
      <c r="BO29" s="40">
        <f t="shared" si="21"/>
        <v>0</v>
      </c>
      <c r="BR29" s="40">
        <f t="shared" si="22"/>
        <v>0</v>
      </c>
      <c r="BU29" s="40">
        <f t="shared" si="23"/>
        <v>0</v>
      </c>
      <c r="BX29" s="40">
        <f t="shared" si="24"/>
        <v>0</v>
      </c>
      <c r="CA29" s="40">
        <f t="shared" si="25"/>
        <v>0</v>
      </c>
      <c r="CD29" s="40">
        <f t="shared" si="26"/>
        <v>0</v>
      </c>
      <c r="CG29" s="40">
        <f t="shared" si="27"/>
        <v>0</v>
      </c>
      <c r="CJ29" s="40">
        <f t="shared" si="28"/>
        <v>0</v>
      </c>
      <c r="CM29" s="40">
        <f t="shared" si="29"/>
        <v>0</v>
      </c>
      <c r="CP29" s="40">
        <f t="shared" si="30"/>
        <v>0</v>
      </c>
      <c r="CS29" s="40">
        <f t="shared" si="31"/>
        <v>0</v>
      </c>
      <c r="CV29" s="40">
        <f t="shared" si="32"/>
        <v>0</v>
      </c>
      <c r="CY29" s="40">
        <f t="shared" si="33"/>
        <v>0</v>
      </c>
      <c r="DB29" s="40">
        <f t="shared" si="34"/>
        <v>0</v>
      </c>
      <c r="DE29" s="40">
        <f t="shared" si="35"/>
        <v>0</v>
      </c>
      <c r="DH29" s="40">
        <f t="shared" si="36"/>
        <v>0</v>
      </c>
      <c r="DK29" s="40">
        <f t="shared" si="37"/>
        <v>0</v>
      </c>
      <c r="DN29" s="40">
        <f t="shared" si="38"/>
        <v>0</v>
      </c>
      <c r="DQ29" s="40">
        <f t="shared" si="39"/>
        <v>0</v>
      </c>
      <c r="DT29" s="40">
        <f t="shared" si="40"/>
        <v>0</v>
      </c>
      <c r="DW29" s="40">
        <f t="shared" si="41"/>
        <v>0</v>
      </c>
      <c r="DZ29" s="40"/>
      <c r="EA29" s="40"/>
      <c r="EB29" s="75">
        <f t="shared" si="42"/>
        <v>119475000</v>
      </c>
      <c r="EC29" s="75">
        <f t="shared" si="43"/>
        <v>0</v>
      </c>
      <c r="ED29" s="40">
        <f t="shared" si="44"/>
        <v>8765.4444444444434</v>
      </c>
      <c r="EE29" s="41">
        <f t="shared" si="45"/>
        <v>2.6411885331659338E-2</v>
      </c>
      <c r="EG29" s="75">
        <f t="shared" si="46"/>
        <v>0</v>
      </c>
      <c r="EH29" s="40">
        <f t="shared" si="47"/>
        <v>0</v>
      </c>
      <c r="EI29" s="41">
        <f t="shared" si="48"/>
        <v>0</v>
      </c>
      <c r="EJ29" s="41"/>
      <c r="EK29" s="75">
        <f t="shared" si="49"/>
        <v>119475000</v>
      </c>
      <c r="EL29" s="75">
        <f t="shared" si="50"/>
        <v>0</v>
      </c>
      <c r="EM29" s="75">
        <f t="shared" si="51"/>
        <v>8765.4444444444434</v>
      </c>
      <c r="EN29" s="41">
        <f t="shared" si="52"/>
        <v>2.6411885331659338E-2</v>
      </c>
      <c r="EP29" s="40"/>
    </row>
    <row r="30" spans="1:146" x14ac:dyDescent="0.25">
      <c r="A30" s="25">
        <f t="shared" si="53"/>
        <v>43636</v>
      </c>
      <c r="D30" s="40">
        <f t="shared" si="2"/>
        <v>0</v>
      </c>
      <c r="G30" s="40">
        <f t="shared" si="3"/>
        <v>0</v>
      </c>
      <c r="J30" s="40">
        <f t="shared" si="4"/>
        <v>0</v>
      </c>
      <c r="M30" s="40">
        <f t="shared" si="5"/>
        <v>0</v>
      </c>
      <c r="P30" s="40">
        <f t="shared" si="6"/>
        <v>0</v>
      </c>
      <c r="S30" s="40">
        <f t="shared" si="7"/>
        <v>0</v>
      </c>
      <c r="V30" s="40">
        <f t="shared" si="8"/>
        <v>0</v>
      </c>
      <c r="Y30" s="40">
        <f t="shared" si="9"/>
        <v>0</v>
      </c>
      <c r="AB30" s="40">
        <f t="shared" si="10"/>
        <v>0</v>
      </c>
      <c r="AE30" s="40">
        <v>0</v>
      </c>
      <c r="AH30" s="40">
        <v>0</v>
      </c>
      <c r="AI30" s="73">
        <f>52025000</f>
        <v>52025000</v>
      </c>
      <c r="AJ30" s="74">
        <v>2.5499999999999998E-2</v>
      </c>
      <c r="AK30" s="40">
        <f t="shared" si="11"/>
        <v>3685.1041666666665</v>
      </c>
      <c r="AL30" s="73">
        <f t="shared" si="55"/>
        <v>35000000</v>
      </c>
      <c r="AM30" s="74">
        <v>2.7E-2</v>
      </c>
      <c r="AN30" s="40">
        <f t="shared" si="12"/>
        <v>2625</v>
      </c>
      <c r="AO30" s="73"/>
      <c r="AP30" s="74"/>
      <c r="AQ30" s="40">
        <f t="shared" si="13"/>
        <v>0</v>
      </c>
      <c r="AR30" s="73">
        <f t="shared" si="54"/>
        <v>30000000</v>
      </c>
      <c r="AS30" s="74">
        <v>2.7199999999999998E-2</v>
      </c>
      <c r="AT30" s="40">
        <f t="shared" si="14"/>
        <v>2266.6666666666665</v>
      </c>
      <c r="AW30" s="40">
        <f t="shared" si="15"/>
        <v>0</v>
      </c>
      <c r="AZ30" s="40">
        <f t="shared" si="16"/>
        <v>0</v>
      </c>
      <c r="BC30" s="40">
        <f t="shared" si="17"/>
        <v>0</v>
      </c>
      <c r="BF30" s="40">
        <f t="shared" si="18"/>
        <v>0</v>
      </c>
      <c r="BI30" s="40">
        <f t="shared" si="19"/>
        <v>0</v>
      </c>
      <c r="BL30" s="40">
        <f t="shared" si="20"/>
        <v>0</v>
      </c>
      <c r="BO30" s="40">
        <f t="shared" si="21"/>
        <v>0</v>
      </c>
      <c r="BR30" s="40">
        <f t="shared" si="22"/>
        <v>0</v>
      </c>
      <c r="BU30" s="40">
        <f t="shared" si="23"/>
        <v>0</v>
      </c>
      <c r="BX30" s="40">
        <f t="shared" si="24"/>
        <v>0</v>
      </c>
      <c r="CA30" s="40">
        <f t="shared" si="25"/>
        <v>0</v>
      </c>
      <c r="CD30" s="40">
        <f t="shared" si="26"/>
        <v>0</v>
      </c>
      <c r="CG30" s="40">
        <f t="shared" si="27"/>
        <v>0</v>
      </c>
      <c r="CJ30" s="40">
        <f t="shared" si="28"/>
        <v>0</v>
      </c>
      <c r="CM30" s="40">
        <f t="shared" si="29"/>
        <v>0</v>
      </c>
      <c r="CP30" s="40">
        <f t="shared" si="30"/>
        <v>0</v>
      </c>
      <c r="CS30" s="40">
        <f t="shared" si="31"/>
        <v>0</v>
      </c>
      <c r="CV30" s="40">
        <f t="shared" si="32"/>
        <v>0</v>
      </c>
      <c r="CY30" s="40">
        <f t="shared" si="33"/>
        <v>0</v>
      </c>
      <c r="DB30" s="40">
        <f t="shared" si="34"/>
        <v>0</v>
      </c>
      <c r="DE30" s="40">
        <f t="shared" si="35"/>
        <v>0</v>
      </c>
      <c r="DH30" s="40">
        <f t="shared" si="36"/>
        <v>0</v>
      </c>
      <c r="DK30" s="40">
        <f t="shared" si="37"/>
        <v>0</v>
      </c>
      <c r="DN30" s="40">
        <f t="shared" si="38"/>
        <v>0</v>
      </c>
      <c r="DQ30" s="40">
        <f t="shared" si="39"/>
        <v>0</v>
      </c>
      <c r="DT30" s="40">
        <f t="shared" si="40"/>
        <v>0</v>
      </c>
      <c r="DW30" s="40">
        <f t="shared" si="41"/>
        <v>0</v>
      </c>
      <c r="DZ30" s="40"/>
      <c r="EA30" s="40"/>
      <c r="EB30" s="75">
        <f t="shared" si="42"/>
        <v>117025000</v>
      </c>
      <c r="EC30" s="75">
        <f t="shared" si="43"/>
        <v>0</v>
      </c>
      <c r="ED30" s="40">
        <f t="shared" si="44"/>
        <v>8576.7708333333321</v>
      </c>
      <c r="EE30" s="41">
        <f t="shared" si="45"/>
        <v>2.6384426404614393E-2</v>
      </c>
      <c r="EG30" s="75">
        <f t="shared" si="46"/>
        <v>0</v>
      </c>
      <c r="EH30" s="40">
        <f t="shared" si="47"/>
        <v>0</v>
      </c>
      <c r="EI30" s="41">
        <f t="shared" si="48"/>
        <v>0</v>
      </c>
      <c r="EJ30" s="41"/>
      <c r="EK30" s="75">
        <f t="shared" si="49"/>
        <v>117025000</v>
      </c>
      <c r="EL30" s="75">
        <f t="shared" si="50"/>
        <v>0</v>
      </c>
      <c r="EM30" s="75">
        <f t="shared" si="51"/>
        <v>8576.7708333333321</v>
      </c>
      <c r="EN30" s="41">
        <f t="shared" si="52"/>
        <v>2.6384426404614393E-2</v>
      </c>
      <c r="EP30" s="40"/>
    </row>
    <row r="31" spans="1:146" x14ac:dyDescent="0.25">
      <c r="A31" s="25">
        <f t="shared" si="53"/>
        <v>43637</v>
      </c>
      <c r="D31" s="40">
        <f t="shared" si="2"/>
        <v>0</v>
      </c>
      <c r="G31" s="40">
        <f t="shared" si="3"/>
        <v>0</v>
      </c>
      <c r="J31" s="40">
        <f t="shared" si="4"/>
        <v>0</v>
      </c>
      <c r="M31" s="40">
        <f t="shared" si="5"/>
        <v>0</v>
      </c>
      <c r="P31" s="40">
        <f t="shared" si="6"/>
        <v>0</v>
      </c>
      <c r="S31" s="40">
        <f t="shared" si="7"/>
        <v>0</v>
      </c>
      <c r="V31" s="40">
        <f t="shared" si="8"/>
        <v>0</v>
      </c>
      <c r="Y31" s="40">
        <f t="shared" si="9"/>
        <v>0</v>
      </c>
      <c r="AB31" s="40">
        <f t="shared" si="10"/>
        <v>0</v>
      </c>
      <c r="AE31" s="40">
        <v>0</v>
      </c>
      <c r="AH31" s="40">
        <v>0</v>
      </c>
      <c r="AI31" s="73">
        <f>50975000</f>
        <v>50975000</v>
      </c>
      <c r="AJ31" s="74">
        <v>2.5499999999999998E-2</v>
      </c>
      <c r="AK31" s="40">
        <f t="shared" si="11"/>
        <v>3610.7291666666665</v>
      </c>
      <c r="AL31" s="73">
        <f t="shared" si="55"/>
        <v>35000000</v>
      </c>
      <c r="AM31" s="74">
        <v>2.7E-2</v>
      </c>
      <c r="AN31" s="40">
        <f t="shared" si="12"/>
        <v>2625</v>
      </c>
      <c r="AO31" s="73"/>
      <c r="AP31" s="74"/>
      <c r="AQ31" s="40">
        <f t="shared" si="13"/>
        <v>0</v>
      </c>
      <c r="AR31" s="73">
        <f t="shared" si="54"/>
        <v>30000000</v>
      </c>
      <c r="AS31" s="74">
        <v>2.7199999999999998E-2</v>
      </c>
      <c r="AT31" s="40">
        <f t="shared" si="14"/>
        <v>2266.6666666666665</v>
      </c>
      <c r="AW31" s="40">
        <f t="shared" si="15"/>
        <v>0</v>
      </c>
      <c r="AZ31" s="40">
        <f t="shared" si="16"/>
        <v>0</v>
      </c>
      <c r="BC31" s="40">
        <f t="shared" si="17"/>
        <v>0</v>
      </c>
      <c r="BF31" s="40">
        <f t="shared" si="18"/>
        <v>0</v>
      </c>
      <c r="BI31" s="40">
        <f t="shared" si="19"/>
        <v>0</v>
      </c>
      <c r="BL31" s="40">
        <f t="shared" si="20"/>
        <v>0</v>
      </c>
      <c r="BO31" s="40">
        <f t="shared" si="21"/>
        <v>0</v>
      </c>
      <c r="BR31" s="40">
        <f t="shared" si="22"/>
        <v>0</v>
      </c>
      <c r="BU31" s="40">
        <f t="shared" si="23"/>
        <v>0</v>
      </c>
      <c r="BX31" s="40">
        <f t="shared" si="24"/>
        <v>0</v>
      </c>
      <c r="CA31" s="40">
        <f t="shared" si="25"/>
        <v>0</v>
      </c>
      <c r="CD31" s="40">
        <f t="shared" si="26"/>
        <v>0</v>
      </c>
      <c r="CG31" s="40">
        <f t="shared" si="27"/>
        <v>0</v>
      </c>
      <c r="CJ31" s="40">
        <f t="shared" si="28"/>
        <v>0</v>
      </c>
      <c r="CM31" s="40">
        <f t="shared" si="29"/>
        <v>0</v>
      </c>
      <c r="CP31" s="40">
        <f t="shared" si="30"/>
        <v>0</v>
      </c>
      <c r="CS31" s="40">
        <f t="shared" si="31"/>
        <v>0</v>
      </c>
      <c r="CV31" s="40">
        <f t="shared" si="32"/>
        <v>0</v>
      </c>
      <c r="CY31" s="40">
        <f t="shared" si="33"/>
        <v>0</v>
      </c>
      <c r="DB31" s="40">
        <f t="shared" si="34"/>
        <v>0</v>
      </c>
      <c r="DE31" s="40">
        <f t="shared" si="35"/>
        <v>0</v>
      </c>
      <c r="DH31" s="40">
        <f t="shared" si="36"/>
        <v>0</v>
      </c>
      <c r="DK31" s="40">
        <f t="shared" si="37"/>
        <v>0</v>
      </c>
      <c r="DN31" s="40">
        <f t="shared" si="38"/>
        <v>0</v>
      </c>
      <c r="DQ31" s="40">
        <f t="shared" si="39"/>
        <v>0</v>
      </c>
      <c r="DT31" s="40">
        <f t="shared" si="40"/>
        <v>0</v>
      </c>
      <c r="DW31" s="40">
        <f t="shared" si="41"/>
        <v>0</v>
      </c>
      <c r="DZ31" s="40"/>
      <c r="EA31" s="40"/>
      <c r="EB31" s="75">
        <f t="shared" si="42"/>
        <v>115975000</v>
      </c>
      <c r="EC31" s="75">
        <f t="shared" si="43"/>
        <v>0</v>
      </c>
      <c r="ED31" s="40">
        <f t="shared" si="44"/>
        <v>8502.3958333333321</v>
      </c>
      <c r="EE31" s="41">
        <f t="shared" si="45"/>
        <v>2.6392433714162531E-2</v>
      </c>
      <c r="EG31" s="75">
        <f t="shared" si="46"/>
        <v>0</v>
      </c>
      <c r="EH31" s="40">
        <f t="shared" si="47"/>
        <v>0</v>
      </c>
      <c r="EI31" s="41">
        <f t="shared" si="48"/>
        <v>0</v>
      </c>
      <c r="EJ31" s="41"/>
      <c r="EK31" s="75">
        <f t="shared" si="49"/>
        <v>115975000</v>
      </c>
      <c r="EL31" s="75">
        <f t="shared" si="50"/>
        <v>0</v>
      </c>
      <c r="EM31" s="75">
        <f t="shared" si="51"/>
        <v>8502.3958333333321</v>
      </c>
      <c r="EN31" s="41">
        <f t="shared" si="52"/>
        <v>2.6392433714162531E-2</v>
      </c>
      <c r="EP31" s="40"/>
    </row>
    <row r="32" spans="1:146" x14ac:dyDescent="0.25">
      <c r="A32" s="25">
        <f t="shared" si="53"/>
        <v>43638</v>
      </c>
      <c r="D32" s="40">
        <f t="shared" si="2"/>
        <v>0</v>
      </c>
      <c r="G32" s="40">
        <f t="shared" si="3"/>
        <v>0</v>
      </c>
      <c r="J32" s="40">
        <f t="shared" si="4"/>
        <v>0</v>
      </c>
      <c r="M32" s="40">
        <f t="shared" si="5"/>
        <v>0</v>
      </c>
      <c r="P32" s="40">
        <f t="shared" si="6"/>
        <v>0</v>
      </c>
      <c r="S32" s="40">
        <f t="shared" si="7"/>
        <v>0</v>
      </c>
      <c r="V32" s="40">
        <f t="shared" si="8"/>
        <v>0</v>
      </c>
      <c r="Y32" s="40">
        <f t="shared" si="9"/>
        <v>0</v>
      </c>
      <c r="AB32" s="40">
        <f t="shared" si="10"/>
        <v>0</v>
      </c>
      <c r="AE32" s="40">
        <v>0</v>
      </c>
      <c r="AH32" s="40">
        <v>0</v>
      </c>
      <c r="AI32" s="73">
        <f>50975000</f>
        <v>50975000</v>
      </c>
      <c r="AJ32" s="74">
        <v>2.5499999999999998E-2</v>
      </c>
      <c r="AK32" s="40">
        <f t="shared" si="11"/>
        <v>3610.7291666666665</v>
      </c>
      <c r="AL32" s="73">
        <f t="shared" si="55"/>
        <v>35000000</v>
      </c>
      <c r="AM32" s="74">
        <v>2.7E-2</v>
      </c>
      <c r="AN32" s="40">
        <f t="shared" si="12"/>
        <v>2625</v>
      </c>
      <c r="AO32" s="73"/>
      <c r="AP32" s="74"/>
      <c r="AQ32" s="40">
        <f t="shared" si="13"/>
        <v>0</v>
      </c>
      <c r="AR32" s="73">
        <f t="shared" si="54"/>
        <v>30000000</v>
      </c>
      <c r="AS32" s="74">
        <v>2.7199999999999998E-2</v>
      </c>
      <c r="AT32" s="40">
        <f t="shared" si="14"/>
        <v>2266.6666666666665</v>
      </c>
      <c r="AW32" s="40">
        <f t="shared" si="15"/>
        <v>0</v>
      </c>
      <c r="AZ32" s="40">
        <f t="shared" si="16"/>
        <v>0</v>
      </c>
      <c r="BC32" s="40">
        <f t="shared" si="17"/>
        <v>0</v>
      </c>
      <c r="BF32" s="40">
        <f t="shared" si="18"/>
        <v>0</v>
      </c>
      <c r="BI32" s="40">
        <f t="shared" si="19"/>
        <v>0</v>
      </c>
      <c r="BL32" s="40">
        <f t="shared" si="20"/>
        <v>0</v>
      </c>
      <c r="BO32" s="40">
        <f t="shared" si="21"/>
        <v>0</v>
      </c>
      <c r="BR32" s="40">
        <f t="shared" si="22"/>
        <v>0</v>
      </c>
      <c r="BU32" s="40">
        <f t="shared" si="23"/>
        <v>0</v>
      </c>
      <c r="BX32" s="40">
        <f t="shared" si="24"/>
        <v>0</v>
      </c>
      <c r="CA32" s="40">
        <f t="shared" si="25"/>
        <v>0</v>
      </c>
      <c r="CD32" s="40">
        <f t="shared" si="26"/>
        <v>0</v>
      </c>
      <c r="CG32" s="40">
        <f t="shared" si="27"/>
        <v>0</v>
      </c>
      <c r="CJ32" s="40">
        <f t="shared" si="28"/>
        <v>0</v>
      </c>
      <c r="CM32" s="40">
        <f t="shared" si="29"/>
        <v>0</v>
      </c>
      <c r="CP32" s="40">
        <f t="shared" si="30"/>
        <v>0</v>
      </c>
      <c r="CS32" s="40">
        <f t="shared" si="31"/>
        <v>0</v>
      </c>
      <c r="CV32" s="40">
        <f t="shared" si="32"/>
        <v>0</v>
      </c>
      <c r="CY32" s="40">
        <f t="shared" si="33"/>
        <v>0</v>
      </c>
      <c r="DB32" s="40">
        <f t="shared" si="34"/>
        <v>0</v>
      </c>
      <c r="DE32" s="40">
        <f t="shared" si="35"/>
        <v>0</v>
      </c>
      <c r="DH32" s="40">
        <f t="shared" si="36"/>
        <v>0</v>
      </c>
      <c r="DK32" s="40">
        <f t="shared" si="37"/>
        <v>0</v>
      </c>
      <c r="DN32" s="40">
        <f t="shared" si="38"/>
        <v>0</v>
      </c>
      <c r="DQ32" s="40">
        <f t="shared" si="39"/>
        <v>0</v>
      </c>
      <c r="DT32" s="40">
        <f t="shared" si="40"/>
        <v>0</v>
      </c>
      <c r="DW32" s="40">
        <f t="shared" si="41"/>
        <v>0</v>
      </c>
      <c r="DZ32" s="40"/>
      <c r="EA32" s="40"/>
      <c r="EB32" s="75">
        <f t="shared" si="42"/>
        <v>115975000</v>
      </c>
      <c r="EC32" s="75">
        <f t="shared" si="43"/>
        <v>0</v>
      </c>
      <c r="ED32" s="40">
        <f t="shared" si="44"/>
        <v>8502.3958333333321</v>
      </c>
      <c r="EE32" s="41">
        <f t="shared" si="45"/>
        <v>2.6392433714162531E-2</v>
      </c>
      <c r="EG32" s="75">
        <f t="shared" si="46"/>
        <v>0</v>
      </c>
      <c r="EH32" s="40">
        <f t="shared" si="47"/>
        <v>0</v>
      </c>
      <c r="EI32" s="41">
        <f t="shared" si="48"/>
        <v>0</v>
      </c>
      <c r="EJ32" s="41"/>
      <c r="EK32" s="75">
        <f t="shared" si="49"/>
        <v>115975000</v>
      </c>
      <c r="EL32" s="75">
        <f t="shared" si="50"/>
        <v>0</v>
      </c>
      <c r="EM32" s="75">
        <f t="shared" si="51"/>
        <v>8502.3958333333321</v>
      </c>
      <c r="EN32" s="41">
        <f t="shared" si="52"/>
        <v>2.6392433714162531E-2</v>
      </c>
      <c r="EP32" s="40"/>
    </row>
    <row r="33" spans="1:146" x14ac:dyDescent="0.25">
      <c r="A33" s="25">
        <f t="shared" si="53"/>
        <v>43639</v>
      </c>
      <c r="D33" s="40">
        <f t="shared" si="2"/>
        <v>0</v>
      </c>
      <c r="G33" s="40">
        <f t="shared" si="3"/>
        <v>0</v>
      </c>
      <c r="J33" s="40">
        <f t="shared" si="4"/>
        <v>0</v>
      </c>
      <c r="M33" s="40">
        <f t="shared" si="5"/>
        <v>0</v>
      </c>
      <c r="P33" s="40">
        <f t="shared" si="6"/>
        <v>0</v>
      </c>
      <c r="S33" s="40">
        <f t="shared" si="7"/>
        <v>0</v>
      </c>
      <c r="V33" s="40">
        <f t="shared" si="8"/>
        <v>0</v>
      </c>
      <c r="Y33" s="40">
        <f t="shared" si="9"/>
        <v>0</v>
      </c>
      <c r="AB33" s="40">
        <f t="shared" si="10"/>
        <v>0</v>
      </c>
      <c r="AE33" s="40">
        <v>0</v>
      </c>
      <c r="AH33" s="40">
        <v>0</v>
      </c>
      <c r="AI33" s="73">
        <f>50975000</f>
        <v>50975000</v>
      </c>
      <c r="AJ33" s="74">
        <v>2.5499999999999998E-2</v>
      </c>
      <c r="AK33" s="40">
        <f t="shared" si="11"/>
        <v>3610.7291666666665</v>
      </c>
      <c r="AL33" s="73">
        <f t="shared" si="55"/>
        <v>35000000</v>
      </c>
      <c r="AM33" s="74">
        <v>2.7E-2</v>
      </c>
      <c r="AN33" s="40">
        <f t="shared" si="12"/>
        <v>2625</v>
      </c>
      <c r="AO33" s="73"/>
      <c r="AP33" s="74"/>
      <c r="AQ33" s="40">
        <f t="shared" si="13"/>
        <v>0</v>
      </c>
      <c r="AR33" s="73">
        <f t="shared" si="54"/>
        <v>30000000</v>
      </c>
      <c r="AS33" s="74">
        <v>2.7199999999999998E-2</v>
      </c>
      <c r="AT33" s="40">
        <f t="shared" si="14"/>
        <v>2266.6666666666665</v>
      </c>
      <c r="AW33" s="40">
        <f t="shared" si="15"/>
        <v>0</v>
      </c>
      <c r="AZ33" s="40">
        <f t="shared" si="16"/>
        <v>0</v>
      </c>
      <c r="BC33" s="40">
        <f t="shared" si="17"/>
        <v>0</v>
      </c>
      <c r="BF33" s="40">
        <f t="shared" si="18"/>
        <v>0</v>
      </c>
      <c r="BI33" s="40">
        <f t="shared" si="19"/>
        <v>0</v>
      </c>
      <c r="BL33" s="40">
        <f t="shared" si="20"/>
        <v>0</v>
      </c>
      <c r="BO33" s="40">
        <f t="shared" si="21"/>
        <v>0</v>
      </c>
      <c r="BR33" s="40">
        <f t="shared" si="22"/>
        <v>0</v>
      </c>
      <c r="BU33" s="40">
        <f t="shared" si="23"/>
        <v>0</v>
      </c>
      <c r="BX33" s="40">
        <f t="shared" si="24"/>
        <v>0</v>
      </c>
      <c r="CA33" s="40">
        <f t="shared" si="25"/>
        <v>0</v>
      </c>
      <c r="CD33" s="40">
        <f t="shared" si="26"/>
        <v>0</v>
      </c>
      <c r="CG33" s="40">
        <f t="shared" si="27"/>
        <v>0</v>
      </c>
      <c r="CJ33" s="40">
        <f t="shared" si="28"/>
        <v>0</v>
      </c>
      <c r="CM33" s="40">
        <f t="shared" si="29"/>
        <v>0</v>
      </c>
      <c r="CP33" s="40">
        <f t="shared" si="30"/>
        <v>0</v>
      </c>
      <c r="CS33" s="40">
        <f t="shared" si="31"/>
        <v>0</v>
      </c>
      <c r="CV33" s="40">
        <f t="shared" si="32"/>
        <v>0</v>
      </c>
      <c r="CY33" s="40">
        <f t="shared" si="33"/>
        <v>0</v>
      </c>
      <c r="DB33" s="40">
        <f t="shared" si="34"/>
        <v>0</v>
      </c>
      <c r="DE33" s="40">
        <f t="shared" si="35"/>
        <v>0</v>
      </c>
      <c r="DH33" s="40">
        <f t="shared" si="36"/>
        <v>0</v>
      </c>
      <c r="DK33" s="40">
        <f t="shared" si="37"/>
        <v>0</v>
      </c>
      <c r="DN33" s="40">
        <f t="shared" si="38"/>
        <v>0</v>
      </c>
      <c r="DQ33" s="40">
        <f t="shared" si="39"/>
        <v>0</v>
      </c>
      <c r="DT33" s="40">
        <f t="shared" si="40"/>
        <v>0</v>
      </c>
      <c r="DW33" s="40">
        <f t="shared" si="41"/>
        <v>0</v>
      </c>
      <c r="DZ33" s="40"/>
      <c r="EA33" s="40"/>
      <c r="EB33" s="75">
        <f t="shared" si="42"/>
        <v>115975000</v>
      </c>
      <c r="EC33" s="75">
        <f t="shared" si="43"/>
        <v>0</v>
      </c>
      <c r="ED33" s="40">
        <f t="shared" si="44"/>
        <v>8502.3958333333321</v>
      </c>
      <c r="EE33" s="41">
        <f t="shared" si="45"/>
        <v>2.6392433714162531E-2</v>
      </c>
      <c r="EG33" s="75">
        <f t="shared" si="46"/>
        <v>0</v>
      </c>
      <c r="EH33" s="40">
        <f t="shared" si="47"/>
        <v>0</v>
      </c>
      <c r="EI33" s="41">
        <f t="shared" si="48"/>
        <v>0</v>
      </c>
      <c r="EJ33" s="41"/>
      <c r="EK33" s="75">
        <f t="shared" si="49"/>
        <v>115975000</v>
      </c>
      <c r="EL33" s="75">
        <f t="shared" si="50"/>
        <v>0</v>
      </c>
      <c r="EM33" s="75">
        <f t="shared" si="51"/>
        <v>8502.3958333333321</v>
      </c>
      <c r="EN33" s="41">
        <f t="shared" si="52"/>
        <v>2.6392433714162531E-2</v>
      </c>
      <c r="EP33" s="40"/>
    </row>
    <row r="34" spans="1:146" x14ac:dyDescent="0.25">
      <c r="A34" s="25">
        <f t="shared" si="53"/>
        <v>43640</v>
      </c>
      <c r="D34" s="40">
        <f t="shared" si="2"/>
        <v>0</v>
      </c>
      <c r="G34" s="40">
        <f t="shared" si="3"/>
        <v>0</v>
      </c>
      <c r="J34" s="40">
        <f t="shared" si="4"/>
        <v>0</v>
      </c>
      <c r="M34" s="40">
        <f t="shared" si="5"/>
        <v>0</v>
      </c>
      <c r="P34" s="40">
        <f t="shared" si="6"/>
        <v>0</v>
      </c>
      <c r="S34" s="40">
        <f t="shared" si="7"/>
        <v>0</v>
      </c>
      <c r="V34" s="40">
        <f t="shared" si="8"/>
        <v>0</v>
      </c>
      <c r="Y34" s="40">
        <f t="shared" si="9"/>
        <v>0</v>
      </c>
      <c r="AB34" s="40">
        <f t="shared" si="10"/>
        <v>0</v>
      </c>
      <c r="AE34" s="40">
        <v>0</v>
      </c>
      <c r="AH34" s="40">
        <v>0</v>
      </c>
      <c r="AI34" s="73">
        <f>49625000</f>
        <v>49625000</v>
      </c>
      <c r="AJ34" s="74">
        <v>2.5499999999999998E-2</v>
      </c>
      <c r="AK34" s="40">
        <f t="shared" si="11"/>
        <v>3515.1041666666665</v>
      </c>
      <c r="AL34" s="73">
        <f t="shared" si="55"/>
        <v>35000000</v>
      </c>
      <c r="AM34" s="74">
        <v>2.7E-2</v>
      </c>
      <c r="AN34" s="40">
        <f t="shared" si="12"/>
        <v>2625</v>
      </c>
      <c r="AO34" s="73"/>
      <c r="AP34" s="74"/>
      <c r="AQ34" s="40">
        <f t="shared" si="13"/>
        <v>0</v>
      </c>
      <c r="AR34" s="73">
        <f t="shared" si="54"/>
        <v>30000000</v>
      </c>
      <c r="AS34" s="74">
        <v>2.7199999999999998E-2</v>
      </c>
      <c r="AT34" s="40">
        <f t="shared" si="14"/>
        <v>2266.6666666666665</v>
      </c>
      <c r="AW34" s="40">
        <f t="shared" si="15"/>
        <v>0</v>
      </c>
      <c r="AZ34" s="40">
        <f t="shared" si="16"/>
        <v>0</v>
      </c>
      <c r="BC34" s="40">
        <f t="shared" si="17"/>
        <v>0</v>
      </c>
      <c r="BF34" s="40">
        <f t="shared" si="18"/>
        <v>0</v>
      </c>
      <c r="BI34" s="40">
        <f t="shared" si="19"/>
        <v>0</v>
      </c>
      <c r="BL34" s="40">
        <f t="shared" si="20"/>
        <v>0</v>
      </c>
      <c r="BO34" s="40">
        <f t="shared" si="21"/>
        <v>0</v>
      </c>
      <c r="BR34" s="40">
        <f t="shared" si="22"/>
        <v>0</v>
      </c>
      <c r="BU34" s="40">
        <f t="shared" si="23"/>
        <v>0</v>
      </c>
      <c r="BX34" s="40">
        <f t="shared" si="24"/>
        <v>0</v>
      </c>
      <c r="CA34" s="40">
        <f t="shared" si="25"/>
        <v>0</v>
      </c>
      <c r="CD34" s="40">
        <f t="shared" si="26"/>
        <v>0</v>
      </c>
      <c r="CG34" s="40">
        <f t="shared" si="27"/>
        <v>0</v>
      </c>
      <c r="CJ34" s="40">
        <f t="shared" si="28"/>
        <v>0</v>
      </c>
      <c r="CM34" s="40">
        <f t="shared" si="29"/>
        <v>0</v>
      </c>
      <c r="CP34" s="40">
        <f t="shared" si="30"/>
        <v>0</v>
      </c>
      <c r="CS34" s="40">
        <f t="shared" si="31"/>
        <v>0</v>
      </c>
      <c r="CV34" s="40">
        <f t="shared" si="32"/>
        <v>0</v>
      </c>
      <c r="CY34" s="40">
        <f t="shared" si="33"/>
        <v>0</v>
      </c>
      <c r="DB34" s="40">
        <f t="shared" si="34"/>
        <v>0</v>
      </c>
      <c r="DE34" s="40">
        <f t="shared" si="35"/>
        <v>0</v>
      </c>
      <c r="DH34" s="40">
        <f t="shared" si="36"/>
        <v>0</v>
      </c>
      <c r="DK34" s="40">
        <f t="shared" si="37"/>
        <v>0</v>
      </c>
      <c r="DN34" s="40">
        <f t="shared" si="38"/>
        <v>0</v>
      </c>
      <c r="DQ34" s="40">
        <f t="shared" si="39"/>
        <v>0</v>
      </c>
      <c r="DT34" s="40">
        <f t="shared" si="40"/>
        <v>0</v>
      </c>
      <c r="DW34" s="40">
        <f t="shared" si="41"/>
        <v>0</v>
      </c>
      <c r="DZ34" s="40"/>
      <c r="EA34" s="40"/>
      <c r="EB34" s="75">
        <f t="shared" si="42"/>
        <v>114625000</v>
      </c>
      <c r="EC34" s="75">
        <f t="shared" si="43"/>
        <v>0</v>
      </c>
      <c r="ED34" s="40">
        <f t="shared" si="44"/>
        <v>8406.7708333333321</v>
      </c>
      <c r="EE34" s="41">
        <f t="shared" si="45"/>
        <v>2.6402944383860413E-2</v>
      </c>
      <c r="EG34" s="75">
        <f t="shared" si="46"/>
        <v>0</v>
      </c>
      <c r="EH34" s="40">
        <f t="shared" si="47"/>
        <v>0</v>
      </c>
      <c r="EI34" s="41">
        <f t="shared" si="48"/>
        <v>0</v>
      </c>
      <c r="EJ34" s="41"/>
      <c r="EK34" s="75">
        <f t="shared" si="49"/>
        <v>114625000</v>
      </c>
      <c r="EL34" s="75">
        <f t="shared" si="50"/>
        <v>0</v>
      </c>
      <c r="EM34" s="75">
        <f t="shared" si="51"/>
        <v>8406.7708333333321</v>
      </c>
      <c r="EN34" s="41">
        <f t="shared" si="52"/>
        <v>2.6402944383860413E-2</v>
      </c>
      <c r="EP34" s="40"/>
    </row>
    <row r="35" spans="1:146" x14ac:dyDescent="0.25">
      <c r="A35" s="25">
        <f t="shared" si="53"/>
        <v>43641</v>
      </c>
      <c r="D35" s="40">
        <f t="shared" si="2"/>
        <v>0</v>
      </c>
      <c r="G35" s="40">
        <f t="shared" si="3"/>
        <v>0</v>
      </c>
      <c r="J35" s="40">
        <f t="shared" si="4"/>
        <v>0</v>
      </c>
      <c r="M35" s="40">
        <f t="shared" si="5"/>
        <v>0</v>
      </c>
      <c r="P35" s="40">
        <f t="shared" si="6"/>
        <v>0</v>
      </c>
      <c r="S35" s="40">
        <f t="shared" si="7"/>
        <v>0</v>
      </c>
      <c r="V35" s="40">
        <f t="shared" si="8"/>
        <v>0</v>
      </c>
      <c r="Y35" s="40">
        <f t="shared" si="9"/>
        <v>0</v>
      </c>
      <c r="AB35" s="40">
        <f t="shared" si="10"/>
        <v>0</v>
      </c>
      <c r="AE35" s="40">
        <v>0</v>
      </c>
      <c r="AH35" s="40">
        <v>0</v>
      </c>
      <c r="AI35" s="73">
        <f>39050000</f>
        <v>39050000</v>
      </c>
      <c r="AJ35" s="74">
        <v>2.5499999999999998E-2</v>
      </c>
      <c r="AK35" s="40">
        <f t="shared" si="11"/>
        <v>2766.0416666666665</v>
      </c>
      <c r="AL35" s="73">
        <f t="shared" si="55"/>
        <v>35000000</v>
      </c>
      <c r="AM35" s="74">
        <v>2.7E-2</v>
      </c>
      <c r="AN35" s="40">
        <f t="shared" si="12"/>
        <v>2625</v>
      </c>
      <c r="AO35" s="73"/>
      <c r="AP35" s="74"/>
      <c r="AQ35" s="40">
        <f t="shared" si="13"/>
        <v>0</v>
      </c>
      <c r="AR35" s="73">
        <f t="shared" si="54"/>
        <v>30000000</v>
      </c>
      <c r="AS35" s="74">
        <v>2.7199999999999998E-2</v>
      </c>
      <c r="AT35" s="40">
        <f t="shared" si="14"/>
        <v>2266.6666666666665</v>
      </c>
      <c r="AW35" s="40">
        <f t="shared" si="15"/>
        <v>0</v>
      </c>
      <c r="AZ35" s="40">
        <f t="shared" si="16"/>
        <v>0</v>
      </c>
      <c r="BC35" s="40">
        <f t="shared" si="17"/>
        <v>0</v>
      </c>
      <c r="BF35" s="40">
        <f t="shared" si="18"/>
        <v>0</v>
      </c>
      <c r="BI35" s="40">
        <f t="shared" si="19"/>
        <v>0</v>
      </c>
      <c r="BL35" s="40">
        <f t="shared" si="20"/>
        <v>0</v>
      </c>
      <c r="BO35" s="40">
        <f t="shared" si="21"/>
        <v>0</v>
      </c>
      <c r="BR35" s="40">
        <f t="shared" si="22"/>
        <v>0</v>
      </c>
      <c r="BU35" s="40">
        <f t="shared" si="23"/>
        <v>0</v>
      </c>
      <c r="BX35" s="40">
        <f t="shared" si="24"/>
        <v>0</v>
      </c>
      <c r="CA35" s="40">
        <f t="shared" si="25"/>
        <v>0</v>
      </c>
      <c r="CD35" s="40">
        <f t="shared" si="26"/>
        <v>0</v>
      </c>
      <c r="CG35" s="40">
        <f t="shared" si="27"/>
        <v>0</v>
      </c>
      <c r="CJ35" s="40">
        <f t="shared" si="28"/>
        <v>0</v>
      </c>
      <c r="CM35" s="40">
        <f t="shared" si="29"/>
        <v>0</v>
      </c>
      <c r="CP35" s="40">
        <f t="shared" si="30"/>
        <v>0</v>
      </c>
      <c r="CS35" s="40">
        <f t="shared" si="31"/>
        <v>0</v>
      </c>
      <c r="CV35" s="40">
        <f t="shared" si="32"/>
        <v>0</v>
      </c>
      <c r="CY35" s="40">
        <f t="shared" si="33"/>
        <v>0</v>
      </c>
      <c r="DB35" s="40">
        <f t="shared" si="34"/>
        <v>0</v>
      </c>
      <c r="DE35" s="40">
        <f t="shared" si="35"/>
        <v>0</v>
      </c>
      <c r="DH35" s="40">
        <f t="shared" si="36"/>
        <v>0</v>
      </c>
      <c r="DK35" s="40">
        <f t="shared" si="37"/>
        <v>0</v>
      </c>
      <c r="DN35" s="40">
        <f t="shared" si="38"/>
        <v>0</v>
      </c>
      <c r="DQ35" s="40">
        <f t="shared" si="39"/>
        <v>0</v>
      </c>
      <c r="DT35" s="40">
        <f t="shared" si="40"/>
        <v>0</v>
      </c>
      <c r="DW35" s="40">
        <f t="shared" si="41"/>
        <v>0</v>
      </c>
      <c r="DZ35" s="40"/>
      <c r="EA35" s="40"/>
      <c r="EB35" s="75">
        <f t="shared" si="42"/>
        <v>104050000</v>
      </c>
      <c r="EC35" s="75">
        <f t="shared" si="43"/>
        <v>0</v>
      </c>
      <c r="ED35" s="40">
        <f t="shared" si="44"/>
        <v>7657.7083333333321</v>
      </c>
      <c r="EE35" s="41">
        <f t="shared" si="45"/>
        <v>2.6494714079769336E-2</v>
      </c>
      <c r="EG35" s="75">
        <f t="shared" si="46"/>
        <v>0</v>
      </c>
      <c r="EH35" s="40">
        <f t="shared" si="47"/>
        <v>0</v>
      </c>
      <c r="EI35" s="41">
        <f t="shared" si="48"/>
        <v>0</v>
      </c>
      <c r="EJ35" s="41"/>
      <c r="EK35" s="75">
        <f t="shared" si="49"/>
        <v>104050000</v>
      </c>
      <c r="EL35" s="75">
        <f t="shared" si="50"/>
        <v>0</v>
      </c>
      <c r="EM35" s="75">
        <f t="shared" si="51"/>
        <v>7657.7083333333321</v>
      </c>
      <c r="EN35" s="41">
        <f t="shared" si="52"/>
        <v>2.6494714079769336E-2</v>
      </c>
      <c r="EP35" s="40"/>
    </row>
    <row r="36" spans="1:146" x14ac:dyDescent="0.25">
      <c r="A36" s="25">
        <f t="shared" si="53"/>
        <v>43642</v>
      </c>
      <c r="D36" s="40">
        <f t="shared" si="2"/>
        <v>0</v>
      </c>
      <c r="G36" s="40">
        <f t="shared" si="3"/>
        <v>0</v>
      </c>
      <c r="J36" s="40">
        <f t="shared" si="4"/>
        <v>0</v>
      </c>
      <c r="M36" s="40">
        <f t="shared" si="5"/>
        <v>0</v>
      </c>
      <c r="P36" s="40">
        <f t="shared" si="6"/>
        <v>0</v>
      </c>
      <c r="S36" s="40">
        <f t="shared" si="7"/>
        <v>0</v>
      </c>
      <c r="V36" s="40">
        <f t="shared" si="8"/>
        <v>0</v>
      </c>
      <c r="Y36" s="40">
        <f t="shared" si="9"/>
        <v>0</v>
      </c>
      <c r="AB36" s="40">
        <f t="shared" si="10"/>
        <v>0</v>
      </c>
      <c r="AE36" s="40">
        <v>0</v>
      </c>
      <c r="AH36" s="40">
        <v>0</v>
      </c>
      <c r="AI36" s="73">
        <f>28100000</f>
        <v>28100000</v>
      </c>
      <c r="AJ36" s="74">
        <v>2.5499999999999998E-2</v>
      </c>
      <c r="AK36" s="40">
        <f t="shared" si="11"/>
        <v>1990.4166666666667</v>
      </c>
      <c r="AL36" s="73">
        <f t="shared" si="55"/>
        <v>35000000</v>
      </c>
      <c r="AM36" s="74">
        <v>2.7E-2</v>
      </c>
      <c r="AN36" s="40">
        <f t="shared" si="12"/>
        <v>2625</v>
      </c>
      <c r="AO36" s="73"/>
      <c r="AP36" s="74"/>
      <c r="AQ36" s="40">
        <f t="shared" si="13"/>
        <v>0</v>
      </c>
      <c r="AR36" s="73">
        <f t="shared" si="54"/>
        <v>30000000</v>
      </c>
      <c r="AS36" s="74">
        <v>2.7199999999999998E-2</v>
      </c>
      <c r="AT36" s="40">
        <f t="shared" si="14"/>
        <v>2266.6666666666665</v>
      </c>
      <c r="AW36" s="40">
        <f t="shared" si="15"/>
        <v>0</v>
      </c>
      <c r="AZ36" s="40">
        <f t="shared" si="16"/>
        <v>0</v>
      </c>
      <c r="BC36" s="40">
        <f t="shared" si="17"/>
        <v>0</v>
      </c>
      <c r="BF36" s="40">
        <f t="shared" si="18"/>
        <v>0</v>
      </c>
      <c r="BI36" s="40">
        <f t="shared" si="19"/>
        <v>0</v>
      </c>
      <c r="BL36" s="40">
        <f t="shared" si="20"/>
        <v>0</v>
      </c>
      <c r="BO36" s="40">
        <f t="shared" si="21"/>
        <v>0</v>
      </c>
      <c r="BR36" s="40">
        <f t="shared" si="22"/>
        <v>0</v>
      </c>
      <c r="BU36" s="40">
        <f t="shared" si="23"/>
        <v>0</v>
      </c>
      <c r="BX36" s="40">
        <f t="shared" si="24"/>
        <v>0</v>
      </c>
      <c r="CA36" s="40">
        <f t="shared" si="25"/>
        <v>0</v>
      </c>
      <c r="CD36" s="40">
        <f t="shared" si="26"/>
        <v>0</v>
      </c>
      <c r="CG36" s="40">
        <f t="shared" si="27"/>
        <v>0</v>
      </c>
      <c r="CJ36" s="40">
        <f t="shared" si="28"/>
        <v>0</v>
      </c>
      <c r="CM36" s="40">
        <f t="shared" si="29"/>
        <v>0</v>
      </c>
      <c r="CP36" s="40">
        <f t="shared" si="30"/>
        <v>0</v>
      </c>
      <c r="CS36" s="40">
        <f t="shared" si="31"/>
        <v>0</v>
      </c>
      <c r="CV36" s="40">
        <f t="shared" si="32"/>
        <v>0</v>
      </c>
      <c r="CY36" s="40">
        <f t="shared" si="33"/>
        <v>0</v>
      </c>
      <c r="DB36" s="40">
        <f t="shared" si="34"/>
        <v>0</v>
      </c>
      <c r="DE36" s="40">
        <f t="shared" si="35"/>
        <v>0</v>
      </c>
      <c r="DH36" s="40">
        <f t="shared" si="36"/>
        <v>0</v>
      </c>
      <c r="DK36" s="40">
        <f t="shared" si="37"/>
        <v>0</v>
      </c>
      <c r="DN36" s="40">
        <f t="shared" si="38"/>
        <v>0</v>
      </c>
      <c r="DQ36" s="40">
        <f t="shared" si="39"/>
        <v>0</v>
      </c>
      <c r="DT36" s="40">
        <f t="shared" si="40"/>
        <v>0</v>
      </c>
      <c r="DW36" s="40">
        <f t="shared" si="41"/>
        <v>0</v>
      </c>
      <c r="DZ36" s="40"/>
      <c r="EA36" s="40"/>
      <c r="EB36" s="75">
        <f t="shared" si="42"/>
        <v>93100000</v>
      </c>
      <c r="EC36" s="75">
        <f t="shared" si="43"/>
        <v>0</v>
      </c>
      <c r="ED36" s="40">
        <f t="shared" si="44"/>
        <v>6882.0833333333339</v>
      </c>
      <c r="EE36" s="41">
        <f t="shared" si="45"/>
        <v>2.6611707841031149E-2</v>
      </c>
      <c r="EG36" s="75">
        <f t="shared" si="46"/>
        <v>0</v>
      </c>
      <c r="EH36" s="40">
        <f t="shared" si="47"/>
        <v>0</v>
      </c>
      <c r="EI36" s="41">
        <f t="shared" si="48"/>
        <v>0</v>
      </c>
      <c r="EJ36" s="41"/>
      <c r="EK36" s="75">
        <f t="shared" si="49"/>
        <v>93100000</v>
      </c>
      <c r="EL36" s="75">
        <f t="shared" si="50"/>
        <v>0</v>
      </c>
      <c r="EM36" s="75">
        <f t="shared" si="51"/>
        <v>6882.083333333333</v>
      </c>
      <c r="EN36" s="41">
        <f t="shared" si="52"/>
        <v>2.6611707841031149E-2</v>
      </c>
      <c r="EP36" s="40"/>
    </row>
    <row r="37" spans="1:146" x14ac:dyDescent="0.25">
      <c r="A37" s="25">
        <f t="shared" si="53"/>
        <v>43643</v>
      </c>
      <c r="D37" s="40">
        <f t="shared" si="2"/>
        <v>0</v>
      </c>
      <c r="G37" s="40">
        <f t="shared" si="3"/>
        <v>0</v>
      </c>
      <c r="J37" s="40">
        <f t="shared" si="4"/>
        <v>0</v>
      </c>
      <c r="M37" s="40">
        <f t="shared" si="5"/>
        <v>0</v>
      </c>
      <c r="P37" s="40">
        <f t="shared" si="6"/>
        <v>0</v>
      </c>
      <c r="S37" s="40">
        <f t="shared" si="7"/>
        <v>0</v>
      </c>
      <c r="V37" s="40">
        <f t="shared" si="8"/>
        <v>0</v>
      </c>
      <c r="Y37" s="40">
        <f t="shared" si="9"/>
        <v>0</v>
      </c>
      <c r="AB37" s="40">
        <f t="shared" si="10"/>
        <v>0</v>
      </c>
      <c r="AE37" s="40">
        <v>0</v>
      </c>
      <c r="AH37" s="40">
        <v>0</v>
      </c>
      <c r="AI37" s="73">
        <f>23525000</f>
        <v>23525000</v>
      </c>
      <c r="AJ37" s="74">
        <v>2.5499999999999998E-2</v>
      </c>
      <c r="AK37" s="40">
        <f t="shared" si="11"/>
        <v>1666.3541666666667</v>
      </c>
      <c r="AL37" s="73">
        <f t="shared" si="55"/>
        <v>35000000</v>
      </c>
      <c r="AM37" s="74">
        <v>2.7E-2</v>
      </c>
      <c r="AN37" s="40">
        <f t="shared" si="12"/>
        <v>2625</v>
      </c>
      <c r="AO37" s="73"/>
      <c r="AP37" s="74"/>
      <c r="AQ37" s="40">
        <f t="shared" si="13"/>
        <v>0</v>
      </c>
      <c r="AR37" s="73">
        <f t="shared" si="54"/>
        <v>30000000</v>
      </c>
      <c r="AS37" s="74">
        <v>2.7199999999999998E-2</v>
      </c>
      <c r="AT37" s="40">
        <f t="shared" si="14"/>
        <v>2266.6666666666665</v>
      </c>
      <c r="AW37" s="40">
        <f t="shared" si="15"/>
        <v>0</v>
      </c>
      <c r="AZ37" s="40">
        <f t="shared" si="16"/>
        <v>0</v>
      </c>
      <c r="BC37" s="40">
        <f t="shared" si="17"/>
        <v>0</v>
      </c>
      <c r="BF37" s="40">
        <f t="shared" si="18"/>
        <v>0</v>
      </c>
      <c r="BI37" s="40">
        <f t="shared" si="19"/>
        <v>0</v>
      </c>
      <c r="BL37" s="40">
        <f t="shared" si="20"/>
        <v>0</v>
      </c>
      <c r="BO37" s="40">
        <f t="shared" si="21"/>
        <v>0</v>
      </c>
      <c r="BR37" s="40">
        <f t="shared" si="22"/>
        <v>0</v>
      </c>
      <c r="BU37" s="40">
        <f t="shared" si="23"/>
        <v>0</v>
      </c>
      <c r="BX37" s="40">
        <f t="shared" si="24"/>
        <v>0</v>
      </c>
      <c r="CA37" s="40">
        <f t="shared" si="25"/>
        <v>0</v>
      </c>
      <c r="CD37" s="40">
        <f t="shared" si="26"/>
        <v>0</v>
      </c>
      <c r="CG37" s="40">
        <f t="shared" si="27"/>
        <v>0</v>
      </c>
      <c r="CJ37" s="40">
        <f t="shared" si="28"/>
        <v>0</v>
      </c>
      <c r="CM37" s="40">
        <f t="shared" si="29"/>
        <v>0</v>
      </c>
      <c r="CP37" s="40">
        <f t="shared" si="30"/>
        <v>0</v>
      </c>
      <c r="CS37" s="40">
        <f t="shared" si="31"/>
        <v>0</v>
      </c>
      <c r="CV37" s="40">
        <f t="shared" si="32"/>
        <v>0</v>
      </c>
      <c r="CY37" s="40">
        <f t="shared" si="33"/>
        <v>0</v>
      </c>
      <c r="DB37" s="40">
        <f t="shared" si="34"/>
        <v>0</v>
      </c>
      <c r="DE37" s="40">
        <f t="shared" si="35"/>
        <v>0</v>
      </c>
      <c r="DH37" s="40">
        <f t="shared" si="36"/>
        <v>0</v>
      </c>
      <c r="DK37" s="40">
        <f t="shared" si="37"/>
        <v>0</v>
      </c>
      <c r="DN37" s="40">
        <f t="shared" si="38"/>
        <v>0</v>
      </c>
      <c r="DQ37" s="40">
        <f t="shared" si="39"/>
        <v>0</v>
      </c>
      <c r="DT37" s="40">
        <f t="shared" si="40"/>
        <v>0</v>
      </c>
      <c r="DW37" s="40">
        <f t="shared" si="41"/>
        <v>0</v>
      </c>
      <c r="DZ37" s="40"/>
      <c r="EA37" s="40"/>
      <c r="EB37" s="75">
        <f t="shared" si="42"/>
        <v>88525000</v>
      </c>
      <c r="EC37" s="75">
        <f t="shared" si="43"/>
        <v>0</v>
      </c>
      <c r="ED37" s="40">
        <f t="shared" si="44"/>
        <v>6558.0208333333339</v>
      </c>
      <c r="EE37" s="41">
        <f t="shared" si="45"/>
        <v>2.6669161253883085E-2</v>
      </c>
      <c r="EG37" s="75">
        <f t="shared" si="46"/>
        <v>0</v>
      </c>
      <c r="EH37" s="40">
        <f t="shared" si="47"/>
        <v>0</v>
      </c>
      <c r="EI37" s="41">
        <f t="shared" si="48"/>
        <v>0</v>
      </c>
      <c r="EJ37" s="41"/>
      <c r="EK37" s="75">
        <f t="shared" si="49"/>
        <v>88525000</v>
      </c>
      <c r="EL37" s="75">
        <f t="shared" si="50"/>
        <v>0</v>
      </c>
      <c r="EM37" s="75">
        <f t="shared" si="51"/>
        <v>6558.020833333333</v>
      </c>
      <c r="EN37" s="41">
        <f t="shared" si="52"/>
        <v>2.6669161253883081E-2</v>
      </c>
      <c r="EP37" s="40"/>
    </row>
    <row r="38" spans="1:146" x14ac:dyDescent="0.25">
      <c r="A38" s="25">
        <f t="shared" si="53"/>
        <v>43644</v>
      </c>
      <c r="D38" s="40">
        <f t="shared" si="2"/>
        <v>0</v>
      </c>
      <c r="G38" s="40">
        <f t="shared" si="3"/>
        <v>0</v>
      </c>
      <c r="J38" s="40">
        <f t="shared" si="4"/>
        <v>0</v>
      </c>
      <c r="M38" s="40">
        <f t="shared" si="5"/>
        <v>0</v>
      </c>
      <c r="P38" s="40">
        <f t="shared" si="6"/>
        <v>0</v>
      </c>
      <c r="S38" s="40">
        <f t="shared" si="7"/>
        <v>0</v>
      </c>
      <c r="V38" s="40">
        <f t="shared" si="8"/>
        <v>0</v>
      </c>
      <c r="Y38" s="40">
        <f t="shared" si="9"/>
        <v>0</v>
      </c>
      <c r="AB38" s="40">
        <f t="shared" si="10"/>
        <v>0</v>
      </c>
      <c r="AE38" s="40">
        <v>0</v>
      </c>
      <c r="AH38" s="40">
        <v>0</v>
      </c>
      <c r="AI38" s="73">
        <f>140225000</f>
        <v>140225000</v>
      </c>
      <c r="AJ38" s="74">
        <v>2.5499999999999998E-2</v>
      </c>
      <c r="AK38" s="40">
        <f t="shared" si="11"/>
        <v>9932.6041666666661</v>
      </c>
      <c r="AL38" s="73">
        <f t="shared" si="55"/>
        <v>35000000</v>
      </c>
      <c r="AM38" s="74">
        <v>2.7E-2</v>
      </c>
      <c r="AN38" s="40">
        <f t="shared" si="12"/>
        <v>2625</v>
      </c>
      <c r="AO38" s="73"/>
      <c r="AP38" s="74"/>
      <c r="AQ38" s="40">
        <f t="shared" si="13"/>
        <v>0</v>
      </c>
      <c r="AR38" s="73">
        <f t="shared" si="54"/>
        <v>30000000</v>
      </c>
      <c r="AS38" s="74">
        <v>2.7199999999999998E-2</v>
      </c>
      <c r="AT38" s="40">
        <f t="shared" si="14"/>
        <v>2266.6666666666665</v>
      </c>
      <c r="AW38" s="40">
        <f t="shared" si="15"/>
        <v>0</v>
      </c>
      <c r="AZ38" s="40">
        <f t="shared" si="16"/>
        <v>0</v>
      </c>
      <c r="BC38" s="40">
        <f t="shared" si="17"/>
        <v>0</v>
      </c>
      <c r="BF38" s="40">
        <f t="shared" si="18"/>
        <v>0</v>
      </c>
      <c r="BI38" s="40">
        <f t="shared" si="19"/>
        <v>0</v>
      </c>
      <c r="BL38" s="40">
        <f t="shared" si="20"/>
        <v>0</v>
      </c>
      <c r="BO38" s="40">
        <f t="shared" si="21"/>
        <v>0</v>
      </c>
      <c r="BR38" s="40">
        <f t="shared" si="22"/>
        <v>0</v>
      </c>
      <c r="BU38" s="40">
        <f t="shared" si="23"/>
        <v>0</v>
      </c>
      <c r="BX38" s="40">
        <f t="shared" si="24"/>
        <v>0</v>
      </c>
      <c r="CA38" s="40">
        <f t="shared" si="25"/>
        <v>0</v>
      </c>
      <c r="CD38" s="40">
        <f t="shared" si="26"/>
        <v>0</v>
      </c>
      <c r="CG38" s="40">
        <f t="shared" si="27"/>
        <v>0</v>
      </c>
      <c r="CJ38" s="40">
        <f t="shared" si="28"/>
        <v>0</v>
      </c>
      <c r="CM38" s="40">
        <f t="shared" si="29"/>
        <v>0</v>
      </c>
      <c r="CP38" s="40">
        <f t="shared" si="30"/>
        <v>0</v>
      </c>
      <c r="CS38" s="40">
        <f t="shared" si="31"/>
        <v>0</v>
      </c>
      <c r="CV38" s="40">
        <f t="shared" si="32"/>
        <v>0</v>
      </c>
      <c r="CY38" s="40">
        <f t="shared" si="33"/>
        <v>0</v>
      </c>
      <c r="DB38" s="40">
        <f t="shared" si="34"/>
        <v>0</v>
      </c>
      <c r="DE38" s="40">
        <f t="shared" si="35"/>
        <v>0</v>
      </c>
      <c r="DH38" s="40">
        <f t="shared" si="36"/>
        <v>0</v>
      </c>
      <c r="DK38" s="40">
        <f t="shared" si="37"/>
        <v>0</v>
      </c>
      <c r="DN38" s="40">
        <f t="shared" si="38"/>
        <v>0</v>
      </c>
      <c r="DQ38" s="40">
        <f t="shared" si="39"/>
        <v>0</v>
      </c>
      <c r="DT38" s="40">
        <f t="shared" si="40"/>
        <v>0</v>
      </c>
      <c r="DW38" s="40">
        <f t="shared" si="41"/>
        <v>0</v>
      </c>
      <c r="DZ38" s="40"/>
      <c r="EA38" s="40"/>
      <c r="EB38" s="75">
        <f t="shared" si="42"/>
        <v>205225000</v>
      </c>
      <c r="EC38" s="75">
        <f t="shared" si="43"/>
        <v>0</v>
      </c>
      <c r="ED38" s="40">
        <f t="shared" si="44"/>
        <v>14824.270833333332</v>
      </c>
      <c r="EE38" s="41">
        <f t="shared" si="45"/>
        <v>2.6004324521866243E-2</v>
      </c>
      <c r="EG38" s="75">
        <f t="shared" si="46"/>
        <v>0</v>
      </c>
      <c r="EH38" s="40">
        <f t="shared" si="47"/>
        <v>0</v>
      </c>
      <c r="EI38" s="41">
        <f t="shared" si="48"/>
        <v>0</v>
      </c>
      <c r="EJ38" s="41"/>
      <c r="EK38" s="75">
        <f t="shared" si="49"/>
        <v>205225000</v>
      </c>
      <c r="EL38" s="75">
        <f t="shared" si="50"/>
        <v>0</v>
      </c>
      <c r="EM38" s="75">
        <f t="shared" si="51"/>
        <v>14824.270833333332</v>
      </c>
      <c r="EN38" s="41">
        <f t="shared" si="52"/>
        <v>2.6004324521866243E-2</v>
      </c>
      <c r="EP38" s="40"/>
    </row>
    <row r="39" spans="1:146" x14ac:dyDescent="0.25">
      <c r="A39" s="25">
        <f t="shared" si="53"/>
        <v>43645</v>
      </c>
      <c r="D39" s="40">
        <f t="shared" si="2"/>
        <v>0</v>
      </c>
      <c r="G39" s="40">
        <f t="shared" si="3"/>
        <v>0</v>
      </c>
      <c r="J39" s="40">
        <f t="shared" si="4"/>
        <v>0</v>
      </c>
      <c r="M39" s="40">
        <f t="shared" si="5"/>
        <v>0</v>
      </c>
      <c r="P39" s="40">
        <f t="shared" si="6"/>
        <v>0</v>
      </c>
      <c r="S39" s="40">
        <f t="shared" si="7"/>
        <v>0</v>
      </c>
      <c r="V39" s="40">
        <f t="shared" si="8"/>
        <v>0</v>
      </c>
      <c r="Y39" s="40">
        <f t="shared" si="9"/>
        <v>0</v>
      </c>
      <c r="AB39" s="40">
        <f t="shared" si="10"/>
        <v>0</v>
      </c>
      <c r="AE39" s="40">
        <v>0</v>
      </c>
      <c r="AH39" s="40">
        <v>0</v>
      </c>
      <c r="AI39" s="73">
        <f>140225000</f>
        <v>140225000</v>
      </c>
      <c r="AJ39" s="74">
        <v>2.5499999999999998E-2</v>
      </c>
      <c r="AK39" s="40">
        <f t="shared" si="11"/>
        <v>9932.6041666666661</v>
      </c>
      <c r="AL39" s="73">
        <f t="shared" si="55"/>
        <v>35000000</v>
      </c>
      <c r="AM39" s="74">
        <v>2.7E-2</v>
      </c>
      <c r="AN39" s="40">
        <f t="shared" si="12"/>
        <v>2625</v>
      </c>
      <c r="AO39" s="73"/>
      <c r="AP39" s="74"/>
      <c r="AQ39" s="40">
        <f t="shared" si="13"/>
        <v>0</v>
      </c>
      <c r="AR39" s="73">
        <f t="shared" si="54"/>
        <v>30000000</v>
      </c>
      <c r="AS39" s="74">
        <v>2.7199999999999998E-2</v>
      </c>
      <c r="AT39" s="40">
        <f t="shared" si="14"/>
        <v>2266.6666666666665</v>
      </c>
      <c r="AW39" s="40">
        <f t="shared" si="15"/>
        <v>0</v>
      </c>
      <c r="AZ39" s="40">
        <f t="shared" si="16"/>
        <v>0</v>
      </c>
      <c r="BC39" s="40">
        <f t="shared" si="17"/>
        <v>0</v>
      </c>
      <c r="BF39" s="40">
        <f t="shared" si="18"/>
        <v>0</v>
      </c>
      <c r="BI39" s="40">
        <f t="shared" si="19"/>
        <v>0</v>
      </c>
      <c r="BL39" s="40">
        <f t="shared" si="20"/>
        <v>0</v>
      </c>
      <c r="BO39" s="40">
        <f t="shared" si="21"/>
        <v>0</v>
      </c>
      <c r="BR39" s="40">
        <f t="shared" si="22"/>
        <v>0</v>
      </c>
      <c r="BU39" s="40">
        <f t="shared" si="23"/>
        <v>0</v>
      </c>
      <c r="BX39" s="40">
        <f t="shared" si="24"/>
        <v>0</v>
      </c>
      <c r="CA39" s="40">
        <f t="shared" si="25"/>
        <v>0</v>
      </c>
      <c r="CD39" s="40">
        <f t="shared" si="26"/>
        <v>0</v>
      </c>
      <c r="CG39" s="40">
        <f t="shared" si="27"/>
        <v>0</v>
      </c>
      <c r="CJ39" s="40">
        <f t="shared" si="28"/>
        <v>0</v>
      </c>
      <c r="CM39" s="40">
        <f t="shared" si="29"/>
        <v>0</v>
      </c>
      <c r="CP39" s="40">
        <f t="shared" si="30"/>
        <v>0</v>
      </c>
      <c r="CS39" s="40">
        <f t="shared" si="31"/>
        <v>0</v>
      </c>
      <c r="CV39" s="40">
        <f t="shared" si="32"/>
        <v>0</v>
      </c>
      <c r="CY39" s="40">
        <f t="shared" si="33"/>
        <v>0</v>
      </c>
      <c r="DB39" s="40">
        <f t="shared" si="34"/>
        <v>0</v>
      </c>
      <c r="DE39" s="40">
        <f t="shared" si="35"/>
        <v>0</v>
      </c>
      <c r="DH39" s="40">
        <f t="shared" si="36"/>
        <v>0</v>
      </c>
      <c r="DK39" s="40">
        <f t="shared" si="37"/>
        <v>0</v>
      </c>
      <c r="DN39" s="40">
        <f t="shared" si="38"/>
        <v>0</v>
      </c>
      <c r="DQ39" s="40">
        <f t="shared" si="39"/>
        <v>0</v>
      </c>
      <c r="DT39" s="40">
        <f t="shared" si="40"/>
        <v>0</v>
      </c>
      <c r="DW39" s="40">
        <f t="shared" si="41"/>
        <v>0</v>
      </c>
      <c r="DZ39" s="40"/>
      <c r="EA39" s="40"/>
      <c r="EB39" s="75">
        <f t="shared" si="42"/>
        <v>205225000</v>
      </c>
      <c r="EC39" s="75">
        <f t="shared" si="43"/>
        <v>0</v>
      </c>
      <c r="ED39" s="40">
        <f t="shared" si="44"/>
        <v>14824.270833333332</v>
      </c>
      <c r="EE39" s="41">
        <f t="shared" si="45"/>
        <v>2.6004324521866243E-2</v>
      </c>
      <c r="EG39" s="75">
        <f t="shared" si="46"/>
        <v>0</v>
      </c>
      <c r="EH39" s="40">
        <f t="shared" si="47"/>
        <v>0</v>
      </c>
      <c r="EI39" s="41">
        <f t="shared" si="48"/>
        <v>0</v>
      </c>
      <c r="EJ39" s="41"/>
      <c r="EK39" s="75">
        <f t="shared" si="49"/>
        <v>205225000</v>
      </c>
      <c r="EL39" s="75">
        <f t="shared" si="50"/>
        <v>0</v>
      </c>
      <c r="EM39" s="75">
        <f t="shared" si="51"/>
        <v>14824.270833333332</v>
      </c>
      <c r="EN39" s="41">
        <f t="shared" si="52"/>
        <v>2.6004324521866243E-2</v>
      </c>
      <c r="EP39" s="40"/>
    </row>
    <row r="40" spans="1:146" x14ac:dyDescent="0.25">
      <c r="A40" s="25">
        <f t="shared" si="53"/>
        <v>43646</v>
      </c>
      <c r="D40" s="40">
        <f t="shared" si="2"/>
        <v>0</v>
      </c>
      <c r="G40" s="40">
        <f t="shared" si="3"/>
        <v>0</v>
      </c>
      <c r="J40" s="40">
        <f t="shared" si="4"/>
        <v>0</v>
      </c>
      <c r="M40" s="40">
        <f t="shared" si="5"/>
        <v>0</v>
      </c>
      <c r="P40" s="40">
        <f t="shared" si="6"/>
        <v>0</v>
      </c>
      <c r="S40" s="40">
        <f t="shared" si="7"/>
        <v>0</v>
      </c>
      <c r="V40" s="40">
        <f t="shared" si="8"/>
        <v>0</v>
      </c>
      <c r="Y40" s="40">
        <f t="shared" si="9"/>
        <v>0</v>
      </c>
      <c r="AB40" s="40">
        <f t="shared" si="10"/>
        <v>0</v>
      </c>
      <c r="AE40" s="40">
        <v>0</v>
      </c>
      <c r="AH40" s="40">
        <v>0</v>
      </c>
      <c r="AI40" s="73">
        <f>140225000</f>
        <v>140225000</v>
      </c>
      <c r="AJ40" s="74">
        <v>2.5499999999999998E-2</v>
      </c>
      <c r="AK40" s="40">
        <f t="shared" si="11"/>
        <v>9932.6041666666661</v>
      </c>
      <c r="AL40" s="73">
        <f t="shared" si="55"/>
        <v>35000000</v>
      </c>
      <c r="AM40" s="74">
        <v>2.7E-2</v>
      </c>
      <c r="AN40" s="40">
        <f t="shared" si="12"/>
        <v>2625</v>
      </c>
      <c r="AO40" s="73"/>
      <c r="AP40" s="74"/>
      <c r="AQ40" s="40">
        <f t="shared" si="13"/>
        <v>0</v>
      </c>
      <c r="AR40" s="73">
        <f t="shared" si="54"/>
        <v>30000000</v>
      </c>
      <c r="AS40" s="74">
        <v>2.7199999999999998E-2</v>
      </c>
      <c r="AT40" s="40">
        <f t="shared" si="14"/>
        <v>2266.6666666666665</v>
      </c>
      <c r="AW40" s="40">
        <f t="shared" si="15"/>
        <v>0</v>
      </c>
      <c r="AZ40" s="40">
        <f t="shared" si="16"/>
        <v>0</v>
      </c>
      <c r="BC40" s="40">
        <f t="shared" si="17"/>
        <v>0</v>
      </c>
      <c r="BF40" s="40">
        <f t="shared" si="18"/>
        <v>0</v>
      </c>
      <c r="BI40" s="40">
        <f t="shared" si="19"/>
        <v>0</v>
      </c>
      <c r="BL40" s="40">
        <f t="shared" si="20"/>
        <v>0</v>
      </c>
      <c r="BO40" s="40">
        <f t="shared" si="21"/>
        <v>0</v>
      </c>
      <c r="BR40" s="40">
        <f t="shared" si="22"/>
        <v>0</v>
      </c>
      <c r="BU40" s="40">
        <f t="shared" si="23"/>
        <v>0</v>
      </c>
      <c r="BX40" s="40">
        <f t="shared" si="24"/>
        <v>0</v>
      </c>
      <c r="CA40" s="40">
        <f t="shared" si="25"/>
        <v>0</v>
      </c>
      <c r="CD40" s="40">
        <f t="shared" si="26"/>
        <v>0</v>
      </c>
      <c r="CG40" s="40">
        <f t="shared" si="27"/>
        <v>0</v>
      </c>
      <c r="CJ40" s="40">
        <f t="shared" si="28"/>
        <v>0</v>
      </c>
      <c r="CM40" s="40">
        <f t="shared" si="29"/>
        <v>0</v>
      </c>
      <c r="CP40" s="40">
        <f t="shared" si="30"/>
        <v>0</v>
      </c>
      <c r="CS40" s="40">
        <f t="shared" si="31"/>
        <v>0</v>
      </c>
      <c r="CV40" s="40">
        <f t="shared" si="32"/>
        <v>0</v>
      </c>
      <c r="CY40" s="40">
        <f t="shared" si="33"/>
        <v>0</v>
      </c>
      <c r="DB40" s="40">
        <f t="shared" si="34"/>
        <v>0</v>
      </c>
      <c r="DE40" s="40">
        <f t="shared" si="35"/>
        <v>0</v>
      </c>
      <c r="DH40" s="40">
        <f t="shared" si="36"/>
        <v>0</v>
      </c>
      <c r="DK40" s="40">
        <f t="shared" si="37"/>
        <v>0</v>
      </c>
      <c r="DN40" s="40">
        <f t="shared" si="38"/>
        <v>0</v>
      </c>
      <c r="DQ40" s="40">
        <f t="shared" si="39"/>
        <v>0</v>
      </c>
      <c r="DT40" s="40">
        <f t="shared" si="40"/>
        <v>0</v>
      </c>
      <c r="DW40" s="40">
        <f t="shared" si="41"/>
        <v>0</v>
      </c>
      <c r="DZ40" s="38"/>
      <c r="EA40" s="40"/>
      <c r="EB40" s="75">
        <f t="shared" si="42"/>
        <v>205225000</v>
      </c>
      <c r="EC40" s="75">
        <f t="shared" si="43"/>
        <v>0</v>
      </c>
      <c r="ED40" s="40">
        <f t="shared" si="44"/>
        <v>14824.270833333332</v>
      </c>
      <c r="EE40" s="41">
        <f t="shared" si="45"/>
        <v>2.6004324521866243E-2</v>
      </c>
      <c r="EG40" s="75">
        <f t="shared" si="46"/>
        <v>0</v>
      </c>
      <c r="EH40" s="40">
        <f t="shared" si="47"/>
        <v>0</v>
      </c>
      <c r="EI40" s="41">
        <f t="shared" si="48"/>
        <v>0</v>
      </c>
      <c r="EJ40" s="41"/>
      <c r="EK40" s="75">
        <f t="shared" si="49"/>
        <v>205225000</v>
      </c>
      <c r="EL40" s="75">
        <f t="shared" si="50"/>
        <v>0</v>
      </c>
      <c r="EM40" s="75">
        <f t="shared" si="51"/>
        <v>14824.270833333332</v>
      </c>
      <c r="EN40" s="41">
        <f t="shared" si="52"/>
        <v>2.6004324521866243E-2</v>
      </c>
      <c r="EP40" s="40"/>
    </row>
    <row r="41" spans="1:146" x14ac:dyDescent="0.25">
      <c r="A41" s="76" t="s">
        <v>75</v>
      </c>
      <c r="D41" s="77">
        <f>SUM(D11:D40)</f>
        <v>0</v>
      </c>
      <c r="G41" s="77">
        <f>SUM(G11:G40)</f>
        <v>0</v>
      </c>
      <c r="J41" s="77">
        <f>SUM(J11:J40)</f>
        <v>0</v>
      </c>
      <c r="M41" s="77">
        <f>SUM(M11:M40)</f>
        <v>0</v>
      </c>
      <c r="P41" s="77">
        <f>SUM(P11:P40)</f>
        <v>0</v>
      </c>
      <c r="S41" s="77">
        <f>SUM(S11:S40)</f>
        <v>0</v>
      </c>
      <c r="V41" s="77">
        <f>SUM(V11:V40)</f>
        <v>0</v>
      </c>
      <c r="Y41" s="77">
        <f>SUM(Y11:Y40)</f>
        <v>0</v>
      </c>
      <c r="AB41" s="77">
        <f>SUM(AB11:AB40)</f>
        <v>0</v>
      </c>
      <c r="AE41" s="77">
        <f>SUM(AE11:AE40)</f>
        <v>0</v>
      </c>
      <c r="AH41" s="77">
        <f>SUM(AH11:AH40)</f>
        <v>0</v>
      </c>
      <c r="AK41" s="77">
        <f>SUM(AK11:AK40)</f>
        <v>130127.51388888896</v>
      </c>
      <c r="AN41" s="77">
        <f>SUM(AN11:AN40)</f>
        <v>74458.333333333343</v>
      </c>
      <c r="AQ41" s="77">
        <f>SUM(AQ11:AQ40)</f>
        <v>25006.944444444438</v>
      </c>
      <c r="AT41" s="77">
        <f>SUM(AT11:AT40)</f>
        <v>63466.666666666642</v>
      </c>
      <c r="AW41" s="77">
        <f>SUM(AW11:AW40)</f>
        <v>0</v>
      </c>
      <c r="AZ41" s="77">
        <f>SUM(AZ11:AZ40)</f>
        <v>0</v>
      </c>
      <c r="BC41" s="77">
        <f>SUM(BC11:BC40)</f>
        <v>0</v>
      </c>
      <c r="BF41" s="77">
        <f>SUM(BF11:BF40)</f>
        <v>0</v>
      </c>
      <c r="BI41" s="77">
        <f>SUM(BI11:BI40)</f>
        <v>0</v>
      </c>
      <c r="BL41" s="77">
        <f>SUM(BL11:BL40)</f>
        <v>0</v>
      </c>
      <c r="BO41" s="77">
        <f>SUM(BO11:BO40)</f>
        <v>0</v>
      </c>
      <c r="BR41" s="77">
        <f>SUM(BR11:BR40)</f>
        <v>0</v>
      </c>
      <c r="BU41" s="77">
        <f>SUM(BU11:BU40)</f>
        <v>0</v>
      </c>
      <c r="BX41" s="77">
        <f>SUM(BX11:BX40)</f>
        <v>0</v>
      </c>
      <c r="CA41" s="77">
        <f>SUM(CA11:CA40)</f>
        <v>0</v>
      </c>
      <c r="CD41" s="77">
        <f>SUM(CD11:CD40)</f>
        <v>0</v>
      </c>
      <c r="CG41" s="77">
        <f>SUM(CG11:CG40)</f>
        <v>0</v>
      </c>
      <c r="CJ41" s="77">
        <f>SUM(CJ11:CJ40)</f>
        <v>0</v>
      </c>
      <c r="CM41" s="77">
        <f>SUM(CM11:CM40)</f>
        <v>0</v>
      </c>
      <c r="CP41" s="77">
        <f>SUM(CP11:CP40)</f>
        <v>0</v>
      </c>
      <c r="CS41" s="77">
        <f>SUM(CS11:CS40)</f>
        <v>0</v>
      </c>
      <c r="CV41" s="77">
        <f>SUM(CV11:CV40)</f>
        <v>0</v>
      </c>
      <c r="CY41" s="77">
        <f>SUM(CY11:CY40)</f>
        <v>0</v>
      </c>
      <c r="DB41" s="77">
        <f>SUM(DB11:DB40)</f>
        <v>0</v>
      </c>
      <c r="DE41" s="77">
        <f>SUM(DE11:DE40)</f>
        <v>0</v>
      </c>
      <c r="DH41" s="77">
        <f>SUM(DH11:DH40)</f>
        <v>0</v>
      </c>
      <c r="DK41" s="77">
        <f>SUM(DK11:DK40)</f>
        <v>0</v>
      </c>
      <c r="DN41" s="77">
        <f>SUM(DN11:DN40)</f>
        <v>0</v>
      </c>
      <c r="DQ41" s="77">
        <f>SUM(DQ11:DQ40)</f>
        <v>0</v>
      </c>
      <c r="DT41" s="77">
        <f>SUM(DT11:DT40)</f>
        <v>0</v>
      </c>
      <c r="DW41" s="77">
        <f>SUM(DW11:DW40)</f>
        <v>0</v>
      </c>
      <c r="DZ41" s="38"/>
      <c r="EA41" s="38"/>
      <c r="EB41" s="40"/>
      <c r="EC41" s="40"/>
      <c r="ED41" s="77">
        <f>SUM(ED11:ED40)</f>
        <v>293059.45833333337</v>
      </c>
      <c r="EE41" s="41"/>
      <c r="EG41" s="40"/>
      <c r="EH41" s="77">
        <f>SUM(EH11:EH40)</f>
        <v>0</v>
      </c>
      <c r="EI41" s="41"/>
      <c r="EJ41" s="41"/>
      <c r="EK41" s="40"/>
      <c r="EL41" s="40"/>
      <c r="EM41" s="77">
        <f>SUM(EM11:EM40)</f>
        <v>293059.45833333337</v>
      </c>
      <c r="EN41" s="41"/>
    </row>
    <row r="44" spans="1:146" x14ac:dyDescent="0.25">
      <c r="EM44" s="78"/>
    </row>
    <row r="46" spans="1:146" x14ac:dyDescent="0.25">
      <c r="EM46" s="40"/>
    </row>
    <row r="47" spans="1:146" x14ac:dyDescent="0.25">
      <c r="EM47" s="4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EQ48"/>
  <sheetViews>
    <sheetView workbookViewId="0">
      <selection activeCell="A39" sqref="A39:A40"/>
    </sheetView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EB41</f>
        <v>116775000</v>
      </c>
      <c r="EI2" s="38">
        <f>EG40</f>
        <v>0</v>
      </c>
      <c r="EM2" s="38"/>
      <c r="EN2" s="38">
        <f>EK41</f>
        <v>116775000</v>
      </c>
      <c r="EO2" s="31">
        <v>-13150</v>
      </c>
      <c r="EP2" s="31">
        <f>EN2+EO2</f>
        <v>116761850</v>
      </c>
      <c r="EQ2" s="31">
        <f>EE2+EO2</f>
        <v>116761850</v>
      </c>
    </row>
    <row r="3" spans="1:147" ht="16.5" thickTop="1" x14ac:dyDescent="0.25">
      <c r="A3" s="39" t="s">
        <v>170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AVERAGE(EB11:EB41)</f>
        <v>147533064.51612905</v>
      </c>
      <c r="EI3" s="38">
        <f>AVERAGE(EG11:EG40)</f>
        <v>0</v>
      </c>
      <c r="EM3" s="38"/>
      <c r="EN3" s="38">
        <f>AVERAGE(EK11:EK41)</f>
        <v>147533064.51612905</v>
      </c>
    </row>
    <row r="4" spans="1:147" x14ac:dyDescent="0.25">
      <c r="D4" s="24"/>
      <c r="E4" s="48" t="s">
        <v>98</v>
      </c>
      <c r="F4" s="38"/>
      <c r="G4" s="49">
        <f>EQ2</f>
        <v>116761850</v>
      </c>
      <c r="AI4" s="50" t="s">
        <v>102</v>
      </c>
      <c r="EB4" s="24" t="s">
        <v>103</v>
      </c>
      <c r="EC4" s="24"/>
      <c r="ED4" s="46"/>
      <c r="EE4" s="46">
        <f>IF(EE3=0,0,360*(AVERAGE(ED11:ED41)/EE3))</f>
        <v>2.5948692747935126E-2</v>
      </c>
      <c r="EI4" s="46">
        <f>IF(EI3=0,0,360*(AVERAGE(EH11:EH40)/EI3))</f>
        <v>0</v>
      </c>
      <c r="EM4" s="46"/>
      <c r="EN4" s="46">
        <f>IF(EN3=0,0,360*(AVERAGE(EM11:EM41)/EN3))</f>
        <v>2.5948692747935126E-2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147533064.51612905</v>
      </c>
      <c r="AI5" s="53" t="s">
        <v>93</v>
      </c>
      <c r="EB5" s="54" t="s">
        <v>105</v>
      </c>
      <c r="EC5" s="54"/>
      <c r="ED5" s="38"/>
      <c r="EE5" s="38">
        <f>MAX(EB11:EB41)</f>
        <v>210600000</v>
      </c>
      <c r="EI5" s="38">
        <f>MAX(EG11:EG40)</f>
        <v>0</v>
      </c>
      <c r="EM5" s="38"/>
      <c r="EN5" s="38">
        <f>MAX(EK11:EK41)</f>
        <v>210600000</v>
      </c>
    </row>
    <row r="6" spans="1:147" x14ac:dyDescent="0.25">
      <c r="D6" s="24"/>
      <c r="E6" s="48" t="s">
        <v>103</v>
      </c>
      <c r="F6" s="38"/>
      <c r="G6" s="55">
        <f>EE4</f>
        <v>2.5948692747935126E-2</v>
      </c>
    </row>
    <row r="7" spans="1:147" ht="16.5" thickBot="1" x14ac:dyDescent="0.3">
      <c r="D7" s="24"/>
      <c r="E7" s="56" t="s">
        <v>105</v>
      </c>
      <c r="F7" s="57"/>
      <c r="G7" s="58">
        <f>EE5</f>
        <v>210600000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43647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73">
        <f>95250000+350000</f>
        <v>95600000</v>
      </c>
      <c r="AJ11" s="74">
        <v>2.5499999999999998E-2</v>
      </c>
      <c r="AK11" s="40">
        <f>(AI11*AJ11)/360</f>
        <v>6771.666666666667</v>
      </c>
      <c r="AL11" s="73">
        <f t="shared" ref="AL11:AL17" si="0">35000000</f>
        <v>35000000</v>
      </c>
      <c r="AM11" s="74">
        <v>2.7E-2</v>
      </c>
      <c r="AN11" s="40">
        <f>(AL11*AM11)/360</f>
        <v>2625</v>
      </c>
      <c r="AO11" s="73">
        <f>30000000</f>
        <v>30000000</v>
      </c>
      <c r="AP11" s="74">
        <v>2.7199999999999998E-2</v>
      </c>
      <c r="AQ11" s="40">
        <f>(AO11*AP11)/360</f>
        <v>2266.6666666666665</v>
      </c>
      <c r="AR11" s="73">
        <f t="shared" ref="AR11:AR17" si="1">50000000</f>
        <v>50000000</v>
      </c>
      <c r="AS11" s="74">
        <v>2.63E-2</v>
      </c>
      <c r="AT11" s="40">
        <f>(AR11*AS11)/360</f>
        <v>3652.7777777777778</v>
      </c>
      <c r="AW11" s="40">
        <f>(AU11*AV11)/360</f>
        <v>0</v>
      </c>
      <c r="AZ11" s="40">
        <f>(AX11*AY11)/360</f>
        <v>0</v>
      </c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210600000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15316.111111111111</v>
      </c>
      <c r="EE11" s="41">
        <f>IF(EB11&lt;&gt;0,((ED11/EB11)*360),0)</f>
        <v>2.6181386514719848E-2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210600000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15316.111111111113</v>
      </c>
      <c r="EN11" s="41">
        <f>IF(EK11&lt;&gt;0,((EM11/EK11)*360),0)</f>
        <v>2.6181386514719851E-2</v>
      </c>
      <c r="EP11" s="40"/>
    </row>
    <row r="12" spans="1:147" x14ac:dyDescent="0.25">
      <c r="A12" s="25">
        <f>1+A11</f>
        <v>43648</v>
      </c>
      <c r="D12" s="40">
        <f t="shared" ref="D12:D41" si="2">(B12*C12)/360</f>
        <v>0</v>
      </c>
      <c r="G12" s="40">
        <f t="shared" ref="G12:G41" si="3">(E12*F12)/360</f>
        <v>0</v>
      </c>
      <c r="J12" s="40">
        <f t="shared" ref="J12:J41" si="4">(H12*I12)/360</f>
        <v>0</v>
      </c>
      <c r="M12" s="40">
        <f t="shared" ref="M12:M41" si="5">(K12*L12)/360</f>
        <v>0</v>
      </c>
      <c r="P12" s="40">
        <f t="shared" ref="P12:P41" si="6">(N12*O12)/360</f>
        <v>0</v>
      </c>
      <c r="S12" s="40">
        <f t="shared" ref="S12:S41" si="7">(Q12*R12)/360</f>
        <v>0</v>
      </c>
      <c r="V12" s="40">
        <f t="shared" ref="V12:V41" si="8">(T12*U12)/360</f>
        <v>0</v>
      </c>
      <c r="Y12" s="40">
        <f t="shared" ref="Y12:Y41" si="9">(W12*X12)/360</f>
        <v>0</v>
      </c>
      <c r="AB12" s="40">
        <f t="shared" ref="AB12:AB41" si="10">(Z12*AA12)/360</f>
        <v>0</v>
      </c>
      <c r="AE12" s="40">
        <v>0</v>
      </c>
      <c r="AH12" s="40">
        <v>0</v>
      </c>
      <c r="AI12" s="73">
        <f>109000000</f>
        <v>109000000</v>
      </c>
      <c r="AJ12" s="74">
        <v>2.5499999999999998E-2</v>
      </c>
      <c r="AK12" s="40">
        <f t="shared" ref="AK12:AK41" si="11">(AI12*AJ12)/360</f>
        <v>7720.833333333333</v>
      </c>
      <c r="AL12" s="73">
        <f t="shared" si="0"/>
        <v>35000000</v>
      </c>
      <c r="AM12" s="74">
        <v>2.7E-2</v>
      </c>
      <c r="AN12" s="40">
        <f t="shared" ref="AN12:AN41" si="12">(AL12*AM12)/360</f>
        <v>2625</v>
      </c>
      <c r="AO12" s="73"/>
      <c r="AP12" s="74"/>
      <c r="AQ12" s="40">
        <f t="shared" ref="AQ12:AQ41" si="13">(AO12*AP12)/360</f>
        <v>0</v>
      </c>
      <c r="AR12" s="73">
        <f t="shared" si="1"/>
        <v>50000000</v>
      </c>
      <c r="AS12" s="74">
        <v>2.63E-2</v>
      </c>
      <c r="AT12" s="40">
        <f t="shared" ref="AT12:AT41" si="14">(AR12*AS12)/360</f>
        <v>3652.7777777777778</v>
      </c>
      <c r="AW12" s="40">
        <f t="shared" ref="AW12:AW41" si="15">(AU12*AV12)/360</f>
        <v>0</v>
      </c>
      <c r="AZ12" s="40">
        <f t="shared" ref="AZ12:AZ41" si="16">(AX12*AY12)/360</f>
        <v>0</v>
      </c>
      <c r="BC12" s="40">
        <f t="shared" ref="BC12:BC41" si="17">(BA12*BB12)/360</f>
        <v>0</v>
      </c>
      <c r="BF12" s="40">
        <f t="shared" ref="BF12:BF41" si="18">(BD12*BE12)/360</f>
        <v>0</v>
      </c>
      <c r="BI12" s="40">
        <f t="shared" ref="BI12:BI41" si="19">(BG12*BH12)/360</f>
        <v>0</v>
      </c>
      <c r="BL12" s="40">
        <f t="shared" ref="BL12:BL41" si="20">(BJ12*BK12)/360</f>
        <v>0</v>
      </c>
      <c r="BO12" s="40">
        <f t="shared" ref="BO12:BO41" si="21">(BM12*BN12)/360</f>
        <v>0</v>
      </c>
      <c r="BR12" s="40">
        <f t="shared" ref="BR12:BR41" si="22">(BP12*BQ12)/360</f>
        <v>0</v>
      </c>
      <c r="BU12" s="40">
        <f t="shared" ref="BU12:BU41" si="23">(BS12*BT12)/360</f>
        <v>0</v>
      </c>
      <c r="BX12" s="40">
        <f t="shared" ref="BX12:BX41" si="24">(BV12*BW12)/360</f>
        <v>0</v>
      </c>
      <c r="CA12" s="40">
        <f t="shared" ref="CA12:CA41" si="25">(BY12*BZ12)/360</f>
        <v>0</v>
      </c>
      <c r="CD12" s="40">
        <f t="shared" ref="CD12:CD41" si="26">(CB12*CC12)/360</f>
        <v>0</v>
      </c>
      <c r="CG12" s="40">
        <f t="shared" ref="CG12:CG41" si="27">(CE12*CF12)/360</f>
        <v>0</v>
      </c>
      <c r="CJ12" s="40">
        <f t="shared" ref="CJ12:CJ41" si="28">(CH12*CI12)/360</f>
        <v>0</v>
      </c>
      <c r="CM12" s="40">
        <f t="shared" ref="CM12:CM41" si="29">(CK12*CL12)/360</f>
        <v>0</v>
      </c>
      <c r="CP12" s="40">
        <f t="shared" ref="CP12:CP41" si="30">(CN12*CO12)/360</f>
        <v>0</v>
      </c>
      <c r="CS12" s="40">
        <f t="shared" ref="CS12:CS41" si="31">(CQ12*CR12)/360</f>
        <v>0</v>
      </c>
      <c r="CV12" s="40">
        <f t="shared" ref="CV12:CV41" si="32">(CT12*CU12)/360</f>
        <v>0</v>
      </c>
      <c r="CY12" s="40">
        <f t="shared" ref="CY12:CY41" si="33">(CW12*CX12)/360</f>
        <v>0</v>
      </c>
      <c r="DB12" s="40">
        <f t="shared" ref="DB12:DB41" si="34">(CZ12*DA12)/360</f>
        <v>0</v>
      </c>
      <c r="DE12" s="40">
        <f t="shared" ref="DE12:DE41" si="35">(DC12*DD12)/360</f>
        <v>0</v>
      </c>
      <c r="DH12" s="40">
        <f t="shared" ref="DH12:DH41" si="36">(DF12*DG12)/360</f>
        <v>0</v>
      </c>
      <c r="DK12" s="40">
        <f t="shared" ref="DK12:DK41" si="37">(DI12*DJ12)/360</f>
        <v>0</v>
      </c>
      <c r="DN12" s="40">
        <f t="shared" ref="DN12:DN41" si="38">(DL12*DM12)/360</f>
        <v>0</v>
      </c>
      <c r="DQ12" s="40">
        <f t="shared" ref="DQ12:DQ41" si="39">(DO12*DP12)/360</f>
        <v>0</v>
      </c>
      <c r="DT12" s="40">
        <f t="shared" ref="DT12:DT41" si="40">(DR12*DS12)/360</f>
        <v>0</v>
      </c>
      <c r="DW12" s="40">
        <f t="shared" ref="DW12:DW41" si="41">(DU12*DV12)/360</f>
        <v>0</v>
      </c>
      <c r="DZ12" s="40"/>
      <c r="EA12" s="40"/>
      <c r="EB12" s="75">
        <f t="shared" ref="EB12:EB41" si="42">B12+E12+H12+K12+N12+Q12+T12+W12+Z12+AC12+AF12+AL12+AO12+AR12+AU12+AX12+BA12+BD12+BG12+DU12+AI12+DR12+DO12+DL12+DI12+DF12+DC12+CZ12+CW12+CT12+CQ12+CN12+CK12+CH12+CE12+CB12+BY12+BV12+BS12+BP12+BM12+BJ12</f>
        <v>194000000</v>
      </c>
      <c r="EC12" s="75">
        <f t="shared" ref="EC12:EC41" si="43">EB12-EK12+EL12</f>
        <v>0</v>
      </c>
      <c r="ED12" s="40">
        <f t="shared" ref="ED12:ED41" si="44">D12+G12+J12+M12+P12+S12+V12+Y12+AB12+AE12+AH12+AK12+AN12+AQ12+AT12+AW12+AZ12+BC12+BF12+BI12+DW12+DT12+DQ12+DN12+DK12+DH12+DE12+DB12+CY12+CV12+CS12+CP12+CM12+CJ12+CG12+CD12+CA12+BX12+BU12+BR12+BO12+BL12</f>
        <v>13998.611111111109</v>
      </c>
      <c r="EE12" s="41">
        <f t="shared" ref="EE12:EE41" si="45">IF(EB12&lt;&gt;0,((ED12/EB12)*360),0)</f>
        <v>2.5976804123711339E-2</v>
      </c>
      <c r="EG12" s="75">
        <f t="shared" ref="EG12:EG41" si="46">Q12+T12+W12+Z12+AC12+AF12</f>
        <v>0</v>
      </c>
      <c r="EH12" s="40">
        <f t="shared" ref="EH12:EH41" si="47">S12+V12+Y12+AB12+AE12+AH12</f>
        <v>0</v>
      </c>
      <c r="EI12" s="41">
        <f t="shared" ref="EI12:EI41" si="48">IF(EG12&lt;&gt;0,((EH12/EG12)*360),0)</f>
        <v>0</v>
      </c>
      <c r="EJ12" s="41"/>
      <c r="EK12" s="75">
        <f t="shared" ref="EK12:EK41" si="49">DR12+DL12+DI12+DF12+DC12+CZ12+CW12+CT12+CQ12+CN12+CK12+CH12+CE12+CB12+BY12+BV12+BS12+BP12+BM12+BJ12+BG12+BD12+BA12+AX12+AU12+AR12+AO12+AL12+AI12+DO12</f>
        <v>194000000</v>
      </c>
      <c r="EL12" s="75">
        <f t="shared" ref="EL12:EL41" si="50">DX12</f>
        <v>0</v>
      </c>
      <c r="EM12" s="75">
        <f t="shared" ref="EM12:EM41" si="51">DT12+DQ12+DN12+DK12+DH12+DE12+DB12+CY12+CV12+CS12+CP12+CM12+CJ12+CG12+CD12+CA12+BX12+BU12+BR12+BO12+BL12+BI12+BF12+BC12+AZ12+AW12+AT12+AQ12+AN12+AK12</f>
        <v>13998.611111111109</v>
      </c>
      <c r="EN12" s="41">
        <f t="shared" ref="EN12:EN41" si="52">IF(EK12&lt;&gt;0,((EM12/EK12)*360),0)</f>
        <v>2.5976804123711339E-2</v>
      </c>
      <c r="EP12" s="40"/>
    </row>
    <row r="13" spans="1:147" x14ac:dyDescent="0.25">
      <c r="A13" s="25">
        <f t="shared" ref="A13:A41" si="53">1+A12</f>
        <v>43649</v>
      </c>
      <c r="D13" s="40">
        <f t="shared" si="2"/>
        <v>0</v>
      </c>
      <c r="G13" s="40">
        <f t="shared" si="3"/>
        <v>0</v>
      </c>
      <c r="J13" s="40">
        <f t="shared" si="4"/>
        <v>0</v>
      </c>
      <c r="M13" s="40">
        <f t="shared" si="5"/>
        <v>0</v>
      </c>
      <c r="P13" s="40">
        <f t="shared" si="6"/>
        <v>0</v>
      </c>
      <c r="S13" s="40">
        <f t="shared" si="7"/>
        <v>0</v>
      </c>
      <c r="V13" s="40">
        <f t="shared" si="8"/>
        <v>0</v>
      </c>
      <c r="Y13" s="40">
        <f t="shared" si="9"/>
        <v>0</v>
      </c>
      <c r="AB13" s="40">
        <f t="shared" si="10"/>
        <v>0</v>
      </c>
      <c r="AE13" s="40">
        <v>0</v>
      </c>
      <c r="AH13" s="40">
        <v>0</v>
      </c>
      <c r="AI13" s="73">
        <f>25000000</f>
        <v>25000000</v>
      </c>
      <c r="AJ13" s="74">
        <v>2.5399999999999999E-2</v>
      </c>
      <c r="AK13" s="40">
        <f t="shared" si="11"/>
        <v>1763.8888888888889</v>
      </c>
      <c r="AL13" s="73">
        <f t="shared" si="0"/>
        <v>35000000</v>
      </c>
      <c r="AM13" s="74">
        <v>2.7E-2</v>
      </c>
      <c r="AN13" s="40">
        <f t="shared" si="12"/>
        <v>2625</v>
      </c>
      <c r="AO13" s="73">
        <v>74275000</v>
      </c>
      <c r="AP13" s="74">
        <v>2.5399999999999999E-2</v>
      </c>
      <c r="AQ13" s="40">
        <f t="shared" si="13"/>
        <v>5240.5138888888887</v>
      </c>
      <c r="AR13" s="73">
        <f t="shared" si="1"/>
        <v>50000000</v>
      </c>
      <c r="AS13" s="74">
        <v>2.63E-2</v>
      </c>
      <c r="AT13" s="40">
        <f t="shared" si="14"/>
        <v>3652.7777777777778</v>
      </c>
      <c r="AW13" s="40">
        <f t="shared" si="15"/>
        <v>0</v>
      </c>
      <c r="AZ13" s="40">
        <f t="shared" si="16"/>
        <v>0</v>
      </c>
      <c r="BC13" s="40">
        <f t="shared" si="17"/>
        <v>0</v>
      </c>
      <c r="BF13" s="40">
        <f t="shared" si="18"/>
        <v>0</v>
      </c>
      <c r="BI13" s="40">
        <f t="shared" si="19"/>
        <v>0</v>
      </c>
      <c r="BL13" s="40">
        <f t="shared" si="20"/>
        <v>0</v>
      </c>
      <c r="BO13" s="40">
        <f t="shared" si="21"/>
        <v>0</v>
      </c>
      <c r="BR13" s="40">
        <f t="shared" si="22"/>
        <v>0</v>
      </c>
      <c r="BU13" s="40">
        <f t="shared" si="23"/>
        <v>0</v>
      </c>
      <c r="BX13" s="40">
        <f t="shared" si="24"/>
        <v>0</v>
      </c>
      <c r="CA13" s="40">
        <f t="shared" si="25"/>
        <v>0</v>
      </c>
      <c r="CD13" s="40">
        <f t="shared" si="26"/>
        <v>0</v>
      </c>
      <c r="CG13" s="40">
        <f t="shared" si="27"/>
        <v>0</v>
      </c>
      <c r="CJ13" s="40">
        <f t="shared" si="28"/>
        <v>0</v>
      </c>
      <c r="CM13" s="40">
        <f t="shared" si="29"/>
        <v>0</v>
      </c>
      <c r="CP13" s="40">
        <f t="shared" si="30"/>
        <v>0</v>
      </c>
      <c r="CS13" s="40">
        <f t="shared" si="31"/>
        <v>0</v>
      </c>
      <c r="CV13" s="40">
        <f t="shared" si="32"/>
        <v>0</v>
      </c>
      <c r="CY13" s="40">
        <f t="shared" si="33"/>
        <v>0</v>
      </c>
      <c r="DB13" s="40">
        <f t="shared" si="34"/>
        <v>0</v>
      </c>
      <c r="DE13" s="40">
        <f t="shared" si="35"/>
        <v>0</v>
      </c>
      <c r="DH13" s="40">
        <f t="shared" si="36"/>
        <v>0</v>
      </c>
      <c r="DK13" s="40">
        <f t="shared" si="37"/>
        <v>0</v>
      </c>
      <c r="DN13" s="40">
        <f t="shared" si="38"/>
        <v>0</v>
      </c>
      <c r="DQ13" s="40">
        <f t="shared" si="39"/>
        <v>0</v>
      </c>
      <c r="DT13" s="40">
        <f t="shared" si="40"/>
        <v>0</v>
      </c>
      <c r="DW13" s="40">
        <f t="shared" si="41"/>
        <v>0</v>
      </c>
      <c r="DZ13" s="40"/>
      <c r="EA13" s="40"/>
      <c r="EB13" s="75">
        <f t="shared" si="42"/>
        <v>184275000</v>
      </c>
      <c r="EC13" s="75">
        <f t="shared" si="43"/>
        <v>0</v>
      </c>
      <c r="ED13" s="40">
        <f t="shared" si="44"/>
        <v>13282.180555555555</v>
      </c>
      <c r="EE13" s="41">
        <f t="shared" si="45"/>
        <v>2.5948093881427211E-2</v>
      </c>
      <c r="EG13" s="75">
        <f t="shared" si="46"/>
        <v>0</v>
      </c>
      <c r="EH13" s="40">
        <f t="shared" si="47"/>
        <v>0</v>
      </c>
      <c r="EI13" s="41">
        <f t="shared" si="48"/>
        <v>0</v>
      </c>
      <c r="EJ13" s="41"/>
      <c r="EK13" s="75">
        <f t="shared" si="49"/>
        <v>184275000</v>
      </c>
      <c r="EL13" s="75">
        <f t="shared" si="50"/>
        <v>0</v>
      </c>
      <c r="EM13" s="75">
        <f t="shared" si="51"/>
        <v>13282.180555555555</v>
      </c>
      <c r="EN13" s="41">
        <f t="shared" si="52"/>
        <v>2.5948093881427211E-2</v>
      </c>
      <c r="EP13" s="40"/>
    </row>
    <row r="14" spans="1:147" x14ac:dyDescent="0.25">
      <c r="A14" s="25">
        <f t="shared" si="53"/>
        <v>43650</v>
      </c>
      <c r="D14" s="40">
        <f t="shared" si="2"/>
        <v>0</v>
      </c>
      <c r="G14" s="40">
        <f t="shared" si="3"/>
        <v>0</v>
      </c>
      <c r="J14" s="40">
        <f t="shared" si="4"/>
        <v>0</v>
      </c>
      <c r="M14" s="40">
        <f t="shared" si="5"/>
        <v>0</v>
      </c>
      <c r="P14" s="40">
        <f t="shared" si="6"/>
        <v>0</v>
      </c>
      <c r="S14" s="40">
        <f t="shared" si="7"/>
        <v>0</v>
      </c>
      <c r="V14" s="40">
        <f t="shared" si="8"/>
        <v>0</v>
      </c>
      <c r="Y14" s="40">
        <f t="shared" si="9"/>
        <v>0</v>
      </c>
      <c r="AB14" s="40">
        <f t="shared" si="10"/>
        <v>0</v>
      </c>
      <c r="AE14" s="40">
        <v>0</v>
      </c>
      <c r="AH14" s="40">
        <v>0</v>
      </c>
      <c r="AI14" s="73">
        <f>25000000</f>
        <v>25000000</v>
      </c>
      <c r="AJ14" s="74">
        <v>2.5399999999999999E-2</v>
      </c>
      <c r="AK14" s="40">
        <f t="shared" si="11"/>
        <v>1763.8888888888889</v>
      </c>
      <c r="AL14" s="73">
        <f t="shared" si="0"/>
        <v>35000000</v>
      </c>
      <c r="AM14" s="74">
        <v>2.7E-2</v>
      </c>
      <c r="AN14" s="40">
        <f t="shared" si="12"/>
        <v>2625</v>
      </c>
      <c r="AO14" s="73">
        <v>74275000</v>
      </c>
      <c r="AP14" s="74">
        <v>2.5399999999999999E-2</v>
      </c>
      <c r="AQ14" s="40">
        <f t="shared" si="13"/>
        <v>5240.5138888888887</v>
      </c>
      <c r="AR14" s="73">
        <f t="shared" si="1"/>
        <v>50000000</v>
      </c>
      <c r="AS14" s="74">
        <v>2.63E-2</v>
      </c>
      <c r="AT14" s="40">
        <f t="shared" si="14"/>
        <v>3652.7777777777778</v>
      </c>
      <c r="AW14" s="40">
        <f t="shared" si="15"/>
        <v>0</v>
      </c>
      <c r="AZ14" s="40">
        <f t="shared" si="16"/>
        <v>0</v>
      </c>
      <c r="BC14" s="40">
        <f t="shared" si="17"/>
        <v>0</v>
      </c>
      <c r="BF14" s="40">
        <f t="shared" si="18"/>
        <v>0</v>
      </c>
      <c r="BI14" s="40">
        <f t="shared" si="19"/>
        <v>0</v>
      </c>
      <c r="BL14" s="40">
        <f t="shared" si="20"/>
        <v>0</v>
      </c>
      <c r="BO14" s="40">
        <f t="shared" si="21"/>
        <v>0</v>
      </c>
      <c r="BR14" s="40">
        <f t="shared" si="22"/>
        <v>0</v>
      </c>
      <c r="BU14" s="40">
        <f t="shared" si="23"/>
        <v>0</v>
      </c>
      <c r="BX14" s="40">
        <f t="shared" si="24"/>
        <v>0</v>
      </c>
      <c r="CA14" s="40">
        <f t="shared" si="25"/>
        <v>0</v>
      </c>
      <c r="CD14" s="40">
        <f t="shared" si="26"/>
        <v>0</v>
      </c>
      <c r="CG14" s="40">
        <f t="shared" si="27"/>
        <v>0</v>
      </c>
      <c r="CJ14" s="40">
        <f t="shared" si="28"/>
        <v>0</v>
      </c>
      <c r="CM14" s="40">
        <f t="shared" si="29"/>
        <v>0</v>
      </c>
      <c r="CP14" s="40">
        <f t="shared" si="30"/>
        <v>0</v>
      </c>
      <c r="CS14" s="40">
        <f t="shared" si="31"/>
        <v>0</v>
      </c>
      <c r="CV14" s="40">
        <f t="shared" si="32"/>
        <v>0</v>
      </c>
      <c r="CY14" s="40">
        <f t="shared" si="33"/>
        <v>0</v>
      </c>
      <c r="DB14" s="40">
        <f t="shared" si="34"/>
        <v>0</v>
      </c>
      <c r="DE14" s="40">
        <f t="shared" si="35"/>
        <v>0</v>
      </c>
      <c r="DH14" s="40">
        <f t="shared" si="36"/>
        <v>0</v>
      </c>
      <c r="DK14" s="40">
        <f t="shared" si="37"/>
        <v>0</v>
      </c>
      <c r="DN14" s="40">
        <f t="shared" si="38"/>
        <v>0</v>
      </c>
      <c r="DQ14" s="40">
        <f t="shared" si="39"/>
        <v>0</v>
      </c>
      <c r="DT14" s="40">
        <f t="shared" si="40"/>
        <v>0</v>
      </c>
      <c r="DW14" s="40">
        <f t="shared" si="41"/>
        <v>0</v>
      </c>
      <c r="DZ14" s="40"/>
      <c r="EA14" s="40"/>
      <c r="EB14" s="75">
        <f t="shared" si="42"/>
        <v>184275000</v>
      </c>
      <c r="EC14" s="75">
        <f t="shared" si="43"/>
        <v>0</v>
      </c>
      <c r="ED14" s="40">
        <f t="shared" si="44"/>
        <v>13282.180555555555</v>
      </c>
      <c r="EE14" s="41">
        <f t="shared" si="45"/>
        <v>2.5948093881427211E-2</v>
      </c>
      <c r="EG14" s="75">
        <f t="shared" si="46"/>
        <v>0</v>
      </c>
      <c r="EH14" s="40">
        <f t="shared" si="47"/>
        <v>0</v>
      </c>
      <c r="EI14" s="41">
        <f t="shared" si="48"/>
        <v>0</v>
      </c>
      <c r="EJ14" s="41"/>
      <c r="EK14" s="75">
        <f t="shared" si="49"/>
        <v>184275000</v>
      </c>
      <c r="EL14" s="75">
        <f t="shared" si="50"/>
        <v>0</v>
      </c>
      <c r="EM14" s="75">
        <f t="shared" si="51"/>
        <v>13282.180555555555</v>
      </c>
      <c r="EN14" s="41">
        <f t="shared" si="52"/>
        <v>2.5948093881427211E-2</v>
      </c>
      <c r="EP14" s="40"/>
    </row>
    <row r="15" spans="1:147" x14ac:dyDescent="0.25">
      <c r="A15" s="25">
        <f t="shared" si="53"/>
        <v>43651</v>
      </c>
      <c r="D15" s="40">
        <f t="shared" si="2"/>
        <v>0</v>
      </c>
      <c r="G15" s="40">
        <f t="shared" si="3"/>
        <v>0</v>
      </c>
      <c r="J15" s="40">
        <f t="shared" si="4"/>
        <v>0</v>
      </c>
      <c r="M15" s="40">
        <f t="shared" si="5"/>
        <v>0</v>
      </c>
      <c r="P15" s="40">
        <f t="shared" si="6"/>
        <v>0</v>
      </c>
      <c r="S15" s="40">
        <f t="shared" si="7"/>
        <v>0</v>
      </c>
      <c r="V15" s="40">
        <f t="shared" si="8"/>
        <v>0</v>
      </c>
      <c r="Y15" s="40">
        <f t="shared" si="9"/>
        <v>0</v>
      </c>
      <c r="AB15" s="40">
        <f t="shared" si="10"/>
        <v>0</v>
      </c>
      <c r="AE15" s="40">
        <v>0</v>
      </c>
      <c r="AH15" s="40">
        <v>0</v>
      </c>
      <c r="AI15" s="73">
        <f>22675000+425000</f>
        <v>23100000</v>
      </c>
      <c r="AJ15" s="74">
        <v>2.5399999999999999E-2</v>
      </c>
      <c r="AK15" s="40">
        <f t="shared" si="11"/>
        <v>1629.8333333333333</v>
      </c>
      <c r="AL15" s="73">
        <f t="shared" si="0"/>
        <v>35000000</v>
      </c>
      <c r="AM15" s="74">
        <v>2.7E-2</v>
      </c>
      <c r="AN15" s="40">
        <f t="shared" si="12"/>
        <v>2625</v>
      </c>
      <c r="AO15" s="73">
        <v>74275000</v>
      </c>
      <c r="AP15" s="74">
        <v>2.5399999999999999E-2</v>
      </c>
      <c r="AQ15" s="40">
        <f t="shared" si="13"/>
        <v>5240.5138888888887</v>
      </c>
      <c r="AR15" s="73">
        <f t="shared" si="1"/>
        <v>50000000</v>
      </c>
      <c r="AS15" s="74">
        <v>2.63E-2</v>
      </c>
      <c r="AT15" s="40">
        <f t="shared" si="14"/>
        <v>3652.7777777777778</v>
      </c>
      <c r="AW15" s="40">
        <f t="shared" si="15"/>
        <v>0</v>
      </c>
      <c r="AZ15" s="40">
        <f t="shared" si="16"/>
        <v>0</v>
      </c>
      <c r="BC15" s="40">
        <f t="shared" si="17"/>
        <v>0</v>
      </c>
      <c r="BF15" s="40">
        <f t="shared" si="18"/>
        <v>0</v>
      </c>
      <c r="BI15" s="40">
        <f t="shared" si="19"/>
        <v>0</v>
      </c>
      <c r="BL15" s="40">
        <f t="shared" si="20"/>
        <v>0</v>
      </c>
      <c r="BO15" s="40">
        <f t="shared" si="21"/>
        <v>0</v>
      </c>
      <c r="BR15" s="40">
        <f t="shared" si="22"/>
        <v>0</v>
      </c>
      <c r="BU15" s="40">
        <f t="shared" si="23"/>
        <v>0</v>
      </c>
      <c r="BX15" s="40">
        <f t="shared" si="24"/>
        <v>0</v>
      </c>
      <c r="CA15" s="40">
        <f t="shared" si="25"/>
        <v>0</v>
      </c>
      <c r="CD15" s="40">
        <f t="shared" si="26"/>
        <v>0</v>
      </c>
      <c r="CG15" s="40">
        <f t="shared" si="27"/>
        <v>0</v>
      </c>
      <c r="CJ15" s="40">
        <f t="shared" si="28"/>
        <v>0</v>
      </c>
      <c r="CM15" s="40">
        <f t="shared" si="29"/>
        <v>0</v>
      </c>
      <c r="CP15" s="40">
        <f t="shared" si="30"/>
        <v>0</v>
      </c>
      <c r="CS15" s="40">
        <f t="shared" si="31"/>
        <v>0</v>
      </c>
      <c r="CV15" s="40">
        <f t="shared" si="32"/>
        <v>0</v>
      </c>
      <c r="CY15" s="40">
        <f t="shared" si="33"/>
        <v>0</v>
      </c>
      <c r="DB15" s="40">
        <f t="shared" si="34"/>
        <v>0</v>
      </c>
      <c r="DE15" s="40">
        <f t="shared" si="35"/>
        <v>0</v>
      </c>
      <c r="DH15" s="40">
        <f t="shared" si="36"/>
        <v>0</v>
      </c>
      <c r="DK15" s="40">
        <f t="shared" si="37"/>
        <v>0</v>
      </c>
      <c r="DN15" s="40">
        <f t="shared" si="38"/>
        <v>0</v>
      </c>
      <c r="DQ15" s="40">
        <f t="shared" si="39"/>
        <v>0</v>
      </c>
      <c r="DT15" s="40">
        <f t="shared" si="40"/>
        <v>0</v>
      </c>
      <c r="DW15" s="40">
        <f t="shared" si="41"/>
        <v>0</v>
      </c>
      <c r="DZ15" s="40"/>
      <c r="EA15" s="40"/>
      <c r="EB15" s="75">
        <f t="shared" si="42"/>
        <v>182375000</v>
      </c>
      <c r="EC15" s="75">
        <f t="shared" si="43"/>
        <v>0</v>
      </c>
      <c r="ED15" s="40">
        <f t="shared" si="44"/>
        <v>13148.125</v>
      </c>
      <c r="EE15" s="41">
        <f t="shared" si="45"/>
        <v>2.5953803975325568E-2</v>
      </c>
      <c r="EG15" s="75">
        <f t="shared" si="46"/>
        <v>0</v>
      </c>
      <c r="EH15" s="40">
        <f t="shared" si="47"/>
        <v>0</v>
      </c>
      <c r="EI15" s="41">
        <f t="shared" si="48"/>
        <v>0</v>
      </c>
      <c r="EJ15" s="41"/>
      <c r="EK15" s="75">
        <f t="shared" si="49"/>
        <v>182375000</v>
      </c>
      <c r="EL15" s="75">
        <f t="shared" si="50"/>
        <v>0</v>
      </c>
      <c r="EM15" s="75">
        <f t="shared" si="51"/>
        <v>13148.125</v>
      </c>
      <c r="EN15" s="41">
        <f t="shared" si="52"/>
        <v>2.5953803975325568E-2</v>
      </c>
      <c r="EP15" s="40"/>
    </row>
    <row r="16" spans="1:147" x14ac:dyDescent="0.25">
      <c r="A16" s="25">
        <f t="shared" si="53"/>
        <v>43652</v>
      </c>
      <c r="D16" s="40">
        <f t="shared" si="2"/>
        <v>0</v>
      </c>
      <c r="G16" s="40">
        <f t="shared" si="3"/>
        <v>0</v>
      </c>
      <c r="J16" s="40">
        <f t="shared" si="4"/>
        <v>0</v>
      </c>
      <c r="M16" s="40">
        <f t="shared" si="5"/>
        <v>0</v>
      </c>
      <c r="P16" s="40">
        <f t="shared" si="6"/>
        <v>0</v>
      </c>
      <c r="S16" s="40">
        <f t="shared" si="7"/>
        <v>0</v>
      </c>
      <c r="V16" s="40">
        <f t="shared" si="8"/>
        <v>0</v>
      </c>
      <c r="Y16" s="40">
        <f t="shared" si="9"/>
        <v>0</v>
      </c>
      <c r="AB16" s="40">
        <f t="shared" si="10"/>
        <v>0</v>
      </c>
      <c r="AE16" s="40">
        <v>0</v>
      </c>
      <c r="AH16" s="40">
        <v>0</v>
      </c>
      <c r="AI16" s="73">
        <f>22675000+425000</f>
        <v>23100000</v>
      </c>
      <c r="AJ16" s="74">
        <v>2.5399999999999999E-2</v>
      </c>
      <c r="AK16" s="40">
        <f t="shared" si="11"/>
        <v>1629.8333333333333</v>
      </c>
      <c r="AL16" s="73">
        <f t="shared" si="0"/>
        <v>35000000</v>
      </c>
      <c r="AM16" s="74">
        <v>2.7E-2</v>
      </c>
      <c r="AN16" s="40">
        <f t="shared" si="12"/>
        <v>2625</v>
      </c>
      <c r="AO16" s="73">
        <v>74275000</v>
      </c>
      <c r="AP16" s="74">
        <v>2.5399999999999999E-2</v>
      </c>
      <c r="AQ16" s="40">
        <f t="shared" si="13"/>
        <v>5240.5138888888887</v>
      </c>
      <c r="AR16" s="73">
        <f t="shared" si="1"/>
        <v>50000000</v>
      </c>
      <c r="AS16" s="74">
        <v>2.63E-2</v>
      </c>
      <c r="AT16" s="40">
        <f t="shared" si="14"/>
        <v>3652.7777777777778</v>
      </c>
      <c r="AW16" s="40">
        <f t="shared" si="15"/>
        <v>0</v>
      </c>
      <c r="AZ16" s="40">
        <f t="shared" si="16"/>
        <v>0</v>
      </c>
      <c r="BC16" s="40">
        <f t="shared" si="17"/>
        <v>0</v>
      </c>
      <c r="BF16" s="40">
        <f t="shared" si="18"/>
        <v>0</v>
      </c>
      <c r="BI16" s="40">
        <f t="shared" si="19"/>
        <v>0</v>
      </c>
      <c r="BL16" s="40">
        <f t="shared" si="20"/>
        <v>0</v>
      </c>
      <c r="BO16" s="40">
        <f t="shared" si="21"/>
        <v>0</v>
      </c>
      <c r="BR16" s="40">
        <f t="shared" si="22"/>
        <v>0</v>
      </c>
      <c r="BU16" s="40">
        <f t="shared" si="23"/>
        <v>0</v>
      </c>
      <c r="BX16" s="40">
        <f t="shared" si="24"/>
        <v>0</v>
      </c>
      <c r="CA16" s="40">
        <f t="shared" si="25"/>
        <v>0</v>
      </c>
      <c r="CD16" s="40">
        <f t="shared" si="26"/>
        <v>0</v>
      </c>
      <c r="CG16" s="40">
        <f t="shared" si="27"/>
        <v>0</v>
      </c>
      <c r="CJ16" s="40">
        <f t="shared" si="28"/>
        <v>0</v>
      </c>
      <c r="CM16" s="40">
        <f t="shared" si="29"/>
        <v>0</v>
      </c>
      <c r="CP16" s="40">
        <f t="shared" si="30"/>
        <v>0</v>
      </c>
      <c r="CS16" s="40">
        <f t="shared" si="31"/>
        <v>0</v>
      </c>
      <c r="CV16" s="40">
        <f t="shared" si="32"/>
        <v>0</v>
      </c>
      <c r="CY16" s="40">
        <f t="shared" si="33"/>
        <v>0</v>
      </c>
      <c r="DB16" s="40">
        <f t="shared" si="34"/>
        <v>0</v>
      </c>
      <c r="DE16" s="40">
        <f t="shared" si="35"/>
        <v>0</v>
      </c>
      <c r="DH16" s="40">
        <f t="shared" si="36"/>
        <v>0</v>
      </c>
      <c r="DK16" s="40">
        <f t="shared" si="37"/>
        <v>0</v>
      </c>
      <c r="DN16" s="40">
        <f t="shared" si="38"/>
        <v>0</v>
      </c>
      <c r="DQ16" s="40">
        <f t="shared" si="39"/>
        <v>0</v>
      </c>
      <c r="DT16" s="40">
        <f t="shared" si="40"/>
        <v>0</v>
      </c>
      <c r="DW16" s="40">
        <f t="shared" si="41"/>
        <v>0</v>
      </c>
      <c r="DZ16" s="40"/>
      <c r="EA16" s="40"/>
      <c r="EB16" s="75">
        <f t="shared" si="42"/>
        <v>182375000</v>
      </c>
      <c r="EC16" s="75">
        <f t="shared" si="43"/>
        <v>0</v>
      </c>
      <c r="ED16" s="40">
        <f t="shared" si="44"/>
        <v>13148.125</v>
      </c>
      <c r="EE16" s="41">
        <f t="shared" si="45"/>
        <v>2.5953803975325568E-2</v>
      </c>
      <c r="EG16" s="75">
        <f t="shared" si="46"/>
        <v>0</v>
      </c>
      <c r="EH16" s="40">
        <f t="shared" si="47"/>
        <v>0</v>
      </c>
      <c r="EI16" s="41">
        <f t="shared" si="48"/>
        <v>0</v>
      </c>
      <c r="EJ16" s="41"/>
      <c r="EK16" s="75">
        <f t="shared" si="49"/>
        <v>182375000</v>
      </c>
      <c r="EL16" s="75">
        <f t="shared" si="50"/>
        <v>0</v>
      </c>
      <c r="EM16" s="75">
        <f t="shared" si="51"/>
        <v>13148.125</v>
      </c>
      <c r="EN16" s="41">
        <f t="shared" si="52"/>
        <v>2.5953803975325568E-2</v>
      </c>
      <c r="EP16" s="40"/>
    </row>
    <row r="17" spans="1:146" x14ac:dyDescent="0.25">
      <c r="A17" s="25">
        <f t="shared" si="53"/>
        <v>43653</v>
      </c>
      <c r="D17" s="40">
        <f t="shared" si="2"/>
        <v>0</v>
      </c>
      <c r="G17" s="40">
        <f t="shared" si="3"/>
        <v>0</v>
      </c>
      <c r="J17" s="40">
        <f t="shared" si="4"/>
        <v>0</v>
      </c>
      <c r="M17" s="40">
        <f t="shared" si="5"/>
        <v>0</v>
      </c>
      <c r="P17" s="40">
        <f t="shared" si="6"/>
        <v>0</v>
      </c>
      <c r="S17" s="40">
        <f t="shared" si="7"/>
        <v>0</v>
      </c>
      <c r="V17" s="40">
        <f t="shared" si="8"/>
        <v>0</v>
      </c>
      <c r="Y17" s="40">
        <f t="shared" si="9"/>
        <v>0</v>
      </c>
      <c r="AB17" s="40">
        <f t="shared" si="10"/>
        <v>0</v>
      </c>
      <c r="AE17" s="40">
        <v>0</v>
      </c>
      <c r="AH17" s="40">
        <v>0</v>
      </c>
      <c r="AI17" s="73">
        <f>22675000+425000</f>
        <v>23100000</v>
      </c>
      <c r="AJ17" s="74">
        <v>2.5399999999999999E-2</v>
      </c>
      <c r="AK17" s="40">
        <f t="shared" si="11"/>
        <v>1629.8333333333333</v>
      </c>
      <c r="AL17" s="73">
        <f t="shared" si="0"/>
        <v>35000000</v>
      </c>
      <c r="AM17" s="74">
        <v>2.7E-2</v>
      </c>
      <c r="AN17" s="40">
        <f t="shared" si="12"/>
        <v>2625</v>
      </c>
      <c r="AO17" s="73">
        <v>74275000</v>
      </c>
      <c r="AP17" s="74">
        <v>2.5399999999999999E-2</v>
      </c>
      <c r="AQ17" s="40">
        <f t="shared" si="13"/>
        <v>5240.5138888888887</v>
      </c>
      <c r="AR17" s="73">
        <f t="shared" si="1"/>
        <v>50000000</v>
      </c>
      <c r="AS17" s="74">
        <v>2.63E-2</v>
      </c>
      <c r="AT17" s="40">
        <f t="shared" si="14"/>
        <v>3652.7777777777778</v>
      </c>
      <c r="AW17" s="40">
        <f t="shared" si="15"/>
        <v>0</v>
      </c>
      <c r="AZ17" s="40">
        <f t="shared" si="16"/>
        <v>0</v>
      </c>
      <c r="BC17" s="40">
        <f t="shared" si="17"/>
        <v>0</v>
      </c>
      <c r="BF17" s="40">
        <f t="shared" si="18"/>
        <v>0</v>
      </c>
      <c r="BI17" s="40">
        <f t="shared" si="19"/>
        <v>0</v>
      </c>
      <c r="BL17" s="40">
        <f t="shared" si="20"/>
        <v>0</v>
      </c>
      <c r="BO17" s="40">
        <f t="shared" si="21"/>
        <v>0</v>
      </c>
      <c r="BR17" s="40">
        <f t="shared" si="22"/>
        <v>0</v>
      </c>
      <c r="BU17" s="40">
        <f t="shared" si="23"/>
        <v>0</v>
      </c>
      <c r="BX17" s="40">
        <f t="shared" si="24"/>
        <v>0</v>
      </c>
      <c r="CA17" s="40">
        <f t="shared" si="25"/>
        <v>0</v>
      </c>
      <c r="CD17" s="40">
        <f t="shared" si="26"/>
        <v>0</v>
      </c>
      <c r="CG17" s="40">
        <f t="shared" si="27"/>
        <v>0</v>
      </c>
      <c r="CJ17" s="40">
        <f t="shared" si="28"/>
        <v>0</v>
      </c>
      <c r="CM17" s="40">
        <f t="shared" si="29"/>
        <v>0</v>
      </c>
      <c r="CP17" s="40">
        <f t="shared" si="30"/>
        <v>0</v>
      </c>
      <c r="CS17" s="40">
        <f t="shared" si="31"/>
        <v>0</v>
      </c>
      <c r="CV17" s="40">
        <f t="shared" si="32"/>
        <v>0</v>
      </c>
      <c r="CY17" s="40">
        <f t="shared" si="33"/>
        <v>0</v>
      </c>
      <c r="DB17" s="40">
        <f t="shared" si="34"/>
        <v>0</v>
      </c>
      <c r="DE17" s="40">
        <f t="shared" si="35"/>
        <v>0</v>
      </c>
      <c r="DH17" s="40">
        <f t="shared" si="36"/>
        <v>0</v>
      </c>
      <c r="DK17" s="40">
        <f t="shared" si="37"/>
        <v>0</v>
      </c>
      <c r="DN17" s="40">
        <f t="shared" si="38"/>
        <v>0</v>
      </c>
      <c r="DQ17" s="40">
        <f t="shared" si="39"/>
        <v>0</v>
      </c>
      <c r="DT17" s="40">
        <f t="shared" si="40"/>
        <v>0</v>
      </c>
      <c r="DW17" s="40">
        <f t="shared" si="41"/>
        <v>0</v>
      </c>
      <c r="DZ17" s="40"/>
      <c r="EA17" s="40"/>
      <c r="EB17" s="75">
        <f t="shared" si="42"/>
        <v>182375000</v>
      </c>
      <c r="EC17" s="75">
        <f t="shared" si="43"/>
        <v>0</v>
      </c>
      <c r="ED17" s="40">
        <f t="shared" si="44"/>
        <v>13148.125</v>
      </c>
      <c r="EE17" s="41">
        <f t="shared" si="45"/>
        <v>2.5953803975325568E-2</v>
      </c>
      <c r="EG17" s="75">
        <f t="shared" si="46"/>
        <v>0</v>
      </c>
      <c r="EH17" s="40">
        <f t="shared" si="47"/>
        <v>0</v>
      </c>
      <c r="EI17" s="41">
        <f t="shared" si="48"/>
        <v>0</v>
      </c>
      <c r="EJ17" s="41"/>
      <c r="EK17" s="75">
        <f t="shared" si="49"/>
        <v>182375000</v>
      </c>
      <c r="EL17" s="75">
        <f t="shared" si="50"/>
        <v>0</v>
      </c>
      <c r="EM17" s="75">
        <f t="shared" si="51"/>
        <v>13148.125</v>
      </c>
      <c r="EN17" s="41">
        <f t="shared" si="52"/>
        <v>2.5953803975325568E-2</v>
      </c>
      <c r="EP17" s="40"/>
    </row>
    <row r="18" spans="1:146" x14ac:dyDescent="0.25">
      <c r="A18" s="25">
        <f t="shared" si="53"/>
        <v>43654</v>
      </c>
      <c r="D18" s="40">
        <f t="shared" si="2"/>
        <v>0</v>
      </c>
      <c r="G18" s="40">
        <f t="shared" si="3"/>
        <v>0</v>
      </c>
      <c r="J18" s="40">
        <f t="shared" si="4"/>
        <v>0</v>
      </c>
      <c r="M18" s="40">
        <f t="shared" si="5"/>
        <v>0</v>
      </c>
      <c r="P18" s="40">
        <f t="shared" si="6"/>
        <v>0</v>
      </c>
      <c r="S18" s="40">
        <f t="shared" si="7"/>
        <v>0</v>
      </c>
      <c r="V18" s="40">
        <f t="shared" si="8"/>
        <v>0</v>
      </c>
      <c r="Y18" s="40">
        <f t="shared" si="9"/>
        <v>0</v>
      </c>
      <c r="AB18" s="40">
        <f t="shared" si="10"/>
        <v>0</v>
      </c>
      <c r="AE18" s="40">
        <v>0</v>
      </c>
      <c r="AH18" s="40">
        <v>0</v>
      </c>
      <c r="AI18" s="73">
        <f>97150000</f>
        <v>97150000</v>
      </c>
      <c r="AJ18" s="74">
        <v>2.5399999999999999E-2</v>
      </c>
      <c r="AK18" s="40">
        <f t="shared" si="11"/>
        <v>6854.4722222222226</v>
      </c>
      <c r="AL18" s="73"/>
      <c r="AM18" s="74"/>
      <c r="AN18" s="40">
        <f t="shared" si="12"/>
        <v>0</v>
      </c>
      <c r="AO18" s="73"/>
      <c r="AP18" s="74"/>
      <c r="AQ18" s="40">
        <f t="shared" si="13"/>
        <v>0</v>
      </c>
      <c r="AR18" s="73">
        <f t="shared" ref="AR18:AR41" si="54">50000000+30000000</f>
        <v>80000000</v>
      </c>
      <c r="AS18" s="74">
        <v>2.63E-2</v>
      </c>
      <c r="AT18" s="40">
        <f t="shared" si="14"/>
        <v>5844.4444444444443</v>
      </c>
      <c r="AW18" s="40">
        <f t="shared" si="15"/>
        <v>0</v>
      </c>
      <c r="AZ18" s="40">
        <f t="shared" si="16"/>
        <v>0</v>
      </c>
      <c r="BC18" s="40">
        <f t="shared" si="17"/>
        <v>0</v>
      </c>
      <c r="BF18" s="40">
        <f t="shared" si="18"/>
        <v>0</v>
      </c>
      <c r="BI18" s="40">
        <f t="shared" si="19"/>
        <v>0</v>
      </c>
      <c r="BL18" s="40">
        <f t="shared" si="20"/>
        <v>0</v>
      </c>
      <c r="BO18" s="40">
        <f t="shared" si="21"/>
        <v>0</v>
      </c>
      <c r="BR18" s="40">
        <f t="shared" si="22"/>
        <v>0</v>
      </c>
      <c r="BU18" s="40">
        <f t="shared" si="23"/>
        <v>0</v>
      </c>
      <c r="BX18" s="40">
        <f t="shared" si="24"/>
        <v>0</v>
      </c>
      <c r="CA18" s="40">
        <f t="shared" si="25"/>
        <v>0</v>
      </c>
      <c r="CD18" s="40">
        <f t="shared" si="26"/>
        <v>0</v>
      </c>
      <c r="CG18" s="40">
        <f t="shared" si="27"/>
        <v>0</v>
      </c>
      <c r="CJ18" s="40">
        <f t="shared" si="28"/>
        <v>0</v>
      </c>
      <c r="CM18" s="40">
        <f t="shared" si="29"/>
        <v>0</v>
      </c>
      <c r="CP18" s="40">
        <f t="shared" si="30"/>
        <v>0</v>
      </c>
      <c r="CS18" s="40">
        <f t="shared" si="31"/>
        <v>0</v>
      </c>
      <c r="CV18" s="40">
        <f t="shared" si="32"/>
        <v>0</v>
      </c>
      <c r="CY18" s="40">
        <f t="shared" si="33"/>
        <v>0</v>
      </c>
      <c r="DB18" s="40">
        <f t="shared" si="34"/>
        <v>0</v>
      </c>
      <c r="DE18" s="40">
        <f t="shared" si="35"/>
        <v>0</v>
      </c>
      <c r="DH18" s="40">
        <f t="shared" si="36"/>
        <v>0</v>
      </c>
      <c r="DK18" s="40">
        <f t="shared" si="37"/>
        <v>0</v>
      </c>
      <c r="DN18" s="40">
        <f t="shared" si="38"/>
        <v>0</v>
      </c>
      <c r="DQ18" s="40">
        <f t="shared" si="39"/>
        <v>0</v>
      </c>
      <c r="DT18" s="40">
        <f t="shared" si="40"/>
        <v>0</v>
      </c>
      <c r="DW18" s="40">
        <f t="shared" si="41"/>
        <v>0</v>
      </c>
      <c r="DZ18" s="40"/>
      <c r="EA18" s="40"/>
      <c r="EB18" s="75">
        <f t="shared" si="42"/>
        <v>177150000</v>
      </c>
      <c r="EC18" s="75">
        <f t="shared" si="43"/>
        <v>0</v>
      </c>
      <c r="ED18" s="40">
        <f t="shared" si="44"/>
        <v>12698.916666666668</v>
      </c>
      <c r="EE18" s="41">
        <f t="shared" si="45"/>
        <v>2.5806435224386116E-2</v>
      </c>
      <c r="EG18" s="75">
        <f t="shared" si="46"/>
        <v>0</v>
      </c>
      <c r="EH18" s="40">
        <f t="shared" si="47"/>
        <v>0</v>
      </c>
      <c r="EI18" s="41">
        <f t="shared" si="48"/>
        <v>0</v>
      </c>
      <c r="EJ18" s="41"/>
      <c r="EK18" s="75">
        <f t="shared" si="49"/>
        <v>177150000</v>
      </c>
      <c r="EL18" s="75">
        <f t="shared" si="50"/>
        <v>0</v>
      </c>
      <c r="EM18" s="75">
        <f t="shared" si="51"/>
        <v>12698.916666666668</v>
      </c>
      <c r="EN18" s="41">
        <f t="shared" si="52"/>
        <v>2.5806435224386116E-2</v>
      </c>
      <c r="EP18" s="40"/>
    </row>
    <row r="19" spans="1:146" x14ac:dyDescent="0.25">
      <c r="A19" s="25">
        <f t="shared" si="53"/>
        <v>43655</v>
      </c>
      <c r="D19" s="40">
        <f t="shared" si="2"/>
        <v>0</v>
      </c>
      <c r="G19" s="40">
        <f t="shared" si="3"/>
        <v>0</v>
      </c>
      <c r="J19" s="40">
        <f t="shared" si="4"/>
        <v>0</v>
      </c>
      <c r="M19" s="40">
        <f t="shared" si="5"/>
        <v>0</v>
      </c>
      <c r="P19" s="40">
        <f t="shared" si="6"/>
        <v>0</v>
      </c>
      <c r="S19" s="40">
        <f t="shared" si="7"/>
        <v>0</v>
      </c>
      <c r="V19" s="40">
        <f t="shared" si="8"/>
        <v>0</v>
      </c>
      <c r="Y19" s="40">
        <f t="shared" si="9"/>
        <v>0</v>
      </c>
      <c r="AB19" s="40">
        <f t="shared" si="10"/>
        <v>0</v>
      </c>
      <c r="AE19" s="40">
        <v>0</v>
      </c>
      <c r="AH19" s="40">
        <v>0</v>
      </c>
      <c r="AI19" s="73">
        <f>81575000</f>
        <v>81575000</v>
      </c>
      <c r="AJ19" s="74">
        <v>2.5399999999999999E-2</v>
      </c>
      <c r="AK19" s="40">
        <f t="shared" si="11"/>
        <v>5755.5694444444443</v>
      </c>
      <c r="AL19" s="73"/>
      <c r="AM19" s="74"/>
      <c r="AN19" s="40">
        <f t="shared" si="12"/>
        <v>0</v>
      </c>
      <c r="AO19" s="73"/>
      <c r="AP19" s="74"/>
      <c r="AQ19" s="40">
        <f t="shared" si="13"/>
        <v>0</v>
      </c>
      <c r="AR19" s="73">
        <f t="shared" si="54"/>
        <v>80000000</v>
      </c>
      <c r="AS19" s="74">
        <v>2.63E-2</v>
      </c>
      <c r="AT19" s="40">
        <f t="shared" si="14"/>
        <v>5844.4444444444443</v>
      </c>
      <c r="AW19" s="40">
        <f t="shared" si="15"/>
        <v>0</v>
      </c>
      <c r="AZ19" s="40">
        <f t="shared" si="16"/>
        <v>0</v>
      </c>
      <c r="BC19" s="40">
        <f t="shared" si="17"/>
        <v>0</v>
      </c>
      <c r="BF19" s="40">
        <f t="shared" si="18"/>
        <v>0</v>
      </c>
      <c r="BI19" s="40">
        <f t="shared" si="19"/>
        <v>0</v>
      </c>
      <c r="BL19" s="40">
        <f t="shared" si="20"/>
        <v>0</v>
      </c>
      <c r="BO19" s="40">
        <f t="shared" si="21"/>
        <v>0</v>
      </c>
      <c r="BR19" s="40">
        <f t="shared" si="22"/>
        <v>0</v>
      </c>
      <c r="BU19" s="40">
        <f t="shared" si="23"/>
        <v>0</v>
      </c>
      <c r="BX19" s="40">
        <f t="shared" si="24"/>
        <v>0</v>
      </c>
      <c r="CA19" s="40">
        <f t="shared" si="25"/>
        <v>0</v>
      </c>
      <c r="CD19" s="40">
        <f t="shared" si="26"/>
        <v>0</v>
      </c>
      <c r="CG19" s="40">
        <f t="shared" si="27"/>
        <v>0</v>
      </c>
      <c r="CJ19" s="40">
        <f t="shared" si="28"/>
        <v>0</v>
      </c>
      <c r="CM19" s="40">
        <f t="shared" si="29"/>
        <v>0</v>
      </c>
      <c r="CP19" s="40">
        <f t="shared" si="30"/>
        <v>0</v>
      </c>
      <c r="CS19" s="40">
        <f t="shared" si="31"/>
        <v>0</v>
      </c>
      <c r="CV19" s="40">
        <f t="shared" si="32"/>
        <v>0</v>
      </c>
      <c r="CY19" s="40">
        <f t="shared" si="33"/>
        <v>0</v>
      </c>
      <c r="DB19" s="40">
        <f t="shared" si="34"/>
        <v>0</v>
      </c>
      <c r="DE19" s="40">
        <f t="shared" si="35"/>
        <v>0</v>
      </c>
      <c r="DH19" s="40">
        <f t="shared" si="36"/>
        <v>0</v>
      </c>
      <c r="DK19" s="40">
        <f t="shared" si="37"/>
        <v>0</v>
      </c>
      <c r="DN19" s="40">
        <f t="shared" si="38"/>
        <v>0</v>
      </c>
      <c r="DQ19" s="40">
        <f t="shared" si="39"/>
        <v>0</v>
      </c>
      <c r="DT19" s="40">
        <f t="shared" si="40"/>
        <v>0</v>
      </c>
      <c r="DW19" s="40">
        <f t="shared" si="41"/>
        <v>0</v>
      </c>
      <c r="DZ19" s="40"/>
      <c r="EA19" s="40"/>
      <c r="EB19" s="75">
        <f t="shared" si="42"/>
        <v>161575000</v>
      </c>
      <c r="EC19" s="75">
        <f t="shared" si="43"/>
        <v>0</v>
      </c>
      <c r="ED19" s="40">
        <f t="shared" si="44"/>
        <v>11600.013888888889</v>
      </c>
      <c r="EE19" s="41">
        <f t="shared" si="45"/>
        <v>2.5845613492186292E-2</v>
      </c>
      <c r="EG19" s="75">
        <f t="shared" si="46"/>
        <v>0</v>
      </c>
      <c r="EH19" s="40">
        <f t="shared" si="47"/>
        <v>0</v>
      </c>
      <c r="EI19" s="41">
        <f t="shared" si="48"/>
        <v>0</v>
      </c>
      <c r="EJ19" s="41"/>
      <c r="EK19" s="75">
        <f t="shared" si="49"/>
        <v>161575000</v>
      </c>
      <c r="EL19" s="75">
        <f t="shared" si="50"/>
        <v>0</v>
      </c>
      <c r="EM19" s="75">
        <f t="shared" si="51"/>
        <v>11600.013888888889</v>
      </c>
      <c r="EN19" s="41">
        <f t="shared" si="52"/>
        <v>2.5845613492186292E-2</v>
      </c>
      <c r="EP19" s="40"/>
    </row>
    <row r="20" spans="1:146" x14ac:dyDescent="0.25">
      <c r="A20" s="25">
        <f t="shared" si="53"/>
        <v>43656</v>
      </c>
      <c r="D20" s="40">
        <f t="shared" si="2"/>
        <v>0</v>
      </c>
      <c r="G20" s="40">
        <f t="shared" si="3"/>
        <v>0</v>
      </c>
      <c r="J20" s="40">
        <f t="shared" si="4"/>
        <v>0</v>
      </c>
      <c r="M20" s="40">
        <f t="shared" si="5"/>
        <v>0</v>
      </c>
      <c r="P20" s="40">
        <f t="shared" si="6"/>
        <v>0</v>
      </c>
      <c r="S20" s="40">
        <f t="shared" si="7"/>
        <v>0</v>
      </c>
      <c r="V20" s="40">
        <f t="shared" si="8"/>
        <v>0</v>
      </c>
      <c r="Y20" s="40">
        <f t="shared" si="9"/>
        <v>0</v>
      </c>
      <c r="AB20" s="40">
        <f t="shared" si="10"/>
        <v>0</v>
      </c>
      <c r="AE20" s="40">
        <v>0</v>
      </c>
      <c r="AH20" s="40">
        <v>0</v>
      </c>
      <c r="AI20" s="73">
        <f>74225000</f>
        <v>74225000</v>
      </c>
      <c r="AJ20" s="74">
        <v>2.5399999999999999E-2</v>
      </c>
      <c r="AK20" s="40">
        <f t="shared" si="11"/>
        <v>5236.9861111111113</v>
      </c>
      <c r="AL20" s="73"/>
      <c r="AM20" s="74"/>
      <c r="AN20" s="40">
        <f t="shared" si="12"/>
        <v>0</v>
      </c>
      <c r="AO20" s="73"/>
      <c r="AP20" s="74"/>
      <c r="AQ20" s="40">
        <f t="shared" si="13"/>
        <v>0</v>
      </c>
      <c r="AR20" s="73">
        <f t="shared" si="54"/>
        <v>80000000</v>
      </c>
      <c r="AS20" s="74">
        <v>2.63E-2</v>
      </c>
      <c r="AT20" s="40">
        <f t="shared" si="14"/>
        <v>5844.4444444444443</v>
      </c>
      <c r="AW20" s="40">
        <f t="shared" si="15"/>
        <v>0</v>
      </c>
      <c r="AZ20" s="40">
        <f t="shared" si="16"/>
        <v>0</v>
      </c>
      <c r="BC20" s="40">
        <f t="shared" si="17"/>
        <v>0</v>
      </c>
      <c r="BF20" s="40">
        <f t="shared" si="18"/>
        <v>0</v>
      </c>
      <c r="BI20" s="40">
        <f t="shared" si="19"/>
        <v>0</v>
      </c>
      <c r="BL20" s="40">
        <f t="shared" si="20"/>
        <v>0</v>
      </c>
      <c r="BO20" s="40">
        <f t="shared" si="21"/>
        <v>0</v>
      </c>
      <c r="BR20" s="40">
        <f t="shared" si="22"/>
        <v>0</v>
      </c>
      <c r="BU20" s="40">
        <f t="shared" si="23"/>
        <v>0</v>
      </c>
      <c r="BX20" s="40">
        <f t="shared" si="24"/>
        <v>0</v>
      </c>
      <c r="CA20" s="40">
        <f t="shared" si="25"/>
        <v>0</v>
      </c>
      <c r="CD20" s="40">
        <f t="shared" si="26"/>
        <v>0</v>
      </c>
      <c r="CG20" s="40">
        <f t="shared" si="27"/>
        <v>0</v>
      </c>
      <c r="CJ20" s="40">
        <f t="shared" si="28"/>
        <v>0</v>
      </c>
      <c r="CM20" s="40">
        <f t="shared" si="29"/>
        <v>0</v>
      </c>
      <c r="CP20" s="40">
        <f t="shared" si="30"/>
        <v>0</v>
      </c>
      <c r="CS20" s="40">
        <f t="shared" si="31"/>
        <v>0</v>
      </c>
      <c r="CV20" s="40">
        <f t="shared" si="32"/>
        <v>0</v>
      </c>
      <c r="CY20" s="40">
        <f t="shared" si="33"/>
        <v>0</v>
      </c>
      <c r="DB20" s="40">
        <f t="shared" si="34"/>
        <v>0</v>
      </c>
      <c r="DE20" s="40">
        <f t="shared" si="35"/>
        <v>0</v>
      </c>
      <c r="DH20" s="40">
        <f t="shared" si="36"/>
        <v>0</v>
      </c>
      <c r="DK20" s="40">
        <f t="shared" si="37"/>
        <v>0</v>
      </c>
      <c r="DN20" s="40">
        <f t="shared" si="38"/>
        <v>0</v>
      </c>
      <c r="DQ20" s="40">
        <f t="shared" si="39"/>
        <v>0</v>
      </c>
      <c r="DT20" s="40">
        <f t="shared" si="40"/>
        <v>0</v>
      </c>
      <c r="DW20" s="40">
        <f t="shared" si="41"/>
        <v>0</v>
      </c>
      <c r="DZ20" s="40"/>
      <c r="EA20" s="40"/>
      <c r="EB20" s="75">
        <f t="shared" si="42"/>
        <v>154225000</v>
      </c>
      <c r="EC20" s="75">
        <f t="shared" si="43"/>
        <v>0</v>
      </c>
      <c r="ED20" s="40">
        <f t="shared" si="44"/>
        <v>11081.430555555555</v>
      </c>
      <c r="EE20" s="41">
        <f t="shared" si="45"/>
        <v>2.5866850380936942E-2</v>
      </c>
      <c r="EG20" s="75">
        <f t="shared" si="46"/>
        <v>0</v>
      </c>
      <c r="EH20" s="40">
        <f t="shared" si="47"/>
        <v>0</v>
      </c>
      <c r="EI20" s="41">
        <f t="shared" si="48"/>
        <v>0</v>
      </c>
      <c r="EJ20" s="41"/>
      <c r="EK20" s="75">
        <f t="shared" si="49"/>
        <v>154225000</v>
      </c>
      <c r="EL20" s="75">
        <f t="shared" si="50"/>
        <v>0</v>
      </c>
      <c r="EM20" s="75">
        <f t="shared" si="51"/>
        <v>11081.430555555555</v>
      </c>
      <c r="EN20" s="41">
        <f t="shared" si="52"/>
        <v>2.5866850380936942E-2</v>
      </c>
      <c r="EP20" s="40"/>
    </row>
    <row r="21" spans="1:146" x14ac:dyDescent="0.25">
      <c r="A21" s="25">
        <f t="shared" si="53"/>
        <v>43657</v>
      </c>
      <c r="D21" s="40">
        <f t="shared" si="2"/>
        <v>0</v>
      </c>
      <c r="G21" s="40">
        <f t="shared" si="3"/>
        <v>0</v>
      </c>
      <c r="J21" s="40">
        <f t="shared" si="4"/>
        <v>0</v>
      </c>
      <c r="M21" s="40">
        <f t="shared" si="5"/>
        <v>0</v>
      </c>
      <c r="P21" s="40">
        <f t="shared" si="6"/>
        <v>0</v>
      </c>
      <c r="S21" s="40">
        <f t="shared" si="7"/>
        <v>0</v>
      </c>
      <c r="V21" s="40">
        <f t="shared" si="8"/>
        <v>0</v>
      </c>
      <c r="Y21" s="40">
        <f t="shared" si="9"/>
        <v>0</v>
      </c>
      <c r="AB21" s="40">
        <f t="shared" si="10"/>
        <v>0</v>
      </c>
      <c r="AE21" s="40">
        <v>0</v>
      </c>
      <c r="AH21" s="40">
        <v>0</v>
      </c>
      <c r="AI21" s="73">
        <f>65975000</f>
        <v>65975000</v>
      </c>
      <c r="AJ21" s="74">
        <v>2.5399999999999999E-2</v>
      </c>
      <c r="AK21" s="40">
        <f t="shared" si="11"/>
        <v>4654.9027777777774</v>
      </c>
      <c r="AL21" s="73"/>
      <c r="AM21" s="74"/>
      <c r="AN21" s="40">
        <f t="shared" si="12"/>
        <v>0</v>
      </c>
      <c r="AO21" s="73"/>
      <c r="AP21" s="74"/>
      <c r="AQ21" s="40">
        <f t="shared" si="13"/>
        <v>0</v>
      </c>
      <c r="AR21" s="73">
        <f t="shared" si="54"/>
        <v>80000000</v>
      </c>
      <c r="AS21" s="74">
        <v>2.63E-2</v>
      </c>
      <c r="AT21" s="40">
        <f t="shared" si="14"/>
        <v>5844.4444444444443</v>
      </c>
      <c r="AW21" s="40">
        <f t="shared" si="15"/>
        <v>0</v>
      </c>
      <c r="AZ21" s="40">
        <f t="shared" si="16"/>
        <v>0</v>
      </c>
      <c r="BC21" s="40">
        <f t="shared" si="17"/>
        <v>0</v>
      </c>
      <c r="BF21" s="40">
        <f t="shared" si="18"/>
        <v>0</v>
      </c>
      <c r="BI21" s="40">
        <f t="shared" si="19"/>
        <v>0</v>
      </c>
      <c r="BL21" s="40">
        <f t="shared" si="20"/>
        <v>0</v>
      </c>
      <c r="BO21" s="40">
        <f t="shared" si="21"/>
        <v>0</v>
      </c>
      <c r="BR21" s="40">
        <f t="shared" si="22"/>
        <v>0</v>
      </c>
      <c r="BU21" s="40">
        <f t="shared" si="23"/>
        <v>0</v>
      </c>
      <c r="BX21" s="40">
        <f t="shared" si="24"/>
        <v>0</v>
      </c>
      <c r="CA21" s="40">
        <f t="shared" si="25"/>
        <v>0</v>
      </c>
      <c r="CD21" s="40">
        <f t="shared" si="26"/>
        <v>0</v>
      </c>
      <c r="CG21" s="40">
        <f t="shared" si="27"/>
        <v>0</v>
      </c>
      <c r="CJ21" s="40">
        <f t="shared" si="28"/>
        <v>0</v>
      </c>
      <c r="CM21" s="40">
        <f t="shared" si="29"/>
        <v>0</v>
      </c>
      <c r="CP21" s="40">
        <f t="shared" si="30"/>
        <v>0</v>
      </c>
      <c r="CS21" s="40">
        <f t="shared" si="31"/>
        <v>0</v>
      </c>
      <c r="CV21" s="40">
        <f t="shared" si="32"/>
        <v>0</v>
      </c>
      <c r="CY21" s="40">
        <f t="shared" si="33"/>
        <v>0</v>
      </c>
      <c r="DB21" s="40">
        <f t="shared" si="34"/>
        <v>0</v>
      </c>
      <c r="DE21" s="40">
        <f t="shared" si="35"/>
        <v>0</v>
      </c>
      <c r="DH21" s="40">
        <f t="shared" si="36"/>
        <v>0</v>
      </c>
      <c r="DK21" s="40">
        <f t="shared" si="37"/>
        <v>0</v>
      </c>
      <c r="DN21" s="40">
        <f t="shared" si="38"/>
        <v>0</v>
      </c>
      <c r="DQ21" s="40">
        <f t="shared" si="39"/>
        <v>0</v>
      </c>
      <c r="DT21" s="40">
        <f t="shared" si="40"/>
        <v>0</v>
      </c>
      <c r="DW21" s="40">
        <f t="shared" si="41"/>
        <v>0</v>
      </c>
      <c r="DZ21" s="40"/>
      <c r="EA21" s="40"/>
      <c r="EB21" s="75">
        <f t="shared" si="42"/>
        <v>145975000</v>
      </c>
      <c r="EC21" s="75">
        <f t="shared" si="43"/>
        <v>0</v>
      </c>
      <c r="ED21" s="40">
        <f t="shared" si="44"/>
        <v>10499.347222222223</v>
      </c>
      <c r="EE21" s="41">
        <f t="shared" si="45"/>
        <v>2.5893235143003939E-2</v>
      </c>
      <c r="EG21" s="75">
        <f t="shared" si="46"/>
        <v>0</v>
      </c>
      <c r="EH21" s="40">
        <f t="shared" si="47"/>
        <v>0</v>
      </c>
      <c r="EI21" s="41">
        <f t="shared" si="48"/>
        <v>0</v>
      </c>
      <c r="EJ21" s="41"/>
      <c r="EK21" s="75">
        <f t="shared" si="49"/>
        <v>145975000</v>
      </c>
      <c r="EL21" s="75">
        <f t="shared" si="50"/>
        <v>0</v>
      </c>
      <c r="EM21" s="75">
        <f t="shared" si="51"/>
        <v>10499.347222222223</v>
      </c>
      <c r="EN21" s="41">
        <f t="shared" si="52"/>
        <v>2.5893235143003939E-2</v>
      </c>
      <c r="EP21" s="40"/>
    </row>
    <row r="22" spans="1:146" x14ac:dyDescent="0.25">
      <c r="A22" s="25">
        <f t="shared" si="53"/>
        <v>43658</v>
      </c>
      <c r="D22" s="40">
        <f t="shared" si="2"/>
        <v>0</v>
      </c>
      <c r="G22" s="40">
        <f t="shared" si="3"/>
        <v>0</v>
      </c>
      <c r="J22" s="40">
        <f t="shared" si="4"/>
        <v>0</v>
      </c>
      <c r="M22" s="40">
        <f t="shared" si="5"/>
        <v>0</v>
      </c>
      <c r="P22" s="40">
        <f t="shared" si="6"/>
        <v>0</v>
      </c>
      <c r="S22" s="40">
        <f t="shared" si="7"/>
        <v>0</v>
      </c>
      <c r="V22" s="40">
        <f t="shared" si="8"/>
        <v>0</v>
      </c>
      <c r="Y22" s="40">
        <f t="shared" si="9"/>
        <v>0</v>
      </c>
      <c r="AB22" s="40">
        <f t="shared" si="10"/>
        <v>0</v>
      </c>
      <c r="AE22" s="40">
        <v>0</v>
      </c>
      <c r="AH22" s="40">
        <v>0</v>
      </c>
      <c r="AI22" s="73">
        <f>77150000</f>
        <v>77150000</v>
      </c>
      <c r="AJ22" s="74">
        <v>2.5399999999999999E-2</v>
      </c>
      <c r="AK22" s="40">
        <f t="shared" si="11"/>
        <v>5443.3611111111113</v>
      </c>
      <c r="AL22" s="73"/>
      <c r="AM22" s="74"/>
      <c r="AN22" s="40">
        <f t="shared" si="12"/>
        <v>0</v>
      </c>
      <c r="AO22" s="73"/>
      <c r="AP22" s="74"/>
      <c r="AQ22" s="40">
        <f t="shared" si="13"/>
        <v>0</v>
      </c>
      <c r="AR22" s="73">
        <f t="shared" si="54"/>
        <v>80000000</v>
      </c>
      <c r="AS22" s="74">
        <v>2.63E-2</v>
      </c>
      <c r="AT22" s="40">
        <f t="shared" si="14"/>
        <v>5844.4444444444443</v>
      </c>
      <c r="AW22" s="40">
        <f t="shared" si="15"/>
        <v>0</v>
      </c>
      <c r="AZ22" s="40">
        <f t="shared" si="16"/>
        <v>0</v>
      </c>
      <c r="BC22" s="40">
        <f t="shared" si="17"/>
        <v>0</v>
      </c>
      <c r="BF22" s="40">
        <f t="shared" si="18"/>
        <v>0</v>
      </c>
      <c r="BI22" s="40">
        <f t="shared" si="19"/>
        <v>0</v>
      </c>
      <c r="BL22" s="40">
        <f t="shared" si="20"/>
        <v>0</v>
      </c>
      <c r="BO22" s="40">
        <f t="shared" si="21"/>
        <v>0</v>
      </c>
      <c r="BR22" s="40">
        <f t="shared" si="22"/>
        <v>0</v>
      </c>
      <c r="BU22" s="40">
        <f t="shared" si="23"/>
        <v>0</v>
      </c>
      <c r="BX22" s="40">
        <f t="shared" si="24"/>
        <v>0</v>
      </c>
      <c r="CA22" s="40">
        <f t="shared" si="25"/>
        <v>0</v>
      </c>
      <c r="CD22" s="40">
        <f t="shared" si="26"/>
        <v>0</v>
      </c>
      <c r="CG22" s="40">
        <f t="shared" si="27"/>
        <v>0</v>
      </c>
      <c r="CJ22" s="40">
        <f t="shared" si="28"/>
        <v>0</v>
      </c>
      <c r="CM22" s="40">
        <f t="shared" si="29"/>
        <v>0</v>
      </c>
      <c r="CP22" s="40">
        <f t="shared" si="30"/>
        <v>0</v>
      </c>
      <c r="CS22" s="40">
        <f t="shared" si="31"/>
        <v>0</v>
      </c>
      <c r="CV22" s="40">
        <f t="shared" si="32"/>
        <v>0</v>
      </c>
      <c r="CY22" s="40">
        <f t="shared" si="33"/>
        <v>0</v>
      </c>
      <c r="DB22" s="40">
        <f t="shared" si="34"/>
        <v>0</v>
      </c>
      <c r="DE22" s="40">
        <f t="shared" si="35"/>
        <v>0</v>
      </c>
      <c r="DH22" s="40">
        <f t="shared" si="36"/>
        <v>0</v>
      </c>
      <c r="DK22" s="40">
        <f t="shared" si="37"/>
        <v>0</v>
      </c>
      <c r="DN22" s="40">
        <f t="shared" si="38"/>
        <v>0</v>
      </c>
      <c r="DQ22" s="40">
        <f t="shared" si="39"/>
        <v>0</v>
      </c>
      <c r="DT22" s="40">
        <f t="shared" si="40"/>
        <v>0</v>
      </c>
      <c r="DW22" s="40">
        <f t="shared" si="41"/>
        <v>0</v>
      </c>
      <c r="DZ22" s="40"/>
      <c r="EA22" s="40"/>
      <c r="EB22" s="75">
        <f t="shared" si="42"/>
        <v>157150000</v>
      </c>
      <c r="EC22" s="75">
        <f t="shared" si="43"/>
        <v>0</v>
      </c>
      <c r="ED22" s="40">
        <f t="shared" si="44"/>
        <v>11287.805555555555</v>
      </c>
      <c r="EE22" s="41">
        <f t="shared" si="45"/>
        <v>2.5858160992682146E-2</v>
      </c>
      <c r="EG22" s="75">
        <f t="shared" si="46"/>
        <v>0</v>
      </c>
      <c r="EH22" s="40">
        <f t="shared" si="47"/>
        <v>0</v>
      </c>
      <c r="EI22" s="41">
        <f t="shared" si="48"/>
        <v>0</v>
      </c>
      <c r="EJ22" s="41"/>
      <c r="EK22" s="75">
        <f t="shared" si="49"/>
        <v>157150000</v>
      </c>
      <c r="EL22" s="75">
        <f t="shared" si="50"/>
        <v>0</v>
      </c>
      <c r="EM22" s="75">
        <f t="shared" si="51"/>
        <v>11287.805555555555</v>
      </c>
      <c r="EN22" s="41">
        <f t="shared" si="52"/>
        <v>2.5858160992682146E-2</v>
      </c>
      <c r="EP22" s="40"/>
    </row>
    <row r="23" spans="1:146" x14ac:dyDescent="0.25">
      <c r="A23" s="25">
        <f t="shared" si="53"/>
        <v>43659</v>
      </c>
      <c r="D23" s="40">
        <f t="shared" si="2"/>
        <v>0</v>
      </c>
      <c r="G23" s="40">
        <f t="shared" si="3"/>
        <v>0</v>
      </c>
      <c r="J23" s="40">
        <f t="shared" si="4"/>
        <v>0</v>
      </c>
      <c r="M23" s="40">
        <f t="shared" si="5"/>
        <v>0</v>
      </c>
      <c r="P23" s="40">
        <f t="shared" si="6"/>
        <v>0</v>
      </c>
      <c r="S23" s="40">
        <f t="shared" si="7"/>
        <v>0</v>
      </c>
      <c r="V23" s="40">
        <f t="shared" si="8"/>
        <v>0</v>
      </c>
      <c r="Y23" s="40">
        <f t="shared" si="9"/>
        <v>0</v>
      </c>
      <c r="AB23" s="40">
        <f t="shared" si="10"/>
        <v>0</v>
      </c>
      <c r="AE23" s="40">
        <v>0</v>
      </c>
      <c r="AH23" s="40">
        <v>0</v>
      </c>
      <c r="AI23" s="73">
        <f>77150000</f>
        <v>77150000</v>
      </c>
      <c r="AJ23" s="74">
        <v>2.5399999999999999E-2</v>
      </c>
      <c r="AK23" s="40">
        <f t="shared" si="11"/>
        <v>5443.3611111111113</v>
      </c>
      <c r="AL23" s="73"/>
      <c r="AM23" s="74"/>
      <c r="AN23" s="40">
        <f t="shared" si="12"/>
        <v>0</v>
      </c>
      <c r="AO23" s="73"/>
      <c r="AP23" s="74"/>
      <c r="AQ23" s="40">
        <f t="shared" si="13"/>
        <v>0</v>
      </c>
      <c r="AR23" s="73">
        <f t="shared" si="54"/>
        <v>80000000</v>
      </c>
      <c r="AS23" s="74">
        <v>2.63E-2</v>
      </c>
      <c r="AT23" s="40">
        <f t="shared" si="14"/>
        <v>5844.4444444444443</v>
      </c>
      <c r="AW23" s="40">
        <f t="shared" si="15"/>
        <v>0</v>
      </c>
      <c r="AZ23" s="40">
        <f t="shared" si="16"/>
        <v>0</v>
      </c>
      <c r="BC23" s="40">
        <f t="shared" si="17"/>
        <v>0</v>
      </c>
      <c r="BF23" s="40">
        <f t="shared" si="18"/>
        <v>0</v>
      </c>
      <c r="BI23" s="40">
        <f t="shared" si="19"/>
        <v>0</v>
      </c>
      <c r="BL23" s="40">
        <f t="shared" si="20"/>
        <v>0</v>
      </c>
      <c r="BO23" s="40">
        <f t="shared" si="21"/>
        <v>0</v>
      </c>
      <c r="BR23" s="40">
        <f t="shared" si="22"/>
        <v>0</v>
      </c>
      <c r="BU23" s="40">
        <f t="shared" si="23"/>
        <v>0</v>
      </c>
      <c r="BX23" s="40">
        <f t="shared" si="24"/>
        <v>0</v>
      </c>
      <c r="CA23" s="40">
        <f t="shared" si="25"/>
        <v>0</v>
      </c>
      <c r="CD23" s="40">
        <f t="shared" si="26"/>
        <v>0</v>
      </c>
      <c r="CG23" s="40">
        <f t="shared" si="27"/>
        <v>0</v>
      </c>
      <c r="CJ23" s="40">
        <f t="shared" si="28"/>
        <v>0</v>
      </c>
      <c r="CM23" s="40">
        <f t="shared" si="29"/>
        <v>0</v>
      </c>
      <c r="CP23" s="40">
        <f t="shared" si="30"/>
        <v>0</v>
      </c>
      <c r="CS23" s="40">
        <f t="shared" si="31"/>
        <v>0</v>
      </c>
      <c r="CV23" s="40">
        <f t="shared" si="32"/>
        <v>0</v>
      </c>
      <c r="CY23" s="40">
        <f t="shared" si="33"/>
        <v>0</v>
      </c>
      <c r="DB23" s="40">
        <f t="shared" si="34"/>
        <v>0</v>
      </c>
      <c r="DE23" s="40">
        <f t="shared" si="35"/>
        <v>0</v>
      </c>
      <c r="DH23" s="40">
        <f t="shared" si="36"/>
        <v>0</v>
      </c>
      <c r="DK23" s="40">
        <f t="shared" si="37"/>
        <v>0</v>
      </c>
      <c r="DN23" s="40">
        <f t="shared" si="38"/>
        <v>0</v>
      </c>
      <c r="DQ23" s="40">
        <f t="shared" si="39"/>
        <v>0</v>
      </c>
      <c r="DT23" s="40">
        <f t="shared" si="40"/>
        <v>0</v>
      </c>
      <c r="DW23" s="40">
        <f t="shared" si="41"/>
        <v>0</v>
      </c>
      <c r="DZ23" s="40"/>
      <c r="EA23" s="40"/>
      <c r="EB23" s="75">
        <f t="shared" si="42"/>
        <v>157150000</v>
      </c>
      <c r="EC23" s="75">
        <f t="shared" si="43"/>
        <v>0</v>
      </c>
      <c r="ED23" s="40">
        <f t="shared" si="44"/>
        <v>11287.805555555555</v>
      </c>
      <c r="EE23" s="41">
        <f t="shared" si="45"/>
        <v>2.5858160992682146E-2</v>
      </c>
      <c r="EG23" s="75">
        <f t="shared" si="46"/>
        <v>0</v>
      </c>
      <c r="EH23" s="40">
        <f t="shared" si="47"/>
        <v>0</v>
      </c>
      <c r="EI23" s="41">
        <f t="shared" si="48"/>
        <v>0</v>
      </c>
      <c r="EJ23" s="41"/>
      <c r="EK23" s="75">
        <f t="shared" si="49"/>
        <v>157150000</v>
      </c>
      <c r="EL23" s="75">
        <f t="shared" si="50"/>
        <v>0</v>
      </c>
      <c r="EM23" s="75">
        <f t="shared" si="51"/>
        <v>11287.805555555555</v>
      </c>
      <c r="EN23" s="41">
        <f t="shared" si="52"/>
        <v>2.5858160992682146E-2</v>
      </c>
      <c r="EP23" s="40"/>
    </row>
    <row r="24" spans="1:146" x14ac:dyDescent="0.25">
      <c r="A24" s="25">
        <f t="shared" si="53"/>
        <v>43660</v>
      </c>
      <c r="D24" s="40">
        <f t="shared" si="2"/>
        <v>0</v>
      </c>
      <c r="G24" s="40">
        <f t="shared" si="3"/>
        <v>0</v>
      </c>
      <c r="J24" s="40">
        <f t="shared" si="4"/>
        <v>0</v>
      </c>
      <c r="M24" s="40">
        <f t="shared" si="5"/>
        <v>0</v>
      </c>
      <c r="P24" s="40">
        <f t="shared" si="6"/>
        <v>0</v>
      </c>
      <c r="S24" s="40">
        <f t="shared" si="7"/>
        <v>0</v>
      </c>
      <c r="V24" s="40">
        <f t="shared" si="8"/>
        <v>0</v>
      </c>
      <c r="Y24" s="40">
        <f t="shared" si="9"/>
        <v>0</v>
      </c>
      <c r="AB24" s="40">
        <f t="shared" si="10"/>
        <v>0</v>
      </c>
      <c r="AE24" s="40">
        <v>0</v>
      </c>
      <c r="AH24" s="40">
        <v>0</v>
      </c>
      <c r="AI24" s="73">
        <f>77150000</f>
        <v>77150000</v>
      </c>
      <c r="AJ24" s="74">
        <v>2.5399999999999999E-2</v>
      </c>
      <c r="AK24" s="40">
        <f t="shared" si="11"/>
        <v>5443.3611111111113</v>
      </c>
      <c r="AL24" s="73"/>
      <c r="AM24" s="74"/>
      <c r="AN24" s="40">
        <f t="shared" si="12"/>
        <v>0</v>
      </c>
      <c r="AO24" s="73"/>
      <c r="AP24" s="74"/>
      <c r="AQ24" s="40">
        <f t="shared" si="13"/>
        <v>0</v>
      </c>
      <c r="AR24" s="73">
        <f t="shared" si="54"/>
        <v>80000000</v>
      </c>
      <c r="AS24" s="74">
        <v>2.63E-2</v>
      </c>
      <c r="AT24" s="40">
        <f t="shared" si="14"/>
        <v>5844.4444444444443</v>
      </c>
      <c r="AW24" s="40">
        <f t="shared" si="15"/>
        <v>0</v>
      </c>
      <c r="AZ24" s="40">
        <f t="shared" si="16"/>
        <v>0</v>
      </c>
      <c r="BC24" s="40">
        <f t="shared" si="17"/>
        <v>0</v>
      </c>
      <c r="BF24" s="40">
        <f t="shared" si="18"/>
        <v>0</v>
      </c>
      <c r="BI24" s="40">
        <f t="shared" si="19"/>
        <v>0</v>
      </c>
      <c r="BL24" s="40">
        <f t="shared" si="20"/>
        <v>0</v>
      </c>
      <c r="BO24" s="40">
        <f t="shared" si="21"/>
        <v>0</v>
      </c>
      <c r="BR24" s="40">
        <f t="shared" si="22"/>
        <v>0</v>
      </c>
      <c r="BU24" s="40">
        <f t="shared" si="23"/>
        <v>0</v>
      </c>
      <c r="BX24" s="40">
        <f t="shared" si="24"/>
        <v>0</v>
      </c>
      <c r="CA24" s="40">
        <f t="shared" si="25"/>
        <v>0</v>
      </c>
      <c r="CD24" s="40">
        <f t="shared" si="26"/>
        <v>0</v>
      </c>
      <c r="CG24" s="40">
        <f t="shared" si="27"/>
        <v>0</v>
      </c>
      <c r="CJ24" s="40">
        <f t="shared" si="28"/>
        <v>0</v>
      </c>
      <c r="CM24" s="40">
        <f t="shared" si="29"/>
        <v>0</v>
      </c>
      <c r="CP24" s="40">
        <f t="shared" si="30"/>
        <v>0</v>
      </c>
      <c r="CS24" s="40">
        <f t="shared" si="31"/>
        <v>0</v>
      </c>
      <c r="CV24" s="40">
        <f t="shared" si="32"/>
        <v>0</v>
      </c>
      <c r="CY24" s="40">
        <f t="shared" si="33"/>
        <v>0</v>
      </c>
      <c r="DB24" s="40">
        <f t="shared" si="34"/>
        <v>0</v>
      </c>
      <c r="DE24" s="40">
        <f t="shared" si="35"/>
        <v>0</v>
      </c>
      <c r="DH24" s="40">
        <f t="shared" si="36"/>
        <v>0</v>
      </c>
      <c r="DK24" s="40">
        <f t="shared" si="37"/>
        <v>0</v>
      </c>
      <c r="DN24" s="40">
        <f t="shared" si="38"/>
        <v>0</v>
      </c>
      <c r="DQ24" s="40">
        <f t="shared" si="39"/>
        <v>0</v>
      </c>
      <c r="DT24" s="40">
        <f t="shared" si="40"/>
        <v>0</v>
      </c>
      <c r="DW24" s="40">
        <f t="shared" si="41"/>
        <v>0</v>
      </c>
      <c r="DZ24" s="40"/>
      <c r="EA24" s="40"/>
      <c r="EB24" s="75">
        <f t="shared" si="42"/>
        <v>157150000</v>
      </c>
      <c r="EC24" s="75">
        <f t="shared" si="43"/>
        <v>0</v>
      </c>
      <c r="ED24" s="40">
        <f t="shared" si="44"/>
        <v>11287.805555555555</v>
      </c>
      <c r="EE24" s="41">
        <f t="shared" si="45"/>
        <v>2.5858160992682146E-2</v>
      </c>
      <c r="EG24" s="75">
        <f t="shared" si="46"/>
        <v>0</v>
      </c>
      <c r="EH24" s="40">
        <f t="shared" si="47"/>
        <v>0</v>
      </c>
      <c r="EI24" s="41">
        <f t="shared" si="48"/>
        <v>0</v>
      </c>
      <c r="EJ24" s="41"/>
      <c r="EK24" s="75">
        <f t="shared" si="49"/>
        <v>157150000</v>
      </c>
      <c r="EL24" s="75">
        <f t="shared" si="50"/>
        <v>0</v>
      </c>
      <c r="EM24" s="75">
        <f t="shared" si="51"/>
        <v>11287.805555555555</v>
      </c>
      <c r="EN24" s="41">
        <f t="shared" si="52"/>
        <v>2.5858160992682146E-2</v>
      </c>
      <c r="EP24" s="40"/>
    </row>
    <row r="25" spans="1:146" x14ac:dyDescent="0.25">
      <c r="A25" s="25">
        <f t="shared" si="53"/>
        <v>43661</v>
      </c>
      <c r="D25" s="40">
        <f t="shared" si="2"/>
        <v>0</v>
      </c>
      <c r="G25" s="40">
        <f t="shared" si="3"/>
        <v>0</v>
      </c>
      <c r="J25" s="40">
        <f t="shared" si="4"/>
        <v>0</v>
      </c>
      <c r="M25" s="40">
        <f t="shared" si="5"/>
        <v>0</v>
      </c>
      <c r="P25" s="40">
        <f t="shared" si="6"/>
        <v>0</v>
      </c>
      <c r="S25" s="40">
        <f t="shared" si="7"/>
        <v>0</v>
      </c>
      <c r="V25" s="40">
        <f t="shared" si="8"/>
        <v>0</v>
      </c>
      <c r="Y25" s="40">
        <f t="shared" si="9"/>
        <v>0</v>
      </c>
      <c r="AB25" s="40">
        <f t="shared" si="10"/>
        <v>0</v>
      </c>
      <c r="AE25" s="40">
        <v>0</v>
      </c>
      <c r="AH25" s="40">
        <v>0</v>
      </c>
      <c r="AI25" s="73">
        <f>80375000</f>
        <v>80375000</v>
      </c>
      <c r="AJ25" s="74">
        <v>2.5399999999999999E-2</v>
      </c>
      <c r="AK25" s="40">
        <f t="shared" si="11"/>
        <v>5670.9027777777774</v>
      </c>
      <c r="AL25" s="73"/>
      <c r="AM25" s="74"/>
      <c r="AN25" s="40">
        <f t="shared" si="12"/>
        <v>0</v>
      </c>
      <c r="AO25" s="73"/>
      <c r="AP25" s="74"/>
      <c r="AQ25" s="40">
        <f t="shared" si="13"/>
        <v>0</v>
      </c>
      <c r="AR25" s="73">
        <f t="shared" si="54"/>
        <v>80000000</v>
      </c>
      <c r="AS25" s="74">
        <v>2.63E-2</v>
      </c>
      <c r="AT25" s="40">
        <f t="shared" si="14"/>
        <v>5844.4444444444443</v>
      </c>
      <c r="AW25" s="40">
        <f t="shared" si="15"/>
        <v>0</v>
      </c>
      <c r="AZ25" s="40">
        <f t="shared" si="16"/>
        <v>0</v>
      </c>
      <c r="BC25" s="40">
        <f t="shared" si="17"/>
        <v>0</v>
      </c>
      <c r="BF25" s="40">
        <f t="shared" si="18"/>
        <v>0</v>
      </c>
      <c r="BI25" s="40">
        <f t="shared" si="19"/>
        <v>0</v>
      </c>
      <c r="BL25" s="40">
        <f t="shared" si="20"/>
        <v>0</v>
      </c>
      <c r="BO25" s="40">
        <f t="shared" si="21"/>
        <v>0</v>
      </c>
      <c r="BR25" s="40">
        <f t="shared" si="22"/>
        <v>0</v>
      </c>
      <c r="BU25" s="40">
        <f t="shared" si="23"/>
        <v>0</v>
      </c>
      <c r="BX25" s="40">
        <f t="shared" si="24"/>
        <v>0</v>
      </c>
      <c r="CA25" s="40">
        <f t="shared" si="25"/>
        <v>0</v>
      </c>
      <c r="CD25" s="40">
        <f t="shared" si="26"/>
        <v>0</v>
      </c>
      <c r="CG25" s="40">
        <f t="shared" si="27"/>
        <v>0</v>
      </c>
      <c r="CJ25" s="40">
        <f t="shared" si="28"/>
        <v>0</v>
      </c>
      <c r="CM25" s="40">
        <f t="shared" si="29"/>
        <v>0</v>
      </c>
      <c r="CP25" s="40">
        <f t="shared" si="30"/>
        <v>0</v>
      </c>
      <c r="CS25" s="40">
        <f t="shared" si="31"/>
        <v>0</v>
      </c>
      <c r="CV25" s="40">
        <f t="shared" si="32"/>
        <v>0</v>
      </c>
      <c r="CY25" s="40">
        <f t="shared" si="33"/>
        <v>0</v>
      </c>
      <c r="DB25" s="40">
        <f t="shared" si="34"/>
        <v>0</v>
      </c>
      <c r="DE25" s="40">
        <f t="shared" si="35"/>
        <v>0</v>
      </c>
      <c r="DH25" s="40">
        <f t="shared" si="36"/>
        <v>0</v>
      </c>
      <c r="DK25" s="40">
        <f t="shared" si="37"/>
        <v>0</v>
      </c>
      <c r="DN25" s="40">
        <f t="shared" si="38"/>
        <v>0</v>
      </c>
      <c r="DQ25" s="40">
        <f t="shared" si="39"/>
        <v>0</v>
      </c>
      <c r="DT25" s="40">
        <f t="shared" si="40"/>
        <v>0</v>
      </c>
      <c r="DW25" s="40">
        <f t="shared" si="41"/>
        <v>0</v>
      </c>
      <c r="DZ25" s="40"/>
      <c r="EA25" s="40"/>
      <c r="EB25" s="75">
        <f t="shared" si="42"/>
        <v>160375000</v>
      </c>
      <c r="EC25" s="75">
        <f t="shared" si="43"/>
        <v>0</v>
      </c>
      <c r="ED25" s="40">
        <f t="shared" si="44"/>
        <v>11515.347222222223</v>
      </c>
      <c r="EE25" s="41">
        <f t="shared" si="45"/>
        <v>2.5848947778643803E-2</v>
      </c>
      <c r="EG25" s="75">
        <f t="shared" si="46"/>
        <v>0</v>
      </c>
      <c r="EH25" s="40">
        <f t="shared" si="47"/>
        <v>0</v>
      </c>
      <c r="EI25" s="41">
        <f t="shared" si="48"/>
        <v>0</v>
      </c>
      <c r="EJ25" s="41"/>
      <c r="EK25" s="75">
        <f t="shared" si="49"/>
        <v>160375000</v>
      </c>
      <c r="EL25" s="75">
        <f t="shared" si="50"/>
        <v>0</v>
      </c>
      <c r="EM25" s="75">
        <f t="shared" si="51"/>
        <v>11515.347222222223</v>
      </c>
      <c r="EN25" s="41">
        <f t="shared" si="52"/>
        <v>2.5848947778643803E-2</v>
      </c>
      <c r="EP25" s="40"/>
    </row>
    <row r="26" spans="1:146" x14ac:dyDescent="0.25">
      <c r="A26" s="25">
        <f t="shared" si="53"/>
        <v>43662</v>
      </c>
      <c r="D26" s="40">
        <f t="shared" si="2"/>
        <v>0</v>
      </c>
      <c r="G26" s="40">
        <f t="shared" si="3"/>
        <v>0</v>
      </c>
      <c r="J26" s="40">
        <f t="shared" si="4"/>
        <v>0</v>
      </c>
      <c r="M26" s="40">
        <f t="shared" si="5"/>
        <v>0</v>
      </c>
      <c r="P26" s="40">
        <f t="shared" si="6"/>
        <v>0</v>
      </c>
      <c r="S26" s="40">
        <f t="shared" si="7"/>
        <v>0</v>
      </c>
      <c r="V26" s="40">
        <f t="shared" si="8"/>
        <v>0</v>
      </c>
      <c r="Y26" s="40">
        <f t="shared" si="9"/>
        <v>0</v>
      </c>
      <c r="AB26" s="40">
        <f t="shared" si="10"/>
        <v>0</v>
      </c>
      <c r="AE26" s="40">
        <v>0</v>
      </c>
      <c r="AH26" s="40">
        <v>0</v>
      </c>
      <c r="AI26" s="73">
        <f>67450000</f>
        <v>67450000</v>
      </c>
      <c r="AJ26" s="74">
        <v>2.5399999999999999E-2</v>
      </c>
      <c r="AK26" s="40">
        <f t="shared" si="11"/>
        <v>4758.9722222222226</v>
      </c>
      <c r="AL26" s="73"/>
      <c r="AM26" s="74"/>
      <c r="AN26" s="40">
        <f t="shared" si="12"/>
        <v>0</v>
      </c>
      <c r="AO26" s="73"/>
      <c r="AP26" s="74"/>
      <c r="AQ26" s="40">
        <f t="shared" si="13"/>
        <v>0</v>
      </c>
      <c r="AR26" s="73">
        <f t="shared" si="54"/>
        <v>80000000</v>
      </c>
      <c r="AS26" s="74">
        <v>2.63E-2</v>
      </c>
      <c r="AT26" s="40">
        <f t="shared" si="14"/>
        <v>5844.4444444444443</v>
      </c>
      <c r="AW26" s="40">
        <f t="shared" si="15"/>
        <v>0</v>
      </c>
      <c r="AZ26" s="40">
        <f t="shared" si="16"/>
        <v>0</v>
      </c>
      <c r="BC26" s="40">
        <f t="shared" si="17"/>
        <v>0</v>
      </c>
      <c r="BF26" s="40">
        <f t="shared" si="18"/>
        <v>0</v>
      </c>
      <c r="BI26" s="40">
        <f t="shared" si="19"/>
        <v>0</v>
      </c>
      <c r="BL26" s="40">
        <f t="shared" si="20"/>
        <v>0</v>
      </c>
      <c r="BO26" s="40">
        <f t="shared" si="21"/>
        <v>0</v>
      </c>
      <c r="BR26" s="40">
        <f t="shared" si="22"/>
        <v>0</v>
      </c>
      <c r="BU26" s="40">
        <f t="shared" si="23"/>
        <v>0</v>
      </c>
      <c r="BX26" s="40">
        <f t="shared" si="24"/>
        <v>0</v>
      </c>
      <c r="CA26" s="40">
        <f t="shared" si="25"/>
        <v>0</v>
      </c>
      <c r="CD26" s="40">
        <f t="shared" si="26"/>
        <v>0</v>
      </c>
      <c r="CG26" s="40">
        <f t="shared" si="27"/>
        <v>0</v>
      </c>
      <c r="CJ26" s="40">
        <f t="shared" si="28"/>
        <v>0</v>
      </c>
      <c r="CM26" s="40">
        <f t="shared" si="29"/>
        <v>0</v>
      </c>
      <c r="CP26" s="40">
        <f t="shared" si="30"/>
        <v>0</v>
      </c>
      <c r="CS26" s="40">
        <f t="shared" si="31"/>
        <v>0</v>
      </c>
      <c r="CV26" s="40">
        <f t="shared" si="32"/>
        <v>0</v>
      </c>
      <c r="CY26" s="40">
        <f t="shared" si="33"/>
        <v>0</v>
      </c>
      <c r="DB26" s="40">
        <f t="shared" si="34"/>
        <v>0</v>
      </c>
      <c r="DE26" s="40">
        <f t="shared" si="35"/>
        <v>0</v>
      </c>
      <c r="DH26" s="40">
        <f t="shared" si="36"/>
        <v>0</v>
      </c>
      <c r="DK26" s="40">
        <f t="shared" si="37"/>
        <v>0</v>
      </c>
      <c r="DN26" s="40">
        <f t="shared" si="38"/>
        <v>0</v>
      </c>
      <c r="DQ26" s="40">
        <f t="shared" si="39"/>
        <v>0</v>
      </c>
      <c r="DT26" s="40">
        <f t="shared" si="40"/>
        <v>0</v>
      </c>
      <c r="DW26" s="40">
        <f t="shared" si="41"/>
        <v>0</v>
      </c>
      <c r="DZ26" s="40"/>
      <c r="EA26" s="40"/>
      <c r="EB26" s="75">
        <f t="shared" si="42"/>
        <v>147450000</v>
      </c>
      <c r="EC26" s="75">
        <f t="shared" si="43"/>
        <v>0</v>
      </c>
      <c r="ED26" s="40">
        <f t="shared" si="44"/>
        <v>10603.416666666668</v>
      </c>
      <c r="EE26" s="41">
        <f t="shared" si="45"/>
        <v>2.5888301119023401E-2</v>
      </c>
      <c r="EG26" s="75">
        <f t="shared" si="46"/>
        <v>0</v>
      </c>
      <c r="EH26" s="40">
        <f t="shared" si="47"/>
        <v>0</v>
      </c>
      <c r="EI26" s="41">
        <f t="shared" si="48"/>
        <v>0</v>
      </c>
      <c r="EJ26" s="41"/>
      <c r="EK26" s="75">
        <f t="shared" si="49"/>
        <v>147450000</v>
      </c>
      <c r="EL26" s="75">
        <f t="shared" si="50"/>
        <v>0</v>
      </c>
      <c r="EM26" s="75">
        <f t="shared" si="51"/>
        <v>10603.416666666668</v>
      </c>
      <c r="EN26" s="41">
        <f t="shared" si="52"/>
        <v>2.5888301119023401E-2</v>
      </c>
      <c r="EP26" s="40"/>
    </row>
    <row r="27" spans="1:146" x14ac:dyDescent="0.25">
      <c r="A27" s="25">
        <f t="shared" si="53"/>
        <v>43663</v>
      </c>
      <c r="D27" s="40">
        <f t="shared" si="2"/>
        <v>0</v>
      </c>
      <c r="G27" s="40">
        <f t="shared" si="3"/>
        <v>0</v>
      </c>
      <c r="J27" s="40">
        <f t="shared" si="4"/>
        <v>0</v>
      </c>
      <c r="M27" s="40">
        <f t="shared" si="5"/>
        <v>0</v>
      </c>
      <c r="P27" s="40">
        <f t="shared" si="6"/>
        <v>0</v>
      </c>
      <c r="S27" s="40">
        <f t="shared" si="7"/>
        <v>0</v>
      </c>
      <c r="V27" s="40">
        <f t="shared" si="8"/>
        <v>0</v>
      </c>
      <c r="Y27" s="40">
        <f t="shared" si="9"/>
        <v>0</v>
      </c>
      <c r="AB27" s="40">
        <f t="shared" si="10"/>
        <v>0</v>
      </c>
      <c r="AE27" s="40">
        <v>0</v>
      </c>
      <c r="AH27" s="40">
        <v>0</v>
      </c>
      <c r="AI27" s="73">
        <f>69425000</f>
        <v>69425000</v>
      </c>
      <c r="AJ27" s="74">
        <v>2.5399999999999999E-2</v>
      </c>
      <c r="AK27" s="40">
        <f t="shared" si="11"/>
        <v>4898.3194444444443</v>
      </c>
      <c r="AL27" s="73"/>
      <c r="AM27" s="74"/>
      <c r="AN27" s="40">
        <f t="shared" si="12"/>
        <v>0</v>
      </c>
      <c r="AO27" s="73"/>
      <c r="AP27" s="74"/>
      <c r="AQ27" s="40">
        <f t="shared" si="13"/>
        <v>0</v>
      </c>
      <c r="AR27" s="73">
        <f t="shared" si="54"/>
        <v>80000000</v>
      </c>
      <c r="AS27" s="74">
        <v>2.63E-2</v>
      </c>
      <c r="AT27" s="40">
        <f t="shared" si="14"/>
        <v>5844.4444444444443</v>
      </c>
      <c r="AW27" s="40">
        <f t="shared" si="15"/>
        <v>0</v>
      </c>
      <c r="AZ27" s="40">
        <f t="shared" si="16"/>
        <v>0</v>
      </c>
      <c r="BC27" s="40">
        <f t="shared" si="17"/>
        <v>0</v>
      </c>
      <c r="BF27" s="40">
        <f t="shared" si="18"/>
        <v>0</v>
      </c>
      <c r="BI27" s="40">
        <f t="shared" si="19"/>
        <v>0</v>
      </c>
      <c r="BL27" s="40">
        <f t="shared" si="20"/>
        <v>0</v>
      </c>
      <c r="BO27" s="40">
        <f t="shared" si="21"/>
        <v>0</v>
      </c>
      <c r="BR27" s="40">
        <f t="shared" si="22"/>
        <v>0</v>
      </c>
      <c r="BU27" s="40">
        <f t="shared" si="23"/>
        <v>0</v>
      </c>
      <c r="BX27" s="40">
        <f t="shared" si="24"/>
        <v>0</v>
      </c>
      <c r="CA27" s="40">
        <f t="shared" si="25"/>
        <v>0</v>
      </c>
      <c r="CD27" s="40">
        <f t="shared" si="26"/>
        <v>0</v>
      </c>
      <c r="CG27" s="40">
        <f t="shared" si="27"/>
        <v>0</v>
      </c>
      <c r="CJ27" s="40">
        <f t="shared" si="28"/>
        <v>0</v>
      </c>
      <c r="CM27" s="40">
        <f t="shared" si="29"/>
        <v>0</v>
      </c>
      <c r="CP27" s="40">
        <f t="shared" si="30"/>
        <v>0</v>
      </c>
      <c r="CS27" s="40">
        <f t="shared" si="31"/>
        <v>0</v>
      </c>
      <c r="CV27" s="40">
        <f t="shared" si="32"/>
        <v>0</v>
      </c>
      <c r="CY27" s="40">
        <f t="shared" si="33"/>
        <v>0</v>
      </c>
      <c r="DB27" s="40">
        <f t="shared" si="34"/>
        <v>0</v>
      </c>
      <c r="DE27" s="40">
        <f t="shared" si="35"/>
        <v>0</v>
      </c>
      <c r="DH27" s="40">
        <f t="shared" si="36"/>
        <v>0</v>
      </c>
      <c r="DK27" s="40">
        <f t="shared" si="37"/>
        <v>0</v>
      </c>
      <c r="DN27" s="40">
        <f t="shared" si="38"/>
        <v>0</v>
      </c>
      <c r="DQ27" s="40">
        <f t="shared" si="39"/>
        <v>0</v>
      </c>
      <c r="DT27" s="40">
        <f t="shared" si="40"/>
        <v>0</v>
      </c>
      <c r="DW27" s="40">
        <f t="shared" si="41"/>
        <v>0</v>
      </c>
      <c r="DZ27" s="40"/>
      <c r="EA27" s="40"/>
      <c r="EB27" s="75">
        <f t="shared" si="42"/>
        <v>149425000</v>
      </c>
      <c r="EC27" s="75">
        <f t="shared" si="43"/>
        <v>0</v>
      </c>
      <c r="ED27" s="40">
        <f t="shared" si="44"/>
        <v>10742.763888888889</v>
      </c>
      <c r="EE27" s="41">
        <f t="shared" si="45"/>
        <v>2.5881847080475157E-2</v>
      </c>
      <c r="EG27" s="75">
        <f t="shared" si="46"/>
        <v>0</v>
      </c>
      <c r="EH27" s="40">
        <f t="shared" si="47"/>
        <v>0</v>
      </c>
      <c r="EI27" s="41">
        <f t="shared" si="48"/>
        <v>0</v>
      </c>
      <c r="EJ27" s="41"/>
      <c r="EK27" s="75">
        <f t="shared" si="49"/>
        <v>149425000</v>
      </c>
      <c r="EL27" s="75">
        <f t="shared" si="50"/>
        <v>0</v>
      </c>
      <c r="EM27" s="75">
        <f t="shared" si="51"/>
        <v>10742.763888888889</v>
      </c>
      <c r="EN27" s="41">
        <f t="shared" si="52"/>
        <v>2.5881847080475157E-2</v>
      </c>
      <c r="EP27" s="40"/>
    </row>
    <row r="28" spans="1:146" x14ac:dyDescent="0.25">
      <c r="A28" s="25">
        <f t="shared" si="53"/>
        <v>43664</v>
      </c>
      <c r="D28" s="40">
        <f t="shared" si="2"/>
        <v>0</v>
      </c>
      <c r="G28" s="40">
        <f t="shared" si="3"/>
        <v>0</v>
      </c>
      <c r="J28" s="40">
        <f t="shared" si="4"/>
        <v>0</v>
      </c>
      <c r="M28" s="40">
        <f t="shared" si="5"/>
        <v>0</v>
      </c>
      <c r="P28" s="40">
        <f t="shared" si="6"/>
        <v>0</v>
      </c>
      <c r="S28" s="40">
        <f t="shared" si="7"/>
        <v>0</v>
      </c>
      <c r="V28" s="40">
        <f t="shared" si="8"/>
        <v>0</v>
      </c>
      <c r="Y28" s="40">
        <f t="shared" si="9"/>
        <v>0</v>
      </c>
      <c r="AB28" s="40">
        <f t="shared" si="10"/>
        <v>0</v>
      </c>
      <c r="AE28" s="40">
        <v>0</v>
      </c>
      <c r="AH28" s="40">
        <v>0</v>
      </c>
      <c r="AI28" s="73">
        <f>61950000</f>
        <v>61950000</v>
      </c>
      <c r="AJ28" s="74">
        <v>2.5399999999999999E-2</v>
      </c>
      <c r="AK28" s="40">
        <f t="shared" si="11"/>
        <v>4370.916666666667</v>
      </c>
      <c r="AL28" s="73"/>
      <c r="AM28" s="74"/>
      <c r="AN28" s="40">
        <f t="shared" si="12"/>
        <v>0</v>
      </c>
      <c r="AO28" s="73"/>
      <c r="AP28" s="74"/>
      <c r="AQ28" s="40">
        <f t="shared" si="13"/>
        <v>0</v>
      </c>
      <c r="AR28" s="73">
        <f t="shared" si="54"/>
        <v>80000000</v>
      </c>
      <c r="AS28" s="74">
        <v>2.63E-2</v>
      </c>
      <c r="AT28" s="40">
        <f t="shared" si="14"/>
        <v>5844.4444444444443</v>
      </c>
      <c r="AW28" s="40">
        <f t="shared" si="15"/>
        <v>0</v>
      </c>
      <c r="AZ28" s="40">
        <f t="shared" si="16"/>
        <v>0</v>
      </c>
      <c r="BC28" s="40">
        <f t="shared" si="17"/>
        <v>0</v>
      </c>
      <c r="BF28" s="40">
        <f t="shared" si="18"/>
        <v>0</v>
      </c>
      <c r="BI28" s="40">
        <f t="shared" si="19"/>
        <v>0</v>
      </c>
      <c r="BL28" s="40">
        <f t="shared" si="20"/>
        <v>0</v>
      </c>
      <c r="BO28" s="40">
        <f t="shared" si="21"/>
        <v>0</v>
      </c>
      <c r="BR28" s="40">
        <f t="shared" si="22"/>
        <v>0</v>
      </c>
      <c r="BU28" s="40">
        <f t="shared" si="23"/>
        <v>0</v>
      </c>
      <c r="BX28" s="40">
        <f t="shared" si="24"/>
        <v>0</v>
      </c>
      <c r="CA28" s="40">
        <f t="shared" si="25"/>
        <v>0</v>
      </c>
      <c r="CD28" s="40">
        <f t="shared" si="26"/>
        <v>0</v>
      </c>
      <c r="CG28" s="40">
        <f t="shared" si="27"/>
        <v>0</v>
      </c>
      <c r="CJ28" s="40">
        <f t="shared" si="28"/>
        <v>0</v>
      </c>
      <c r="CM28" s="40">
        <f t="shared" si="29"/>
        <v>0</v>
      </c>
      <c r="CP28" s="40">
        <f t="shared" si="30"/>
        <v>0</v>
      </c>
      <c r="CS28" s="40">
        <f t="shared" si="31"/>
        <v>0</v>
      </c>
      <c r="CV28" s="40">
        <f t="shared" si="32"/>
        <v>0</v>
      </c>
      <c r="CY28" s="40">
        <f t="shared" si="33"/>
        <v>0</v>
      </c>
      <c r="DB28" s="40">
        <f t="shared" si="34"/>
        <v>0</v>
      </c>
      <c r="DE28" s="40">
        <f t="shared" si="35"/>
        <v>0</v>
      </c>
      <c r="DH28" s="40">
        <f t="shared" si="36"/>
        <v>0</v>
      </c>
      <c r="DK28" s="40">
        <f t="shared" si="37"/>
        <v>0</v>
      </c>
      <c r="DN28" s="40">
        <f t="shared" si="38"/>
        <v>0</v>
      </c>
      <c r="DQ28" s="40">
        <f t="shared" si="39"/>
        <v>0</v>
      </c>
      <c r="DT28" s="40">
        <f t="shared" si="40"/>
        <v>0</v>
      </c>
      <c r="DW28" s="40">
        <f t="shared" si="41"/>
        <v>0</v>
      </c>
      <c r="DZ28" s="40"/>
      <c r="EA28" s="40"/>
      <c r="EB28" s="75">
        <f t="shared" si="42"/>
        <v>141950000</v>
      </c>
      <c r="EC28" s="75">
        <f t="shared" si="43"/>
        <v>0</v>
      </c>
      <c r="ED28" s="40">
        <f t="shared" si="44"/>
        <v>10215.361111111111</v>
      </c>
      <c r="EE28" s="41">
        <f t="shared" si="45"/>
        <v>2.5907220852412823E-2</v>
      </c>
      <c r="EG28" s="75">
        <f t="shared" si="46"/>
        <v>0</v>
      </c>
      <c r="EH28" s="40">
        <f t="shared" si="47"/>
        <v>0</v>
      </c>
      <c r="EI28" s="41">
        <f t="shared" si="48"/>
        <v>0</v>
      </c>
      <c r="EJ28" s="41"/>
      <c r="EK28" s="75">
        <f t="shared" si="49"/>
        <v>141950000</v>
      </c>
      <c r="EL28" s="75">
        <f t="shared" si="50"/>
        <v>0</v>
      </c>
      <c r="EM28" s="75">
        <f t="shared" si="51"/>
        <v>10215.361111111111</v>
      </c>
      <c r="EN28" s="41">
        <f t="shared" si="52"/>
        <v>2.5907220852412823E-2</v>
      </c>
      <c r="EP28" s="40"/>
    </row>
    <row r="29" spans="1:146" x14ac:dyDescent="0.25">
      <c r="A29" s="25">
        <f t="shared" si="53"/>
        <v>43665</v>
      </c>
      <c r="D29" s="40">
        <f t="shared" si="2"/>
        <v>0</v>
      </c>
      <c r="G29" s="40">
        <f t="shared" si="3"/>
        <v>0</v>
      </c>
      <c r="J29" s="40">
        <f t="shared" si="4"/>
        <v>0</v>
      </c>
      <c r="M29" s="40">
        <f t="shared" si="5"/>
        <v>0</v>
      </c>
      <c r="P29" s="40">
        <f t="shared" si="6"/>
        <v>0</v>
      </c>
      <c r="S29" s="40">
        <f t="shared" si="7"/>
        <v>0</v>
      </c>
      <c r="V29" s="40">
        <f t="shared" si="8"/>
        <v>0</v>
      </c>
      <c r="Y29" s="40">
        <f t="shared" si="9"/>
        <v>0</v>
      </c>
      <c r="AB29" s="40">
        <f t="shared" si="10"/>
        <v>0</v>
      </c>
      <c r="AE29" s="40">
        <v>0</v>
      </c>
      <c r="AH29" s="40">
        <v>0</v>
      </c>
      <c r="AI29" s="73">
        <f>49600000+175000</f>
        <v>49775000</v>
      </c>
      <c r="AJ29" s="74">
        <v>2.5399999999999999E-2</v>
      </c>
      <c r="AK29" s="40">
        <f t="shared" si="11"/>
        <v>3511.9027777777778</v>
      </c>
      <c r="AL29" s="73"/>
      <c r="AM29" s="74"/>
      <c r="AN29" s="40">
        <f t="shared" si="12"/>
        <v>0</v>
      </c>
      <c r="AO29" s="73"/>
      <c r="AP29" s="74"/>
      <c r="AQ29" s="40">
        <f t="shared" si="13"/>
        <v>0</v>
      </c>
      <c r="AR29" s="73">
        <f t="shared" si="54"/>
        <v>80000000</v>
      </c>
      <c r="AS29" s="74">
        <v>2.63E-2</v>
      </c>
      <c r="AT29" s="40">
        <f t="shared" si="14"/>
        <v>5844.4444444444443</v>
      </c>
      <c r="AW29" s="40">
        <f t="shared" si="15"/>
        <v>0</v>
      </c>
      <c r="AZ29" s="40">
        <f t="shared" si="16"/>
        <v>0</v>
      </c>
      <c r="BC29" s="40">
        <f t="shared" si="17"/>
        <v>0</v>
      </c>
      <c r="BF29" s="40">
        <f t="shared" si="18"/>
        <v>0</v>
      </c>
      <c r="BI29" s="40">
        <f t="shared" si="19"/>
        <v>0</v>
      </c>
      <c r="BL29" s="40">
        <f t="shared" si="20"/>
        <v>0</v>
      </c>
      <c r="BO29" s="40">
        <f t="shared" si="21"/>
        <v>0</v>
      </c>
      <c r="BR29" s="40">
        <f t="shared" si="22"/>
        <v>0</v>
      </c>
      <c r="BU29" s="40">
        <f t="shared" si="23"/>
        <v>0</v>
      </c>
      <c r="BX29" s="40">
        <f t="shared" si="24"/>
        <v>0</v>
      </c>
      <c r="CA29" s="40">
        <f t="shared" si="25"/>
        <v>0</v>
      </c>
      <c r="CD29" s="40">
        <f t="shared" si="26"/>
        <v>0</v>
      </c>
      <c r="CG29" s="40">
        <f t="shared" si="27"/>
        <v>0</v>
      </c>
      <c r="CJ29" s="40">
        <f t="shared" si="28"/>
        <v>0</v>
      </c>
      <c r="CM29" s="40">
        <f t="shared" si="29"/>
        <v>0</v>
      </c>
      <c r="CP29" s="40">
        <f t="shared" si="30"/>
        <v>0</v>
      </c>
      <c r="CS29" s="40">
        <f t="shared" si="31"/>
        <v>0</v>
      </c>
      <c r="CV29" s="40">
        <f t="shared" si="32"/>
        <v>0</v>
      </c>
      <c r="CY29" s="40">
        <f t="shared" si="33"/>
        <v>0</v>
      </c>
      <c r="DB29" s="40">
        <f t="shared" si="34"/>
        <v>0</v>
      </c>
      <c r="DE29" s="40">
        <f t="shared" si="35"/>
        <v>0</v>
      </c>
      <c r="DH29" s="40">
        <f t="shared" si="36"/>
        <v>0</v>
      </c>
      <c r="DK29" s="40">
        <f t="shared" si="37"/>
        <v>0</v>
      </c>
      <c r="DN29" s="40">
        <f t="shared" si="38"/>
        <v>0</v>
      </c>
      <c r="DQ29" s="40">
        <f t="shared" si="39"/>
        <v>0</v>
      </c>
      <c r="DT29" s="40">
        <f t="shared" si="40"/>
        <v>0</v>
      </c>
      <c r="DW29" s="40">
        <f t="shared" si="41"/>
        <v>0</v>
      </c>
      <c r="DZ29" s="40"/>
      <c r="EA29" s="40"/>
      <c r="EB29" s="75">
        <f t="shared" si="42"/>
        <v>129775000</v>
      </c>
      <c r="EC29" s="75">
        <f t="shared" si="43"/>
        <v>0</v>
      </c>
      <c r="ED29" s="40">
        <f t="shared" si="44"/>
        <v>9356.3472222222226</v>
      </c>
      <c r="EE29" s="41">
        <f t="shared" si="45"/>
        <v>2.5954806395684839E-2</v>
      </c>
      <c r="EG29" s="75">
        <f t="shared" si="46"/>
        <v>0</v>
      </c>
      <c r="EH29" s="40">
        <f t="shared" si="47"/>
        <v>0</v>
      </c>
      <c r="EI29" s="41">
        <f t="shared" si="48"/>
        <v>0</v>
      </c>
      <c r="EJ29" s="41"/>
      <c r="EK29" s="75">
        <f t="shared" si="49"/>
        <v>129775000</v>
      </c>
      <c r="EL29" s="75">
        <f t="shared" si="50"/>
        <v>0</v>
      </c>
      <c r="EM29" s="75">
        <f t="shared" si="51"/>
        <v>9356.3472222222226</v>
      </c>
      <c r="EN29" s="41">
        <f t="shared" si="52"/>
        <v>2.5954806395684839E-2</v>
      </c>
      <c r="EP29" s="40"/>
    </row>
    <row r="30" spans="1:146" x14ac:dyDescent="0.25">
      <c r="A30" s="25">
        <f t="shared" si="53"/>
        <v>43666</v>
      </c>
      <c r="D30" s="40">
        <f t="shared" si="2"/>
        <v>0</v>
      </c>
      <c r="G30" s="40">
        <f t="shared" si="3"/>
        <v>0</v>
      </c>
      <c r="J30" s="40">
        <f t="shared" si="4"/>
        <v>0</v>
      </c>
      <c r="M30" s="40">
        <f t="shared" si="5"/>
        <v>0</v>
      </c>
      <c r="P30" s="40">
        <f t="shared" si="6"/>
        <v>0</v>
      </c>
      <c r="S30" s="40">
        <f t="shared" si="7"/>
        <v>0</v>
      </c>
      <c r="V30" s="40">
        <f t="shared" si="8"/>
        <v>0</v>
      </c>
      <c r="Y30" s="40">
        <f t="shared" si="9"/>
        <v>0</v>
      </c>
      <c r="AB30" s="40">
        <f t="shared" si="10"/>
        <v>0</v>
      </c>
      <c r="AE30" s="40">
        <v>0</v>
      </c>
      <c r="AH30" s="40">
        <v>0</v>
      </c>
      <c r="AI30" s="73">
        <f>49600000+175000</f>
        <v>49775000</v>
      </c>
      <c r="AJ30" s="74">
        <v>2.5399999999999999E-2</v>
      </c>
      <c r="AK30" s="40">
        <f t="shared" si="11"/>
        <v>3511.9027777777778</v>
      </c>
      <c r="AL30" s="73"/>
      <c r="AM30" s="74"/>
      <c r="AN30" s="40">
        <f t="shared" si="12"/>
        <v>0</v>
      </c>
      <c r="AO30" s="73"/>
      <c r="AP30" s="74"/>
      <c r="AQ30" s="40">
        <f t="shared" si="13"/>
        <v>0</v>
      </c>
      <c r="AR30" s="73">
        <f t="shared" si="54"/>
        <v>80000000</v>
      </c>
      <c r="AS30" s="74">
        <v>2.63E-2</v>
      </c>
      <c r="AT30" s="40">
        <f t="shared" si="14"/>
        <v>5844.4444444444443</v>
      </c>
      <c r="AW30" s="40">
        <f t="shared" si="15"/>
        <v>0</v>
      </c>
      <c r="AZ30" s="40">
        <f t="shared" si="16"/>
        <v>0</v>
      </c>
      <c r="BC30" s="40">
        <f t="shared" si="17"/>
        <v>0</v>
      </c>
      <c r="BF30" s="40">
        <f t="shared" si="18"/>
        <v>0</v>
      </c>
      <c r="BI30" s="40">
        <f t="shared" si="19"/>
        <v>0</v>
      </c>
      <c r="BL30" s="40">
        <f t="shared" si="20"/>
        <v>0</v>
      </c>
      <c r="BO30" s="40">
        <f t="shared" si="21"/>
        <v>0</v>
      </c>
      <c r="BR30" s="40">
        <f t="shared" si="22"/>
        <v>0</v>
      </c>
      <c r="BU30" s="40">
        <f t="shared" si="23"/>
        <v>0</v>
      </c>
      <c r="BX30" s="40">
        <f t="shared" si="24"/>
        <v>0</v>
      </c>
      <c r="CA30" s="40">
        <f t="shared" si="25"/>
        <v>0</v>
      </c>
      <c r="CD30" s="40">
        <f t="shared" si="26"/>
        <v>0</v>
      </c>
      <c r="CG30" s="40">
        <f t="shared" si="27"/>
        <v>0</v>
      </c>
      <c r="CJ30" s="40">
        <f t="shared" si="28"/>
        <v>0</v>
      </c>
      <c r="CM30" s="40">
        <f t="shared" si="29"/>
        <v>0</v>
      </c>
      <c r="CP30" s="40">
        <f t="shared" si="30"/>
        <v>0</v>
      </c>
      <c r="CS30" s="40">
        <f t="shared" si="31"/>
        <v>0</v>
      </c>
      <c r="CV30" s="40">
        <f t="shared" si="32"/>
        <v>0</v>
      </c>
      <c r="CY30" s="40">
        <f t="shared" si="33"/>
        <v>0</v>
      </c>
      <c r="DB30" s="40">
        <f t="shared" si="34"/>
        <v>0</v>
      </c>
      <c r="DE30" s="40">
        <f t="shared" si="35"/>
        <v>0</v>
      </c>
      <c r="DH30" s="40">
        <f t="shared" si="36"/>
        <v>0</v>
      </c>
      <c r="DK30" s="40">
        <f t="shared" si="37"/>
        <v>0</v>
      </c>
      <c r="DN30" s="40">
        <f t="shared" si="38"/>
        <v>0</v>
      </c>
      <c r="DQ30" s="40">
        <f t="shared" si="39"/>
        <v>0</v>
      </c>
      <c r="DT30" s="40">
        <f t="shared" si="40"/>
        <v>0</v>
      </c>
      <c r="DW30" s="40">
        <f t="shared" si="41"/>
        <v>0</v>
      </c>
      <c r="DZ30" s="40"/>
      <c r="EA30" s="40"/>
      <c r="EB30" s="75">
        <f t="shared" si="42"/>
        <v>129775000</v>
      </c>
      <c r="EC30" s="75">
        <f t="shared" si="43"/>
        <v>0</v>
      </c>
      <c r="ED30" s="40">
        <f t="shared" si="44"/>
        <v>9356.3472222222226</v>
      </c>
      <c r="EE30" s="41">
        <f t="shared" si="45"/>
        <v>2.5954806395684839E-2</v>
      </c>
      <c r="EG30" s="75">
        <f t="shared" si="46"/>
        <v>0</v>
      </c>
      <c r="EH30" s="40">
        <f t="shared" si="47"/>
        <v>0</v>
      </c>
      <c r="EI30" s="41">
        <f t="shared" si="48"/>
        <v>0</v>
      </c>
      <c r="EJ30" s="41"/>
      <c r="EK30" s="75">
        <f t="shared" si="49"/>
        <v>129775000</v>
      </c>
      <c r="EL30" s="75">
        <f t="shared" si="50"/>
        <v>0</v>
      </c>
      <c r="EM30" s="75">
        <f t="shared" si="51"/>
        <v>9356.3472222222226</v>
      </c>
      <c r="EN30" s="41">
        <f t="shared" si="52"/>
        <v>2.5954806395684839E-2</v>
      </c>
      <c r="EP30" s="40"/>
    </row>
    <row r="31" spans="1:146" x14ac:dyDescent="0.25">
      <c r="A31" s="25">
        <f t="shared" si="53"/>
        <v>43667</v>
      </c>
      <c r="D31" s="40">
        <f t="shared" si="2"/>
        <v>0</v>
      </c>
      <c r="G31" s="40">
        <f t="shared" si="3"/>
        <v>0</v>
      </c>
      <c r="J31" s="40">
        <f t="shared" si="4"/>
        <v>0</v>
      </c>
      <c r="M31" s="40">
        <f t="shared" si="5"/>
        <v>0</v>
      </c>
      <c r="P31" s="40">
        <f t="shared" si="6"/>
        <v>0</v>
      </c>
      <c r="S31" s="40">
        <f t="shared" si="7"/>
        <v>0</v>
      </c>
      <c r="V31" s="40">
        <f t="shared" si="8"/>
        <v>0</v>
      </c>
      <c r="Y31" s="40">
        <f t="shared" si="9"/>
        <v>0</v>
      </c>
      <c r="AB31" s="40">
        <f t="shared" si="10"/>
        <v>0</v>
      </c>
      <c r="AE31" s="40">
        <v>0</v>
      </c>
      <c r="AH31" s="40">
        <v>0</v>
      </c>
      <c r="AI31" s="73">
        <f>49600000+175000</f>
        <v>49775000</v>
      </c>
      <c r="AJ31" s="74">
        <v>2.5399999999999999E-2</v>
      </c>
      <c r="AK31" s="40">
        <f t="shared" si="11"/>
        <v>3511.9027777777778</v>
      </c>
      <c r="AL31" s="73"/>
      <c r="AM31" s="74"/>
      <c r="AN31" s="40">
        <f t="shared" si="12"/>
        <v>0</v>
      </c>
      <c r="AO31" s="73"/>
      <c r="AP31" s="74"/>
      <c r="AQ31" s="40">
        <f t="shared" si="13"/>
        <v>0</v>
      </c>
      <c r="AR31" s="73">
        <f t="shared" si="54"/>
        <v>80000000</v>
      </c>
      <c r="AS31" s="74">
        <v>2.63E-2</v>
      </c>
      <c r="AT31" s="40">
        <f t="shared" si="14"/>
        <v>5844.4444444444443</v>
      </c>
      <c r="AW31" s="40">
        <f t="shared" si="15"/>
        <v>0</v>
      </c>
      <c r="AZ31" s="40">
        <f t="shared" si="16"/>
        <v>0</v>
      </c>
      <c r="BC31" s="40">
        <f t="shared" si="17"/>
        <v>0</v>
      </c>
      <c r="BF31" s="40">
        <f t="shared" si="18"/>
        <v>0</v>
      </c>
      <c r="BI31" s="40">
        <f t="shared" si="19"/>
        <v>0</v>
      </c>
      <c r="BL31" s="40">
        <f t="shared" si="20"/>
        <v>0</v>
      </c>
      <c r="BO31" s="40">
        <f t="shared" si="21"/>
        <v>0</v>
      </c>
      <c r="BR31" s="40">
        <f t="shared" si="22"/>
        <v>0</v>
      </c>
      <c r="BU31" s="40">
        <f t="shared" si="23"/>
        <v>0</v>
      </c>
      <c r="BX31" s="40">
        <f t="shared" si="24"/>
        <v>0</v>
      </c>
      <c r="CA31" s="40">
        <f t="shared" si="25"/>
        <v>0</v>
      </c>
      <c r="CD31" s="40">
        <f t="shared" si="26"/>
        <v>0</v>
      </c>
      <c r="CG31" s="40">
        <f t="shared" si="27"/>
        <v>0</v>
      </c>
      <c r="CJ31" s="40">
        <f t="shared" si="28"/>
        <v>0</v>
      </c>
      <c r="CM31" s="40">
        <f t="shared" si="29"/>
        <v>0</v>
      </c>
      <c r="CP31" s="40">
        <f t="shared" si="30"/>
        <v>0</v>
      </c>
      <c r="CS31" s="40">
        <f t="shared" si="31"/>
        <v>0</v>
      </c>
      <c r="CV31" s="40">
        <f t="shared" si="32"/>
        <v>0</v>
      </c>
      <c r="CY31" s="40">
        <f t="shared" si="33"/>
        <v>0</v>
      </c>
      <c r="DB31" s="40">
        <f t="shared" si="34"/>
        <v>0</v>
      </c>
      <c r="DE31" s="40">
        <f t="shared" si="35"/>
        <v>0</v>
      </c>
      <c r="DH31" s="40">
        <f t="shared" si="36"/>
        <v>0</v>
      </c>
      <c r="DK31" s="40">
        <f t="shared" si="37"/>
        <v>0</v>
      </c>
      <c r="DN31" s="40">
        <f t="shared" si="38"/>
        <v>0</v>
      </c>
      <c r="DQ31" s="40">
        <f t="shared" si="39"/>
        <v>0</v>
      </c>
      <c r="DT31" s="40">
        <f t="shared" si="40"/>
        <v>0</v>
      </c>
      <c r="DW31" s="40">
        <f t="shared" si="41"/>
        <v>0</v>
      </c>
      <c r="DZ31" s="40"/>
      <c r="EA31" s="40"/>
      <c r="EB31" s="75">
        <f t="shared" si="42"/>
        <v>129775000</v>
      </c>
      <c r="EC31" s="75">
        <f t="shared" si="43"/>
        <v>0</v>
      </c>
      <c r="ED31" s="40">
        <f t="shared" si="44"/>
        <v>9356.3472222222226</v>
      </c>
      <c r="EE31" s="41">
        <f t="shared" si="45"/>
        <v>2.5954806395684839E-2</v>
      </c>
      <c r="EG31" s="75">
        <f t="shared" si="46"/>
        <v>0</v>
      </c>
      <c r="EH31" s="40">
        <f t="shared" si="47"/>
        <v>0</v>
      </c>
      <c r="EI31" s="41">
        <f t="shared" si="48"/>
        <v>0</v>
      </c>
      <c r="EJ31" s="41"/>
      <c r="EK31" s="75">
        <f t="shared" si="49"/>
        <v>129775000</v>
      </c>
      <c r="EL31" s="75">
        <f t="shared" si="50"/>
        <v>0</v>
      </c>
      <c r="EM31" s="75">
        <f t="shared" si="51"/>
        <v>9356.3472222222226</v>
      </c>
      <c r="EN31" s="41">
        <f t="shared" si="52"/>
        <v>2.5954806395684839E-2</v>
      </c>
      <c r="EP31" s="40"/>
    </row>
    <row r="32" spans="1:146" x14ac:dyDescent="0.25">
      <c r="A32" s="25">
        <f t="shared" si="53"/>
        <v>43668</v>
      </c>
      <c r="D32" s="40">
        <f t="shared" si="2"/>
        <v>0</v>
      </c>
      <c r="G32" s="40">
        <f t="shared" si="3"/>
        <v>0</v>
      </c>
      <c r="J32" s="40">
        <f t="shared" si="4"/>
        <v>0</v>
      </c>
      <c r="M32" s="40">
        <f t="shared" si="5"/>
        <v>0</v>
      </c>
      <c r="P32" s="40">
        <f t="shared" si="6"/>
        <v>0</v>
      </c>
      <c r="S32" s="40">
        <f t="shared" si="7"/>
        <v>0</v>
      </c>
      <c r="V32" s="40">
        <f t="shared" si="8"/>
        <v>0</v>
      </c>
      <c r="Y32" s="40">
        <f t="shared" si="9"/>
        <v>0</v>
      </c>
      <c r="AB32" s="40">
        <f t="shared" si="10"/>
        <v>0</v>
      </c>
      <c r="AE32" s="40">
        <v>0</v>
      </c>
      <c r="AH32" s="40">
        <v>0</v>
      </c>
      <c r="AI32" s="73">
        <f>52725000</f>
        <v>52725000</v>
      </c>
      <c r="AJ32" s="74">
        <v>2.5399999999999999E-2</v>
      </c>
      <c r="AK32" s="40">
        <f t="shared" si="11"/>
        <v>3720.0416666666665</v>
      </c>
      <c r="AL32" s="73"/>
      <c r="AM32" s="74"/>
      <c r="AN32" s="40">
        <f t="shared" si="12"/>
        <v>0</v>
      </c>
      <c r="AO32" s="73"/>
      <c r="AP32" s="74"/>
      <c r="AQ32" s="40">
        <f t="shared" si="13"/>
        <v>0</v>
      </c>
      <c r="AR32" s="73">
        <f t="shared" si="54"/>
        <v>80000000</v>
      </c>
      <c r="AS32" s="74">
        <v>2.63E-2</v>
      </c>
      <c r="AT32" s="40">
        <f t="shared" si="14"/>
        <v>5844.4444444444443</v>
      </c>
      <c r="AW32" s="40">
        <f t="shared" si="15"/>
        <v>0</v>
      </c>
      <c r="AZ32" s="40">
        <f t="shared" si="16"/>
        <v>0</v>
      </c>
      <c r="BC32" s="40">
        <f t="shared" si="17"/>
        <v>0</v>
      </c>
      <c r="BF32" s="40">
        <f t="shared" si="18"/>
        <v>0</v>
      </c>
      <c r="BI32" s="40">
        <f t="shared" si="19"/>
        <v>0</v>
      </c>
      <c r="BL32" s="40">
        <f t="shared" si="20"/>
        <v>0</v>
      </c>
      <c r="BO32" s="40">
        <f t="shared" si="21"/>
        <v>0</v>
      </c>
      <c r="BR32" s="40">
        <f t="shared" si="22"/>
        <v>0</v>
      </c>
      <c r="BU32" s="40">
        <f t="shared" si="23"/>
        <v>0</v>
      </c>
      <c r="BX32" s="40">
        <f t="shared" si="24"/>
        <v>0</v>
      </c>
      <c r="CA32" s="40">
        <f t="shared" si="25"/>
        <v>0</v>
      </c>
      <c r="CD32" s="40">
        <f t="shared" si="26"/>
        <v>0</v>
      </c>
      <c r="CG32" s="40">
        <f t="shared" si="27"/>
        <v>0</v>
      </c>
      <c r="CJ32" s="40">
        <f t="shared" si="28"/>
        <v>0</v>
      </c>
      <c r="CM32" s="40">
        <f t="shared" si="29"/>
        <v>0</v>
      </c>
      <c r="CP32" s="40">
        <f t="shared" si="30"/>
        <v>0</v>
      </c>
      <c r="CS32" s="40">
        <f t="shared" si="31"/>
        <v>0</v>
      </c>
      <c r="CV32" s="40">
        <f t="shared" si="32"/>
        <v>0</v>
      </c>
      <c r="CY32" s="40">
        <f t="shared" si="33"/>
        <v>0</v>
      </c>
      <c r="DB32" s="40">
        <f t="shared" si="34"/>
        <v>0</v>
      </c>
      <c r="DE32" s="40">
        <f t="shared" si="35"/>
        <v>0</v>
      </c>
      <c r="DH32" s="40">
        <f t="shared" si="36"/>
        <v>0</v>
      </c>
      <c r="DK32" s="40">
        <f t="shared" si="37"/>
        <v>0</v>
      </c>
      <c r="DN32" s="40">
        <f t="shared" si="38"/>
        <v>0</v>
      </c>
      <c r="DQ32" s="40">
        <f t="shared" si="39"/>
        <v>0</v>
      </c>
      <c r="DT32" s="40">
        <f t="shared" si="40"/>
        <v>0</v>
      </c>
      <c r="DW32" s="40">
        <f t="shared" si="41"/>
        <v>0</v>
      </c>
      <c r="DZ32" s="40"/>
      <c r="EA32" s="40"/>
      <c r="EB32" s="75">
        <f t="shared" si="42"/>
        <v>132725000</v>
      </c>
      <c r="EC32" s="75">
        <f t="shared" si="43"/>
        <v>0</v>
      </c>
      <c r="ED32" s="40">
        <f t="shared" si="44"/>
        <v>9564.4861111111113</v>
      </c>
      <c r="EE32" s="41">
        <f t="shared" si="45"/>
        <v>2.5942475042380862E-2</v>
      </c>
      <c r="EG32" s="75">
        <f t="shared" si="46"/>
        <v>0</v>
      </c>
      <c r="EH32" s="40">
        <f t="shared" si="47"/>
        <v>0</v>
      </c>
      <c r="EI32" s="41">
        <f t="shared" si="48"/>
        <v>0</v>
      </c>
      <c r="EJ32" s="41"/>
      <c r="EK32" s="75">
        <f t="shared" si="49"/>
        <v>132725000</v>
      </c>
      <c r="EL32" s="75">
        <f t="shared" si="50"/>
        <v>0</v>
      </c>
      <c r="EM32" s="75">
        <f t="shared" si="51"/>
        <v>9564.4861111111113</v>
      </c>
      <c r="EN32" s="41">
        <f t="shared" si="52"/>
        <v>2.5942475042380862E-2</v>
      </c>
      <c r="EP32" s="40"/>
    </row>
    <row r="33" spans="1:146" x14ac:dyDescent="0.25">
      <c r="A33" s="25">
        <f t="shared" si="53"/>
        <v>43669</v>
      </c>
      <c r="D33" s="40">
        <f t="shared" si="2"/>
        <v>0</v>
      </c>
      <c r="G33" s="40">
        <f t="shared" si="3"/>
        <v>0</v>
      </c>
      <c r="J33" s="40">
        <f t="shared" si="4"/>
        <v>0</v>
      </c>
      <c r="M33" s="40">
        <f t="shared" si="5"/>
        <v>0</v>
      </c>
      <c r="P33" s="40">
        <f t="shared" si="6"/>
        <v>0</v>
      </c>
      <c r="S33" s="40">
        <f t="shared" si="7"/>
        <v>0</v>
      </c>
      <c r="V33" s="40">
        <f t="shared" si="8"/>
        <v>0</v>
      </c>
      <c r="Y33" s="40">
        <f t="shared" si="9"/>
        <v>0</v>
      </c>
      <c r="AB33" s="40">
        <f t="shared" si="10"/>
        <v>0</v>
      </c>
      <c r="AE33" s="40">
        <v>0</v>
      </c>
      <c r="AH33" s="40">
        <v>0</v>
      </c>
      <c r="AI33" s="73">
        <f>43775000</f>
        <v>43775000</v>
      </c>
      <c r="AJ33" s="74">
        <v>2.5399999999999999E-2</v>
      </c>
      <c r="AK33" s="40">
        <f t="shared" si="11"/>
        <v>3088.5694444444443</v>
      </c>
      <c r="AL33" s="73"/>
      <c r="AM33" s="74"/>
      <c r="AN33" s="40">
        <f t="shared" si="12"/>
        <v>0</v>
      </c>
      <c r="AO33" s="73"/>
      <c r="AP33" s="74"/>
      <c r="AQ33" s="40">
        <f t="shared" si="13"/>
        <v>0</v>
      </c>
      <c r="AR33" s="73">
        <f t="shared" si="54"/>
        <v>80000000</v>
      </c>
      <c r="AS33" s="74">
        <v>2.63E-2</v>
      </c>
      <c r="AT33" s="40">
        <f t="shared" si="14"/>
        <v>5844.4444444444443</v>
      </c>
      <c r="AW33" s="40">
        <f t="shared" si="15"/>
        <v>0</v>
      </c>
      <c r="AZ33" s="40">
        <f t="shared" si="16"/>
        <v>0</v>
      </c>
      <c r="BC33" s="40">
        <f t="shared" si="17"/>
        <v>0</v>
      </c>
      <c r="BF33" s="40">
        <f t="shared" si="18"/>
        <v>0</v>
      </c>
      <c r="BI33" s="40">
        <f t="shared" si="19"/>
        <v>0</v>
      </c>
      <c r="BL33" s="40">
        <f t="shared" si="20"/>
        <v>0</v>
      </c>
      <c r="BO33" s="40">
        <f t="shared" si="21"/>
        <v>0</v>
      </c>
      <c r="BR33" s="40">
        <f t="shared" si="22"/>
        <v>0</v>
      </c>
      <c r="BU33" s="40">
        <f t="shared" si="23"/>
        <v>0</v>
      </c>
      <c r="BX33" s="40">
        <f t="shared" si="24"/>
        <v>0</v>
      </c>
      <c r="CA33" s="40">
        <f t="shared" si="25"/>
        <v>0</v>
      </c>
      <c r="CD33" s="40">
        <f t="shared" si="26"/>
        <v>0</v>
      </c>
      <c r="CG33" s="40">
        <f t="shared" si="27"/>
        <v>0</v>
      </c>
      <c r="CJ33" s="40">
        <f t="shared" si="28"/>
        <v>0</v>
      </c>
      <c r="CM33" s="40">
        <f t="shared" si="29"/>
        <v>0</v>
      </c>
      <c r="CP33" s="40">
        <f t="shared" si="30"/>
        <v>0</v>
      </c>
      <c r="CS33" s="40">
        <f t="shared" si="31"/>
        <v>0</v>
      </c>
      <c r="CV33" s="40">
        <f t="shared" si="32"/>
        <v>0</v>
      </c>
      <c r="CY33" s="40">
        <f t="shared" si="33"/>
        <v>0</v>
      </c>
      <c r="DB33" s="40">
        <f t="shared" si="34"/>
        <v>0</v>
      </c>
      <c r="DE33" s="40">
        <f t="shared" si="35"/>
        <v>0</v>
      </c>
      <c r="DH33" s="40">
        <f t="shared" si="36"/>
        <v>0</v>
      </c>
      <c r="DK33" s="40">
        <f t="shared" si="37"/>
        <v>0</v>
      </c>
      <c r="DN33" s="40">
        <f t="shared" si="38"/>
        <v>0</v>
      </c>
      <c r="DQ33" s="40">
        <f t="shared" si="39"/>
        <v>0</v>
      </c>
      <c r="DT33" s="40">
        <f t="shared" si="40"/>
        <v>0</v>
      </c>
      <c r="DW33" s="40">
        <f t="shared" si="41"/>
        <v>0</v>
      </c>
      <c r="DZ33" s="40"/>
      <c r="EA33" s="40"/>
      <c r="EB33" s="75">
        <f t="shared" si="42"/>
        <v>123775000</v>
      </c>
      <c r="EC33" s="75">
        <f t="shared" si="43"/>
        <v>0</v>
      </c>
      <c r="ED33" s="40">
        <f t="shared" si="44"/>
        <v>8933.0138888888887</v>
      </c>
      <c r="EE33" s="41">
        <f t="shared" si="45"/>
        <v>2.5981700666532014E-2</v>
      </c>
      <c r="EG33" s="75">
        <f t="shared" si="46"/>
        <v>0</v>
      </c>
      <c r="EH33" s="40">
        <f t="shared" si="47"/>
        <v>0</v>
      </c>
      <c r="EI33" s="41">
        <f t="shared" si="48"/>
        <v>0</v>
      </c>
      <c r="EJ33" s="41"/>
      <c r="EK33" s="75">
        <f t="shared" si="49"/>
        <v>123775000</v>
      </c>
      <c r="EL33" s="75">
        <f t="shared" si="50"/>
        <v>0</v>
      </c>
      <c r="EM33" s="75">
        <f t="shared" si="51"/>
        <v>8933.0138888888887</v>
      </c>
      <c r="EN33" s="41">
        <f t="shared" si="52"/>
        <v>2.5981700666532014E-2</v>
      </c>
      <c r="EP33" s="40"/>
    </row>
    <row r="34" spans="1:146" x14ac:dyDescent="0.25">
      <c r="A34" s="25">
        <f t="shared" si="53"/>
        <v>43670</v>
      </c>
      <c r="D34" s="40">
        <f t="shared" si="2"/>
        <v>0</v>
      </c>
      <c r="G34" s="40">
        <f t="shared" si="3"/>
        <v>0</v>
      </c>
      <c r="J34" s="40">
        <f t="shared" si="4"/>
        <v>0</v>
      </c>
      <c r="M34" s="40">
        <f t="shared" si="5"/>
        <v>0</v>
      </c>
      <c r="P34" s="40">
        <f t="shared" si="6"/>
        <v>0</v>
      </c>
      <c r="S34" s="40">
        <f t="shared" si="7"/>
        <v>0</v>
      </c>
      <c r="V34" s="40">
        <f t="shared" si="8"/>
        <v>0</v>
      </c>
      <c r="Y34" s="40">
        <f t="shared" si="9"/>
        <v>0</v>
      </c>
      <c r="AB34" s="40">
        <f t="shared" si="10"/>
        <v>0</v>
      </c>
      <c r="AE34" s="40">
        <v>0</v>
      </c>
      <c r="AH34" s="40">
        <v>0</v>
      </c>
      <c r="AI34" s="73">
        <f>26925000</f>
        <v>26925000</v>
      </c>
      <c r="AJ34" s="74">
        <v>2.5399999999999999E-2</v>
      </c>
      <c r="AK34" s="40">
        <f t="shared" si="11"/>
        <v>1899.7083333333333</v>
      </c>
      <c r="AL34" s="73"/>
      <c r="AM34" s="74"/>
      <c r="AN34" s="40">
        <f t="shared" si="12"/>
        <v>0</v>
      </c>
      <c r="AO34" s="73"/>
      <c r="AP34" s="74"/>
      <c r="AQ34" s="40">
        <f t="shared" si="13"/>
        <v>0</v>
      </c>
      <c r="AR34" s="73">
        <f t="shared" si="54"/>
        <v>80000000</v>
      </c>
      <c r="AS34" s="74">
        <v>2.63E-2</v>
      </c>
      <c r="AT34" s="40">
        <f t="shared" si="14"/>
        <v>5844.4444444444443</v>
      </c>
      <c r="AW34" s="40">
        <f t="shared" si="15"/>
        <v>0</v>
      </c>
      <c r="AZ34" s="40">
        <f t="shared" si="16"/>
        <v>0</v>
      </c>
      <c r="BC34" s="40">
        <f t="shared" si="17"/>
        <v>0</v>
      </c>
      <c r="BF34" s="40">
        <f t="shared" si="18"/>
        <v>0</v>
      </c>
      <c r="BI34" s="40">
        <f t="shared" si="19"/>
        <v>0</v>
      </c>
      <c r="BL34" s="40">
        <f t="shared" si="20"/>
        <v>0</v>
      </c>
      <c r="BO34" s="40">
        <f t="shared" si="21"/>
        <v>0</v>
      </c>
      <c r="BR34" s="40">
        <f t="shared" si="22"/>
        <v>0</v>
      </c>
      <c r="BU34" s="40">
        <f t="shared" si="23"/>
        <v>0</v>
      </c>
      <c r="BX34" s="40">
        <f t="shared" si="24"/>
        <v>0</v>
      </c>
      <c r="CA34" s="40">
        <f t="shared" si="25"/>
        <v>0</v>
      </c>
      <c r="CD34" s="40">
        <f t="shared" si="26"/>
        <v>0</v>
      </c>
      <c r="CG34" s="40">
        <f t="shared" si="27"/>
        <v>0</v>
      </c>
      <c r="CJ34" s="40">
        <f t="shared" si="28"/>
        <v>0</v>
      </c>
      <c r="CM34" s="40">
        <f t="shared" si="29"/>
        <v>0</v>
      </c>
      <c r="CP34" s="40">
        <f t="shared" si="30"/>
        <v>0</v>
      </c>
      <c r="CS34" s="40">
        <f t="shared" si="31"/>
        <v>0</v>
      </c>
      <c r="CV34" s="40">
        <f t="shared" si="32"/>
        <v>0</v>
      </c>
      <c r="CY34" s="40">
        <f t="shared" si="33"/>
        <v>0</v>
      </c>
      <c r="DB34" s="40">
        <f t="shared" si="34"/>
        <v>0</v>
      </c>
      <c r="DE34" s="40">
        <f t="shared" si="35"/>
        <v>0</v>
      </c>
      <c r="DH34" s="40">
        <f t="shared" si="36"/>
        <v>0</v>
      </c>
      <c r="DK34" s="40">
        <f t="shared" si="37"/>
        <v>0</v>
      </c>
      <c r="DN34" s="40">
        <f t="shared" si="38"/>
        <v>0</v>
      </c>
      <c r="DQ34" s="40">
        <f t="shared" si="39"/>
        <v>0</v>
      </c>
      <c r="DT34" s="40">
        <f t="shared" si="40"/>
        <v>0</v>
      </c>
      <c r="DW34" s="40">
        <f t="shared" si="41"/>
        <v>0</v>
      </c>
      <c r="DZ34" s="40"/>
      <c r="EA34" s="40"/>
      <c r="EB34" s="75">
        <f t="shared" si="42"/>
        <v>106925000</v>
      </c>
      <c r="EC34" s="75">
        <f t="shared" si="43"/>
        <v>0</v>
      </c>
      <c r="ED34" s="40">
        <f t="shared" si="44"/>
        <v>7744.1527777777774</v>
      </c>
      <c r="EE34" s="41">
        <f t="shared" si="45"/>
        <v>2.6073369184007482E-2</v>
      </c>
      <c r="EG34" s="75">
        <f t="shared" si="46"/>
        <v>0</v>
      </c>
      <c r="EH34" s="40">
        <f t="shared" si="47"/>
        <v>0</v>
      </c>
      <c r="EI34" s="41">
        <f t="shared" si="48"/>
        <v>0</v>
      </c>
      <c r="EJ34" s="41"/>
      <c r="EK34" s="75">
        <f t="shared" si="49"/>
        <v>106925000</v>
      </c>
      <c r="EL34" s="75">
        <f t="shared" si="50"/>
        <v>0</v>
      </c>
      <c r="EM34" s="75">
        <f t="shared" si="51"/>
        <v>7744.1527777777774</v>
      </c>
      <c r="EN34" s="41">
        <f t="shared" si="52"/>
        <v>2.6073369184007482E-2</v>
      </c>
      <c r="EP34" s="40"/>
    </row>
    <row r="35" spans="1:146" x14ac:dyDescent="0.25">
      <c r="A35" s="25">
        <f t="shared" si="53"/>
        <v>43671</v>
      </c>
      <c r="D35" s="40">
        <f t="shared" si="2"/>
        <v>0</v>
      </c>
      <c r="G35" s="40">
        <f t="shared" si="3"/>
        <v>0</v>
      </c>
      <c r="J35" s="40">
        <f t="shared" si="4"/>
        <v>0</v>
      </c>
      <c r="M35" s="40">
        <f t="shared" si="5"/>
        <v>0</v>
      </c>
      <c r="P35" s="40">
        <f t="shared" si="6"/>
        <v>0</v>
      </c>
      <c r="S35" s="40">
        <f t="shared" si="7"/>
        <v>0</v>
      </c>
      <c r="V35" s="40">
        <f t="shared" si="8"/>
        <v>0</v>
      </c>
      <c r="Y35" s="40">
        <f t="shared" si="9"/>
        <v>0</v>
      </c>
      <c r="AB35" s="40">
        <f t="shared" si="10"/>
        <v>0</v>
      </c>
      <c r="AE35" s="40">
        <v>0</v>
      </c>
      <c r="AH35" s="40">
        <v>0</v>
      </c>
      <c r="AI35" s="73">
        <f>22175000</f>
        <v>22175000</v>
      </c>
      <c r="AJ35" s="74">
        <v>2.5399999999999999E-2</v>
      </c>
      <c r="AK35" s="40">
        <f t="shared" si="11"/>
        <v>1564.5694444444443</v>
      </c>
      <c r="AL35" s="73"/>
      <c r="AM35" s="74"/>
      <c r="AN35" s="40">
        <f t="shared" si="12"/>
        <v>0</v>
      </c>
      <c r="AO35" s="73"/>
      <c r="AP35" s="74"/>
      <c r="AQ35" s="40">
        <f t="shared" si="13"/>
        <v>0</v>
      </c>
      <c r="AR35" s="73">
        <f t="shared" si="54"/>
        <v>80000000</v>
      </c>
      <c r="AS35" s="74">
        <v>2.63E-2</v>
      </c>
      <c r="AT35" s="40">
        <f t="shared" si="14"/>
        <v>5844.4444444444443</v>
      </c>
      <c r="AW35" s="40">
        <f t="shared" si="15"/>
        <v>0</v>
      </c>
      <c r="AZ35" s="40">
        <f t="shared" si="16"/>
        <v>0</v>
      </c>
      <c r="BC35" s="40">
        <f t="shared" si="17"/>
        <v>0</v>
      </c>
      <c r="BF35" s="40">
        <f t="shared" si="18"/>
        <v>0</v>
      </c>
      <c r="BI35" s="40">
        <f t="shared" si="19"/>
        <v>0</v>
      </c>
      <c r="BL35" s="40">
        <f t="shared" si="20"/>
        <v>0</v>
      </c>
      <c r="BO35" s="40">
        <f t="shared" si="21"/>
        <v>0</v>
      </c>
      <c r="BR35" s="40">
        <f t="shared" si="22"/>
        <v>0</v>
      </c>
      <c r="BU35" s="40">
        <f t="shared" si="23"/>
        <v>0</v>
      </c>
      <c r="BX35" s="40">
        <f t="shared" si="24"/>
        <v>0</v>
      </c>
      <c r="CA35" s="40">
        <f t="shared" si="25"/>
        <v>0</v>
      </c>
      <c r="CD35" s="40">
        <f t="shared" si="26"/>
        <v>0</v>
      </c>
      <c r="CG35" s="40">
        <f t="shared" si="27"/>
        <v>0</v>
      </c>
      <c r="CJ35" s="40">
        <f t="shared" si="28"/>
        <v>0</v>
      </c>
      <c r="CM35" s="40">
        <f t="shared" si="29"/>
        <v>0</v>
      </c>
      <c r="CP35" s="40">
        <f t="shared" si="30"/>
        <v>0</v>
      </c>
      <c r="CS35" s="40">
        <f t="shared" si="31"/>
        <v>0</v>
      </c>
      <c r="CV35" s="40">
        <f t="shared" si="32"/>
        <v>0</v>
      </c>
      <c r="CY35" s="40">
        <f t="shared" si="33"/>
        <v>0</v>
      </c>
      <c r="DB35" s="40">
        <f t="shared" si="34"/>
        <v>0</v>
      </c>
      <c r="DE35" s="40">
        <f t="shared" si="35"/>
        <v>0</v>
      </c>
      <c r="DH35" s="40">
        <f t="shared" si="36"/>
        <v>0</v>
      </c>
      <c r="DK35" s="40">
        <f t="shared" si="37"/>
        <v>0</v>
      </c>
      <c r="DN35" s="40">
        <f t="shared" si="38"/>
        <v>0</v>
      </c>
      <c r="DQ35" s="40">
        <f t="shared" si="39"/>
        <v>0</v>
      </c>
      <c r="DT35" s="40">
        <f t="shared" si="40"/>
        <v>0</v>
      </c>
      <c r="DW35" s="40">
        <f t="shared" si="41"/>
        <v>0</v>
      </c>
      <c r="DZ35" s="40"/>
      <c r="EA35" s="40"/>
      <c r="EB35" s="75">
        <f t="shared" si="42"/>
        <v>102175000</v>
      </c>
      <c r="EC35" s="75">
        <f t="shared" si="43"/>
        <v>0</v>
      </c>
      <c r="ED35" s="40">
        <f t="shared" si="44"/>
        <v>7409.0138888888887</v>
      </c>
      <c r="EE35" s="41">
        <f t="shared" si="45"/>
        <v>2.6104673354538782E-2</v>
      </c>
      <c r="EG35" s="75">
        <f t="shared" si="46"/>
        <v>0</v>
      </c>
      <c r="EH35" s="40">
        <f t="shared" si="47"/>
        <v>0</v>
      </c>
      <c r="EI35" s="41">
        <f t="shared" si="48"/>
        <v>0</v>
      </c>
      <c r="EJ35" s="41"/>
      <c r="EK35" s="75">
        <f t="shared" si="49"/>
        <v>102175000</v>
      </c>
      <c r="EL35" s="75">
        <f t="shared" si="50"/>
        <v>0</v>
      </c>
      <c r="EM35" s="75">
        <f t="shared" si="51"/>
        <v>7409.0138888888887</v>
      </c>
      <c r="EN35" s="41">
        <f t="shared" si="52"/>
        <v>2.6104673354538782E-2</v>
      </c>
      <c r="EP35" s="40"/>
    </row>
    <row r="36" spans="1:146" x14ac:dyDescent="0.25">
      <c r="A36" s="25">
        <f t="shared" si="53"/>
        <v>43672</v>
      </c>
      <c r="D36" s="40">
        <f t="shared" si="2"/>
        <v>0</v>
      </c>
      <c r="G36" s="40">
        <f t="shared" si="3"/>
        <v>0</v>
      </c>
      <c r="J36" s="40">
        <f t="shared" si="4"/>
        <v>0</v>
      </c>
      <c r="M36" s="40">
        <f t="shared" si="5"/>
        <v>0</v>
      </c>
      <c r="P36" s="40">
        <f t="shared" si="6"/>
        <v>0</v>
      </c>
      <c r="S36" s="40">
        <f t="shared" si="7"/>
        <v>0</v>
      </c>
      <c r="V36" s="40">
        <f t="shared" si="8"/>
        <v>0</v>
      </c>
      <c r="Y36" s="40">
        <f t="shared" si="9"/>
        <v>0</v>
      </c>
      <c r="AB36" s="40">
        <f t="shared" si="10"/>
        <v>0</v>
      </c>
      <c r="AE36" s="40">
        <v>0</v>
      </c>
      <c r="AH36" s="40">
        <v>0</v>
      </c>
      <c r="AI36" s="73">
        <f>31825000</f>
        <v>31825000</v>
      </c>
      <c r="AJ36" s="74">
        <v>2.5399999999999999E-2</v>
      </c>
      <c r="AK36" s="40">
        <f t="shared" si="11"/>
        <v>2245.4305555555557</v>
      </c>
      <c r="AL36" s="73"/>
      <c r="AM36" s="74"/>
      <c r="AN36" s="40">
        <f t="shared" si="12"/>
        <v>0</v>
      </c>
      <c r="AO36" s="73"/>
      <c r="AP36" s="74"/>
      <c r="AQ36" s="40">
        <f t="shared" si="13"/>
        <v>0</v>
      </c>
      <c r="AR36" s="73">
        <f t="shared" si="54"/>
        <v>80000000</v>
      </c>
      <c r="AS36" s="74">
        <v>2.63E-2</v>
      </c>
      <c r="AT36" s="40">
        <f t="shared" si="14"/>
        <v>5844.4444444444443</v>
      </c>
      <c r="AW36" s="40">
        <f t="shared" si="15"/>
        <v>0</v>
      </c>
      <c r="AZ36" s="40">
        <f t="shared" si="16"/>
        <v>0</v>
      </c>
      <c r="BC36" s="40">
        <f t="shared" si="17"/>
        <v>0</v>
      </c>
      <c r="BF36" s="40">
        <f t="shared" si="18"/>
        <v>0</v>
      </c>
      <c r="BI36" s="40">
        <f t="shared" si="19"/>
        <v>0</v>
      </c>
      <c r="BL36" s="40">
        <f t="shared" si="20"/>
        <v>0</v>
      </c>
      <c r="BO36" s="40">
        <f t="shared" si="21"/>
        <v>0</v>
      </c>
      <c r="BR36" s="40">
        <f t="shared" si="22"/>
        <v>0</v>
      </c>
      <c r="BU36" s="40">
        <f t="shared" si="23"/>
        <v>0</v>
      </c>
      <c r="BX36" s="40">
        <f t="shared" si="24"/>
        <v>0</v>
      </c>
      <c r="CA36" s="40">
        <f t="shared" si="25"/>
        <v>0</v>
      </c>
      <c r="CD36" s="40">
        <f t="shared" si="26"/>
        <v>0</v>
      </c>
      <c r="CG36" s="40">
        <f t="shared" si="27"/>
        <v>0</v>
      </c>
      <c r="CJ36" s="40">
        <f t="shared" si="28"/>
        <v>0</v>
      </c>
      <c r="CM36" s="40">
        <f t="shared" si="29"/>
        <v>0</v>
      </c>
      <c r="CP36" s="40">
        <f t="shared" si="30"/>
        <v>0</v>
      </c>
      <c r="CS36" s="40">
        <f t="shared" si="31"/>
        <v>0</v>
      </c>
      <c r="CV36" s="40">
        <f t="shared" si="32"/>
        <v>0</v>
      </c>
      <c r="CY36" s="40">
        <f t="shared" si="33"/>
        <v>0</v>
      </c>
      <c r="DB36" s="40">
        <f t="shared" si="34"/>
        <v>0</v>
      </c>
      <c r="DE36" s="40">
        <f t="shared" si="35"/>
        <v>0</v>
      </c>
      <c r="DH36" s="40">
        <f t="shared" si="36"/>
        <v>0</v>
      </c>
      <c r="DK36" s="40">
        <f t="shared" si="37"/>
        <v>0</v>
      </c>
      <c r="DN36" s="40">
        <f t="shared" si="38"/>
        <v>0</v>
      </c>
      <c r="DQ36" s="40">
        <f t="shared" si="39"/>
        <v>0</v>
      </c>
      <c r="DT36" s="40">
        <f t="shared" si="40"/>
        <v>0</v>
      </c>
      <c r="DW36" s="40">
        <f t="shared" si="41"/>
        <v>0</v>
      </c>
      <c r="DZ36" s="40"/>
      <c r="EA36" s="40"/>
      <c r="EB36" s="75">
        <f t="shared" si="42"/>
        <v>111825000</v>
      </c>
      <c r="EC36" s="75">
        <f t="shared" si="43"/>
        <v>0</v>
      </c>
      <c r="ED36" s="40">
        <f t="shared" si="44"/>
        <v>8089.875</v>
      </c>
      <c r="EE36" s="41">
        <f t="shared" si="45"/>
        <v>2.6043863179074443E-2</v>
      </c>
      <c r="EG36" s="75">
        <f t="shared" si="46"/>
        <v>0</v>
      </c>
      <c r="EH36" s="40">
        <f t="shared" si="47"/>
        <v>0</v>
      </c>
      <c r="EI36" s="41">
        <f t="shared" si="48"/>
        <v>0</v>
      </c>
      <c r="EJ36" s="41"/>
      <c r="EK36" s="75">
        <f t="shared" si="49"/>
        <v>111825000</v>
      </c>
      <c r="EL36" s="75">
        <f t="shared" si="50"/>
        <v>0</v>
      </c>
      <c r="EM36" s="75">
        <f t="shared" si="51"/>
        <v>8089.875</v>
      </c>
      <c r="EN36" s="41">
        <f t="shared" si="52"/>
        <v>2.6043863179074443E-2</v>
      </c>
      <c r="EP36" s="40"/>
    </row>
    <row r="37" spans="1:146" x14ac:dyDescent="0.25">
      <c r="A37" s="25">
        <f t="shared" si="53"/>
        <v>43673</v>
      </c>
      <c r="D37" s="40">
        <f t="shared" si="2"/>
        <v>0</v>
      </c>
      <c r="G37" s="40">
        <f t="shared" si="3"/>
        <v>0</v>
      </c>
      <c r="J37" s="40">
        <f t="shared" si="4"/>
        <v>0</v>
      </c>
      <c r="M37" s="40">
        <f t="shared" si="5"/>
        <v>0</v>
      </c>
      <c r="P37" s="40">
        <f t="shared" si="6"/>
        <v>0</v>
      </c>
      <c r="S37" s="40">
        <f t="shared" si="7"/>
        <v>0</v>
      </c>
      <c r="V37" s="40">
        <f t="shared" si="8"/>
        <v>0</v>
      </c>
      <c r="Y37" s="40">
        <f t="shared" si="9"/>
        <v>0</v>
      </c>
      <c r="AB37" s="40">
        <f t="shared" si="10"/>
        <v>0</v>
      </c>
      <c r="AE37" s="40">
        <v>0</v>
      </c>
      <c r="AH37" s="40">
        <v>0</v>
      </c>
      <c r="AI37" s="73">
        <f>31825000</f>
        <v>31825000</v>
      </c>
      <c r="AJ37" s="74">
        <v>2.5399999999999999E-2</v>
      </c>
      <c r="AK37" s="40">
        <f t="shared" si="11"/>
        <v>2245.4305555555557</v>
      </c>
      <c r="AL37" s="73"/>
      <c r="AM37" s="74"/>
      <c r="AN37" s="40">
        <f t="shared" si="12"/>
        <v>0</v>
      </c>
      <c r="AO37" s="73"/>
      <c r="AP37" s="74"/>
      <c r="AQ37" s="40">
        <f t="shared" si="13"/>
        <v>0</v>
      </c>
      <c r="AR37" s="73">
        <f t="shared" si="54"/>
        <v>80000000</v>
      </c>
      <c r="AS37" s="74">
        <v>2.63E-2</v>
      </c>
      <c r="AT37" s="40">
        <f t="shared" si="14"/>
        <v>5844.4444444444443</v>
      </c>
      <c r="AW37" s="40">
        <f t="shared" si="15"/>
        <v>0</v>
      </c>
      <c r="AZ37" s="40">
        <f t="shared" si="16"/>
        <v>0</v>
      </c>
      <c r="BC37" s="40">
        <f t="shared" si="17"/>
        <v>0</v>
      </c>
      <c r="BF37" s="40">
        <f t="shared" si="18"/>
        <v>0</v>
      </c>
      <c r="BI37" s="40">
        <f t="shared" si="19"/>
        <v>0</v>
      </c>
      <c r="BL37" s="40">
        <f t="shared" si="20"/>
        <v>0</v>
      </c>
      <c r="BO37" s="40">
        <f t="shared" si="21"/>
        <v>0</v>
      </c>
      <c r="BR37" s="40">
        <f t="shared" si="22"/>
        <v>0</v>
      </c>
      <c r="BU37" s="40">
        <f t="shared" si="23"/>
        <v>0</v>
      </c>
      <c r="BX37" s="40">
        <f t="shared" si="24"/>
        <v>0</v>
      </c>
      <c r="CA37" s="40">
        <f t="shared" si="25"/>
        <v>0</v>
      </c>
      <c r="CD37" s="40">
        <f t="shared" si="26"/>
        <v>0</v>
      </c>
      <c r="CG37" s="40">
        <f t="shared" si="27"/>
        <v>0</v>
      </c>
      <c r="CJ37" s="40">
        <f t="shared" si="28"/>
        <v>0</v>
      </c>
      <c r="CM37" s="40">
        <f t="shared" si="29"/>
        <v>0</v>
      </c>
      <c r="CP37" s="40">
        <f t="shared" si="30"/>
        <v>0</v>
      </c>
      <c r="CS37" s="40">
        <f t="shared" si="31"/>
        <v>0</v>
      </c>
      <c r="CV37" s="40">
        <f t="shared" si="32"/>
        <v>0</v>
      </c>
      <c r="CY37" s="40">
        <f t="shared" si="33"/>
        <v>0</v>
      </c>
      <c r="DB37" s="40">
        <f t="shared" si="34"/>
        <v>0</v>
      </c>
      <c r="DE37" s="40">
        <f t="shared" si="35"/>
        <v>0</v>
      </c>
      <c r="DH37" s="40">
        <f t="shared" si="36"/>
        <v>0</v>
      </c>
      <c r="DK37" s="40">
        <f t="shared" si="37"/>
        <v>0</v>
      </c>
      <c r="DN37" s="40">
        <f t="shared" si="38"/>
        <v>0</v>
      </c>
      <c r="DQ37" s="40">
        <f t="shared" si="39"/>
        <v>0</v>
      </c>
      <c r="DT37" s="40">
        <f t="shared" si="40"/>
        <v>0</v>
      </c>
      <c r="DW37" s="40">
        <f t="shared" si="41"/>
        <v>0</v>
      </c>
      <c r="DZ37" s="40"/>
      <c r="EA37" s="40"/>
      <c r="EB37" s="75">
        <f t="shared" si="42"/>
        <v>111825000</v>
      </c>
      <c r="EC37" s="75">
        <f t="shared" si="43"/>
        <v>0</v>
      </c>
      <c r="ED37" s="40">
        <f t="shared" si="44"/>
        <v>8089.875</v>
      </c>
      <c r="EE37" s="41">
        <f t="shared" si="45"/>
        <v>2.6043863179074443E-2</v>
      </c>
      <c r="EG37" s="75">
        <f t="shared" si="46"/>
        <v>0</v>
      </c>
      <c r="EH37" s="40">
        <f t="shared" si="47"/>
        <v>0</v>
      </c>
      <c r="EI37" s="41">
        <f t="shared" si="48"/>
        <v>0</v>
      </c>
      <c r="EJ37" s="41"/>
      <c r="EK37" s="75">
        <f t="shared" si="49"/>
        <v>111825000</v>
      </c>
      <c r="EL37" s="75">
        <f t="shared" si="50"/>
        <v>0</v>
      </c>
      <c r="EM37" s="75">
        <f t="shared" si="51"/>
        <v>8089.875</v>
      </c>
      <c r="EN37" s="41">
        <f t="shared" si="52"/>
        <v>2.6043863179074443E-2</v>
      </c>
      <c r="EP37" s="40"/>
    </row>
    <row r="38" spans="1:146" x14ac:dyDescent="0.25">
      <c r="A38" s="25">
        <f t="shared" si="53"/>
        <v>43674</v>
      </c>
      <c r="D38" s="40">
        <f t="shared" si="2"/>
        <v>0</v>
      </c>
      <c r="G38" s="40">
        <f t="shared" si="3"/>
        <v>0</v>
      </c>
      <c r="J38" s="40">
        <f t="shared" si="4"/>
        <v>0</v>
      </c>
      <c r="M38" s="40">
        <f t="shared" si="5"/>
        <v>0</v>
      </c>
      <c r="P38" s="40">
        <f t="shared" si="6"/>
        <v>0</v>
      </c>
      <c r="S38" s="40">
        <f t="shared" si="7"/>
        <v>0</v>
      </c>
      <c r="V38" s="40">
        <f t="shared" si="8"/>
        <v>0</v>
      </c>
      <c r="Y38" s="40">
        <f t="shared" si="9"/>
        <v>0</v>
      </c>
      <c r="AB38" s="40">
        <f t="shared" si="10"/>
        <v>0</v>
      </c>
      <c r="AE38" s="40">
        <v>0</v>
      </c>
      <c r="AH38" s="40">
        <v>0</v>
      </c>
      <c r="AI38" s="73">
        <f>31825000</f>
        <v>31825000</v>
      </c>
      <c r="AJ38" s="74">
        <v>2.5399999999999999E-2</v>
      </c>
      <c r="AK38" s="40">
        <f t="shared" si="11"/>
        <v>2245.4305555555557</v>
      </c>
      <c r="AL38" s="73"/>
      <c r="AM38" s="74"/>
      <c r="AN38" s="40">
        <f t="shared" si="12"/>
        <v>0</v>
      </c>
      <c r="AO38" s="73"/>
      <c r="AP38" s="74"/>
      <c r="AQ38" s="40">
        <f t="shared" si="13"/>
        <v>0</v>
      </c>
      <c r="AR38" s="73">
        <f t="shared" si="54"/>
        <v>80000000</v>
      </c>
      <c r="AS38" s="74">
        <v>2.63E-2</v>
      </c>
      <c r="AT38" s="40">
        <f t="shared" si="14"/>
        <v>5844.4444444444443</v>
      </c>
      <c r="AW38" s="40">
        <f t="shared" si="15"/>
        <v>0</v>
      </c>
      <c r="AZ38" s="40">
        <f t="shared" si="16"/>
        <v>0</v>
      </c>
      <c r="BC38" s="40">
        <f t="shared" si="17"/>
        <v>0</v>
      </c>
      <c r="BF38" s="40">
        <f t="shared" si="18"/>
        <v>0</v>
      </c>
      <c r="BI38" s="40">
        <f t="shared" si="19"/>
        <v>0</v>
      </c>
      <c r="BL38" s="40">
        <f t="shared" si="20"/>
        <v>0</v>
      </c>
      <c r="BO38" s="40">
        <f t="shared" si="21"/>
        <v>0</v>
      </c>
      <c r="BR38" s="40">
        <f t="shared" si="22"/>
        <v>0</v>
      </c>
      <c r="BU38" s="40">
        <f t="shared" si="23"/>
        <v>0</v>
      </c>
      <c r="BX38" s="40">
        <f t="shared" si="24"/>
        <v>0</v>
      </c>
      <c r="CA38" s="40">
        <f t="shared" si="25"/>
        <v>0</v>
      </c>
      <c r="CD38" s="40">
        <f t="shared" si="26"/>
        <v>0</v>
      </c>
      <c r="CG38" s="40">
        <f t="shared" si="27"/>
        <v>0</v>
      </c>
      <c r="CJ38" s="40">
        <f t="shared" si="28"/>
        <v>0</v>
      </c>
      <c r="CM38" s="40">
        <f t="shared" si="29"/>
        <v>0</v>
      </c>
      <c r="CP38" s="40">
        <f t="shared" si="30"/>
        <v>0</v>
      </c>
      <c r="CS38" s="40">
        <f t="shared" si="31"/>
        <v>0</v>
      </c>
      <c r="CV38" s="40">
        <f t="shared" si="32"/>
        <v>0</v>
      </c>
      <c r="CY38" s="40">
        <f t="shared" si="33"/>
        <v>0</v>
      </c>
      <c r="DB38" s="40">
        <f t="shared" si="34"/>
        <v>0</v>
      </c>
      <c r="DE38" s="40">
        <f t="shared" si="35"/>
        <v>0</v>
      </c>
      <c r="DH38" s="40">
        <f t="shared" si="36"/>
        <v>0</v>
      </c>
      <c r="DK38" s="40">
        <f t="shared" si="37"/>
        <v>0</v>
      </c>
      <c r="DN38" s="40">
        <f t="shared" si="38"/>
        <v>0</v>
      </c>
      <c r="DQ38" s="40">
        <f t="shared" si="39"/>
        <v>0</v>
      </c>
      <c r="DT38" s="40">
        <f t="shared" si="40"/>
        <v>0</v>
      </c>
      <c r="DW38" s="40">
        <f t="shared" si="41"/>
        <v>0</v>
      </c>
      <c r="DZ38" s="40"/>
      <c r="EA38" s="40"/>
      <c r="EB38" s="75">
        <f t="shared" si="42"/>
        <v>111825000</v>
      </c>
      <c r="EC38" s="75">
        <f t="shared" si="43"/>
        <v>0</v>
      </c>
      <c r="ED38" s="40">
        <f t="shared" si="44"/>
        <v>8089.875</v>
      </c>
      <c r="EE38" s="41">
        <f t="shared" si="45"/>
        <v>2.6043863179074443E-2</v>
      </c>
      <c r="EG38" s="75">
        <f t="shared" si="46"/>
        <v>0</v>
      </c>
      <c r="EH38" s="40">
        <f t="shared" si="47"/>
        <v>0</v>
      </c>
      <c r="EI38" s="41">
        <f t="shared" si="48"/>
        <v>0</v>
      </c>
      <c r="EJ38" s="41"/>
      <c r="EK38" s="75">
        <f t="shared" si="49"/>
        <v>111825000</v>
      </c>
      <c r="EL38" s="75">
        <f t="shared" si="50"/>
        <v>0</v>
      </c>
      <c r="EM38" s="75">
        <f t="shared" si="51"/>
        <v>8089.875</v>
      </c>
      <c r="EN38" s="41">
        <f t="shared" si="52"/>
        <v>2.6043863179074443E-2</v>
      </c>
      <c r="EP38" s="40"/>
    </row>
    <row r="39" spans="1:146" x14ac:dyDescent="0.25">
      <c r="A39" s="25">
        <f t="shared" si="53"/>
        <v>43675</v>
      </c>
      <c r="D39" s="40">
        <f t="shared" si="2"/>
        <v>0</v>
      </c>
      <c r="G39" s="40">
        <f t="shared" si="3"/>
        <v>0</v>
      </c>
      <c r="J39" s="40">
        <f t="shared" si="4"/>
        <v>0</v>
      </c>
      <c r="M39" s="40">
        <f t="shared" si="5"/>
        <v>0</v>
      </c>
      <c r="P39" s="40">
        <f t="shared" si="6"/>
        <v>0</v>
      </c>
      <c r="S39" s="40">
        <f t="shared" si="7"/>
        <v>0</v>
      </c>
      <c r="V39" s="40">
        <f t="shared" si="8"/>
        <v>0</v>
      </c>
      <c r="Y39" s="40">
        <f t="shared" si="9"/>
        <v>0</v>
      </c>
      <c r="AB39" s="40">
        <f t="shared" si="10"/>
        <v>0</v>
      </c>
      <c r="AE39" s="40">
        <v>0</v>
      </c>
      <c r="AH39" s="40">
        <v>0</v>
      </c>
      <c r="AI39" s="73">
        <f>41450000</f>
        <v>41450000</v>
      </c>
      <c r="AJ39" s="74">
        <v>2.5399999999999999E-2</v>
      </c>
      <c r="AK39" s="40">
        <f t="shared" si="11"/>
        <v>2924.5277777777778</v>
      </c>
      <c r="AL39" s="73"/>
      <c r="AM39" s="74"/>
      <c r="AN39" s="40">
        <f t="shared" si="12"/>
        <v>0</v>
      </c>
      <c r="AO39" s="73"/>
      <c r="AP39" s="74"/>
      <c r="AQ39" s="40">
        <f t="shared" si="13"/>
        <v>0</v>
      </c>
      <c r="AR39" s="73">
        <f t="shared" si="54"/>
        <v>80000000</v>
      </c>
      <c r="AS39" s="74">
        <v>2.63E-2</v>
      </c>
      <c r="AT39" s="40">
        <f t="shared" si="14"/>
        <v>5844.4444444444443</v>
      </c>
      <c r="AW39" s="40">
        <f t="shared" si="15"/>
        <v>0</v>
      </c>
      <c r="AZ39" s="40">
        <f t="shared" si="16"/>
        <v>0</v>
      </c>
      <c r="BC39" s="40">
        <f t="shared" si="17"/>
        <v>0</v>
      </c>
      <c r="BF39" s="40">
        <f t="shared" si="18"/>
        <v>0</v>
      </c>
      <c r="BI39" s="40">
        <f t="shared" si="19"/>
        <v>0</v>
      </c>
      <c r="BL39" s="40">
        <f t="shared" si="20"/>
        <v>0</v>
      </c>
      <c r="BO39" s="40">
        <f t="shared" si="21"/>
        <v>0</v>
      </c>
      <c r="BR39" s="40">
        <f t="shared" si="22"/>
        <v>0</v>
      </c>
      <c r="BU39" s="40">
        <f t="shared" si="23"/>
        <v>0</v>
      </c>
      <c r="BX39" s="40">
        <f t="shared" si="24"/>
        <v>0</v>
      </c>
      <c r="CA39" s="40">
        <f t="shared" si="25"/>
        <v>0</v>
      </c>
      <c r="CD39" s="40">
        <f t="shared" si="26"/>
        <v>0</v>
      </c>
      <c r="CG39" s="40">
        <f t="shared" si="27"/>
        <v>0</v>
      </c>
      <c r="CJ39" s="40">
        <f t="shared" si="28"/>
        <v>0</v>
      </c>
      <c r="CM39" s="40">
        <f t="shared" si="29"/>
        <v>0</v>
      </c>
      <c r="CP39" s="40">
        <f t="shared" si="30"/>
        <v>0</v>
      </c>
      <c r="CS39" s="40">
        <f t="shared" si="31"/>
        <v>0</v>
      </c>
      <c r="CV39" s="40">
        <f t="shared" si="32"/>
        <v>0</v>
      </c>
      <c r="CY39" s="40">
        <f t="shared" si="33"/>
        <v>0</v>
      </c>
      <c r="DB39" s="40">
        <f t="shared" si="34"/>
        <v>0</v>
      </c>
      <c r="DE39" s="40">
        <f t="shared" si="35"/>
        <v>0</v>
      </c>
      <c r="DH39" s="40">
        <f t="shared" si="36"/>
        <v>0</v>
      </c>
      <c r="DK39" s="40">
        <f t="shared" si="37"/>
        <v>0</v>
      </c>
      <c r="DN39" s="40">
        <f t="shared" si="38"/>
        <v>0</v>
      </c>
      <c r="DQ39" s="40">
        <f t="shared" si="39"/>
        <v>0</v>
      </c>
      <c r="DT39" s="40">
        <f t="shared" si="40"/>
        <v>0</v>
      </c>
      <c r="DW39" s="40">
        <f t="shared" si="41"/>
        <v>0</v>
      </c>
      <c r="DZ39" s="40"/>
      <c r="EA39" s="40"/>
      <c r="EB39" s="75">
        <f t="shared" si="42"/>
        <v>121450000</v>
      </c>
      <c r="EC39" s="75">
        <f t="shared" si="43"/>
        <v>0</v>
      </c>
      <c r="ED39" s="40">
        <f t="shared" si="44"/>
        <v>8768.9722222222226</v>
      </c>
      <c r="EE39" s="41">
        <f t="shared" si="45"/>
        <v>2.5992836558254431E-2</v>
      </c>
      <c r="EG39" s="75">
        <f t="shared" si="46"/>
        <v>0</v>
      </c>
      <c r="EH39" s="40">
        <f t="shared" si="47"/>
        <v>0</v>
      </c>
      <c r="EI39" s="41">
        <f t="shared" si="48"/>
        <v>0</v>
      </c>
      <c r="EJ39" s="41"/>
      <c r="EK39" s="75">
        <f t="shared" si="49"/>
        <v>121450000</v>
      </c>
      <c r="EL39" s="75">
        <f t="shared" si="50"/>
        <v>0</v>
      </c>
      <c r="EM39" s="75">
        <f t="shared" si="51"/>
        <v>8768.9722222222226</v>
      </c>
      <c r="EN39" s="41">
        <f t="shared" si="52"/>
        <v>2.5992836558254431E-2</v>
      </c>
      <c r="EP39" s="40"/>
    </row>
    <row r="40" spans="1:146" x14ac:dyDescent="0.25">
      <c r="A40" s="25">
        <f t="shared" si="53"/>
        <v>43676</v>
      </c>
      <c r="D40" s="40">
        <f t="shared" si="2"/>
        <v>0</v>
      </c>
      <c r="G40" s="40">
        <f t="shared" si="3"/>
        <v>0</v>
      </c>
      <c r="J40" s="40">
        <f t="shared" si="4"/>
        <v>0</v>
      </c>
      <c r="M40" s="40">
        <f t="shared" si="5"/>
        <v>0</v>
      </c>
      <c r="P40" s="40">
        <f t="shared" si="6"/>
        <v>0</v>
      </c>
      <c r="S40" s="40">
        <f t="shared" si="7"/>
        <v>0</v>
      </c>
      <c r="V40" s="40">
        <f t="shared" si="8"/>
        <v>0</v>
      </c>
      <c r="Y40" s="40">
        <f t="shared" si="9"/>
        <v>0</v>
      </c>
      <c r="AB40" s="40">
        <f t="shared" si="10"/>
        <v>0</v>
      </c>
      <c r="AE40" s="40">
        <v>0</v>
      </c>
      <c r="AH40" s="40">
        <v>0</v>
      </c>
      <c r="AI40" s="73">
        <f>35050000</f>
        <v>35050000</v>
      </c>
      <c r="AJ40" s="74">
        <v>2.5399999999999999E-2</v>
      </c>
      <c r="AK40" s="40">
        <f t="shared" si="11"/>
        <v>2472.9722222222222</v>
      </c>
      <c r="AL40" s="73"/>
      <c r="AM40" s="74"/>
      <c r="AN40" s="40">
        <f t="shared" si="12"/>
        <v>0</v>
      </c>
      <c r="AO40" s="73"/>
      <c r="AP40" s="74"/>
      <c r="AQ40" s="40">
        <f t="shared" si="13"/>
        <v>0</v>
      </c>
      <c r="AR40" s="73">
        <f t="shared" si="54"/>
        <v>80000000</v>
      </c>
      <c r="AS40" s="74">
        <v>2.63E-2</v>
      </c>
      <c r="AT40" s="40">
        <f t="shared" si="14"/>
        <v>5844.4444444444443</v>
      </c>
      <c r="AW40" s="40">
        <f t="shared" si="15"/>
        <v>0</v>
      </c>
      <c r="AZ40" s="40">
        <f t="shared" si="16"/>
        <v>0</v>
      </c>
      <c r="BC40" s="40">
        <f t="shared" si="17"/>
        <v>0</v>
      </c>
      <c r="BF40" s="40">
        <f t="shared" si="18"/>
        <v>0</v>
      </c>
      <c r="BI40" s="40">
        <f t="shared" si="19"/>
        <v>0</v>
      </c>
      <c r="BL40" s="40">
        <f t="shared" si="20"/>
        <v>0</v>
      </c>
      <c r="BO40" s="40">
        <f t="shared" si="21"/>
        <v>0</v>
      </c>
      <c r="BR40" s="40">
        <f t="shared" si="22"/>
        <v>0</v>
      </c>
      <c r="BU40" s="40">
        <f t="shared" si="23"/>
        <v>0</v>
      </c>
      <c r="BX40" s="40">
        <f t="shared" si="24"/>
        <v>0</v>
      </c>
      <c r="CA40" s="40">
        <f t="shared" si="25"/>
        <v>0</v>
      </c>
      <c r="CD40" s="40">
        <f t="shared" si="26"/>
        <v>0</v>
      </c>
      <c r="CG40" s="40">
        <f t="shared" si="27"/>
        <v>0</v>
      </c>
      <c r="CJ40" s="40">
        <f t="shared" si="28"/>
        <v>0</v>
      </c>
      <c r="CM40" s="40">
        <f t="shared" si="29"/>
        <v>0</v>
      </c>
      <c r="CP40" s="40">
        <f t="shared" si="30"/>
        <v>0</v>
      </c>
      <c r="CS40" s="40">
        <f t="shared" si="31"/>
        <v>0</v>
      </c>
      <c r="CV40" s="40">
        <f t="shared" si="32"/>
        <v>0</v>
      </c>
      <c r="CY40" s="40">
        <f t="shared" si="33"/>
        <v>0</v>
      </c>
      <c r="DB40" s="40">
        <f t="shared" si="34"/>
        <v>0</v>
      </c>
      <c r="DE40" s="40">
        <f t="shared" si="35"/>
        <v>0</v>
      </c>
      <c r="DH40" s="40">
        <f t="shared" si="36"/>
        <v>0</v>
      </c>
      <c r="DK40" s="40">
        <f t="shared" si="37"/>
        <v>0</v>
      </c>
      <c r="DN40" s="40">
        <f t="shared" si="38"/>
        <v>0</v>
      </c>
      <c r="DQ40" s="40">
        <f t="shared" si="39"/>
        <v>0</v>
      </c>
      <c r="DT40" s="40">
        <f t="shared" si="40"/>
        <v>0</v>
      </c>
      <c r="DW40" s="40">
        <f t="shared" si="41"/>
        <v>0</v>
      </c>
      <c r="DZ40" s="38"/>
      <c r="EA40" s="40"/>
      <c r="EB40" s="75">
        <f t="shared" si="42"/>
        <v>115050000</v>
      </c>
      <c r="EC40" s="75">
        <f t="shared" si="43"/>
        <v>0</v>
      </c>
      <c r="ED40" s="40">
        <f t="shared" si="44"/>
        <v>8317.4166666666661</v>
      </c>
      <c r="EE40" s="41">
        <f t="shared" si="45"/>
        <v>2.6025814863102997E-2</v>
      </c>
      <c r="EG40" s="75">
        <f t="shared" si="46"/>
        <v>0</v>
      </c>
      <c r="EH40" s="40">
        <f t="shared" si="47"/>
        <v>0</v>
      </c>
      <c r="EI40" s="41">
        <f t="shared" si="48"/>
        <v>0</v>
      </c>
      <c r="EJ40" s="41"/>
      <c r="EK40" s="75">
        <f t="shared" si="49"/>
        <v>115050000</v>
      </c>
      <c r="EL40" s="75">
        <f t="shared" si="50"/>
        <v>0</v>
      </c>
      <c r="EM40" s="75">
        <f t="shared" si="51"/>
        <v>8317.4166666666661</v>
      </c>
      <c r="EN40" s="41">
        <f t="shared" si="52"/>
        <v>2.6025814863102997E-2</v>
      </c>
      <c r="EP40" s="40"/>
    </row>
    <row r="41" spans="1:146" x14ac:dyDescent="0.25">
      <c r="A41" s="25">
        <f t="shared" si="53"/>
        <v>43677</v>
      </c>
      <c r="D41" s="40">
        <f t="shared" si="2"/>
        <v>0</v>
      </c>
      <c r="G41" s="40">
        <f t="shared" si="3"/>
        <v>0</v>
      </c>
      <c r="J41" s="40">
        <f t="shared" si="4"/>
        <v>0</v>
      </c>
      <c r="M41" s="40">
        <f t="shared" si="5"/>
        <v>0</v>
      </c>
      <c r="P41" s="40">
        <f t="shared" si="6"/>
        <v>0</v>
      </c>
      <c r="S41" s="40">
        <f t="shared" si="7"/>
        <v>0</v>
      </c>
      <c r="V41" s="40">
        <f t="shared" si="8"/>
        <v>0</v>
      </c>
      <c r="Y41" s="40">
        <f t="shared" si="9"/>
        <v>0</v>
      </c>
      <c r="AB41" s="40">
        <f t="shared" si="10"/>
        <v>0</v>
      </c>
      <c r="AE41" s="40">
        <v>0</v>
      </c>
      <c r="AH41" s="40">
        <v>0</v>
      </c>
      <c r="AI41" s="73">
        <f>36775000</f>
        <v>36775000</v>
      </c>
      <c r="AJ41" s="74">
        <v>2.5399999999999999E-2</v>
      </c>
      <c r="AK41" s="40">
        <f t="shared" si="11"/>
        <v>2594.6805555555557</v>
      </c>
      <c r="AL41" s="73"/>
      <c r="AM41" s="74"/>
      <c r="AN41" s="40">
        <f t="shared" si="12"/>
        <v>0</v>
      </c>
      <c r="AO41" s="73"/>
      <c r="AP41" s="74"/>
      <c r="AQ41" s="40">
        <f t="shared" si="13"/>
        <v>0</v>
      </c>
      <c r="AR41" s="73">
        <f t="shared" si="54"/>
        <v>80000000</v>
      </c>
      <c r="AS41" s="74">
        <v>2.63E-2</v>
      </c>
      <c r="AT41" s="40">
        <f t="shared" si="14"/>
        <v>5844.4444444444443</v>
      </c>
      <c r="AW41" s="40">
        <f t="shared" si="15"/>
        <v>0</v>
      </c>
      <c r="AZ41" s="40">
        <f t="shared" si="16"/>
        <v>0</v>
      </c>
      <c r="BC41" s="40">
        <f t="shared" si="17"/>
        <v>0</v>
      </c>
      <c r="BF41" s="40">
        <f t="shared" si="18"/>
        <v>0</v>
      </c>
      <c r="BI41" s="40">
        <f t="shared" si="19"/>
        <v>0</v>
      </c>
      <c r="BL41" s="40">
        <f t="shared" si="20"/>
        <v>0</v>
      </c>
      <c r="BO41" s="40">
        <f t="shared" si="21"/>
        <v>0</v>
      </c>
      <c r="BR41" s="40">
        <f t="shared" si="22"/>
        <v>0</v>
      </c>
      <c r="BU41" s="40">
        <f t="shared" si="23"/>
        <v>0</v>
      </c>
      <c r="BX41" s="40">
        <f t="shared" si="24"/>
        <v>0</v>
      </c>
      <c r="CA41" s="40">
        <f t="shared" si="25"/>
        <v>0</v>
      </c>
      <c r="CD41" s="40">
        <f t="shared" si="26"/>
        <v>0</v>
      </c>
      <c r="CG41" s="40">
        <f t="shared" si="27"/>
        <v>0</v>
      </c>
      <c r="CJ41" s="40">
        <f t="shared" si="28"/>
        <v>0</v>
      </c>
      <c r="CM41" s="40">
        <f t="shared" si="29"/>
        <v>0</v>
      </c>
      <c r="CP41" s="40">
        <f t="shared" si="30"/>
        <v>0</v>
      </c>
      <c r="CS41" s="40">
        <f t="shared" si="31"/>
        <v>0</v>
      </c>
      <c r="CV41" s="40">
        <f t="shared" si="32"/>
        <v>0</v>
      </c>
      <c r="CY41" s="40">
        <f t="shared" si="33"/>
        <v>0</v>
      </c>
      <c r="DB41" s="40">
        <f t="shared" si="34"/>
        <v>0</v>
      </c>
      <c r="DE41" s="40">
        <f t="shared" si="35"/>
        <v>0</v>
      </c>
      <c r="DH41" s="40">
        <f t="shared" si="36"/>
        <v>0</v>
      </c>
      <c r="DK41" s="40">
        <f t="shared" si="37"/>
        <v>0</v>
      </c>
      <c r="DN41" s="40">
        <f t="shared" si="38"/>
        <v>0</v>
      </c>
      <c r="DQ41" s="40">
        <f t="shared" si="39"/>
        <v>0</v>
      </c>
      <c r="DT41" s="40">
        <f t="shared" si="40"/>
        <v>0</v>
      </c>
      <c r="DW41" s="40">
        <f t="shared" si="41"/>
        <v>0</v>
      </c>
      <c r="DZ41" s="38"/>
      <c r="EA41" s="40"/>
      <c r="EB41" s="75">
        <f t="shared" si="42"/>
        <v>116775000</v>
      </c>
      <c r="EC41" s="75">
        <f t="shared" si="43"/>
        <v>0</v>
      </c>
      <c r="ED41" s="40">
        <f t="shared" si="44"/>
        <v>8439.125</v>
      </c>
      <c r="EE41" s="41">
        <f t="shared" si="45"/>
        <v>2.6016570327552987E-2</v>
      </c>
      <c r="EG41" s="75">
        <f t="shared" si="46"/>
        <v>0</v>
      </c>
      <c r="EH41" s="40">
        <f t="shared" si="47"/>
        <v>0</v>
      </c>
      <c r="EI41" s="41">
        <f t="shared" si="48"/>
        <v>0</v>
      </c>
      <c r="EJ41" s="41"/>
      <c r="EK41" s="75">
        <f t="shared" si="49"/>
        <v>116775000</v>
      </c>
      <c r="EL41" s="75">
        <f t="shared" si="50"/>
        <v>0</v>
      </c>
      <c r="EM41" s="75">
        <f t="shared" si="51"/>
        <v>8439.125</v>
      </c>
      <c r="EN41" s="41">
        <f t="shared" si="52"/>
        <v>2.6016570327552987E-2</v>
      </c>
      <c r="EP41" s="40"/>
    </row>
    <row r="42" spans="1:146" x14ac:dyDescent="0.25">
      <c r="A42" s="76" t="s">
        <v>75</v>
      </c>
      <c r="D42" s="77">
        <f>SUM(D11:D41)</f>
        <v>0</v>
      </c>
      <c r="G42" s="77">
        <f>SUM(G11:G41)</f>
        <v>0</v>
      </c>
      <c r="J42" s="77">
        <f>SUM(J11:J41)</f>
        <v>0</v>
      </c>
      <c r="M42" s="77">
        <f>SUM(M11:M41)</f>
        <v>0</v>
      </c>
      <c r="P42" s="77">
        <f>SUM(P11:P41)</f>
        <v>0</v>
      </c>
      <c r="S42" s="77">
        <f>SUM(S11:S41)</f>
        <v>0</v>
      </c>
      <c r="V42" s="77">
        <f>SUM(V11:V41)</f>
        <v>0</v>
      </c>
      <c r="Y42" s="77">
        <f>SUM(Y11:Y41)</f>
        <v>0</v>
      </c>
      <c r="AB42" s="77">
        <f>SUM(AB11:AB41)</f>
        <v>0</v>
      </c>
      <c r="AE42" s="77">
        <f>SUM(AE11:AE41)</f>
        <v>0</v>
      </c>
      <c r="AH42" s="77">
        <f>SUM(AH11:AH41)</f>
        <v>0</v>
      </c>
      <c r="AK42" s="77">
        <f>SUM(AK11:AK41)</f>
        <v>116977.97222222223</v>
      </c>
      <c r="AN42" s="77">
        <f>SUM(AN11:AN41)</f>
        <v>18375</v>
      </c>
      <c r="AQ42" s="77">
        <f>SUM(AQ11:AQ41)</f>
        <v>28469.236111111109</v>
      </c>
      <c r="AT42" s="77">
        <f>SUM(AT11:AT41)</f>
        <v>165836.11111111101</v>
      </c>
      <c r="AW42" s="77">
        <f>SUM(AW11:AW41)</f>
        <v>0</v>
      </c>
      <c r="AZ42" s="77">
        <f>SUM(AZ11:AZ41)</f>
        <v>0</v>
      </c>
      <c r="BC42" s="77">
        <f>SUM(BC11:BC41)</f>
        <v>0</v>
      </c>
      <c r="BF42" s="77">
        <f>SUM(BF11:BF41)</f>
        <v>0</v>
      </c>
      <c r="BI42" s="77">
        <f>SUM(BI11:BI41)</f>
        <v>0</v>
      </c>
      <c r="BL42" s="77">
        <f>SUM(BL11:BL41)</f>
        <v>0</v>
      </c>
      <c r="BO42" s="77">
        <f>SUM(BO11:BO41)</f>
        <v>0</v>
      </c>
      <c r="BR42" s="77">
        <f>SUM(BR11:BR41)</f>
        <v>0</v>
      </c>
      <c r="BU42" s="77">
        <f>SUM(BU11:BU41)</f>
        <v>0</v>
      </c>
      <c r="BX42" s="77">
        <f>SUM(BX11:BX41)</f>
        <v>0</v>
      </c>
      <c r="CA42" s="77">
        <f>SUM(CA11:CA41)</f>
        <v>0</v>
      </c>
      <c r="CD42" s="77">
        <f>SUM(CD11:CD41)</f>
        <v>0</v>
      </c>
      <c r="CG42" s="77">
        <f>SUM(CG11:CG41)</f>
        <v>0</v>
      </c>
      <c r="CJ42" s="77">
        <f>SUM(CJ11:CJ41)</f>
        <v>0</v>
      </c>
      <c r="CM42" s="77">
        <f>SUM(CM11:CM41)</f>
        <v>0</v>
      </c>
      <c r="CP42" s="77">
        <f>SUM(CP11:CP41)</f>
        <v>0</v>
      </c>
      <c r="CS42" s="77">
        <f>SUM(CS11:CS41)</f>
        <v>0</v>
      </c>
      <c r="CV42" s="77">
        <f>SUM(CV11:CV41)</f>
        <v>0</v>
      </c>
      <c r="CY42" s="77">
        <f>SUM(CY11:CY41)</f>
        <v>0</v>
      </c>
      <c r="DB42" s="77">
        <f>SUM(DB11:DB41)</f>
        <v>0</v>
      </c>
      <c r="DE42" s="77">
        <f>SUM(DE11:DE41)</f>
        <v>0</v>
      </c>
      <c r="DH42" s="77">
        <f>SUM(DH11:DH41)</f>
        <v>0</v>
      </c>
      <c r="DK42" s="77">
        <f>SUM(DK11:DK41)</f>
        <v>0</v>
      </c>
      <c r="DN42" s="77">
        <f>SUM(DN11:DN41)</f>
        <v>0</v>
      </c>
      <c r="DQ42" s="77">
        <f>SUM(DQ11:DQ41)</f>
        <v>0</v>
      </c>
      <c r="DT42" s="77">
        <f>SUM(DT11:DT41)</f>
        <v>0</v>
      </c>
      <c r="DW42" s="77">
        <f>SUM(DW11:DW41)</f>
        <v>0</v>
      </c>
      <c r="DZ42" s="38"/>
      <c r="EA42" s="38"/>
      <c r="EB42" s="40"/>
      <c r="EC42" s="40"/>
      <c r="ED42" s="77">
        <f>SUM(ED11:ED41)</f>
        <v>329658.31944444444</v>
      </c>
      <c r="EE42" s="41"/>
      <c r="EG42" s="40"/>
      <c r="EH42" s="77">
        <f>SUM(EH11:EH41)</f>
        <v>0</v>
      </c>
      <c r="EI42" s="41"/>
      <c r="EJ42" s="41"/>
      <c r="EK42" s="40"/>
      <c r="EL42" s="40"/>
      <c r="EM42" s="77">
        <f>SUM(EM11:EM41)</f>
        <v>329658.3194444445</v>
      </c>
      <c r="EN42" s="41"/>
    </row>
    <row r="44" spans="1:146" x14ac:dyDescent="0.25">
      <c r="EM44" s="78"/>
    </row>
    <row r="46" spans="1:146" x14ac:dyDescent="0.25">
      <c r="EM46" s="40"/>
    </row>
    <row r="48" spans="1:146" x14ac:dyDescent="0.25">
      <c r="EM48" s="4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98"/>
  <sheetViews>
    <sheetView workbookViewId="0">
      <selection activeCell="A6" sqref="A6"/>
    </sheetView>
  </sheetViews>
  <sheetFormatPr defaultRowHeight="15" x14ac:dyDescent="0.25"/>
  <cols>
    <col min="1" max="1" width="33.140625" customWidth="1"/>
    <col min="2" max="2" width="5.7109375" customWidth="1"/>
    <col min="3" max="3" width="16.85546875" bestFit="1" customWidth="1"/>
    <col min="4" max="4" width="5.7109375" customWidth="1"/>
    <col min="5" max="5" width="14.42578125" customWidth="1"/>
    <col min="6" max="6" width="5.7109375" customWidth="1"/>
    <col min="7" max="7" width="11.42578125" customWidth="1"/>
    <col min="8" max="8" width="5.7109375" customWidth="1"/>
    <col min="9" max="9" width="16.42578125" bestFit="1" customWidth="1"/>
    <col min="257" max="257" width="17.28515625" customWidth="1"/>
    <col min="258" max="258" width="5.7109375" customWidth="1"/>
    <col min="259" max="259" width="16.85546875" bestFit="1" customWidth="1"/>
    <col min="260" max="260" width="5.7109375" customWidth="1"/>
    <col min="261" max="261" width="14.42578125" customWidth="1"/>
    <col min="262" max="262" width="5.7109375" customWidth="1"/>
    <col min="263" max="263" width="11.42578125" customWidth="1"/>
    <col min="264" max="264" width="5.7109375" customWidth="1"/>
    <col min="265" max="265" width="14.5703125" bestFit="1" customWidth="1"/>
    <col min="513" max="513" width="17.28515625" customWidth="1"/>
    <col min="514" max="514" width="5.7109375" customWidth="1"/>
    <col min="515" max="515" width="16.85546875" bestFit="1" customWidth="1"/>
    <col min="516" max="516" width="5.7109375" customWidth="1"/>
    <col min="517" max="517" width="14.42578125" customWidth="1"/>
    <col min="518" max="518" width="5.7109375" customWidth="1"/>
    <col min="519" max="519" width="11.42578125" customWidth="1"/>
    <col min="520" max="520" width="5.7109375" customWidth="1"/>
    <col min="521" max="521" width="14.5703125" bestFit="1" customWidth="1"/>
    <col min="769" max="769" width="17.28515625" customWidth="1"/>
    <col min="770" max="770" width="5.7109375" customWidth="1"/>
    <col min="771" max="771" width="16.85546875" bestFit="1" customWidth="1"/>
    <col min="772" max="772" width="5.7109375" customWidth="1"/>
    <col min="773" max="773" width="14.42578125" customWidth="1"/>
    <col min="774" max="774" width="5.7109375" customWidth="1"/>
    <col min="775" max="775" width="11.42578125" customWidth="1"/>
    <col min="776" max="776" width="5.7109375" customWidth="1"/>
    <col min="777" max="777" width="14.5703125" bestFit="1" customWidth="1"/>
    <col min="1025" max="1025" width="17.28515625" customWidth="1"/>
    <col min="1026" max="1026" width="5.7109375" customWidth="1"/>
    <col min="1027" max="1027" width="16.85546875" bestFit="1" customWidth="1"/>
    <col min="1028" max="1028" width="5.7109375" customWidth="1"/>
    <col min="1029" max="1029" width="14.42578125" customWidth="1"/>
    <col min="1030" max="1030" width="5.7109375" customWidth="1"/>
    <col min="1031" max="1031" width="11.42578125" customWidth="1"/>
    <col min="1032" max="1032" width="5.7109375" customWidth="1"/>
    <col min="1033" max="1033" width="14.5703125" bestFit="1" customWidth="1"/>
    <col min="1281" max="1281" width="17.28515625" customWidth="1"/>
    <col min="1282" max="1282" width="5.7109375" customWidth="1"/>
    <col min="1283" max="1283" width="16.85546875" bestFit="1" customWidth="1"/>
    <col min="1284" max="1284" width="5.7109375" customWidth="1"/>
    <col min="1285" max="1285" width="14.42578125" customWidth="1"/>
    <col min="1286" max="1286" width="5.7109375" customWidth="1"/>
    <col min="1287" max="1287" width="11.42578125" customWidth="1"/>
    <col min="1288" max="1288" width="5.7109375" customWidth="1"/>
    <col min="1289" max="1289" width="14.5703125" bestFit="1" customWidth="1"/>
    <col min="1537" max="1537" width="17.28515625" customWidth="1"/>
    <col min="1538" max="1538" width="5.7109375" customWidth="1"/>
    <col min="1539" max="1539" width="16.85546875" bestFit="1" customWidth="1"/>
    <col min="1540" max="1540" width="5.7109375" customWidth="1"/>
    <col min="1541" max="1541" width="14.42578125" customWidth="1"/>
    <col min="1542" max="1542" width="5.7109375" customWidth="1"/>
    <col min="1543" max="1543" width="11.42578125" customWidth="1"/>
    <col min="1544" max="1544" width="5.7109375" customWidth="1"/>
    <col min="1545" max="1545" width="14.5703125" bestFit="1" customWidth="1"/>
    <col min="1793" max="1793" width="17.28515625" customWidth="1"/>
    <col min="1794" max="1794" width="5.7109375" customWidth="1"/>
    <col min="1795" max="1795" width="16.85546875" bestFit="1" customWidth="1"/>
    <col min="1796" max="1796" width="5.7109375" customWidth="1"/>
    <col min="1797" max="1797" width="14.42578125" customWidth="1"/>
    <col min="1798" max="1798" width="5.7109375" customWidth="1"/>
    <col min="1799" max="1799" width="11.42578125" customWidth="1"/>
    <col min="1800" max="1800" width="5.7109375" customWidth="1"/>
    <col min="1801" max="1801" width="14.5703125" bestFit="1" customWidth="1"/>
    <col min="2049" max="2049" width="17.28515625" customWidth="1"/>
    <col min="2050" max="2050" width="5.7109375" customWidth="1"/>
    <col min="2051" max="2051" width="16.85546875" bestFit="1" customWidth="1"/>
    <col min="2052" max="2052" width="5.7109375" customWidth="1"/>
    <col min="2053" max="2053" width="14.42578125" customWidth="1"/>
    <col min="2054" max="2054" width="5.7109375" customWidth="1"/>
    <col min="2055" max="2055" width="11.42578125" customWidth="1"/>
    <col min="2056" max="2056" width="5.7109375" customWidth="1"/>
    <col min="2057" max="2057" width="14.5703125" bestFit="1" customWidth="1"/>
    <col min="2305" max="2305" width="17.28515625" customWidth="1"/>
    <col min="2306" max="2306" width="5.7109375" customWidth="1"/>
    <col min="2307" max="2307" width="16.85546875" bestFit="1" customWidth="1"/>
    <col min="2308" max="2308" width="5.7109375" customWidth="1"/>
    <col min="2309" max="2309" width="14.42578125" customWidth="1"/>
    <col min="2310" max="2310" width="5.7109375" customWidth="1"/>
    <col min="2311" max="2311" width="11.42578125" customWidth="1"/>
    <col min="2312" max="2312" width="5.7109375" customWidth="1"/>
    <col min="2313" max="2313" width="14.5703125" bestFit="1" customWidth="1"/>
    <col min="2561" max="2561" width="17.28515625" customWidth="1"/>
    <col min="2562" max="2562" width="5.7109375" customWidth="1"/>
    <col min="2563" max="2563" width="16.85546875" bestFit="1" customWidth="1"/>
    <col min="2564" max="2564" width="5.7109375" customWidth="1"/>
    <col min="2565" max="2565" width="14.42578125" customWidth="1"/>
    <col min="2566" max="2566" width="5.7109375" customWidth="1"/>
    <col min="2567" max="2567" width="11.42578125" customWidth="1"/>
    <col min="2568" max="2568" width="5.7109375" customWidth="1"/>
    <col min="2569" max="2569" width="14.5703125" bestFit="1" customWidth="1"/>
    <col min="2817" max="2817" width="17.28515625" customWidth="1"/>
    <col min="2818" max="2818" width="5.7109375" customWidth="1"/>
    <col min="2819" max="2819" width="16.85546875" bestFit="1" customWidth="1"/>
    <col min="2820" max="2820" width="5.7109375" customWidth="1"/>
    <col min="2821" max="2821" width="14.42578125" customWidth="1"/>
    <col min="2822" max="2822" width="5.7109375" customWidth="1"/>
    <col min="2823" max="2823" width="11.42578125" customWidth="1"/>
    <col min="2824" max="2824" width="5.7109375" customWidth="1"/>
    <col min="2825" max="2825" width="14.5703125" bestFit="1" customWidth="1"/>
    <col min="3073" max="3073" width="17.28515625" customWidth="1"/>
    <col min="3074" max="3074" width="5.7109375" customWidth="1"/>
    <col min="3075" max="3075" width="16.85546875" bestFit="1" customWidth="1"/>
    <col min="3076" max="3076" width="5.7109375" customWidth="1"/>
    <col min="3077" max="3077" width="14.42578125" customWidth="1"/>
    <col min="3078" max="3078" width="5.7109375" customWidth="1"/>
    <col min="3079" max="3079" width="11.42578125" customWidth="1"/>
    <col min="3080" max="3080" width="5.7109375" customWidth="1"/>
    <col min="3081" max="3081" width="14.5703125" bestFit="1" customWidth="1"/>
    <col min="3329" max="3329" width="17.28515625" customWidth="1"/>
    <col min="3330" max="3330" width="5.7109375" customWidth="1"/>
    <col min="3331" max="3331" width="16.85546875" bestFit="1" customWidth="1"/>
    <col min="3332" max="3332" width="5.7109375" customWidth="1"/>
    <col min="3333" max="3333" width="14.42578125" customWidth="1"/>
    <col min="3334" max="3334" width="5.7109375" customWidth="1"/>
    <col min="3335" max="3335" width="11.42578125" customWidth="1"/>
    <col min="3336" max="3336" width="5.7109375" customWidth="1"/>
    <col min="3337" max="3337" width="14.5703125" bestFit="1" customWidth="1"/>
    <col min="3585" max="3585" width="17.28515625" customWidth="1"/>
    <col min="3586" max="3586" width="5.7109375" customWidth="1"/>
    <col min="3587" max="3587" width="16.85546875" bestFit="1" customWidth="1"/>
    <col min="3588" max="3588" width="5.7109375" customWidth="1"/>
    <col min="3589" max="3589" width="14.42578125" customWidth="1"/>
    <col min="3590" max="3590" width="5.7109375" customWidth="1"/>
    <col min="3591" max="3591" width="11.42578125" customWidth="1"/>
    <col min="3592" max="3592" width="5.7109375" customWidth="1"/>
    <col min="3593" max="3593" width="14.5703125" bestFit="1" customWidth="1"/>
    <col min="3841" max="3841" width="17.28515625" customWidth="1"/>
    <col min="3842" max="3842" width="5.7109375" customWidth="1"/>
    <col min="3843" max="3843" width="16.85546875" bestFit="1" customWidth="1"/>
    <col min="3844" max="3844" width="5.7109375" customWidth="1"/>
    <col min="3845" max="3845" width="14.42578125" customWidth="1"/>
    <col min="3846" max="3846" width="5.7109375" customWidth="1"/>
    <col min="3847" max="3847" width="11.42578125" customWidth="1"/>
    <col min="3848" max="3848" width="5.7109375" customWidth="1"/>
    <col min="3849" max="3849" width="14.5703125" bestFit="1" customWidth="1"/>
    <col min="4097" max="4097" width="17.28515625" customWidth="1"/>
    <col min="4098" max="4098" width="5.7109375" customWidth="1"/>
    <col min="4099" max="4099" width="16.85546875" bestFit="1" customWidth="1"/>
    <col min="4100" max="4100" width="5.7109375" customWidth="1"/>
    <col min="4101" max="4101" width="14.42578125" customWidth="1"/>
    <col min="4102" max="4102" width="5.7109375" customWidth="1"/>
    <col min="4103" max="4103" width="11.42578125" customWidth="1"/>
    <col min="4104" max="4104" width="5.7109375" customWidth="1"/>
    <col min="4105" max="4105" width="14.5703125" bestFit="1" customWidth="1"/>
    <col min="4353" max="4353" width="17.28515625" customWidth="1"/>
    <col min="4354" max="4354" width="5.7109375" customWidth="1"/>
    <col min="4355" max="4355" width="16.85546875" bestFit="1" customWidth="1"/>
    <col min="4356" max="4356" width="5.7109375" customWidth="1"/>
    <col min="4357" max="4357" width="14.42578125" customWidth="1"/>
    <col min="4358" max="4358" width="5.7109375" customWidth="1"/>
    <col min="4359" max="4359" width="11.42578125" customWidth="1"/>
    <col min="4360" max="4360" width="5.7109375" customWidth="1"/>
    <col min="4361" max="4361" width="14.5703125" bestFit="1" customWidth="1"/>
    <col min="4609" max="4609" width="17.28515625" customWidth="1"/>
    <col min="4610" max="4610" width="5.7109375" customWidth="1"/>
    <col min="4611" max="4611" width="16.85546875" bestFit="1" customWidth="1"/>
    <col min="4612" max="4612" width="5.7109375" customWidth="1"/>
    <col min="4613" max="4613" width="14.42578125" customWidth="1"/>
    <col min="4614" max="4614" width="5.7109375" customWidth="1"/>
    <col min="4615" max="4615" width="11.42578125" customWidth="1"/>
    <col min="4616" max="4616" width="5.7109375" customWidth="1"/>
    <col min="4617" max="4617" width="14.5703125" bestFit="1" customWidth="1"/>
    <col min="4865" max="4865" width="17.28515625" customWidth="1"/>
    <col min="4866" max="4866" width="5.7109375" customWidth="1"/>
    <col min="4867" max="4867" width="16.85546875" bestFit="1" customWidth="1"/>
    <col min="4868" max="4868" width="5.7109375" customWidth="1"/>
    <col min="4869" max="4869" width="14.42578125" customWidth="1"/>
    <col min="4870" max="4870" width="5.7109375" customWidth="1"/>
    <col min="4871" max="4871" width="11.42578125" customWidth="1"/>
    <col min="4872" max="4872" width="5.7109375" customWidth="1"/>
    <col min="4873" max="4873" width="14.5703125" bestFit="1" customWidth="1"/>
    <col min="5121" max="5121" width="17.28515625" customWidth="1"/>
    <col min="5122" max="5122" width="5.7109375" customWidth="1"/>
    <col min="5123" max="5123" width="16.85546875" bestFit="1" customWidth="1"/>
    <col min="5124" max="5124" width="5.7109375" customWidth="1"/>
    <col min="5125" max="5125" width="14.42578125" customWidth="1"/>
    <col min="5126" max="5126" width="5.7109375" customWidth="1"/>
    <col min="5127" max="5127" width="11.42578125" customWidth="1"/>
    <col min="5128" max="5128" width="5.7109375" customWidth="1"/>
    <col min="5129" max="5129" width="14.5703125" bestFit="1" customWidth="1"/>
    <col min="5377" max="5377" width="17.28515625" customWidth="1"/>
    <col min="5378" max="5378" width="5.7109375" customWidth="1"/>
    <col min="5379" max="5379" width="16.85546875" bestFit="1" customWidth="1"/>
    <col min="5380" max="5380" width="5.7109375" customWidth="1"/>
    <col min="5381" max="5381" width="14.42578125" customWidth="1"/>
    <col min="5382" max="5382" width="5.7109375" customWidth="1"/>
    <col min="5383" max="5383" width="11.42578125" customWidth="1"/>
    <col min="5384" max="5384" width="5.7109375" customWidth="1"/>
    <col min="5385" max="5385" width="14.5703125" bestFit="1" customWidth="1"/>
    <col min="5633" max="5633" width="17.28515625" customWidth="1"/>
    <col min="5634" max="5634" width="5.7109375" customWidth="1"/>
    <col min="5635" max="5635" width="16.85546875" bestFit="1" customWidth="1"/>
    <col min="5636" max="5636" width="5.7109375" customWidth="1"/>
    <col min="5637" max="5637" width="14.42578125" customWidth="1"/>
    <col min="5638" max="5638" width="5.7109375" customWidth="1"/>
    <col min="5639" max="5639" width="11.42578125" customWidth="1"/>
    <col min="5640" max="5640" width="5.7109375" customWidth="1"/>
    <col min="5641" max="5641" width="14.5703125" bestFit="1" customWidth="1"/>
    <col min="5889" max="5889" width="17.28515625" customWidth="1"/>
    <col min="5890" max="5890" width="5.7109375" customWidth="1"/>
    <col min="5891" max="5891" width="16.85546875" bestFit="1" customWidth="1"/>
    <col min="5892" max="5892" width="5.7109375" customWidth="1"/>
    <col min="5893" max="5893" width="14.42578125" customWidth="1"/>
    <col min="5894" max="5894" width="5.7109375" customWidth="1"/>
    <col min="5895" max="5895" width="11.42578125" customWidth="1"/>
    <col min="5896" max="5896" width="5.7109375" customWidth="1"/>
    <col min="5897" max="5897" width="14.5703125" bestFit="1" customWidth="1"/>
    <col min="6145" max="6145" width="17.28515625" customWidth="1"/>
    <col min="6146" max="6146" width="5.7109375" customWidth="1"/>
    <col min="6147" max="6147" width="16.85546875" bestFit="1" customWidth="1"/>
    <col min="6148" max="6148" width="5.7109375" customWidth="1"/>
    <col min="6149" max="6149" width="14.42578125" customWidth="1"/>
    <col min="6150" max="6150" width="5.7109375" customWidth="1"/>
    <col min="6151" max="6151" width="11.42578125" customWidth="1"/>
    <col min="6152" max="6152" width="5.7109375" customWidth="1"/>
    <col min="6153" max="6153" width="14.5703125" bestFit="1" customWidth="1"/>
    <col min="6401" max="6401" width="17.28515625" customWidth="1"/>
    <col min="6402" max="6402" width="5.7109375" customWidth="1"/>
    <col min="6403" max="6403" width="16.85546875" bestFit="1" customWidth="1"/>
    <col min="6404" max="6404" width="5.7109375" customWidth="1"/>
    <col min="6405" max="6405" width="14.42578125" customWidth="1"/>
    <col min="6406" max="6406" width="5.7109375" customWidth="1"/>
    <col min="6407" max="6407" width="11.42578125" customWidth="1"/>
    <col min="6408" max="6408" width="5.7109375" customWidth="1"/>
    <col min="6409" max="6409" width="14.5703125" bestFit="1" customWidth="1"/>
    <col min="6657" max="6657" width="17.28515625" customWidth="1"/>
    <col min="6658" max="6658" width="5.7109375" customWidth="1"/>
    <col min="6659" max="6659" width="16.85546875" bestFit="1" customWidth="1"/>
    <col min="6660" max="6660" width="5.7109375" customWidth="1"/>
    <col min="6661" max="6661" width="14.42578125" customWidth="1"/>
    <col min="6662" max="6662" width="5.7109375" customWidth="1"/>
    <col min="6663" max="6663" width="11.42578125" customWidth="1"/>
    <col min="6664" max="6664" width="5.7109375" customWidth="1"/>
    <col min="6665" max="6665" width="14.5703125" bestFit="1" customWidth="1"/>
    <col min="6913" max="6913" width="17.28515625" customWidth="1"/>
    <col min="6914" max="6914" width="5.7109375" customWidth="1"/>
    <col min="6915" max="6915" width="16.85546875" bestFit="1" customWidth="1"/>
    <col min="6916" max="6916" width="5.7109375" customWidth="1"/>
    <col min="6917" max="6917" width="14.42578125" customWidth="1"/>
    <col min="6918" max="6918" width="5.7109375" customWidth="1"/>
    <col min="6919" max="6919" width="11.42578125" customWidth="1"/>
    <col min="6920" max="6920" width="5.7109375" customWidth="1"/>
    <col min="6921" max="6921" width="14.5703125" bestFit="1" customWidth="1"/>
    <col min="7169" max="7169" width="17.28515625" customWidth="1"/>
    <col min="7170" max="7170" width="5.7109375" customWidth="1"/>
    <col min="7171" max="7171" width="16.85546875" bestFit="1" customWidth="1"/>
    <col min="7172" max="7172" width="5.7109375" customWidth="1"/>
    <col min="7173" max="7173" width="14.42578125" customWidth="1"/>
    <col min="7174" max="7174" width="5.7109375" customWidth="1"/>
    <col min="7175" max="7175" width="11.42578125" customWidth="1"/>
    <col min="7176" max="7176" width="5.7109375" customWidth="1"/>
    <col min="7177" max="7177" width="14.5703125" bestFit="1" customWidth="1"/>
    <col min="7425" max="7425" width="17.28515625" customWidth="1"/>
    <col min="7426" max="7426" width="5.7109375" customWidth="1"/>
    <col min="7427" max="7427" width="16.85546875" bestFit="1" customWidth="1"/>
    <col min="7428" max="7428" width="5.7109375" customWidth="1"/>
    <col min="7429" max="7429" width="14.42578125" customWidth="1"/>
    <col min="7430" max="7430" width="5.7109375" customWidth="1"/>
    <col min="7431" max="7431" width="11.42578125" customWidth="1"/>
    <col min="7432" max="7432" width="5.7109375" customWidth="1"/>
    <col min="7433" max="7433" width="14.5703125" bestFit="1" customWidth="1"/>
    <col min="7681" max="7681" width="17.28515625" customWidth="1"/>
    <col min="7682" max="7682" width="5.7109375" customWidth="1"/>
    <col min="7683" max="7683" width="16.85546875" bestFit="1" customWidth="1"/>
    <col min="7684" max="7684" width="5.7109375" customWidth="1"/>
    <col min="7685" max="7685" width="14.42578125" customWidth="1"/>
    <col min="7686" max="7686" width="5.7109375" customWidth="1"/>
    <col min="7687" max="7687" width="11.42578125" customWidth="1"/>
    <col min="7688" max="7688" width="5.7109375" customWidth="1"/>
    <col min="7689" max="7689" width="14.5703125" bestFit="1" customWidth="1"/>
    <col min="7937" max="7937" width="17.28515625" customWidth="1"/>
    <col min="7938" max="7938" width="5.7109375" customWidth="1"/>
    <col min="7939" max="7939" width="16.85546875" bestFit="1" customWidth="1"/>
    <col min="7940" max="7940" width="5.7109375" customWidth="1"/>
    <col min="7941" max="7941" width="14.42578125" customWidth="1"/>
    <col min="7942" max="7942" width="5.7109375" customWidth="1"/>
    <col min="7943" max="7943" width="11.42578125" customWidth="1"/>
    <col min="7944" max="7944" width="5.7109375" customWidth="1"/>
    <col min="7945" max="7945" width="14.5703125" bestFit="1" customWidth="1"/>
    <col min="8193" max="8193" width="17.28515625" customWidth="1"/>
    <col min="8194" max="8194" width="5.7109375" customWidth="1"/>
    <col min="8195" max="8195" width="16.85546875" bestFit="1" customWidth="1"/>
    <col min="8196" max="8196" width="5.7109375" customWidth="1"/>
    <col min="8197" max="8197" width="14.42578125" customWidth="1"/>
    <col min="8198" max="8198" width="5.7109375" customWidth="1"/>
    <col min="8199" max="8199" width="11.42578125" customWidth="1"/>
    <col min="8200" max="8200" width="5.7109375" customWidth="1"/>
    <col min="8201" max="8201" width="14.5703125" bestFit="1" customWidth="1"/>
    <col min="8449" max="8449" width="17.28515625" customWidth="1"/>
    <col min="8450" max="8450" width="5.7109375" customWidth="1"/>
    <col min="8451" max="8451" width="16.85546875" bestFit="1" customWidth="1"/>
    <col min="8452" max="8452" width="5.7109375" customWidth="1"/>
    <col min="8453" max="8453" width="14.42578125" customWidth="1"/>
    <col min="8454" max="8454" width="5.7109375" customWidth="1"/>
    <col min="8455" max="8455" width="11.42578125" customWidth="1"/>
    <col min="8456" max="8456" width="5.7109375" customWidth="1"/>
    <col min="8457" max="8457" width="14.5703125" bestFit="1" customWidth="1"/>
    <col min="8705" max="8705" width="17.28515625" customWidth="1"/>
    <col min="8706" max="8706" width="5.7109375" customWidth="1"/>
    <col min="8707" max="8707" width="16.85546875" bestFit="1" customWidth="1"/>
    <col min="8708" max="8708" width="5.7109375" customWidth="1"/>
    <col min="8709" max="8709" width="14.42578125" customWidth="1"/>
    <col min="8710" max="8710" width="5.7109375" customWidth="1"/>
    <col min="8711" max="8711" width="11.42578125" customWidth="1"/>
    <col min="8712" max="8712" width="5.7109375" customWidth="1"/>
    <col min="8713" max="8713" width="14.5703125" bestFit="1" customWidth="1"/>
    <col min="8961" max="8961" width="17.28515625" customWidth="1"/>
    <col min="8962" max="8962" width="5.7109375" customWidth="1"/>
    <col min="8963" max="8963" width="16.85546875" bestFit="1" customWidth="1"/>
    <col min="8964" max="8964" width="5.7109375" customWidth="1"/>
    <col min="8965" max="8965" width="14.42578125" customWidth="1"/>
    <col min="8966" max="8966" width="5.7109375" customWidth="1"/>
    <col min="8967" max="8967" width="11.42578125" customWidth="1"/>
    <col min="8968" max="8968" width="5.7109375" customWidth="1"/>
    <col min="8969" max="8969" width="14.5703125" bestFit="1" customWidth="1"/>
    <col min="9217" max="9217" width="17.28515625" customWidth="1"/>
    <col min="9218" max="9218" width="5.7109375" customWidth="1"/>
    <col min="9219" max="9219" width="16.85546875" bestFit="1" customWidth="1"/>
    <col min="9220" max="9220" width="5.7109375" customWidth="1"/>
    <col min="9221" max="9221" width="14.42578125" customWidth="1"/>
    <col min="9222" max="9222" width="5.7109375" customWidth="1"/>
    <col min="9223" max="9223" width="11.42578125" customWidth="1"/>
    <col min="9224" max="9224" width="5.7109375" customWidth="1"/>
    <col min="9225" max="9225" width="14.5703125" bestFit="1" customWidth="1"/>
    <col min="9473" max="9473" width="17.28515625" customWidth="1"/>
    <col min="9474" max="9474" width="5.7109375" customWidth="1"/>
    <col min="9475" max="9475" width="16.85546875" bestFit="1" customWidth="1"/>
    <col min="9476" max="9476" width="5.7109375" customWidth="1"/>
    <col min="9477" max="9477" width="14.42578125" customWidth="1"/>
    <col min="9478" max="9478" width="5.7109375" customWidth="1"/>
    <col min="9479" max="9479" width="11.42578125" customWidth="1"/>
    <col min="9480" max="9480" width="5.7109375" customWidth="1"/>
    <col min="9481" max="9481" width="14.5703125" bestFit="1" customWidth="1"/>
    <col min="9729" max="9729" width="17.28515625" customWidth="1"/>
    <col min="9730" max="9730" width="5.7109375" customWidth="1"/>
    <col min="9731" max="9731" width="16.85546875" bestFit="1" customWidth="1"/>
    <col min="9732" max="9732" width="5.7109375" customWidth="1"/>
    <col min="9733" max="9733" width="14.42578125" customWidth="1"/>
    <col min="9734" max="9734" width="5.7109375" customWidth="1"/>
    <col min="9735" max="9735" width="11.42578125" customWidth="1"/>
    <col min="9736" max="9736" width="5.7109375" customWidth="1"/>
    <col min="9737" max="9737" width="14.5703125" bestFit="1" customWidth="1"/>
    <col min="9985" max="9985" width="17.28515625" customWidth="1"/>
    <col min="9986" max="9986" width="5.7109375" customWidth="1"/>
    <col min="9987" max="9987" width="16.85546875" bestFit="1" customWidth="1"/>
    <col min="9988" max="9988" width="5.7109375" customWidth="1"/>
    <col min="9989" max="9989" width="14.42578125" customWidth="1"/>
    <col min="9990" max="9990" width="5.7109375" customWidth="1"/>
    <col min="9991" max="9991" width="11.42578125" customWidth="1"/>
    <col min="9992" max="9992" width="5.7109375" customWidth="1"/>
    <col min="9993" max="9993" width="14.5703125" bestFit="1" customWidth="1"/>
    <col min="10241" max="10241" width="17.28515625" customWidth="1"/>
    <col min="10242" max="10242" width="5.7109375" customWidth="1"/>
    <col min="10243" max="10243" width="16.85546875" bestFit="1" customWidth="1"/>
    <col min="10244" max="10244" width="5.7109375" customWidth="1"/>
    <col min="10245" max="10245" width="14.42578125" customWidth="1"/>
    <col min="10246" max="10246" width="5.7109375" customWidth="1"/>
    <col min="10247" max="10247" width="11.42578125" customWidth="1"/>
    <col min="10248" max="10248" width="5.7109375" customWidth="1"/>
    <col min="10249" max="10249" width="14.5703125" bestFit="1" customWidth="1"/>
    <col min="10497" max="10497" width="17.28515625" customWidth="1"/>
    <col min="10498" max="10498" width="5.7109375" customWidth="1"/>
    <col min="10499" max="10499" width="16.85546875" bestFit="1" customWidth="1"/>
    <col min="10500" max="10500" width="5.7109375" customWidth="1"/>
    <col min="10501" max="10501" width="14.42578125" customWidth="1"/>
    <col min="10502" max="10502" width="5.7109375" customWidth="1"/>
    <col min="10503" max="10503" width="11.42578125" customWidth="1"/>
    <col min="10504" max="10504" width="5.7109375" customWidth="1"/>
    <col min="10505" max="10505" width="14.5703125" bestFit="1" customWidth="1"/>
    <col min="10753" max="10753" width="17.28515625" customWidth="1"/>
    <col min="10754" max="10754" width="5.7109375" customWidth="1"/>
    <col min="10755" max="10755" width="16.85546875" bestFit="1" customWidth="1"/>
    <col min="10756" max="10756" width="5.7109375" customWidth="1"/>
    <col min="10757" max="10757" width="14.42578125" customWidth="1"/>
    <col min="10758" max="10758" width="5.7109375" customWidth="1"/>
    <col min="10759" max="10759" width="11.42578125" customWidth="1"/>
    <col min="10760" max="10760" width="5.7109375" customWidth="1"/>
    <col min="10761" max="10761" width="14.5703125" bestFit="1" customWidth="1"/>
    <col min="11009" max="11009" width="17.28515625" customWidth="1"/>
    <col min="11010" max="11010" width="5.7109375" customWidth="1"/>
    <col min="11011" max="11011" width="16.85546875" bestFit="1" customWidth="1"/>
    <col min="11012" max="11012" width="5.7109375" customWidth="1"/>
    <col min="11013" max="11013" width="14.42578125" customWidth="1"/>
    <col min="11014" max="11014" width="5.7109375" customWidth="1"/>
    <col min="11015" max="11015" width="11.42578125" customWidth="1"/>
    <col min="11016" max="11016" width="5.7109375" customWidth="1"/>
    <col min="11017" max="11017" width="14.5703125" bestFit="1" customWidth="1"/>
    <col min="11265" max="11265" width="17.28515625" customWidth="1"/>
    <col min="11266" max="11266" width="5.7109375" customWidth="1"/>
    <col min="11267" max="11267" width="16.85546875" bestFit="1" customWidth="1"/>
    <col min="11268" max="11268" width="5.7109375" customWidth="1"/>
    <col min="11269" max="11269" width="14.42578125" customWidth="1"/>
    <col min="11270" max="11270" width="5.7109375" customWidth="1"/>
    <col min="11271" max="11271" width="11.42578125" customWidth="1"/>
    <col min="11272" max="11272" width="5.7109375" customWidth="1"/>
    <col min="11273" max="11273" width="14.5703125" bestFit="1" customWidth="1"/>
    <col min="11521" max="11521" width="17.28515625" customWidth="1"/>
    <col min="11522" max="11522" width="5.7109375" customWidth="1"/>
    <col min="11523" max="11523" width="16.85546875" bestFit="1" customWidth="1"/>
    <col min="11524" max="11524" width="5.7109375" customWidth="1"/>
    <col min="11525" max="11525" width="14.42578125" customWidth="1"/>
    <col min="11526" max="11526" width="5.7109375" customWidth="1"/>
    <col min="11527" max="11527" width="11.42578125" customWidth="1"/>
    <col min="11528" max="11528" width="5.7109375" customWidth="1"/>
    <col min="11529" max="11529" width="14.5703125" bestFit="1" customWidth="1"/>
    <col min="11777" max="11777" width="17.28515625" customWidth="1"/>
    <col min="11778" max="11778" width="5.7109375" customWidth="1"/>
    <col min="11779" max="11779" width="16.85546875" bestFit="1" customWidth="1"/>
    <col min="11780" max="11780" width="5.7109375" customWidth="1"/>
    <col min="11781" max="11781" width="14.42578125" customWidth="1"/>
    <col min="11782" max="11782" width="5.7109375" customWidth="1"/>
    <col min="11783" max="11783" width="11.42578125" customWidth="1"/>
    <col min="11784" max="11784" width="5.7109375" customWidth="1"/>
    <col min="11785" max="11785" width="14.5703125" bestFit="1" customWidth="1"/>
    <col min="12033" max="12033" width="17.28515625" customWidth="1"/>
    <col min="12034" max="12034" width="5.7109375" customWidth="1"/>
    <col min="12035" max="12035" width="16.85546875" bestFit="1" customWidth="1"/>
    <col min="12036" max="12036" width="5.7109375" customWidth="1"/>
    <col min="12037" max="12037" width="14.42578125" customWidth="1"/>
    <col min="12038" max="12038" width="5.7109375" customWidth="1"/>
    <col min="12039" max="12039" width="11.42578125" customWidth="1"/>
    <col min="12040" max="12040" width="5.7109375" customWidth="1"/>
    <col min="12041" max="12041" width="14.5703125" bestFit="1" customWidth="1"/>
    <col min="12289" max="12289" width="17.28515625" customWidth="1"/>
    <col min="12290" max="12290" width="5.7109375" customWidth="1"/>
    <col min="12291" max="12291" width="16.85546875" bestFit="1" customWidth="1"/>
    <col min="12292" max="12292" width="5.7109375" customWidth="1"/>
    <col min="12293" max="12293" width="14.42578125" customWidth="1"/>
    <col min="12294" max="12294" width="5.7109375" customWidth="1"/>
    <col min="12295" max="12295" width="11.42578125" customWidth="1"/>
    <col min="12296" max="12296" width="5.7109375" customWidth="1"/>
    <col min="12297" max="12297" width="14.5703125" bestFit="1" customWidth="1"/>
    <col min="12545" max="12545" width="17.28515625" customWidth="1"/>
    <col min="12546" max="12546" width="5.7109375" customWidth="1"/>
    <col min="12547" max="12547" width="16.85546875" bestFit="1" customWidth="1"/>
    <col min="12548" max="12548" width="5.7109375" customWidth="1"/>
    <col min="12549" max="12549" width="14.42578125" customWidth="1"/>
    <col min="12550" max="12550" width="5.7109375" customWidth="1"/>
    <col min="12551" max="12551" width="11.42578125" customWidth="1"/>
    <col min="12552" max="12552" width="5.7109375" customWidth="1"/>
    <col min="12553" max="12553" width="14.5703125" bestFit="1" customWidth="1"/>
    <col min="12801" max="12801" width="17.28515625" customWidth="1"/>
    <col min="12802" max="12802" width="5.7109375" customWidth="1"/>
    <col min="12803" max="12803" width="16.85546875" bestFit="1" customWidth="1"/>
    <col min="12804" max="12804" width="5.7109375" customWidth="1"/>
    <col min="12805" max="12805" width="14.42578125" customWidth="1"/>
    <col min="12806" max="12806" width="5.7109375" customWidth="1"/>
    <col min="12807" max="12807" width="11.42578125" customWidth="1"/>
    <col min="12808" max="12808" width="5.7109375" customWidth="1"/>
    <col min="12809" max="12809" width="14.5703125" bestFit="1" customWidth="1"/>
    <col min="13057" max="13057" width="17.28515625" customWidth="1"/>
    <col min="13058" max="13058" width="5.7109375" customWidth="1"/>
    <col min="13059" max="13059" width="16.85546875" bestFit="1" customWidth="1"/>
    <col min="13060" max="13060" width="5.7109375" customWidth="1"/>
    <col min="13061" max="13061" width="14.42578125" customWidth="1"/>
    <col min="13062" max="13062" width="5.7109375" customWidth="1"/>
    <col min="13063" max="13063" width="11.42578125" customWidth="1"/>
    <col min="13064" max="13064" width="5.7109375" customWidth="1"/>
    <col min="13065" max="13065" width="14.5703125" bestFit="1" customWidth="1"/>
    <col min="13313" max="13313" width="17.28515625" customWidth="1"/>
    <col min="13314" max="13314" width="5.7109375" customWidth="1"/>
    <col min="13315" max="13315" width="16.85546875" bestFit="1" customWidth="1"/>
    <col min="13316" max="13316" width="5.7109375" customWidth="1"/>
    <col min="13317" max="13317" width="14.42578125" customWidth="1"/>
    <col min="13318" max="13318" width="5.7109375" customWidth="1"/>
    <col min="13319" max="13319" width="11.42578125" customWidth="1"/>
    <col min="13320" max="13320" width="5.7109375" customWidth="1"/>
    <col min="13321" max="13321" width="14.5703125" bestFit="1" customWidth="1"/>
    <col min="13569" max="13569" width="17.28515625" customWidth="1"/>
    <col min="13570" max="13570" width="5.7109375" customWidth="1"/>
    <col min="13571" max="13571" width="16.85546875" bestFit="1" customWidth="1"/>
    <col min="13572" max="13572" width="5.7109375" customWidth="1"/>
    <col min="13573" max="13573" width="14.42578125" customWidth="1"/>
    <col min="13574" max="13574" width="5.7109375" customWidth="1"/>
    <col min="13575" max="13575" width="11.42578125" customWidth="1"/>
    <col min="13576" max="13576" width="5.7109375" customWidth="1"/>
    <col min="13577" max="13577" width="14.5703125" bestFit="1" customWidth="1"/>
    <col min="13825" max="13825" width="17.28515625" customWidth="1"/>
    <col min="13826" max="13826" width="5.7109375" customWidth="1"/>
    <col min="13827" max="13827" width="16.85546875" bestFit="1" customWidth="1"/>
    <col min="13828" max="13828" width="5.7109375" customWidth="1"/>
    <col min="13829" max="13829" width="14.42578125" customWidth="1"/>
    <col min="13830" max="13830" width="5.7109375" customWidth="1"/>
    <col min="13831" max="13831" width="11.42578125" customWidth="1"/>
    <col min="13832" max="13832" width="5.7109375" customWidth="1"/>
    <col min="13833" max="13833" width="14.5703125" bestFit="1" customWidth="1"/>
    <col min="14081" max="14081" width="17.28515625" customWidth="1"/>
    <col min="14082" max="14082" width="5.7109375" customWidth="1"/>
    <col min="14083" max="14083" width="16.85546875" bestFit="1" customWidth="1"/>
    <col min="14084" max="14084" width="5.7109375" customWidth="1"/>
    <col min="14085" max="14085" width="14.42578125" customWidth="1"/>
    <col min="14086" max="14086" width="5.7109375" customWidth="1"/>
    <col min="14087" max="14087" width="11.42578125" customWidth="1"/>
    <col min="14088" max="14088" width="5.7109375" customWidth="1"/>
    <col min="14089" max="14089" width="14.5703125" bestFit="1" customWidth="1"/>
    <col min="14337" max="14337" width="17.28515625" customWidth="1"/>
    <col min="14338" max="14338" width="5.7109375" customWidth="1"/>
    <col min="14339" max="14339" width="16.85546875" bestFit="1" customWidth="1"/>
    <col min="14340" max="14340" width="5.7109375" customWidth="1"/>
    <col min="14341" max="14341" width="14.42578125" customWidth="1"/>
    <col min="14342" max="14342" width="5.7109375" customWidth="1"/>
    <col min="14343" max="14343" width="11.42578125" customWidth="1"/>
    <col min="14344" max="14344" width="5.7109375" customWidth="1"/>
    <col min="14345" max="14345" width="14.5703125" bestFit="1" customWidth="1"/>
    <col min="14593" max="14593" width="17.28515625" customWidth="1"/>
    <col min="14594" max="14594" width="5.7109375" customWidth="1"/>
    <col min="14595" max="14595" width="16.85546875" bestFit="1" customWidth="1"/>
    <col min="14596" max="14596" width="5.7109375" customWidth="1"/>
    <col min="14597" max="14597" width="14.42578125" customWidth="1"/>
    <col min="14598" max="14598" width="5.7109375" customWidth="1"/>
    <col min="14599" max="14599" width="11.42578125" customWidth="1"/>
    <col min="14600" max="14600" width="5.7109375" customWidth="1"/>
    <col min="14601" max="14601" width="14.5703125" bestFit="1" customWidth="1"/>
    <col min="14849" max="14849" width="17.28515625" customWidth="1"/>
    <col min="14850" max="14850" width="5.7109375" customWidth="1"/>
    <col min="14851" max="14851" width="16.85546875" bestFit="1" customWidth="1"/>
    <col min="14852" max="14852" width="5.7109375" customWidth="1"/>
    <col min="14853" max="14853" width="14.42578125" customWidth="1"/>
    <col min="14854" max="14854" width="5.7109375" customWidth="1"/>
    <col min="14855" max="14855" width="11.42578125" customWidth="1"/>
    <col min="14856" max="14856" width="5.7109375" customWidth="1"/>
    <col min="14857" max="14857" width="14.5703125" bestFit="1" customWidth="1"/>
    <col min="15105" max="15105" width="17.28515625" customWidth="1"/>
    <col min="15106" max="15106" width="5.7109375" customWidth="1"/>
    <col min="15107" max="15107" width="16.85546875" bestFit="1" customWidth="1"/>
    <col min="15108" max="15108" width="5.7109375" customWidth="1"/>
    <col min="15109" max="15109" width="14.42578125" customWidth="1"/>
    <col min="15110" max="15110" width="5.7109375" customWidth="1"/>
    <col min="15111" max="15111" width="11.42578125" customWidth="1"/>
    <col min="15112" max="15112" width="5.7109375" customWidth="1"/>
    <col min="15113" max="15113" width="14.5703125" bestFit="1" customWidth="1"/>
    <col min="15361" max="15361" width="17.28515625" customWidth="1"/>
    <col min="15362" max="15362" width="5.7109375" customWidth="1"/>
    <col min="15363" max="15363" width="16.85546875" bestFit="1" customWidth="1"/>
    <col min="15364" max="15364" width="5.7109375" customWidth="1"/>
    <col min="15365" max="15365" width="14.42578125" customWidth="1"/>
    <col min="15366" max="15366" width="5.7109375" customWidth="1"/>
    <col min="15367" max="15367" width="11.42578125" customWidth="1"/>
    <col min="15368" max="15368" width="5.7109375" customWidth="1"/>
    <col min="15369" max="15369" width="14.5703125" bestFit="1" customWidth="1"/>
    <col min="15617" max="15617" width="17.28515625" customWidth="1"/>
    <col min="15618" max="15618" width="5.7109375" customWidth="1"/>
    <col min="15619" max="15619" width="16.85546875" bestFit="1" customWidth="1"/>
    <col min="15620" max="15620" width="5.7109375" customWidth="1"/>
    <col min="15621" max="15621" width="14.42578125" customWidth="1"/>
    <col min="15622" max="15622" width="5.7109375" customWidth="1"/>
    <col min="15623" max="15623" width="11.42578125" customWidth="1"/>
    <col min="15624" max="15624" width="5.7109375" customWidth="1"/>
    <col min="15625" max="15625" width="14.5703125" bestFit="1" customWidth="1"/>
    <col min="15873" max="15873" width="17.28515625" customWidth="1"/>
    <col min="15874" max="15874" width="5.7109375" customWidth="1"/>
    <col min="15875" max="15875" width="16.85546875" bestFit="1" customWidth="1"/>
    <col min="15876" max="15876" width="5.7109375" customWidth="1"/>
    <col min="15877" max="15877" width="14.42578125" customWidth="1"/>
    <col min="15878" max="15878" width="5.7109375" customWidth="1"/>
    <col min="15879" max="15879" width="11.42578125" customWidth="1"/>
    <col min="15880" max="15880" width="5.7109375" customWidth="1"/>
    <col min="15881" max="15881" width="14.5703125" bestFit="1" customWidth="1"/>
    <col min="16129" max="16129" width="17.28515625" customWidth="1"/>
    <col min="16130" max="16130" width="5.7109375" customWidth="1"/>
    <col min="16131" max="16131" width="16.85546875" bestFit="1" customWidth="1"/>
    <col min="16132" max="16132" width="5.7109375" customWidth="1"/>
    <col min="16133" max="16133" width="14.42578125" customWidth="1"/>
    <col min="16134" max="16134" width="5.7109375" customWidth="1"/>
    <col min="16135" max="16135" width="11.42578125" customWidth="1"/>
    <col min="16136" max="16136" width="5.7109375" customWidth="1"/>
    <col min="16137" max="16137" width="14.5703125" bestFit="1" customWidth="1"/>
  </cols>
  <sheetData>
    <row r="1" spans="1:9" x14ac:dyDescent="0.25">
      <c r="A1" s="161" t="s">
        <v>224</v>
      </c>
      <c r="B1" s="157"/>
      <c r="C1" s="157"/>
      <c r="D1" s="157"/>
      <c r="E1" s="157"/>
      <c r="F1" s="157"/>
      <c r="G1" s="157"/>
      <c r="H1" s="157"/>
      <c r="I1" s="157"/>
    </row>
    <row r="2" spans="1:9" x14ac:dyDescent="0.25">
      <c r="A2" s="161" t="s">
        <v>223</v>
      </c>
      <c r="B2" s="157"/>
      <c r="C2" s="157"/>
      <c r="D2" s="157"/>
      <c r="E2" s="157"/>
      <c r="F2" s="157"/>
      <c r="G2" s="157"/>
      <c r="H2" s="157"/>
      <c r="I2" s="157"/>
    </row>
    <row r="3" spans="1:9" x14ac:dyDescent="0.25">
      <c r="A3" s="161" t="s">
        <v>222</v>
      </c>
      <c r="B3" s="157"/>
      <c r="C3" s="157"/>
      <c r="D3" s="157"/>
      <c r="E3" s="157"/>
      <c r="F3" s="157"/>
      <c r="G3" s="157"/>
      <c r="H3" s="157"/>
      <c r="I3" s="157"/>
    </row>
    <row r="4" spans="1:9" x14ac:dyDescent="0.25">
      <c r="A4" s="160">
        <v>41729</v>
      </c>
      <c r="B4" s="157"/>
      <c r="C4" s="157"/>
      <c r="D4" s="157"/>
      <c r="E4" s="157"/>
      <c r="F4" s="157"/>
      <c r="G4" s="157"/>
      <c r="H4" s="157"/>
      <c r="I4" s="157"/>
    </row>
    <row r="5" spans="1:9" x14ac:dyDescent="0.25">
      <c r="A5" s="159" t="s">
        <v>221</v>
      </c>
      <c r="B5" s="157"/>
      <c r="C5" s="157"/>
      <c r="D5" s="157"/>
      <c r="E5" s="157"/>
      <c r="F5" s="157"/>
      <c r="G5" s="157"/>
      <c r="H5" s="157"/>
      <c r="I5" s="157"/>
    </row>
    <row r="6" spans="1:9" x14ac:dyDescent="0.25">
      <c r="A6" s="158"/>
      <c r="B6" s="157"/>
      <c r="C6" s="157"/>
      <c r="D6" s="157"/>
      <c r="E6" s="157"/>
      <c r="F6" s="157"/>
      <c r="G6" s="157"/>
      <c r="H6" s="157"/>
      <c r="I6" s="157"/>
    </row>
    <row r="7" spans="1:9" x14ac:dyDescent="0.25">
      <c r="A7" s="156" t="s">
        <v>220</v>
      </c>
      <c r="E7" s="52" t="s">
        <v>219</v>
      </c>
    </row>
    <row r="8" spans="1:9" x14ac:dyDescent="0.25">
      <c r="E8" s="52" t="s">
        <v>218</v>
      </c>
      <c r="G8" s="52" t="s">
        <v>217</v>
      </c>
    </row>
    <row r="9" spans="1:9" x14ac:dyDescent="0.25">
      <c r="A9" s="155" t="s">
        <v>216</v>
      </c>
      <c r="C9" s="155"/>
      <c r="E9" s="155" t="s">
        <v>215</v>
      </c>
      <c r="G9" s="155" t="s">
        <v>214</v>
      </c>
      <c r="I9" s="155" t="s">
        <v>213</v>
      </c>
    </row>
    <row r="12" spans="1:9" x14ac:dyDescent="0.25">
      <c r="A12" t="s">
        <v>212</v>
      </c>
      <c r="C12" s="154">
        <v>3614494332</v>
      </c>
      <c r="D12" s="124"/>
      <c r="E12" s="151">
        <f>C12/C20</f>
        <v>0.47175760841967423</v>
      </c>
      <c r="F12" s="124"/>
      <c r="G12" s="148">
        <v>3.9019999999999999E-2</v>
      </c>
      <c r="H12" s="124"/>
      <c r="I12" s="140">
        <f>ROUND(E12*G12,5)</f>
        <v>1.8409999999999999E-2</v>
      </c>
    </row>
    <row r="13" spans="1:9" x14ac:dyDescent="0.25">
      <c r="C13" s="153"/>
      <c r="D13" s="124"/>
      <c r="E13" s="151"/>
      <c r="F13" s="124"/>
      <c r="G13" s="148"/>
      <c r="H13" s="124"/>
      <c r="I13" s="140"/>
    </row>
    <row r="14" spans="1:9" x14ac:dyDescent="0.25">
      <c r="A14" t="s">
        <v>211</v>
      </c>
      <c r="C14" s="152">
        <v>0</v>
      </c>
      <c r="D14" s="124"/>
      <c r="E14" s="151">
        <f>C14/C20</f>
        <v>0</v>
      </c>
      <c r="F14" s="124"/>
      <c r="G14" s="148">
        <v>0</v>
      </c>
      <c r="H14" s="124"/>
      <c r="I14" s="140">
        <f>ROUND(E14*G14,5)</f>
        <v>0</v>
      </c>
    </row>
    <row r="15" spans="1:9" x14ac:dyDescent="0.25">
      <c r="C15" s="137"/>
      <c r="D15" s="124"/>
      <c r="E15" s="151"/>
      <c r="F15" s="124"/>
      <c r="G15" s="140"/>
      <c r="H15" s="124"/>
      <c r="I15" s="140"/>
    </row>
    <row r="16" spans="1:9" x14ac:dyDescent="0.25">
      <c r="A16" t="s">
        <v>210</v>
      </c>
      <c r="C16" s="152">
        <v>81827509</v>
      </c>
      <c r="D16" s="124"/>
      <c r="E16" s="151">
        <f>C16/C20</f>
        <v>1.0679986300440371E-2</v>
      </c>
      <c r="F16" s="124"/>
      <c r="G16" s="148">
        <v>4.1799999999999997E-2</v>
      </c>
      <c r="H16" s="124"/>
      <c r="I16" s="140">
        <f>ROUND(E16*G16,5)</f>
        <v>4.4999999999999999E-4</v>
      </c>
    </row>
    <row r="17" spans="1:9" x14ac:dyDescent="0.25">
      <c r="C17" s="137"/>
      <c r="D17" s="124"/>
      <c r="E17" s="151"/>
      <c r="F17" s="124"/>
      <c r="G17" s="140"/>
      <c r="H17" s="124"/>
      <c r="I17" s="140"/>
    </row>
    <row r="18" spans="1:9" x14ac:dyDescent="0.25">
      <c r="A18" t="s">
        <v>209</v>
      </c>
      <c r="C18" s="150">
        <v>3965439766</v>
      </c>
      <c r="D18" s="124"/>
      <c r="E18" s="149">
        <f>C18/C20</f>
        <v>0.5175624052798854</v>
      </c>
      <c r="F18" s="124"/>
      <c r="G18" s="148">
        <v>9.5299999999999996E-2</v>
      </c>
      <c r="H18" s="124"/>
      <c r="I18" s="140">
        <f>ROUND(E18*G18,5)</f>
        <v>4.9320000000000003E-2</v>
      </c>
    </row>
    <row r="19" spans="1:9" x14ac:dyDescent="0.25">
      <c r="E19" s="139"/>
      <c r="G19" s="254"/>
      <c r="H19" s="124"/>
      <c r="I19" s="140"/>
    </row>
    <row r="20" spans="1:9" ht="15.75" thickBot="1" x14ac:dyDescent="0.3">
      <c r="A20" t="s">
        <v>208</v>
      </c>
      <c r="C20" s="147">
        <f>SUM(C12:C18)</f>
        <v>7661761607</v>
      </c>
      <c r="E20" s="146">
        <f>SUM(E12:E18)</f>
        <v>1</v>
      </c>
      <c r="G20" s="124"/>
      <c r="H20" s="124"/>
      <c r="I20" s="255">
        <f>SUM(I12:I18)</f>
        <v>6.8180000000000004E-2</v>
      </c>
    </row>
    <row r="21" spans="1:9" ht="15.75" thickTop="1" x14ac:dyDescent="0.25">
      <c r="C21" s="120"/>
      <c r="G21" s="124"/>
      <c r="H21" s="124"/>
      <c r="I21" s="124"/>
    </row>
    <row r="22" spans="1:9" x14ac:dyDescent="0.25">
      <c r="C22" s="145"/>
      <c r="G22" s="124"/>
      <c r="H22" s="124"/>
      <c r="I22" s="124"/>
    </row>
    <row r="23" spans="1:9" x14ac:dyDescent="0.25">
      <c r="A23" s="144" t="s">
        <v>207</v>
      </c>
      <c r="G23" s="124"/>
      <c r="H23" s="124"/>
      <c r="I23" s="124"/>
    </row>
    <row r="24" spans="1:9" x14ac:dyDescent="0.25">
      <c r="G24" s="124"/>
      <c r="H24" s="124"/>
      <c r="I24" s="124"/>
    </row>
    <row r="25" spans="1:9" x14ac:dyDescent="0.25">
      <c r="A25" s="51" t="s">
        <v>206</v>
      </c>
      <c r="G25" s="124"/>
      <c r="H25" s="124"/>
      <c r="I25" s="143">
        <f>1/I39</f>
        <v>1.3130252100840336</v>
      </c>
    </row>
    <row r="26" spans="1:9" x14ac:dyDescent="0.25">
      <c r="A26" t="s">
        <v>205</v>
      </c>
      <c r="G26" s="124"/>
      <c r="H26" s="124"/>
      <c r="I26" s="142">
        <f>I16+I18</f>
        <v>4.9770000000000002E-2</v>
      </c>
    </row>
    <row r="27" spans="1:9" x14ac:dyDescent="0.25">
      <c r="A27" t="s">
        <v>204</v>
      </c>
      <c r="G27" s="124"/>
      <c r="H27" s="124"/>
      <c r="I27" s="141">
        <f>I25*I26</f>
        <v>6.5349264705882357E-2</v>
      </c>
    </row>
    <row r="28" spans="1:9" x14ac:dyDescent="0.25">
      <c r="A28" t="s">
        <v>203</v>
      </c>
      <c r="G28" s="124"/>
      <c r="H28" s="124"/>
      <c r="I28" s="140">
        <f>I12+I14</f>
        <v>1.8409999999999999E-2</v>
      </c>
    </row>
    <row r="29" spans="1:9" x14ac:dyDescent="0.25">
      <c r="G29" s="124"/>
      <c r="H29" s="124"/>
      <c r="I29" s="124"/>
    </row>
    <row r="30" spans="1:9" ht="15.75" thickBot="1" x14ac:dyDescent="0.3">
      <c r="A30" t="s">
        <v>202</v>
      </c>
      <c r="G30" s="124"/>
      <c r="H30" s="124"/>
      <c r="I30" s="163">
        <f>I27+I28</f>
        <v>8.3759264705882353E-2</v>
      </c>
    </row>
    <row r="31" spans="1:9" ht="15.75" thickTop="1" x14ac:dyDescent="0.25">
      <c r="G31" s="124"/>
      <c r="H31" s="124"/>
      <c r="I31" s="124"/>
    </row>
    <row r="32" spans="1:9" x14ac:dyDescent="0.25">
      <c r="G32" s="124"/>
      <c r="H32" s="124"/>
      <c r="I32" s="124"/>
    </row>
    <row r="33" spans="1:9" x14ac:dyDescent="0.25">
      <c r="A33" s="51" t="s">
        <v>201</v>
      </c>
      <c r="G33" s="124"/>
      <c r="H33" s="124"/>
      <c r="I33" s="124"/>
    </row>
    <row r="34" spans="1:9" x14ac:dyDescent="0.25">
      <c r="A34" s="51" t="s">
        <v>294</v>
      </c>
      <c r="G34" s="124"/>
      <c r="H34" s="124"/>
      <c r="I34" s="85">
        <v>209080906</v>
      </c>
    </row>
    <row r="35" spans="1:9" x14ac:dyDescent="0.25">
      <c r="A35" s="51" t="s">
        <v>295</v>
      </c>
      <c r="G35" s="124"/>
      <c r="H35" s="124"/>
      <c r="I35" s="256">
        <v>548065728</v>
      </c>
    </row>
    <row r="36" spans="1:9" x14ac:dyDescent="0.25">
      <c r="A36" s="51"/>
      <c r="G36" s="124"/>
      <c r="H36" s="124"/>
      <c r="I36" s="124"/>
    </row>
    <row r="37" spans="1:9" x14ac:dyDescent="0.25">
      <c r="A37" s="51" t="s">
        <v>296</v>
      </c>
      <c r="G37" s="124"/>
      <c r="H37" s="124"/>
      <c r="I37" s="162">
        <v>0.2384</v>
      </c>
    </row>
    <row r="38" spans="1:9" x14ac:dyDescent="0.25">
      <c r="A38" s="51"/>
      <c r="G38" s="124"/>
      <c r="H38" s="124"/>
      <c r="I38" s="162"/>
    </row>
    <row r="39" spans="1:9" x14ac:dyDescent="0.25">
      <c r="A39" s="51" t="s">
        <v>200</v>
      </c>
      <c r="G39" s="124"/>
      <c r="H39" s="124"/>
      <c r="I39" s="140">
        <f>1-I37</f>
        <v>0.76160000000000005</v>
      </c>
    </row>
    <row r="40" spans="1:9" x14ac:dyDescent="0.25">
      <c r="G40" s="124"/>
      <c r="H40" s="124"/>
      <c r="I40" s="124"/>
    </row>
    <row r="44" spans="1:9" x14ac:dyDescent="0.25">
      <c r="A44" t="s">
        <v>302</v>
      </c>
    </row>
    <row r="298" spans="15:15" x14ac:dyDescent="0.25">
      <c r="O298" s="124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298"/>
  <sheetViews>
    <sheetView zoomScaleNormal="100" workbookViewId="0">
      <selection activeCell="A6" sqref="A6"/>
    </sheetView>
  </sheetViews>
  <sheetFormatPr defaultColWidth="8.7109375" defaultRowHeight="12.75" x14ac:dyDescent="0.2"/>
  <cols>
    <col min="1" max="1" width="17.28515625" style="252" customWidth="1"/>
    <col min="2" max="2" width="5.7109375" style="252" customWidth="1"/>
    <col min="3" max="3" width="20" style="252" customWidth="1"/>
    <col min="4" max="4" width="5.7109375" style="252" customWidth="1"/>
    <col min="5" max="5" width="14.42578125" style="252" customWidth="1"/>
    <col min="6" max="6" width="5.7109375" style="252" customWidth="1"/>
    <col min="7" max="7" width="11.42578125" style="252" customWidth="1"/>
    <col min="8" max="8" width="5.7109375" style="252" customWidth="1"/>
    <col min="9" max="9" width="14.5703125" style="252" bestFit="1" customWidth="1"/>
    <col min="10" max="16384" width="8.7109375" style="252"/>
  </cols>
  <sheetData>
    <row r="1" spans="1:10" ht="15" x14ac:dyDescent="0.25">
      <c r="A1" s="161" t="s">
        <v>224</v>
      </c>
      <c r="B1" s="157"/>
      <c r="C1" s="157"/>
      <c r="D1" s="157"/>
      <c r="E1" s="157"/>
      <c r="F1" s="157"/>
      <c r="G1" s="157"/>
      <c r="H1" s="157"/>
      <c r="I1" s="157"/>
      <c r="J1"/>
    </row>
    <row r="2" spans="1:10" ht="15" x14ac:dyDescent="0.25">
      <c r="A2" s="161" t="s">
        <v>223</v>
      </c>
      <c r="B2" s="157"/>
      <c r="C2" s="157"/>
      <c r="D2" s="157"/>
      <c r="E2" s="157"/>
      <c r="F2" s="157"/>
      <c r="G2" s="157"/>
      <c r="H2" s="157"/>
      <c r="I2" s="157"/>
      <c r="J2"/>
    </row>
    <row r="3" spans="1:10" ht="15" x14ac:dyDescent="0.25">
      <c r="A3" s="161" t="s">
        <v>222</v>
      </c>
      <c r="B3" s="157"/>
      <c r="C3" s="157"/>
      <c r="D3" s="157"/>
      <c r="E3" s="157"/>
      <c r="F3" s="157"/>
      <c r="G3" s="157"/>
      <c r="H3" s="157"/>
      <c r="I3" s="157"/>
      <c r="J3"/>
    </row>
    <row r="4" spans="1:10" ht="15" x14ac:dyDescent="0.25">
      <c r="A4" s="160">
        <v>44469</v>
      </c>
      <c r="B4" s="157"/>
      <c r="C4" s="157"/>
      <c r="D4" s="157"/>
      <c r="E4" s="157"/>
      <c r="F4" s="157"/>
      <c r="G4" s="157"/>
      <c r="H4" s="157"/>
      <c r="I4" s="157"/>
      <c r="J4"/>
    </row>
    <row r="5" spans="1:10" ht="15" x14ac:dyDescent="0.25">
      <c r="A5" s="159" t="s">
        <v>221</v>
      </c>
      <c r="B5" s="157"/>
      <c r="C5" s="157"/>
      <c r="D5" s="157"/>
      <c r="E5" s="157"/>
      <c r="F5" s="157"/>
      <c r="G5" s="157"/>
      <c r="H5" s="157"/>
      <c r="I5" s="157"/>
      <c r="J5"/>
    </row>
    <row r="6" spans="1:10" ht="15" x14ac:dyDescent="0.25">
      <c r="A6" s="158"/>
      <c r="B6" s="157"/>
      <c r="C6" s="157"/>
      <c r="D6" s="157"/>
      <c r="E6" s="157"/>
      <c r="F6" s="157"/>
      <c r="G6" s="157"/>
      <c r="H6" s="157"/>
      <c r="I6" s="157"/>
      <c r="J6"/>
    </row>
    <row r="7" spans="1:10" ht="15" x14ac:dyDescent="0.25">
      <c r="A7" s="156" t="s">
        <v>220</v>
      </c>
      <c r="B7"/>
      <c r="C7"/>
      <c r="D7"/>
      <c r="E7" s="52" t="s">
        <v>219</v>
      </c>
      <c r="F7"/>
      <c r="G7"/>
      <c r="H7"/>
      <c r="I7"/>
      <c r="J7"/>
    </row>
    <row r="8" spans="1:10" ht="15" x14ac:dyDescent="0.25">
      <c r="A8"/>
      <c r="B8"/>
      <c r="C8"/>
      <c r="D8"/>
      <c r="E8" s="52" t="s">
        <v>218</v>
      </c>
      <c r="F8"/>
      <c r="G8" s="52" t="s">
        <v>217</v>
      </c>
      <c r="H8"/>
      <c r="I8"/>
      <c r="J8"/>
    </row>
    <row r="9" spans="1:10" ht="15" x14ac:dyDescent="0.25">
      <c r="A9" s="155" t="s">
        <v>216</v>
      </c>
      <c r="B9"/>
      <c r="C9" s="155"/>
      <c r="D9"/>
      <c r="E9" s="155" t="s">
        <v>215</v>
      </c>
      <c r="F9"/>
      <c r="G9" s="155" t="s">
        <v>214</v>
      </c>
      <c r="H9"/>
      <c r="I9" s="155" t="s">
        <v>213</v>
      </c>
      <c r="J9"/>
    </row>
    <row r="10" spans="1:10" ht="15" x14ac:dyDescent="0.25">
      <c r="A10"/>
      <c r="B10"/>
      <c r="C10"/>
      <c r="D10"/>
      <c r="E10"/>
      <c r="F10"/>
      <c r="G10"/>
      <c r="H10"/>
      <c r="I10"/>
      <c r="J10"/>
    </row>
    <row r="11" spans="1:10" ht="15" x14ac:dyDescent="0.25">
      <c r="A11"/>
      <c r="B11"/>
      <c r="C11"/>
      <c r="D11"/>
      <c r="E11"/>
      <c r="F11"/>
      <c r="G11"/>
      <c r="H11"/>
      <c r="I11"/>
      <c r="J11"/>
    </row>
    <row r="12" spans="1:10" ht="15" x14ac:dyDescent="0.25">
      <c r="A12" t="s">
        <v>212</v>
      </c>
      <c r="B12"/>
      <c r="C12" s="154">
        <v>5319852518</v>
      </c>
      <c r="D12" s="124"/>
      <c r="E12" s="151">
        <f>C12/C20</f>
        <v>0.47299814837136656</v>
      </c>
      <c r="F12" s="124"/>
      <c r="G12" s="148">
        <v>3.909E-2</v>
      </c>
      <c r="H12" s="124"/>
      <c r="I12" s="140">
        <f>ROUND(E12*G12,5)</f>
        <v>1.8489999999999999E-2</v>
      </c>
      <c r="J12"/>
    </row>
    <row r="13" spans="1:10" ht="15" x14ac:dyDescent="0.25">
      <c r="A13"/>
      <c r="B13"/>
      <c r="C13" s="153"/>
      <c r="D13" s="124"/>
      <c r="E13" s="151"/>
      <c r="F13" s="124"/>
      <c r="G13" s="148"/>
      <c r="H13" s="124"/>
      <c r="I13" s="140"/>
      <c r="J13"/>
    </row>
    <row r="14" spans="1:10" ht="15" x14ac:dyDescent="0.25">
      <c r="A14" t="s">
        <v>211</v>
      </c>
      <c r="B14"/>
      <c r="C14" s="152">
        <v>0</v>
      </c>
      <c r="D14" s="124"/>
      <c r="E14" s="151">
        <f>+C14/C20</f>
        <v>0</v>
      </c>
      <c r="F14" s="124"/>
      <c r="G14" s="148">
        <v>0</v>
      </c>
      <c r="H14" s="124"/>
      <c r="I14" s="140">
        <f>ROUND(E14*G14,5)</f>
        <v>0</v>
      </c>
      <c r="J14"/>
    </row>
    <row r="15" spans="1:10" ht="15" x14ac:dyDescent="0.25">
      <c r="A15"/>
      <c r="B15"/>
      <c r="C15" s="137"/>
      <c r="D15" s="124"/>
      <c r="E15" s="151"/>
      <c r="F15" s="124"/>
      <c r="G15" s="140"/>
      <c r="H15" s="124"/>
      <c r="I15" s="140"/>
      <c r="J15"/>
    </row>
    <row r="16" spans="1:10" ht="15" x14ac:dyDescent="0.25">
      <c r="A16" t="s">
        <v>210</v>
      </c>
      <c r="B16"/>
      <c r="C16" s="152">
        <v>81827509</v>
      </c>
      <c r="D16" s="124"/>
      <c r="E16" s="151">
        <f>C16/C20</f>
        <v>7.2754385787732719E-3</v>
      </c>
      <c r="F16" s="124"/>
      <c r="G16" s="148">
        <v>4.1799999999999997E-2</v>
      </c>
      <c r="H16" s="124"/>
      <c r="I16" s="140">
        <f>ROUND(E16*G16,5)</f>
        <v>2.9999999999999997E-4</v>
      </c>
      <c r="J16"/>
    </row>
    <row r="17" spans="1:10" ht="15" x14ac:dyDescent="0.25">
      <c r="A17"/>
      <c r="B17"/>
      <c r="C17" s="137"/>
      <c r="D17" s="124"/>
      <c r="E17" s="151"/>
      <c r="F17" s="124"/>
      <c r="G17" s="140"/>
      <c r="H17" s="124"/>
      <c r="I17" s="140"/>
      <c r="J17"/>
    </row>
    <row r="18" spans="1:10" ht="15" x14ac:dyDescent="0.25">
      <c r="A18" t="s">
        <v>209</v>
      </c>
      <c r="B18"/>
      <c r="C18" s="150">
        <v>5845409494</v>
      </c>
      <c r="D18" s="124"/>
      <c r="E18" s="149">
        <f>C18/C20</f>
        <v>0.51972641304986023</v>
      </c>
      <c r="F18" s="124"/>
      <c r="G18" s="148">
        <v>9.3920000000000003E-2</v>
      </c>
      <c r="H18" s="124"/>
      <c r="I18" s="140">
        <f>ROUND(E18*G18,5)</f>
        <v>4.8809999999999999E-2</v>
      </c>
      <c r="J18"/>
    </row>
    <row r="19" spans="1:10" ht="15" x14ac:dyDescent="0.25">
      <c r="A19"/>
      <c r="B19"/>
      <c r="C19"/>
      <c r="D19"/>
      <c r="E19" s="139"/>
      <c r="F19"/>
      <c r="G19" s="254"/>
      <c r="H19" s="124"/>
      <c r="I19" s="140"/>
      <c r="J19"/>
    </row>
    <row r="20" spans="1:10" ht="15.75" thickBot="1" x14ac:dyDescent="0.3">
      <c r="A20" t="s">
        <v>208</v>
      </c>
      <c r="B20"/>
      <c r="C20" s="147">
        <f>SUM(C12:C18)</f>
        <v>11247089521</v>
      </c>
      <c r="D20"/>
      <c r="E20" s="146">
        <f>SUM(E12:E18)</f>
        <v>1</v>
      </c>
      <c r="F20"/>
      <c r="G20" s="124"/>
      <c r="H20" s="124"/>
      <c r="I20" s="255">
        <f>SUM(I12:I18)</f>
        <v>6.7599999999999993E-2</v>
      </c>
      <c r="J20"/>
    </row>
    <row r="21" spans="1:10" ht="15.75" thickTop="1" x14ac:dyDescent="0.25">
      <c r="A21"/>
      <c r="B21"/>
      <c r="C21" s="120"/>
      <c r="D21"/>
      <c r="E21"/>
      <c r="F21"/>
      <c r="G21" s="124"/>
      <c r="H21" s="124"/>
      <c r="I21" s="124"/>
      <c r="J21"/>
    </row>
    <row r="22" spans="1:10" ht="15" x14ac:dyDescent="0.25">
      <c r="A22"/>
      <c r="B22"/>
      <c r="C22" s="145"/>
      <c r="D22"/>
      <c r="E22"/>
      <c r="F22"/>
      <c r="G22" s="124"/>
      <c r="H22" s="124"/>
      <c r="I22" s="124"/>
      <c r="J22"/>
    </row>
    <row r="23" spans="1:10" ht="15" x14ac:dyDescent="0.25">
      <c r="A23" s="144" t="s">
        <v>207</v>
      </c>
      <c r="B23"/>
      <c r="C23"/>
      <c r="D23"/>
      <c r="E23"/>
      <c r="F23"/>
      <c r="G23" s="124"/>
      <c r="H23" s="124"/>
      <c r="I23" s="124"/>
      <c r="J23"/>
    </row>
    <row r="24" spans="1:10" ht="15" x14ac:dyDescent="0.25">
      <c r="A24"/>
      <c r="B24"/>
      <c r="C24"/>
      <c r="D24"/>
      <c r="E24"/>
      <c r="F24"/>
      <c r="G24" s="124"/>
      <c r="H24" s="124"/>
      <c r="I24" s="124"/>
      <c r="J24"/>
    </row>
    <row r="25" spans="1:10" ht="15" x14ac:dyDescent="0.25">
      <c r="A25" s="51" t="s">
        <v>206</v>
      </c>
      <c r="B25"/>
      <c r="C25"/>
      <c r="D25"/>
      <c r="E25"/>
      <c r="F25"/>
      <c r="G25" s="124"/>
      <c r="H25" s="124"/>
      <c r="I25" s="143">
        <f>1/I39</f>
        <v>1.3109052133468084</v>
      </c>
      <c r="J25"/>
    </row>
    <row r="26" spans="1:10" ht="15" x14ac:dyDescent="0.25">
      <c r="A26" t="s">
        <v>297</v>
      </c>
      <c r="B26"/>
      <c r="C26"/>
      <c r="D26"/>
      <c r="E26"/>
      <c r="F26"/>
      <c r="G26" s="124"/>
      <c r="H26" s="124"/>
      <c r="I26" s="142">
        <f>I16+I18</f>
        <v>4.9110000000000001E-2</v>
      </c>
      <c r="J26"/>
    </row>
    <row r="27" spans="1:10" ht="15" x14ac:dyDescent="0.25">
      <c r="A27" t="s">
        <v>204</v>
      </c>
      <c r="B27"/>
      <c r="C27"/>
      <c r="D27"/>
      <c r="E27"/>
      <c r="F27"/>
      <c r="G27" s="124"/>
      <c r="H27" s="124"/>
      <c r="I27" s="141">
        <f>I26*I25</f>
        <v>6.4378555027461759E-2</v>
      </c>
      <c r="J27"/>
    </row>
    <row r="28" spans="1:10" ht="15" x14ac:dyDescent="0.25">
      <c r="A28" t="s">
        <v>203</v>
      </c>
      <c r="B28"/>
      <c r="C28"/>
      <c r="D28"/>
      <c r="E28"/>
      <c r="F28"/>
      <c r="G28" s="124"/>
      <c r="H28" s="124"/>
      <c r="I28" s="140">
        <f>I12+I14</f>
        <v>1.8489999999999999E-2</v>
      </c>
      <c r="J28"/>
    </row>
    <row r="29" spans="1:10" ht="15" x14ac:dyDescent="0.25">
      <c r="A29"/>
      <c r="B29"/>
      <c r="C29"/>
      <c r="D29"/>
      <c r="E29"/>
      <c r="F29"/>
      <c r="G29" s="124"/>
      <c r="H29" s="124"/>
      <c r="I29" s="124"/>
      <c r="J29"/>
    </row>
    <row r="30" spans="1:10" ht="15.75" thickBot="1" x14ac:dyDescent="0.3">
      <c r="A30" t="s">
        <v>207</v>
      </c>
      <c r="B30"/>
      <c r="C30"/>
      <c r="D30"/>
      <c r="E30"/>
      <c r="F30"/>
      <c r="G30" s="124"/>
      <c r="H30" s="124"/>
      <c r="I30" s="163">
        <f>I27+I28</f>
        <v>8.2868555027461765E-2</v>
      </c>
      <c r="J30"/>
    </row>
    <row r="31" spans="1:10" ht="15.75" thickTop="1" x14ac:dyDescent="0.25">
      <c r="A31"/>
      <c r="B31"/>
      <c r="C31"/>
      <c r="D31"/>
      <c r="E31"/>
      <c r="F31"/>
      <c r="G31" s="124"/>
      <c r="H31" s="124"/>
      <c r="I31" s="124"/>
      <c r="J31"/>
    </row>
    <row r="32" spans="1:10" ht="15" x14ac:dyDescent="0.25">
      <c r="A32"/>
      <c r="B32"/>
      <c r="C32"/>
      <c r="D32"/>
      <c r="E32"/>
      <c r="F32"/>
      <c r="G32" s="124"/>
      <c r="H32" s="124"/>
      <c r="I32" s="124"/>
      <c r="J32"/>
    </row>
    <row r="33" spans="1:10" ht="15" x14ac:dyDescent="0.25">
      <c r="A33" s="51" t="s">
        <v>201</v>
      </c>
      <c r="B33"/>
      <c r="C33"/>
      <c r="D33"/>
      <c r="E33"/>
      <c r="F33"/>
      <c r="G33" s="124"/>
      <c r="H33" s="124"/>
      <c r="I33" s="124"/>
      <c r="J33"/>
    </row>
    <row r="34" spans="1:10" ht="15" x14ac:dyDescent="0.25">
      <c r="A34" s="51" t="s">
        <v>298</v>
      </c>
      <c r="B34"/>
      <c r="C34"/>
      <c r="D34"/>
      <c r="E34"/>
      <c r="F34"/>
      <c r="G34" s="124"/>
      <c r="H34" s="124"/>
      <c r="I34" s="85">
        <v>61221712</v>
      </c>
      <c r="J34"/>
    </row>
    <row r="35" spans="1:10" ht="15" x14ac:dyDescent="0.25">
      <c r="A35" s="51" t="s">
        <v>299</v>
      </c>
      <c r="B35"/>
      <c r="C35"/>
      <c r="D35"/>
      <c r="E35"/>
      <c r="F35"/>
      <c r="G35" s="124"/>
      <c r="H35" s="124" t="s">
        <v>300</v>
      </c>
      <c r="I35" s="256">
        <v>494913166.4117794</v>
      </c>
      <c r="J35"/>
    </row>
    <row r="36" spans="1:10" ht="15" x14ac:dyDescent="0.25">
      <c r="A36" s="51"/>
      <c r="B36"/>
      <c r="C36"/>
      <c r="D36"/>
      <c r="E36"/>
      <c r="F36"/>
      <c r="G36" s="124"/>
      <c r="H36" s="124"/>
      <c r="I36" s="124"/>
      <c r="J36"/>
    </row>
    <row r="37" spans="1:10" ht="15" x14ac:dyDescent="0.25">
      <c r="A37" s="51" t="s">
        <v>301</v>
      </c>
      <c r="B37"/>
      <c r="C37"/>
      <c r="D37"/>
      <c r="E37"/>
      <c r="F37"/>
      <c r="G37" s="124"/>
      <c r="H37" s="124"/>
      <c r="I37" s="162">
        <v>0.23716834000000001</v>
      </c>
      <c r="J37"/>
    </row>
    <row r="38" spans="1:10" ht="15" x14ac:dyDescent="0.25">
      <c r="A38" s="51"/>
      <c r="B38"/>
      <c r="C38"/>
      <c r="D38"/>
      <c r="E38"/>
      <c r="F38"/>
      <c r="G38" s="124"/>
      <c r="H38" s="124"/>
      <c r="I38" s="162"/>
      <c r="J38"/>
    </row>
    <row r="39" spans="1:10" ht="15" x14ac:dyDescent="0.25">
      <c r="A39" s="51" t="s">
        <v>200</v>
      </c>
      <c r="B39"/>
      <c r="C39"/>
      <c r="D39"/>
      <c r="E39"/>
      <c r="F39"/>
      <c r="G39" s="124"/>
      <c r="H39" s="124"/>
      <c r="I39" s="140">
        <f>1-I37</f>
        <v>0.76283166000000002</v>
      </c>
      <c r="J39"/>
    </row>
    <row r="40" spans="1:10" ht="15" x14ac:dyDescent="0.25">
      <c r="A40"/>
      <c r="B40"/>
      <c r="C40"/>
      <c r="D40"/>
      <c r="E40"/>
      <c r="F40"/>
      <c r="G40" s="124"/>
      <c r="H40" s="124"/>
      <c r="I40" s="124"/>
      <c r="J40"/>
    </row>
    <row r="41" spans="1:10" ht="15" x14ac:dyDescent="0.25">
      <c r="A41"/>
      <c r="B41"/>
      <c r="C41"/>
      <c r="D41"/>
      <c r="E41"/>
      <c r="F41"/>
      <c r="G41"/>
      <c r="H41"/>
      <c r="I41"/>
      <c r="J41"/>
    </row>
    <row r="42" spans="1:10" ht="15" x14ac:dyDescent="0.25">
      <c r="A42"/>
      <c r="B42"/>
      <c r="C42"/>
      <c r="D42"/>
      <c r="E42"/>
      <c r="F42"/>
      <c r="G42"/>
      <c r="H42"/>
      <c r="I42"/>
      <c r="J42"/>
    </row>
    <row r="43" spans="1:10" ht="15" x14ac:dyDescent="0.25">
      <c r="A43"/>
      <c r="B43"/>
      <c r="C43"/>
      <c r="D43"/>
      <c r="E43"/>
      <c r="F43"/>
      <c r="G43"/>
      <c r="H43"/>
      <c r="I43"/>
      <c r="J43"/>
    </row>
    <row r="44" spans="1:10" ht="15" x14ac:dyDescent="0.25">
      <c r="A44" t="s">
        <v>303</v>
      </c>
      <c r="B44"/>
      <c r="C44"/>
      <c r="D44"/>
      <c r="E44"/>
      <c r="F44"/>
      <c r="G44"/>
      <c r="H44"/>
      <c r="I44"/>
      <c r="J44"/>
    </row>
    <row r="45" spans="1:10" ht="15" x14ac:dyDescent="0.25">
      <c r="A45"/>
      <c r="B45"/>
      <c r="C45"/>
      <c r="D45"/>
      <c r="E45"/>
      <c r="F45"/>
      <c r="G45"/>
      <c r="H45"/>
      <c r="I45"/>
      <c r="J45"/>
    </row>
    <row r="46" spans="1:10" ht="15" x14ac:dyDescent="0.25">
      <c r="A46"/>
      <c r="B46"/>
      <c r="C46"/>
      <c r="D46"/>
      <c r="E46"/>
      <c r="F46"/>
      <c r="G46"/>
      <c r="H46"/>
      <c r="I46"/>
      <c r="J46"/>
    </row>
    <row r="47" spans="1:10" ht="15" x14ac:dyDescent="0.25">
      <c r="A47"/>
      <c r="B47"/>
      <c r="C47"/>
      <c r="D47"/>
      <c r="E47"/>
      <c r="F47"/>
      <c r="G47"/>
      <c r="H47"/>
      <c r="I47"/>
      <c r="J47"/>
    </row>
    <row r="48" spans="1:10" ht="15" x14ac:dyDescent="0.25">
      <c r="A48"/>
      <c r="B48"/>
      <c r="C48"/>
      <c r="D48"/>
      <c r="E48"/>
      <c r="F48"/>
      <c r="G48"/>
      <c r="H48"/>
      <c r="I48"/>
      <c r="J48"/>
    </row>
    <row r="49" spans="1:10" ht="15" x14ac:dyDescent="0.25">
      <c r="A49"/>
      <c r="B49"/>
      <c r="C49"/>
      <c r="D49"/>
      <c r="E49"/>
      <c r="F49"/>
      <c r="G49"/>
      <c r="H49"/>
      <c r="I49"/>
      <c r="J49"/>
    </row>
    <row r="50" spans="1:10" ht="15" x14ac:dyDescent="0.25">
      <c r="A50"/>
      <c r="B50"/>
      <c r="C50"/>
      <c r="D50"/>
      <c r="E50"/>
      <c r="F50"/>
      <c r="G50"/>
      <c r="H50"/>
      <c r="I50"/>
      <c r="J50"/>
    </row>
    <row r="51" spans="1:10" ht="15" x14ac:dyDescent="0.25">
      <c r="A51"/>
      <c r="B51"/>
      <c r="C51"/>
      <c r="D51"/>
      <c r="E51"/>
      <c r="F51"/>
      <c r="G51"/>
      <c r="H51"/>
      <c r="I51"/>
      <c r="J51"/>
    </row>
    <row r="298" spans="14:14" x14ac:dyDescent="0.2">
      <c r="N298" s="253"/>
    </row>
  </sheetData>
  <printOptions horizontalCentered="1"/>
  <pageMargins left="0.75" right="0.75" top="1" bottom="1" header="0.5" footer="0.5"/>
  <pageSetup scale="88" orientation="portrait" r:id="rId1"/>
  <headerFooter alignWithMargins="0">
    <oddFooter>&amp;L&amp;8&amp;D&amp;R&amp;8&amp;F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M18"/>
  <sheetViews>
    <sheetView zoomScale="85" zoomScaleNormal="85" workbookViewId="0">
      <selection activeCell="M20" sqref="M20"/>
    </sheetView>
  </sheetViews>
  <sheetFormatPr defaultColWidth="9.140625" defaultRowHeight="15" x14ac:dyDescent="0.25"/>
  <cols>
    <col min="1" max="1" width="64.85546875" style="124" customWidth="1"/>
    <col min="2" max="2" width="15.85546875" style="124" customWidth="1"/>
    <col min="3" max="3" width="14.5703125" style="124" customWidth="1"/>
    <col min="4" max="5" width="13.42578125" style="124" customWidth="1"/>
    <col min="6" max="6" width="13.7109375" style="124" customWidth="1"/>
    <col min="7" max="11" width="14.28515625" style="124" customWidth="1"/>
    <col min="12" max="13" width="14.5703125" style="124" bestFit="1" customWidth="1"/>
    <col min="14" max="16384" width="9.140625" style="124"/>
  </cols>
  <sheetData>
    <row r="1" spans="1:13" ht="15.75" x14ac:dyDescent="0.25">
      <c r="A1" s="164" t="s">
        <v>188</v>
      </c>
      <c r="B1" s="54"/>
      <c r="C1" s="54"/>
      <c r="D1" s="54"/>
      <c r="E1" s="54"/>
      <c r="F1" s="54"/>
      <c r="G1" s="54"/>
      <c r="H1" s="54"/>
      <c r="I1" s="54"/>
      <c r="J1" s="54"/>
    </row>
    <row r="2" spans="1:13" ht="15.75" customHeight="1" x14ac:dyDescent="0.25">
      <c r="A2" s="165" t="s">
        <v>225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15.75" customHeight="1" x14ac:dyDescent="0.25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x14ac:dyDescent="0.25">
      <c r="A4" s="167" t="s">
        <v>226</v>
      </c>
      <c r="B4" s="168">
        <v>44439</v>
      </c>
      <c r="C4" s="168">
        <v>44469</v>
      </c>
      <c r="D4" s="168">
        <v>44500</v>
      </c>
      <c r="E4" s="168">
        <v>44530</v>
      </c>
      <c r="F4" s="168">
        <v>44561</v>
      </c>
      <c r="G4" s="168">
        <v>44592</v>
      </c>
      <c r="H4" s="168">
        <v>44620</v>
      </c>
      <c r="I4" s="168">
        <v>44651</v>
      </c>
      <c r="J4" s="168">
        <v>44681</v>
      </c>
      <c r="K4" s="168">
        <v>44712</v>
      </c>
      <c r="L4" s="168">
        <v>44742</v>
      </c>
      <c r="M4" s="168">
        <v>44773</v>
      </c>
    </row>
    <row r="5" spans="1:13" x14ac:dyDescent="0.25">
      <c r="A5" s="135" t="s">
        <v>189</v>
      </c>
      <c r="B5" s="134">
        <v>1132740523.3400002</v>
      </c>
      <c r="C5" s="134">
        <v>1140895243.1300001</v>
      </c>
      <c r="D5" s="134">
        <v>2632946.46</v>
      </c>
      <c r="E5" s="134">
        <v>3312587.01</v>
      </c>
      <c r="F5" s="134">
        <v>9950924.5</v>
      </c>
      <c r="G5" s="134">
        <v>10264582.060000001</v>
      </c>
      <c r="H5" s="134">
        <v>10603585.630000001</v>
      </c>
      <c r="I5" s="134">
        <v>11823366.300000001</v>
      </c>
      <c r="J5" s="134">
        <v>12568939.08</v>
      </c>
      <c r="K5" s="134">
        <v>13572518.949999999</v>
      </c>
      <c r="L5" s="134">
        <v>21206600.939999998</v>
      </c>
      <c r="M5" s="134">
        <v>24375906.449999999</v>
      </c>
    </row>
    <row r="6" spans="1:13" x14ac:dyDescent="0.25">
      <c r="A6" s="135" t="s">
        <v>190</v>
      </c>
      <c r="B6" s="169">
        <v>0</v>
      </c>
      <c r="C6" s="169">
        <v>0</v>
      </c>
      <c r="D6" s="169">
        <v>0</v>
      </c>
      <c r="E6" s="169">
        <v>0</v>
      </c>
      <c r="F6" s="169">
        <v>0</v>
      </c>
      <c r="G6" s="169">
        <v>0</v>
      </c>
      <c r="H6" s="169">
        <v>0</v>
      </c>
      <c r="I6" s="169">
        <v>0</v>
      </c>
      <c r="J6" s="169">
        <v>0</v>
      </c>
      <c r="K6" s="169">
        <v>0</v>
      </c>
      <c r="L6" s="169">
        <v>0</v>
      </c>
      <c r="M6" s="169">
        <v>0</v>
      </c>
    </row>
    <row r="7" spans="1:13" x14ac:dyDescent="0.25">
      <c r="A7" s="124" t="s">
        <v>191</v>
      </c>
      <c r="B7" s="134">
        <f t="shared" ref="B7:J7" si="0">SUM(B5:B6)</f>
        <v>1132740523.3400002</v>
      </c>
      <c r="C7" s="134">
        <f t="shared" si="0"/>
        <v>1140895243.1300001</v>
      </c>
      <c r="D7" s="134">
        <f t="shared" si="0"/>
        <v>2632946.46</v>
      </c>
      <c r="E7" s="134">
        <f t="shared" si="0"/>
        <v>3312587.01</v>
      </c>
      <c r="F7" s="134">
        <f t="shared" si="0"/>
        <v>9950924.5</v>
      </c>
      <c r="G7" s="134">
        <f t="shared" si="0"/>
        <v>10264582.060000001</v>
      </c>
      <c r="H7" s="134">
        <f t="shared" si="0"/>
        <v>10603585.630000001</v>
      </c>
      <c r="I7" s="134">
        <f t="shared" si="0"/>
        <v>11823366.300000001</v>
      </c>
      <c r="J7" s="134">
        <f t="shared" si="0"/>
        <v>12568939.08</v>
      </c>
      <c r="K7" s="134">
        <f t="shared" ref="K7:M7" si="1">SUM(K5:K6)</f>
        <v>13572518.949999999</v>
      </c>
      <c r="L7" s="134">
        <f t="shared" si="1"/>
        <v>21206600.939999998</v>
      </c>
      <c r="M7" s="134">
        <f t="shared" si="1"/>
        <v>24375906.449999999</v>
      </c>
    </row>
    <row r="8" spans="1:13" x14ac:dyDescent="0.25">
      <c r="A8" s="135" t="s">
        <v>192</v>
      </c>
      <c r="B8" s="134">
        <v>-90907.859999999986</v>
      </c>
      <c r="C8" s="134">
        <v>-90907.859999999986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</row>
    <row r="9" spans="1:13" x14ac:dyDescent="0.25">
      <c r="A9" s="135" t="s">
        <v>193</v>
      </c>
      <c r="B9" s="169">
        <v>0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</row>
    <row r="10" spans="1:13" x14ac:dyDescent="0.25">
      <c r="A10" s="124" t="s">
        <v>194</v>
      </c>
      <c r="B10" s="134">
        <f t="shared" ref="B10:M10" si="2">SUM(B7:B9)</f>
        <v>1132649615.4800003</v>
      </c>
      <c r="C10" s="134">
        <f t="shared" si="2"/>
        <v>1140804335.2700002</v>
      </c>
      <c r="D10" s="134">
        <f t="shared" si="2"/>
        <v>2632946.46</v>
      </c>
      <c r="E10" s="134">
        <f t="shared" si="2"/>
        <v>3312587.01</v>
      </c>
      <c r="F10" s="134">
        <f t="shared" si="2"/>
        <v>9950924.5</v>
      </c>
      <c r="G10" s="134">
        <f t="shared" si="2"/>
        <v>10264582.060000001</v>
      </c>
      <c r="H10" s="134">
        <f t="shared" si="2"/>
        <v>10603585.630000001</v>
      </c>
      <c r="I10" s="134">
        <f t="shared" si="2"/>
        <v>11823366.300000001</v>
      </c>
      <c r="J10" s="134">
        <f t="shared" si="2"/>
        <v>12568939.08</v>
      </c>
      <c r="K10" s="134">
        <f t="shared" si="2"/>
        <v>13572518.949999999</v>
      </c>
      <c r="L10" s="134">
        <f t="shared" si="2"/>
        <v>21206600.939999998</v>
      </c>
      <c r="M10" s="134">
        <f t="shared" si="2"/>
        <v>24375906.449999999</v>
      </c>
    </row>
    <row r="11" spans="1:13" x14ac:dyDescent="0.25">
      <c r="A11" s="135" t="s">
        <v>227</v>
      </c>
      <c r="B11" s="134">
        <v>23721586.73949673</v>
      </c>
      <c r="C11" s="134">
        <v>27231021.209496733</v>
      </c>
      <c r="D11" s="134">
        <v>4058.77</v>
      </c>
      <c r="E11" s="134">
        <v>13197.34</v>
      </c>
      <c r="F11" s="134">
        <v>33614.729999999996</v>
      </c>
      <c r="G11" s="134">
        <v>64758.11</v>
      </c>
      <c r="H11" s="134">
        <v>96890.14</v>
      </c>
      <c r="I11" s="134">
        <v>130556.32</v>
      </c>
      <c r="J11" s="134">
        <v>166900.37</v>
      </c>
      <c r="K11" s="134">
        <v>205627.71000000002</v>
      </c>
      <c r="L11" s="134">
        <v>245769.91</v>
      </c>
      <c r="M11" s="134">
        <v>324254.84000000003</v>
      </c>
    </row>
    <row r="12" spans="1:13" x14ac:dyDescent="0.25">
      <c r="A12" s="13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1:13" x14ac:dyDescent="0.25">
      <c r="A13" s="167" t="s">
        <v>195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</row>
    <row r="14" spans="1:13" x14ac:dyDescent="0.25">
      <c r="A14" s="138" t="s">
        <v>196</v>
      </c>
      <c r="B14" s="134">
        <v>1132740523.3400002</v>
      </c>
      <c r="C14" s="134">
        <v>1140895243.1300001</v>
      </c>
      <c r="D14" s="134">
        <f t="shared" ref="D14:M14" si="3">+D7</f>
        <v>2632946.46</v>
      </c>
      <c r="E14" s="134">
        <f t="shared" si="3"/>
        <v>3312587.01</v>
      </c>
      <c r="F14" s="134">
        <f t="shared" si="3"/>
        <v>9950924.5</v>
      </c>
      <c r="G14" s="134">
        <f t="shared" si="3"/>
        <v>10264582.060000001</v>
      </c>
      <c r="H14" s="134">
        <f t="shared" si="3"/>
        <v>10603585.630000001</v>
      </c>
      <c r="I14" s="134">
        <f t="shared" si="3"/>
        <v>11823366.300000001</v>
      </c>
      <c r="J14" s="134">
        <f t="shared" si="3"/>
        <v>12568939.08</v>
      </c>
      <c r="K14" s="134">
        <f t="shared" si="3"/>
        <v>13572518.949999999</v>
      </c>
      <c r="L14" s="134">
        <f t="shared" si="3"/>
        <v>21206600.939999998</v>
      </c>
      <c r="M14" s="134">
        <f t="shared" si="3"/>
        <v>24375906.449999999</v>
      </c>
    </row>
    <row r="15" spans="1:13" x14ac:dyDescent="0.25">
      <c r="A15" s="135" t="s">
        <v>197</v>
      </c>
      <c r="B15" s="134">
        <v>-24832780.999999996</v>
      </c>
      <c r="C15" s="134">
        <v>-28488778.589999996</v>
      </c>
      <c r="D15" s="134">
        <v>-3526574.95</v>
      </c>
      <c r="E15" s="134">
        <v>-7058229.6799999997</v>
      </c>
      <c r="F15" s="134">
        <v>-10601163.259999998</v>
      </c>
      <c r="G15" s="134">
        <v>-14154820.479999997</v>
      </c>
      <c r="H15" s="134">
        <v>-17709464.009999998</v>
      </c>
      <c r="I15" s="134">
        <v>-21029648.369999997</v>
      </c>
      <c r="J15" s="134">
        <v>-24515209.409999996</v>
      </c>
      <c r="K15" s="134">
        <v>-28003280.819999997</v>
      </c>
      <c r="L15" s="134">
        <v>-31503996.979999997</v>
      </c>
      <c r="M15" s="134">
        <v>-35020596.109999999</v>
      </c>
    </row>
    <row r="16" spans="1:13" x14ac:dyDescent="0.25">
      <c r="A16" s="135" t="s">
        <v>198</v>
      </c>
      <c r="B16" s="169">
        <v>-7255568</v>
      </c>
      <c r="C16" s="169">
        <v>-7734961</v>
      </c>
      <c r="D16" s="169">
        <v>-360393</v>
      </c>
      <c r="E16" s="169">
        <v>-921335</v>
      </c>
      <c r="F16" s="169">
        <v>-1619197</v>
      </c>
      <c r="G16" s="169">
        <v>-2617522</v>
      </c>
      <c r="H16" s="169">
        <v>-3619299</v>
      </c>
      <c r="I16" s="169">
        <v>-4679410</v>
      </c>
      <c r="J16" s="169">
        <v>-5729833</v>
      </c>
      <c r="K16" s="169">
        <v>-6760138</v>
      </c>
      <c r="L16" s="169">
        <v>-8188745</v>
      </c>
      <c r="M16" s="169">
        <v>-8866641</v>
      </c>
    </row>
    <row r="17" spans="1:13" x14ac:dyDescent="0.25">
      <c r="A17" s="124" t="s">
        <v>199</v>
      </c>
      <c r="B17" s="134">
        <f t="shared" ref="B17:M17" si="4">SUM(B14:B16)</f>
        <v>1100652174.3400002</v>
      </c>
      <c r="C17" s="134">
        <f t="shared" si="4"/>
        <v>1104671503.5400002</v>
      </c>
      <c r="D17" s="134">
        <f t="shared" si="4"/>
        <v>-1254021.4900000002</v>
      </c>
      <c r="E17" s="134">
        <f t="shared" si="4"/>
        <v>-4666977.67</v>
      </c>
      <c r="F17" s="134">
        <f t="shared" si="4"/>
        <v>-2269435.7599999979</v>
      </c>
      <c r="G17" s="134">
        <f t="shared" si="4"/>
        <v>-6507760.4199999962</v>
      </c>
      <c r="H17" s="134">
        <f t="shared" si="4"/>
        <v>-10725177.379999997</v>
      </c>
      <c r="I17" s="134">
        <f t="shared" si="4"/>
        <v>-13885692.069999997</v>
      </c>
      <c r="J17" s="134">
        <f t="shared" si="4"/>
        <v>-17676103.329999998</v>
      </c>
      <c r="K17" s="134">
        <f t="shared" si="4"/>
        <v>-21190899.869999997</v>
      </c>
      <c r="L17" s="134">
        <f t="shared" si="4"/>
        <v>-18486141.039999999</v>
      </c>
      <c r="M17" s="134">
        <f t="shared" si="4"/>
        <v>-19511330.66</v>
      </c>
    </row>
    <row r="18" spans="1:13" x14ac:dyDescent="0.25">
      <c r="G18" s="137"/>
      <c r="H18" s="137"/>
      <c r="I18" s="137"/>
      <c r="J18" s="137"/>
      <c r="K18" s="137"/>
      <c r="L18" s="137"/>
      <c r="M18" s="1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pageSetUpPr fitToPage="1"/>
  </sheetPr>
  <dimension ref="A1:O43"/>
  <sheetViews>
    <sheetView topLeftCell="D1" zoomScaleNormal="100" workbookViewId="0">
      <pane ySplit="4" topLeftCell="A5" activePane="bottomLeft" state="frozen"/>
      <selection activeCell="A18" sqref="A18:XFD18"/>
      <selection pane="bottomLeft" activeCell="O29" sqref="O29"/>
    </sheetView>
  </sheetViews>
  <sheetFormatPr defaultColWidth="13.42578125" defaultRowHeight="15" x14ac:dyDescent="0.25"/>
  <cols>
    <col min="1" max="1" width="45.28515625" customWidth="1"/>
    <col min="2" max="2" width="17.85546875" customWidth="1"/>
    <col min="3" max="3" width="19.28515625" bestFit="1" customWidth="1"/>
    <col min="4" max="5" width="21.140625" bestFit="1" customWidth="1"/>
    <col min="6" max="14" width="21.140625" customWidth="1"/>
  </cols>
  <sheetData>
    <row r="1" spans="1:14" x14ac:dyDescent="0.25">
      <c r="A1" t="s">
        <v>0</v>
      </c>
    </row>
    <row r="2" spans="1:14" ht="15.75" thickBot="1" x14ac:dyDescent="0.3">
      <c r="A2" t="s">
        <v>1</v>
      </c>
    </row>
    <row r="3" spans="1:14" ht="15.75" thickBot="1" x14ac:dyDescent="0.3">
      <c r="A3" t="s">
        <v>172</v>
      </c>
      <c r="C3" s="317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9"/>
    </row>
    <row r="4" spans="1:14" x14ac:dyDescent="0.25">
      <c r="A4" s="1"/>
      <c r="B4" s="17">
        <v>44378</v>
      </c>
      <c r="C4" s="16">
        <v>44409</v>
      </c>
      <c r="D4" s="17">
        <v>44440</v>
      </c>
      <c r="E4" s="17">
        <v>44470</v>
      </c>
      <c r="F4" s="17">
        <v>44501</v>
      </c>
      <c r="G4" s="17">
        <v>44531</v>
      </c>
      <c r="H4" s="17">
        <v>44562</v>
      </c>
      <c r="I4" s="17">
        <v>44593</v>
      </c>
      <c r="J4" s="17">
        <v>44621</v>
      </c>
      <c r="K4" s="17">
        <v>44652</v>
      </c>
      <c r="L4" s="17">
        <v>44682</v>
      </c>
      <c r="M4" s="17">
        <v>44713</v>
      </c>
      <c r="N4" s="92">
        <v>44743</v>
      </c>
    </row>
    <row r="5" spans="1:14" x14ac:dyDescent="0.25">
      <c r="A5" s="2" t="s">
        <v>27</v>
      </c>
      <c r="B5" s="2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93"/>
    </row>
    <row r="6" spans="1:14" x14ac:dyDescent="0.25">
      <c r="A6" s="3" t="s">
        <v>177</v>
      </c>
      <c r="B6" s="3"/>
      <c r="C6" s="106"/>
      <c r="D6" s="97"/>
      <c r="E6" s="97"/>
      <c r="F6" s="97"/>
      <c r="G6" s="97"/>
      <c r="H6" s="97"/>
      <c r="I6" s="97"/>
      <c r="J6" s="97"/>
      <c r="K6" s="107"/>
      <c r="L6" s="107"/>
      <c r="M6" s="107"/>
      <c r="N6" s="108"/>
    </row>
    <row r="7" spans="1:14" x14ac:dyDescent="0.25">
      <c r="A7" s="3" t="s">
        <v>178</v>
      </c>
      <c r="B7" s="3"/>
      <c r="C7" s="106"/>
      <c r="D7" s="97"/>
      <c r="E7" s="97"/>
      <c r="F7" s="97"/>
      <c r="G7" s="97"/>
      <c r="H7" s="97"/>
      <c r="I7" s="97"/>
      <c r="J7" s="97"/>
      <c r="K7" s="107"/>
      <c r="L7" s="107"/>
      <c r="M7" s="107"/>
      <c r="N7" s="108"/>
    </row>
    <row r="8" spans="1:14" x14ac:dyDescent="0.25">
      <c r="A8" s="3" t="s">
        <v>179</v>
      </c>
      <c r="B8" s="3"/>
      <c r="C8" s="106"/>
      <c r="D8" s="97"/>
      <c r="E8" s="97"/>
      <c r="F8" s="97"/>
      <c r="G8" s="97"/>
      <c r="H8" s="97"/>
      <c r="I8" s="97"/>
      <c r="J8" s="97"/>
      <c r="K8" s="107"/>
      <c r="L8" s="107"/>
      <c r="M8" s="107"/>
      <c r="N8" s="108"/>
    </row>
    <row r="9" spans="1:14" x14ac:dyDescent="0.25">
      <c r="A9" s="3" t="s">
        <v>2</v>
      </c>
      <c r="B9" s="3"/>
      <c r="C9" s="106"/>
      <c r="D9" s="97"/>
      <c r="E9" s="97"/>
      <c r="F9" s="97"/>
      <c r="G9" s="97"/>
      <c r="H9" s="97"/>
      <c r="I9" s="97"/>
      <c r="J9" s="97"/>
      <c r="K9" s="107"/>
      <c r="L9" s="107"/>
      <c r="M9" s="107"/>
      <c r="N9" s="108"/>
    </row>
    <row r="10" spans="1:14" x14ac:dyDescent="0.25">
      <c r="A10" s="3" t="s">
        <v>180</v>
      </c>
      <c r="B10" s="3"/>
      <c r="C10" s="106"/>
      <c r="D10" s="97"/>
      <c r="E10" s="97"/>
      <c r="F10" s="97"/>
      <c r="G10" s="97"/>
      <c r="H10" s="97"/>
      <c r="I10" s="97"/>
      <c r="J10" s="97"/>
      <c r="K10" s="107"/>
      <c r="L10" s="107"/>
      <c r="M10" s="107"/>
      <c r="N10" s="108"/>
    </row>
    <row r="11" spans="1:14" x14ac:dyDescent="0.25">
      <c r="A11" s="3" t="s">
        <v>181</v>
      </c>
      <c r="B11" s="3"/>
      <c r="C11" s="106"/>
      <c r="D11" s="97"/>
      <c r="E11" s="97"/>
      <c r="F11" s="97"/>
      <c r="G11" s="97"/>
      <c r="H11" s="97"/>
      <c r="I11" s="97"/>
      <c r="J11" s="97"/>
      <c r="K11" s="107"/>
      <c r="L11" s="107"/>
      <c r="M11" s="107"/>
      <c r="N11" s="108"/>
    </row>
    <row r="12" spans="1:14" x14ac:dyDescent="0.25">
      <c r="A12" s="3" t="s">
        <v>3</v>
      </c>
      <c r="B12" s="3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8"/>
    </row>
    <row r="13" spans="1:14" x14ac:dyDescent="0.25">
      <c r="A13" s="3" t="s">
        <v>4</v>
      </c>
      <c r="B13" s="3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94"/>
    </row>
    <row r="14" spans="1:14" x14ac:dyDescent="0.25">
      <c r="A14" s="3" t="s">
        <v>5</v>
      </c>
      <c r="B14" s="3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4"/>
    </row>
    <row r="15" spans="1:14" x14ac:dyDescent="0.25">
      <c r="A15" s="3" t="s">
        <v>6</v>
      </c>
      <c r="B15" s="3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94"/>
    </row>
    <row r="16" spans="1:14" x14ac:dyDescent="0.25">
      <c r="A16" s="3" t="s">
        <v>7</v>
      </c>
      <c r="B16" s="3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94"/>
    </row>
    <row r="17" spans="1:15" x14ac:dyDescent="0.25">
      <c r="A17" s="3" t="s">
        <v>8</v>
      </c>
      <c r="B17" s="3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94"/>
    </row>
    <row r="18" spans="1:15" x14ac:dyDescent="0.25">
      <c r="A18" s="5" t="s">
        <v>185</v>
      </c>
      <c r="B18" s="3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94"/>
    </row>
    <row r="19" spans="1:15" x14ac:dyDescent="0.25">
      <c r="A19" s="3" t="s">
        <v>9</v>
      </c>
      <c r="B19" s="3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94"/>
    </row>
    <row r="20" spans="1:15" ht="15.75" thickBot="1" x14ac:dyDescent="0.3">
      <c r="A20" s="2" t="s">
        <v>10</v>
      </c>
      <c r="B20" s="2"/>
      <c r="C20" s="109">
        <f t="shared" ref="C20:N20" si="0">SUM(C6:C14)</f>
        <v>0</v>
      </c>
      <c r="D20" s="110">
        <f t="shared" si="0"/>
        <v>0</v>
      </c>
      <c r="E20" s="110">
        <f t="shared" si="0"/>
        <v>0</v>
      </c>
      <c r="F20" s="110">
        <f t="shared" si="0"/>
        <v>0</v>
      </c>
      <c r="G20" s="110">
        <f t="shared" si="0"/>
        <v>0</v>
      </c>
      <c r="H20" s="110">
        <f t="shared" si="0"/>
        <v>0</v>
      </c>
      <c r="I20" s="110">
        <f t="shared" si="0"/>
        <v>0</v>
      </c>
      <c r="J20" s="110">
        <f t="shared" si="0"/>
        <v>0</v>
      </c>
      <c r="K20" s="110">
        <f t="shared" si="0"/>
        <v>0</v>
      </c>
      <c r="L20" s="110">
        <f t="shared" si="0"/>
        <v>0</v>
      </c>
      <c r="M20" s="110">
        <f t="shared" si="0"/>
        <v>0</v>
      </c>
      <c r="N20" s="111">
        <f t="shared" si="0"/>
        <v>0</v>
      </c>
    </row>
    <row r="21" spans="1:15" x14ac:dyDescent="0.25">
      <c r="C21" s="112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4"/>
    </row>
    <row r="22" spans="1:15" x14ac:dyDescent="0.25">
      <c r="A22" s="5" t="s">
        <v>184</v>
      </c>
      <c r="B22" s="5"/>
      <c r="C22" s="115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366698.59951770282</v>
      </c>
      <c r="J22" s="96">
        <v>2036548.7873214467</v>
      </c>
      <c r="K22" s="96">
        <v>1139393.6885014221</v>
      </c>
      <c r="L22" s="96">
        <v>1092549.8085630334</v>
      </c>
      <c r="M22" s="96">
        <v>1294033.5482980334</v>
      </c>
      <c r="N22" s="116">
        <v>1574882.6579286489</v>
      </c>
    </row>
    <row r="23" spans="1:15" x14ac:dyDescent="0.25">
      <c r="A23" s="5" t="s">
        <v>28</v>
      </c>
      <c r="B23" s="5"/>
      <c r="C23" s="115">
        <v>0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116">
        <v>0</v>
      </c>
    </row>
    <row r="24" spans="1:15" x14ac:dyDescent="0.25">
      <c r="A24" s="3" t="s">
        <v>29</v>
      </c>
      <c r="B24" s="3"/>
      <c r="C24" s="115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116">
        <v>0</v>
      </c>
    </row>
    <row r="25" spans="1:15" x14ac:dyDescent="0.25">
      <c r="A25" s="2" t="s">
        <v>30</v>
      </c>
      <c r="B25" s="2"/>
      <c r="C25" s="115">
        <f t="shared" ref="C25:N25" si="1">SUM(C22:C24)</f>
        <v>0</v>
      </c>
      <c r="D25" s="97">
        <f t="shared" si="1"/>
        <v>0</v>
      </c>
      <c r="E25" s="97">
        <f t="shared" si="1"/>
        <v>0</v>
      </c>
      <c r="F25" s="97">
        <f t="shared" si="1"/>
        <v>0</v>
      </c>
      <c r="G25" s="97">
        <f t="shared" si="1"/>
        <v>0</v>
      </c>
      <c r="H25" s="97">
        <f t="shared" si="1"/>
        <v>0</v>
      </c>
      <c r="I25" s="97">
        <f t="shared" si="1"/>
        <v>366698.59951770282</v>
      </c>
      <c r="J25" s="97">
        <f t="shared" si="1"/>
        <v>2036548.7873214467</v>
      </c>
      <c r="K25" s="97">
        <f t="shared" si="1"/>
        <v>1139393.6885014221</v>
      </c>
      <c r="L25" s="97">
        <f t="shared" si="1"/>
        <v>1092549.8085630334</v>
      </c>
      <c r="M25" s="97">
        <f t="shared" si="1"/>
        <v>1294033.5482980334</v>
      </c>
      <c r="N25" s="117">
        <f t="shared" si="1"/>
        <v>1574882.6579286489</v>
      </c>
    </row>
    <row r="26" spans="1:15" ht="15.75" thickBot="1" x14ac:dyDescent="0.3">
      <c r="A26" s="6" t="s">
        <v>11</v>
      </c>
      <c r="B26" s="6"/>
      <c r="C26" s="118">
        <f t="shared" ref="C26:N26" si="2">C25+C20</f>
        <v>0</v>
      </c>
      <c r="D26" s="98">
        <f t="shared" si="2"/>
        <v>0</v>
      </c>
      <c r="E26" s="98">
        <f t="shared" si="2"/>
        <v>0</v>
      </c>
      <c r="F26" s="98">
        <f t="shared" si="2"/>
        <v>0</v>
      </c>
      <c r="G26" s="98">
        <f t="shared" si="2"/>
        <v>0</v>
      </c>
      <c r="H26" s="98">
        <f t="shared" si="2"/>
        <v>0</v>
      </c>
      <c r="I26" s="98">
        <f t="shared" si="2"/>
        <v>366698.59951770282</v>
      </c>
      <c r="J26" s="98">
        <f t="shared" si="2"/>
        <v>2036548.7873214467</v>
      </c>
      <c r="K26" s="98">
        <f t="shared" si="2"/>
        <v>1139393.6885014221</v>
      </c>
      <c r="L26" s="98">
        <f t="shared" si="2"/>
        <v>1092549.8085630334</v>
      </c>
      <c r="M26" s="98">
        <f t="shared" si="2"/>
        <v>1294033.5482980334</v>
      </c>
      <c r="N26" s="99">
        <f t="shared" si="2"/>
        <v>1574882.6579286489</v>
      </c>
    </row>
    <row r="27" spans="1:15" x14ac:dyDescent="0.25">
      <c r="A27" s="2"/>
      <c r="B27" s="2"/>
      <c r="C27" s="22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93"/>
    </row>
    <row r="28" spans="1:15" x14ac:dyDescent="0.25">
      <c r="A28" s="133" t="s">
        <v>12</v>
      </c>
      <c r="B28" s="133"/>
      <c r="C28" s="23">
        <f>+'Aug 21 Int'!G6/12</f>
        <v>1.7091559095531441E-4</v>
      </c>
      <c r="D28" s="7">
        <f>+'Sept 21 Int'!G6/12</f>
        <v>1.6102763684097541E-4</v>
      </c>
      <c r="E28" s="7">
        <f>+'Oct 21 Int'!G6/12</f>
        <v>1.25E-4</v>
      </c>
      <c r="F28" s="7">
        <f>'Nov 21 Int'!G6/12</f>
        <v>1.276745198859246E-4</v>
      </c>
      <c r="G28" s="7">
        <f>'Dec 21 Int'!G6/12</f>
        <v>2.170530561197108E-4</v>
      </c>
      <c r="H28" s="7">
        <f>'Jan 22 Int'!G6/12</f>
        <v>1.9537535472920729E-4</v>
      </c>
      <c r="I28" s="7">
        <f>'Feb 22 Int'!G6/12</f>
        <v>2.4654047057005147E-4</v>
      </c>
      <c r="J28" s="7">
        <f>'Mar 22 Int'!G6/12</f>
        <v>5.7357976245895096E-4</v>
      </c>
      <c r="K28" s="7">
        <f>'Apr 22 Int'!G6/12</f>
        <v>5.0034652180606606E-4</v>
      </c>
      <c r="L28" s="7">
        <f>'May 22 Int'!G6/12</f>
        <v>7.9142088993797166E-4</v>
      </c>
      <c r="M28" s="7">
        <f>'Jun 22 Int'!G6/12</f>
        <v>1.2382212965076471E-3</v>
      </c>
      <c r="N28" s="95">
        <f>'Jul 22 Int'!G6/12</f>
        <v>1.7139082777822339E-3</v>
      </c>
    </row>
    <row r="29" spans="1:15" x14ac:dyDescent="0.25">
      <c r="A29" s="8" t="s">
        <v>13</v>
      </c>
      <c r="B29" s="8"/>
      <c r="C29" s="101">
        <f>(B33+C26)*C28</f>
        <v>-2601.3519876320079</v>
      </c>
      <c r="D29" s="100">
        <f t="shared" ref="D29:N29" si="3">(D26+C33)*D28</f>
        <v>-2451.2752498203963</v>
      </c>
      <c r="E29" s="100">
        <f t="shared" si="3"/>
        <v>-1903.1437871300743</v>
      </c>
      <c r="F29" s="100">
        <f t="shared" si="3"/>
        <v>-1944.1067373349961</v>
      </c>
      <c r="G29" s="100">
        <f t="shared" si="3"/>
        <v>-3305.500459338577</v>
      </c>
      <c r="H29" s="100">
        <f t="shared" si="3"/>
        <v>-2976.0166113505525</v>
      </c>
      <c r="I29" s="100">
        <f t="shared" si="3"/>
        <v>-3667.7125792312477</v>
      </c>
      <c r="J29" s="100">
        <f t="shared" si="3"/>
        <v>-7366.9638228417325</v>
      </c>
      <c r="K29" s="100">
        <f t="shared" si="3"/>
        <v>-5859.9625298011551</v>
      </c>
      <c r="L29" s="100">
        <f t="shared" si="3"/>
        <v>-8408.9406753868334</v>
      </c>
      <c r="M29" s="100">
        <f t="shared" si="3"/>
        <v>-11564.360136671017</v>
      </c>
      <c r="N29" s="102">
        <f t="shared" si="3"/>
        <v>-13327.651583359559</v>
      </c>
      <c r="O29" s="120"/>
    </row>
    <row r="30" spans="1:15" x14ac:dyDescent="0.25">
      <c r="A30" s="2"/>
      <c r="B30" s="2"/>
      <c r="C30" s="104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5"/>
    </row>
    <row r="31" spans="1:15" x14ac:dyDescent="0.25">
      <c r="A31" s="2" t="s">
        <v>242</v>
      </c>
      <c r="B31" s="2"/>
      <c r="C31" s="104"/>
      <c r="D31" s="103"/>
      <c r="E31" s="103"/>
      <c r="F31" s="103"/>
      <c r="G31" s="103"/>
      <c r="H31" s="103">
        <v>-8135.6</v>
      </c>
      <c r="I31" s="103"/>
      <c r="J31" s="103"/>
      <c r="K31" s="103"/>
      <c r="L31" s="103"/>
      <c r="M31" s="103"/>
      <c r="N31" s="105"/>
    </row>
    <row r="32" spans="1:15" x14ac:dyDescent="0.25">
      <c r="A32" s="2"/>
      <c r="B32" s="2"/>
      <c r="C32" s="104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5"/>
    </row>
    <row r="33" spans="1:14" ht="15.75" thickBot="1" x14ac:dyDescent="0.3">
      <c r="A33" s="6" t="s">
        <v>14</v>
      </c>
      <c r="B33" s="98">
        <v>-15220097.669803143</v>
      </c>
      <c r="C33" s="118">
        <f>C26+C29+B33</f>
        <v>-15222699.021790775</v>
      </c>
      <c r="D33" s="98">
        <f>D26+D29+C33</f>
        <v>-15225150.297040595</v>
      </c>
      <c r="E33" s="98">
        <f t="shared" ref="E33:N33" si="4">E26+E29+D33</f>
        <v>-15227053.440827725</v>
      </c>
      <c r="F33" s="98">
        <f t="shared" si="4"/>
        <v>-15228997.54756506</v>
      </c>
      <c r="G33" s="98">
        <f t="shared" si="4"/>
        <v>-15232303.048024399</v>
      </c>
      <c r="H33" s="98">
        <f>H26+H29+G33+H31</f>
        <v>-15243414.66463575</v>
      </c>
      <c r="I33" s="98">
        <f t="shared" si="4"/>
        <v>-14880383.777697278</v>
      </c>
      <c r="J33" s="98">
        <f t="shared" si="4"/>
        <v>-12851201.954198673</v>
      </c>
      <c r="K33" s="98">
        <f t="shared" si="4"/>
        <v>-11717668.228227053</v>
      </c>
      <c r="L33" s="98">
        <f t="shared" si="4"/>
        <v>-10633527.360339407</v>
      </c>
      <c r="M33" s="98">
        <f t="shared" si="4"/>
        <v>-9351058.1721780449</v>
      </c>
      <c r="N33" s="99">
        <f t="shared" si="4"/>
        <v>-7789503.1658327561</v>
      </c>
    </row>
    <row r="40" spans="1:14" x14ac:dyDescent="0.25">
      <c r="C40" s="79"/>
      <c r="D40" s="79"/>
      <c r="E40" s="79"/>
      <c r="F40" s="79"/>
      <c r="G40" s="79"/>
      <c r="H40" s="79"/>
      <c r="I40" s="79"/>
    </row>
    <row r="41" spans="1:14" x14ac:dyDescent="0.25">
      <c r="C41" s="80"/>
      <c r="D41" s="80"/>
      <c r="E41" s="80"/>
      <c r="F41" s="80"/>
      <c r="G41" s="80"/>
      <c r="H41" s="80"/>
      <c r="I41" s="80"/>
    </row>
    <row r="42" spans="1:14" x14ac:dyDescent="0.25">
      <c r="C42" s="80"/>
      <c r="D42" s="80"/>
      <c r="E42" s="80"/>
      <c r="F42" s="80"/>
      <c r="G42" s="80"/>
      <c r="H42" s="80"/>
      <c r="I42" s="80"/>
    </row>
    <row r="43" spans="1:14" x14ac:dyDescent="0.25">
      <c r="C43" s="80"/>
      <c r="D43" s="80"/>
      <c r="E43" s="80"/>
      <c r="F43" s="80"/>
      <c r="G43" s="80"/>
      <c r="H43" s="80"/>
      <c r="I43" s="80"/>
    </row>
  </sheetData>
  <mergeCells count="1">
    <mergeCell ref="C3:N3"/>
  </mergeCells>
  <pageMargins left="0.7" right="0.7" top="0.75" bottom="0.75" header="0.3" footer="0.3"/>
  <pageSetup scale="38" fitToHeight="0" orientation="landscape" r:id="rId1"/>
  <headerFooter>
    <oddFooter>&amp;RSchedule JNG-1
&amp;P of 123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0"/>
  <dimension ref="A1:EQ48"/>
  <sheetViews>
    <sheetView workbookViewId="0"/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0.7109375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1.7109375" bestFit="1" customWidth="1"/>
    <col min="53" max="53" width="14.42578125" style="40" customWidth="1"/>
    <col min="54" max="54" width="10.28515625" style="41" customWidth="1"/>
    <col min="55" max="55" width="11.7109375" bestFit="1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8.28515625" bestFit="1" customWidth="1"/>
    <col min="147" max="147" width="22" bestFit="1" customWidth="1"/>
  </cols>
  <sheetData>
    <row r="1" spans="1:147" s="33" customFormat="1" ht="15.75" x14ac:dyDescent="0.25">
      <c r="A1" s="30" t="s">
        <v>183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F2" s="32"/>
      <c r="G2" s="53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EB41</f>
        <v>423275000</v>
      </c>
      <c r="EI2" s="38">
        <f>EG40</f>
        <v>0</v>
      </c>
      <c r="EM2" s="38"/>
      <c r="EN2" s="38">
        <f>EK41</f>
        <v>423275000</v>
      </c>
      <c r="EO2" s="31">
        <f>-38085</f>
        <v>-38085</v>
      </c>
      <c r="EP2" s="31">
        <f>EN2+EO2</f>
        <v>423236915</v>
      </c>
      <c r="EQ2" s="31">
        <f>EE2+EO2</f>
        <v>423236915</v>
      </c>
    </row>
    <row r="3" spans="1:147" ht="16.5" thickTop="1" x14ac:dyDescent="0.25">
      <c r="A3" s="39" t="s">
        <v>229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AVERAGE(EB11:EB41)</f>
        <v>439368075.55870968</v>
      </c>
      <c r="EI3" s="38">
        <f>AVERAGE(EG11:EG40)</f>
        <v>0</v>
      </c>
      <c r="EM3" s="38"/>
      <c r="EN3" s="38">
        <f>AVERAGE(EK11:EK41)</f>
        <v>438227419.35483873</v>
      </c>
    </row>
    <row r="4" spans="1:147" x14ac:dyDescent="0.25">
      <c r="D4" s="24"/>
      <c r="E4" s="48" t="s">
        <v>98</v>
      </c>
      <c r="F4" s="38"/>
      <c r="G4" s="49">
        <f>EQ2</f>
        <v>423236915</v>
      </c>
      <c r="AI4" s="50" t="s">
        <v>102</v>
      </c>
      <c r="EB4" s="24" t="s">
        <v>103</v>
      </c>
      <c r="EC4" s="24"/>
      <c r="ED4" s="46"/>
      <c r="EE4" s="46">
        <f>IF(EE3=0,0,360*(AVERAGE(ED11:ED41)/EE3))</f>
        <v>2.050987091463773E-3</v>
      </c>
      <c r="EI4" s="46">
        <f>IF(EI3=0,0,360*(AVERAGE(EH11:EH40)/EI3))</f>
        <v>0</v>
      </c>
      <c r="EM4" s="46"/>
      <c r="EN4" s="46">
        <f>IF(EN3=0,0,360*(AVERAGE(EM11:EM41)/EN3))</f>
        <v>2.054786695669135E-3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439368075.55870968</v>
      </c>
      <c r="AI5" s="53" t="s">
        <v>93</v>
      </c>
      <c r="EB5" s="54" t="s">
        <v>105</v>
      </c>
      <c r="EC5" s="54"/>
      <c r="ED5" s="38"/>
      <c r="EE5" s="38">
        <f>MAX(EB11:EB41)</f>
        <v>480725000</v>
      </c>
      <c r="EI5" s="38">
        <f>MAX(EG11:EG40)</f>
        <v>0</v>
      </c>
      <c r="EM5" s="38"/>
      <c r="EN5" s="38">
        <f>MAX(EK11:EK41)</f>
        <v>480725000</v>
      </c>
    </row>
    <row r="6" spans="1:147" x14ac:dyDescent="0.25">
      <c r="D6" s="24"/>
      <c r="E6" s="48" t="s">
        <v>103</v>
      </c>
      <c r="F6" s="38"/>
      <c r="G6" s="55">
        <f>EE4</f>
        <v>2.050987091463773E-3</v>
      </c>
    </row>
    <row r="7" spans="1:147" ht="16.5" thickBot="1" x14ac:dyDescent="0.3">
      <c r="D7" s="24"/>
      <c r="E7" s="56" t="s">
        <v>105</v>
      </c>
      <c r="F7" s="57"/>
      <c r="G7" s="58">
        <f>EE5</f>
        <v>480725000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44409</v>
      </c>
      <c r="D11" s="40">
        <f>(B11*C11)/360</f>
        <v>0</v>
      </c>
      <c r="E11" s="40"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73"/>
      <c r="AJ11" s="74"/>
      <c r="AK11" s="40">
        <f>(AI11*AJ11)/360</f>
        <v>0</v>
      </c>
      <c r="AL11" s="73">
        <f t="shared" ref="AL11:AL32" si="0">15000000+25000000+25000000</f>
        <v>65000000</v>
      </c>
      <c r="AM11" s="74">
        <v>2.0999999999999999E-3</v>
      </c>
      <c r="AN11" s="40">
        <f>(AL11*AM11)/360</f>
        <v>379.16666666666669</v>
      </c>
      <c r="AO11" s="73">
        <f>45000000+40000000+30000000+120000000+100000000</f>
        <v>335000000</v>
      </c>
      <c r="AP11" s="74">
        <v>2.2000000000000001E-3</v>
      </c>
      <c r="AQ11" s="40">
        <f>(AO11*AP11)/360</f>
        <v>2047.2222222222222</v>
      </c>
      <c r="AR11" s="73">
        <f t="shared" ref="AR11:AR41" si="1">35000000+24750000</f>
        <v>59750000</v>
      </c>
      <c r="AS11" s="74">
        <v>2.0999999999999999E-3</v>
      </c>
      <c r="AT11" s="40">
        <f>(AR11*AS11)/360</f>
        <v>348.54166666666663</v>
      </c>
      <c r="AU11" s="73"/>
      <c r="AV11" s="74"/>
      <c r="AW11" s="40">
        <f>(AU11*AV11)/360</f>
        <v>0</v>
      </c>
      <c r="AX11" s="73"/>
      <c r="AY11" s="74"/>
      <c r="AZ11" s="40">
        <f>(AX11*AY11)/360</f>
        <v>0</v>
      </c>
      <c r="BA11" s="73"/>
      <c r="BB11" s="74"/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Y11" s="46"/>
      <c r="DZ11" s="38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459750000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2774.9305555555552</v>
      </c>
      <c r="EE11" s="41">
        <f>IF(EB11&lt;&gt;0,((ED11/EB11)*360),0)</f>
        <v>2.1728656878738442E-3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459750000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2774.9305555555552</v>
      </c>
      <c r="EN11" s="41">
        <f>IF(EK11&lt;&gt;0,((EM11/EK11)*360),0)</f>
        <v>2.1728656878738442E-3</v>
      </c>
      <c r="EP11" s="40"/>
    </row>
    <row r="12" spans="1:147" x14ac:dyDescent="0.25">
      <c r="A12" s="25">
        <f>1+A11</f>
        <v>44410</v>
      </c>
      <c r="D12" s="40">
        <f t="shared" ref="D12:D41" si="2">(B12*C12)/360</f>
        <v>0</v>
      </c>
      <c r="E12" s="40">
        <v>0</v>
      </c>
      <c r="G12" s="40">
        <f t="shared" ref="G12:G41" si="3">(E12*F12)/360</f>
        <v>0</v>
      </c>
      <c r="J12" s="40">
        <f t="shared" ref="J12:J41" si="4">(H12*I12)/360</f>
        <v>0</v>
      </c>
      <c r="M12" s="40">
        <f t="shared" ref="M12:M41" si="5">(K12*L12)/360</f>
        <v>0</v>
      </c>
      <c r="P12" s="40">
        <f t="shared" ref="P12:P41" si="6">(N12*O12)/360</f>
        <v>0</v>
      </c>
      <c r="S12" s="40">
        <f t="shared" ref="S12:S41" si="7">(Q12*R12)/360</f>
        <v>0</v>
      </c>
      <c r="V12" s="40">
        <f t="shared" ref="V12:V41" si="8">(T12*U12)/360</f>
        <v>0</v>
      </c>
      <c r="Y12" s="40">
        <f t="shared" ref="Y12:Y41" si="9">(W12*X12)/360</f>
        <v>0</v>
      </c>
      <c r="AB12" s="40">
        <f t="shared" ref="AB12:AB41" si="10">(Z12*AA12)/360</f>
        <v>0</v>
      </c>
      <c r="AE12" s="40">
        <v>0</v>
      </c>
      <c r="AH12" s="40">
        <v>0</v>
      </c>
      <c r="AI12" s="73"/>
      <c r="AJ12" s="74"/>
      <c r="AK12" s="40">
        <f t="shared" ref="AK12:AK41" si="11">(AI12*AJ12)/360</f>
        <v>0</v>
      </c>
      <c r="AL12" s="73">
        <f t="shared" si="0"/>
        <v>65000000</v>
      </c>
      <c r="AM12" s="74">
        <v>2.0999999999999999E-3</v>
      </c>
      <c r="AN12" s="40">
        <f t="shared" ref="AN12:AN41" si="12">(AL12*AM12)/360</f>
        <v>379.16666666666669</v>
      </c>
      <c r="AO12" s="73">
        <f>45000000+40000000+30000000+120000000</f>
        <v>235000000</v>
      </c>
      <c r="AP12" s="74">
        <v>2.2000000000000001E-3</v>
      </c>
      <c r="AQ12" s="40">
        <f t="shared" ref="AQ12:AQ41" si="13">(AO12*AP12)/360</f>
        <v>1436.1111111111113</v>
      </c>
      <c r="AR12" s="73">
        <f t="shared" si="1"/>
        <v>59750000</v>
      </c>
      <c r="AS12" s="74">
        <v>2.0999999999999999E-3</v>
      </c>
      <c r="AT12" s="40">
        <f t="shared" ref="AT12:AT41" si="14">(AR12*AS12)/360</f>
        <v>348.54166666666663</v>
      </c>
      <c r="AU12" s="73">
        <f>50000000+57725000</f>
        <v>107725000</v>
      </c>
      <c r="AV12" s="74">
        <v>2.2000000000000001E-3</v>
      </c>
      <c r="AW12" s="40">
        <f t="shared" ref="AW12:AW41" si="15">(AU12*AV12)/360</f>
        <v>658.31944444444446</v>
      </c>
      <c r="AX12" s="73"/>
      <c r="AY12" s="74"/>
      <c r="AZ12" s="40">
        <f t="shared" ref="AZ12:AZ41" si="16">(AX12*AY12)/360</f>
        <v>0</v>
      </c>
      <c r="BA12" s="73"/>
      <c r="BB12" s="74"/>
      <c r="BC12" s="40">
        <f t="shared" ref="BC12:BC41" si="17">(BA12*BB12)/360</f>
        <v>0</v>
      </c>
      <c r="BF12" s="40">
        <f t="shared" ref="BF12:BF41" si="18">(BD12*BE12)/360</f>
        <v>0</v>
      </c>
      <c r="BI12" s="40">
        <f t="shared" ref="BI12:BI41" si="19">(BG12*BH12)/360</f>
        <v>0</v>
      </c>
      <c r="BL12" s="40">
        <f t="shared" ref="BL12:BL41" si="20">(BJ12*BK12)/360</f>
        <v>0</v>
      </c>
      <c r="BO12" s="40">
        <f t="shared" ref="BO12:BO41" si="21">(BM12*BN12)/360</f>
        <v>0</v>
      </c>
      <c r="BR12" s="40">
        <f t="shared" ref="BR12:BR41" si="22">(BP12*BQ12)/360</f>
        <v>0</v>
      </c>
      <c r="BU12" s="40">
        <f t="shared" ref="BU12:BU41" si="23">(BS12*BT12)/360</f>
        <v>0</v>
      </c>
      <c r="BX12" s="40">
        <f t="shared" ref="BX12:BX41" si="24">(BV12*BW12)/360</f>
        <v>0</v>
      </c>
      <c r="CA12" s="40">
        <f t="shared" ref="CA12:CA41" si="25">(BY12*BZ12)/360</f>
        <v>0</v>
      </c>
      <c r="CD12" s="40">
        <f t="shared" ref="CD12:CD41" si="26">(CB12*CC12)/360</f>
        <v>0</v>
      </c>
      <c r="CG12" s="40">
        <f t="shared" ref="CG12:CG41" si="27">(CE12*CF12)/360</f>
        <v>0</v>
      </c>
      <c r="CJ12" s="40">
        <f t="shared" ref="CJ12:CJ41" si="28">(CH12*CI12)/360</f>
        <v>0</v>
      </c>
      <c r="CM12" s="40">
        <f t="shared" ref="CM12:CM41" si="29">(CK12*CL12)/360</f>
        <v>0</v>
      </c>
      <c r="CP12" s="40">
        <f t="shared" ref="CP12:CP41" si="30">(CN12*CO12)/360</f>
        <v>0</v>
      </c>
      <c r="CS12" s="40">
        <f t="shared" ref="CS12:CS41" si="31">(CQ12*CR12)/360</f>
        <v>0</v>
      </c>
      <c r="CV12" s="40">
        <f t="shared" ref="CV12:CV41" si="32">(CT12*CU12)/360</f>
        <v>0</v>
      </c>
      <c r="CY12" s="40">
        <f t="shared" ref="CY12:CY41" si="33">(CW12*CX12)/360</f>
        <v>0</v>
      </c>
      <c r="DB12" s="40">
        <f t="shared" ref="DB12:DB41" si="34">(CZ12*DA12)/360</f>
        <v>0</v>
      </c>
      <c r="DE12" s="40">
        <f t="shared" ref="DE12:DE41" si="35">(DC12*DD12)/360</f>
        <v>0</v>
      </c>
      <c r="DH12" s="40">
        <f t="shared" ref="DH12:DH41" si="36">(DF12*DG12)/360</f>
        <v>0</v>
      </c>
      <c r="DK12" s="40">
        <f t="shared" ref="DK12:DK41" si="37">(DI12*DJ12)/360</f>
        <v>0</v>
      </c>
      <c r="DN12" s="40">
        <f t="shared" ref="DN12:DN41" si="38">(DL12*DM12)/360</f>
        <v>0</v>
      </c>
      <c r="DQ12" s="40">
        <f t="shared" ref="DQ12:DQ41" si="39">(DO12*DP12)/360</f>
        <v>0</v>
      </c>
      <c r="DT12" s="40">
        <f t="shared" ref="DT12:DT41" si="40">(DR12*DS12)/360</f>
        <v>0</v>
      </c>
      <c r="DW12" s="40">
        <f t="shared" ref="DW12:DW41" si="41">(DU12*DV12)/360</f>
        <v>0</v>
      </c>
      <c r="DY12" s="46"/>
      <c r="DZ12" s="38"/>
      <c r="EA12" s="40"/>
      <c r="EB12" s="75">
        <f t="shared" ref="EB12:EB41" si="42">B12+E12+H12+K12+N12+Q12+T12+W12+Z12+AC12+AF12+AL12+AO12+AR12+AU12+AX12+BA12+BD12+BG12+DU12+AI12+DR12+DO12+DL12+DI12+DF12+DC12+CZ12+CW12+CT12+CQ12+CN12+CK12+CH12+CE12+CB12+BY12+BV12+BS12+BP12+BM12+BJ12</f>
        <v>467475000</v>
      </c>
      <c r="EC12" s="75">
        <f t="shared" ref="EC12:EC41" si="43">EB12-EK12+EL12</f>
        <v>0</v>
      </c>
      <c r="ED12" s="40">
        <f t="shared" ref="ED12:ED41" si="44">D12+G12+J12+M12+P12+S12+V12+Y12+AB12+AE12+AH12+AK12+AN12+AQ12+AT12+AW12+AZ12+BC12+BF12+BI12+DW12+DT12+DQ12+DN12+DK12+DH12+DE12+DB12+CY12+CV12+CS12+CP12+CM12+CJ12+CG12+CD12+CA12+BX12+BU12+BR12+BO12+BL12</f>
        <v>2822.1388888888891</v>
      </c>
      <c r="EE12" s="41">
        <f t="shared" ref="EE12:EE41" si="45">IF(EB12&lt;&gt;0,((ED12/EB12)*360),0)</f>
        <v>2.1733140809668968E-3</v>
      </c>
      <c r="EG12" s="75">
        <f t="shared" ref="EG12:EG41" si="46">Q12+T12+W12+Z12+AC12+AF12</f>
        <v>0</v>
      </c>
      <c r="EH12" s="40">
        <f t="shared" ref="EH12:EH41" si="47">S12+V12+Y12+AB12+AE12+AH12</f>
        <v>0</v>
      </c>
      <c r="EI12" s="41">
        <f t="shared" ref="EI12:EI41" si="48">IF(EG12&lt;&gt;0,((EH12/EG12)*360),0)</f>
        <v>0</v>
      </c>
      <c r="EJ12" s="41"/>
      <c r="EK12" s="75">
        <f t="shared" ref="EK12:EK41" si="49">DR12+DL12+DI12+DF12+DC12+CZ12+CW12+CT12+CQ12+CN12+CK12+CH12+CE12+CB12+BY12+BV12+BS12+BP12+BM12+BJ12+BG12+BD12+BA12+AX12+AU12+AR12+AO12+AL12+AI12+DO12</f>
        <v>467475000</v>
      </c>
      <c r="EL12" s="75">
        <f t="shared" ref="EL12:EL41" si="50">DX12</f>
        <v>0</v>
      </c>
      <c r="EM12" s="75">
        <f t="shared" ref="EM12:EM41" si="51">DT12+DQ12+DN12+DK12+DH12+DE12+DB12+CY12+CV12+CS12+CP12+CM12+CJ12+CG12+CD12+CA12+BX12+BU12+BR12+BO12+BL12+BI12+BF12+BC12+AZ12+AW12+AT12+AQ12+AN12+AK12</f>
        <v>2822.1388888888891</v>
      </c>
      <c r="EN12" s="41">
        <f t="shared" ref="EN12:EN41" si="52">IF(EK12&lt;&gt;0,((EM12/EK12)*360),0)</f>
        <v>2.1733140809668968E-3</v>
      </c>
      <c r="EP12" s="40"/>
    </row>
    <row r="13" spans="1:147" x14ac:dyDescent="0.25">
      <c r="A13" s="25">
        <f t="shared" ref="A13:A41" si="53">1+A12</f>
        <v>44411</v>
      </c>
      <c r="D13" s="40">
        <f t="shared" si="2"/>
        <v>0</v>
      </c>
      <c r="E13" s="40">
        <v>0</v>
      </c>
      <c r="G13" s="40">
        <f t="shared" si="3"/>
        <v>0</v>
      </c>
      <c r="J13" s="40">
        <f t="shared" si="4"/>
        <v>0</v>
      </c>
      <c r="M13" s="40">
        <f t="shared" si="5"/>
        <v>0</v>
      </c>
      <c r="P13" s="40">
        <f t="shared" si="6"/>
        <v>0</v>
      </c>
      <c r="S13" s="40">
        <f t="shared" si="7"/>
        <v>0</v>
      </c>
      <c r="V13" s="40">
        <f t="shared" si="8"/>
        <v>0</v>
      </c>
      <c r="Y13" s="40">
        <f t="shared" si="9"/>
        <v>0</v>
      </c>
      <c r="AB13" s="40">
        <f t="shared" si="10"/>
        <v>0</v>
      </c>
      <c r="AE13" s="40">
        <v>0</v>
      </c>
      <c r="AH13" s="40">
        <v>0</v>
      </c>
      <c r="AI13" s="73">
        <f>116375000</f>
        <v>116375000</v>
      </c>
      <c r="AJ13" s="74">
        <v>1.6000000000000001E-3</v>
      </c>
      <c r="AK13" s="40">
        <f t="shared" si="11"/>
        <v>517.22222222222217</v>
      </c>
      <c r="AL13" s="73">
        <f t="shared" si="0"/>
        <v>65000000</v>
      </c>
      <c r="AM13" s="74">
        <v>2.0999999999999999E-3</v>
      </c>
      <c r="AN13" s="40">
        <f t="shared" si="12"/>
        <v>379.16666666666669</v>
      </c>
      <c r="AO13" s="73">
        <f t="shared" ref="AO13:AO21" si="54">45000000+40000000+30000000</f>
        <v>115000000</v>
      </c>
      <c r="AP13" s="74">
        <v>2.2000000000000001E-3</v>
      </c>
      <c r="AQ13" s="40">
        <f t="shared" si="13"/>
        <v>702.77777777777783</v>
      </c>
      <c r="AR13" s="73">
        <f t="shared" si="1"/>
        <v>59750000</v>
      </c>
      <c r="AS13" s="74">
        <v>2.0999999999999999E-3</v>
      </c>
      <c r="AT13" s="40">
        <f t="shared" si="14"/>
        <v>348.54166666666663</v>
      </c>
      <c r="AU13" s="73">
        <f>50000000+57725000</f>
        <v>107725000</v>
      </c>
      <c r="AV13" s="74">
        <v>2.2000000000000001E-3</v>
      </c>
      <c r="AW13" s="40">
        <f t="shared" si="15"/>
        <v>658.31944444444446</v>
      </c>
      <c r="AX13" s="73"/>
      <c r="AY13" s="74"/>
      <c r="AZ13" s="40">
        <f t="shared" si="16"/>
        <v>0</v>
      </c>
      <c r="BA13" s="73"/>
      <c r="BB13" s="74"/>
      <c r="BC13" s="40">
        <f t="shared" si="17"/>
        <v>0</v>
      </c>
      <c r="BF13" s="40">
        <f t="shared" si="18"/>
        <v>0</v>
      </c>
      <c r="BI13" s="40">
        <f t="shared" si="19"/>
        <v>0</v>
      </c>
      <c r="BL13" s="40">
        <f t="shared" si="20"/>
        <v>0</v>
      </c>
      <c r="BO13" s="40">
        <f t="shared" si="21"/>
        <v>0</v>
      </c>
      <c r="BR13" s="40">
        <f t="shared" si="22"/>
        <v>0</v>
      </c>
      <c r="BU13" s="40">
        <f t="shared" si="23"/>
        <v>0</v>
      </c>
      <c r="BX13" s="40">
        <f t="shared" si="24"/>
        <v>0</v>
      </c>
      <c r="CA13" s="40">
        <f t="shared" si="25"/>
        <v>0</v>
      </c>
      <c r="CD13" s="40">
        <f t="shared" si="26"/>
        <v>0</v>
      </c>
      <c r="CG13" s="40">
        <f t="shared" si="27"/>
        <v>0</v>
      </c>
      <c r="CJ13" s="40">
        <f t="shared" si="28"/>
        <v>0</v>
      </c>
      <c r="CM13" s="40">
        <f t="shared" si="29"/>
        <v>0</v>
      </c>
      <c r="CP13" s="40">
        <f t="shared" si="30"/>
        <v>0</v>
      </c>
      <c r="CS13" s="40">
        <f t="shared" si="31"/>
        <v>0</v>
      </c>
      <c r="CV13" s="40">
        <f t="shared" si="32"/>
        <v>0</v>
      </c>
      <c r="CY13" s="40">
        <f t="shared" si="33"/>
        <v>0</v>
      </c>
      <c r="DB13" s="40">
        <f t="shared" si="34"/>
        <v>0</v>
      </c>
      <c r="DE13" s="40">
        <f t="shared" si="35"/>
        <v>0</v>
      </c>
      <c r="DH13" s="40">
        <f t="shared" si="36"/>
        <v>0</v>
      </c>
      <c r="DK13" s="40">
        <f t="shared" si="37"/>
        <v>0</v>
      </c>
      <c r="DN13" s="40">
        <f t="shared" si="38"/>
        <v>0</v>
      </c>
      <c r="DQ13" s="40">
        <f t="shared" si="39"/>
        <v>0</v>
      </c>
      <c r="DT13" s="40">
        <f t="shared" si="40"/>
        <v>0</v>
      </c>
      <c r="DW13" s="40">
        <f t="shared" si="41"/>
        <v>0</v>
      </c>
      <c r="DY13" s="46"/>
      <c r="DZ13" s="38"/>
      <c r="EA13" s="40"/>
      <c r="EB13" s="75">
        <f t="shared" si="42"/>
        <v>463850000</v>
      </c>
      <c r="EC13" s="75">
        <f t="shared" si="43"/>
        <v>0</v>
      </c>
      <c r="ED13" s="40">
        <f t="shared" si="44"/>
        <v>2606.0277777777778</v>
      </c>
      <c r="EE13" s="41">
        <f t="shared" si="45"/>
        <v>2.0225719521397003E-3</v>
      </c>
      <c r="EG13" s="75">
        <f t="shared" si="46"/>
        <v>0</v>
      </c>
      <c r="EH13" s="40">
        <f t="shared" si="47"/>
        <v>0</v>
      </c>
      <c r="EI13" s="41">
        <f t="shared" si="48"/>
        <v>0</v>
      </c>
      <c r="EJ13" s="41"/>
      <c r="EK13" s="75">
        <f t="shared" si="49"/>
        <v>463850000</v>
      </c>
      <c r="EL13" s="75">
        <f t="shared" si="50"/>
        <v>0</v>
      </c>
      <c r="EM13" s="75">
        <f t="shared" si="51"/>
        <v>2606.0277777777778</v>
      </c>
      <c r="EN13" s="41">
        <f t="shared" si="52"/>
        <v>2.0225719521397003E-3</v>
      </c>
      <c r="EP13" s="40"/>
    </row>
    <row r="14" spans="1:147" x14ac:dyDescent="0.25">
      <c r="A14" s="25">
        <f t="shared" si="53"/>
        <v>44412</v>
      </c>
      <c r="D14" s="40">
        <f t="shared" si="2"/>
        <v>0</v>
      </c>
      <c r="E14" s="40">
        <v>0</v>
      </c>
      <c r="G14" s="40">
        <f t="shared" si="3"/>
        <v>0</v>
      </c>
      <c r="J14" s="40">
        <f t="shared" si="4"/>
        <v>0</v>
      </c>
      <c r="M14" s="40">
        <f t="shared" si="5"/>
        <v>0</v>
      </c>
      <c r="P14" s="40">
        <f t="shared" si="6"/>
        <v>0</v>
      </c>
      <c r="S14" s="40">
        <f t="shared" si="7"/>
        <v>0</v>
      </c>
      <c r="V14" s="40">
        <f t="shared" si="8"/>
        <v>0</v>
      </c>
      <c r="Y14" s="40">
        <f t="shared" si="9"/>
        <v>0</v>
      </c>
      <c r="AB14" s="40">
        <f t="shared" si="10"/>
        <v>0</v>
      </c>
      <c r="AE14" s="40">
        <v>0</v>
      </c>
      <c r="AH14" s="40">
        <v>0</v>
      </c>
      <c r="AI14" s="73">
        <f>124425000</f>
        <v>124425000</v>
      </c>
      <c r="AJ14" s="74">
        <v>1.6000000000000001E-3</v>
      </c>
      <c r="AK14" s="40">
        <f t="shared" si="11"/>
        <v>553</v>
      </c>
      <c r="AL14" s="73">
        <f t="shared" si="0"/>
        <v>65000000</v>
      </c>
      <c r="AM14" s="74">
        <v>2.0999999999999999E-3</v>
      </c>
      <c r="AN14" s="40">
        <f t="shared" si="12"/>
        <v>379.16666666666669</v>
      </c>
      <c r="AO14" s="73">
        <f t="shared" si="54"/>
        <v>115000000</v>
      </c>
      <c r="AP14" s="74">
        <v>2.2000000000000001E-3</v>
      </c>
      <c r="AQ14" s="40">
        <f t="shared" si="13"/>
        <v>702.77777777777783</v>
      </c>
      <c r="AR14" s="73">
        <f t="shared" si="1"/>
        <v>59750000</v>
      </c>
      <c r="AS14" s="74">
        <v>2.0999999999999999E-3</v>
      </c>
      <c r="AT14" s="40">
        <f t="shared" si="14"/>
        <v>348.54166666666663</v>
      </c>
      <c r="AU14" s="73">
        <f>50000000+57725000</f>
        <v>107725000</v>
      </c>
      <c r="AV14" s="74">
        <v>2.2000000000000001E-3</v>
      </c>
      <c r="AW14" s="40">
        <f t="shared" si="15"/>
        <v>658.31944444444446</v>
      </c>
      <c r="AX14" s="73"/>
      <c r="AY14" s="74"/>
      <c r="AZ14" s="40">
        <f t="shared" si="16"/>
        <v>0</v>
      </c>
      <c r="BA14" s="73"/>
      <c r="BB14" s="74"/>
      <c r="BC14" s="40">
        <f t="shared" si="17"/>
        <v>0</v>
      </c>
      <c r="BF14" s="40">
        <f t="shared" si="18"/>
        <v>0</v>
      </c>
      <c r="BI14" s="40">
        <f t="shared" si="19"/>
        <v>0</v>
      </c>
      <c r="BL14" s="40">
        <f t="shared" si="20"/>
        <v>0</v>
      </c>
      <c r="BO14" s="40">
        <f t="shared" si="21"/>
        <v>0</v>
      </c>
      <c r="BR14" s="40">
        <f t="shared" si="22"/>
        <v>0</v>
      </c>
      <c r="BU14" s="40">
        <f t="shared" si="23"/>
        <v>0</v>
      </c>
      <c r="BX14" s="40">
        <f t="shared" si="24"/>
        <v>0</v>
      </c>
      <c r="CA14" s="40">
        <f t="shared" si="25"/>
        <v>0</v>
      </c>
      <c r="CD14" s="40">
        <f t="shared" si="26"/>
        <v>0</v>
      </c>
      <c r="CG14" s="40">
        <f t="shared" si="27"/>
        <v>0</v>
      </c>
      <c r="CJ14" s="40">
        <f t="shared" si="28"/>
        <v>0</v>
      </c>
      <c r="CM14" s="40">
        <f t="shared" si="29"/>
        <v>0</v>
      </c>
      <c r="CP14" s="40">
        <f t="shared" si="30"/>
        <v>0</v>
      </c>
      <c r="CS14" s="40">
        <f t="shared" si="31"/>
        <v>0</v>
      </c>
      <c r="CV14" s="40">
        <f t="shared" si="32"/>
        <v>0</v>
      </c>
      <c r="CY14" s="40">
        <f t="shared" si="33"/>
        <v>0</v>
      </c>
      <c r="DB14" s="40">
        <f t="shared" si="34"/>
        <v>0</v>
      </c>
      <c r="DE14" s="40">
        <f t="shared" si="35"/>
        <v>0</v>
      </c>
      <c r="DH14" s="40">
        <f t="shared" si="36"/>
        <v>0</v>
      </c>
      <c r="DK14" s="40">
        <f t="shared" si="37"/>
        <v>0</v>
      </c>
      <c r="DN14" s="40">
        <f t="shared" si="38"/>
        <v>0</v>
      </c>
      <c r="DQ14" s="40">
        <f t="shared" si="39"/>
        <v>0</v>
      </c>
      <c r="DT14" s="40">
        <f t="shared" si="40"/>
        <v>0</v>
      </c>
      <c r="DW14" s="40">
        <f t="shared" si="41"/>
        <v>0</v>
      </c>
      <c r="DY14" s="46"/>
      <c r="DZ14" s="38"/>
      <c r="EA14" s="40"/>
      <c r="EB14" s="75">
        <f t="shared" si="42"/>
        <v>471900000</v>
      </c>
      <c r="EC14" s="75">
        <f t="shared" si="43"/>
        <v>0</v>
      </c>
      <c r="ED14" s="40">
        <f t="shared" si="44"/>
        <v>2641.8055555555557</v>
      </c>
      <c r="EE14" s="41">
        <f t="shared" si="45"/>
        <v>2.0153634244543337E-3</v>
      </c>
      <c r="EG14" s="75">
        <f t="shared" si="46"/>
        <v>0</v>
      </c>
      <c r="EH14" s="40">
        <f t="shared" si="47"/>
        <v>0</v>
      </c>
      <c r="EI14" s="41">
        <f t="shared" si="48"/>
        <v>0</v>
      </c>
      <c r="EJ14" s="41"/>
      <c r="EK14" s="75">
        <f t="shared" si="49"/>
        <v>471900000</v>
      </c>
      <c r="EL14" s="75">
        <f t="shared" si="50"/>
        <v>0</v>
      </c>
      <c r="EM14" s="75">
        <f t="shared" si="51"/>
        <v>2641.8055555555557</v>
      </c>
      <c r="EN14" s="41">
        <f t="shared" si="52"/>
        <v>2.0153634244543337E-3</v>
      </c>
      <c r="EP14" s="40"/>
    </row>
    <row r="15" spans="1:147" x14ac:dyDescent="0.25">
      <c r="A15" s="25">
        <f t="shared" si="53"/>
        <v>44413</v>
      </c>
      <c r="D15" s="40">
        <f t="shared" si="2"/>
        <v>0</v>
      </c>
      <c r="E15" s="40">
        <v>0</v>
      </c>
      <c r="G15" s="40">
        <f t="shared" si="3"/>
        <v>0</v>
      </c>
      <c r="J15" s="40">
        <f t="shared" si="4"/>
        <v>0</v>
      </c>
      <c r="M15" s="40">
        <f t="shared" si="5"/>
        <v>0</v>
      </c>
      <c r="P15" s="40">
        <f t="shared" si="6"/>
        <v>0</v>
      </c>
      <c r="S15" s="40">
        <f t="shared" si="7"/>
        <v>0</v>
      </c>
      <c r="V15" s="40">
        <f t="shared" si="8"/>
        <v>0</v>
      </c>
      <c r="Y15" s="40">
        <f t="shared" si="9"/>
        <v>0</v>
      </c>
      <c r="AB15" s="40">
        <f t="shared" si="10"/>
        <v>0</v>
      </c>
      <c r="AE15" s="40">
        <v>0</v>
      </c>
      <c r="AH15" s="40">
        <v>0</v>
      </c>
      <c r="AI15" s="73">
        <f>100700000</f>
        <v>100700000</v>
      </c>
      <c r="AJ15" s="74">
        <v>1.6000000000000001E-3</v>
      </c>
      <c r="AK15" s="40">
        <f t="shared" si="11"/>
        <v>447.55555555555554</v>
      </c>
      <c r="AL15" s="73">
        <f t="shared" si="0"/>
        <v>65000000</v>
      </c>
      <c r="AM15" s="74">
        <v>2.0999999999999999E-3</v>
      </c>
      <c r="AN15" s="40">
        <f t="shared" si="12"/>
        <v>379.16666666666669</v>
      </c>
      <c r="AO15" s="73">
        <f t="shared" si="54"/>
        <v>115000000</v>
      </c>
      <c r="AP15" s="74">
        <v>2.2000000000000001E-3</v>
      </c>
      <c r="AQ15" s="40">
        <f t="shared" si="13"/>
        <v>702.77777777777783</v>
      </c>
      <c r="AR15" s="73">
        <f t="shared" si="1"/>
        <v>59750000</v>
      </c>
      <c r="AS15" s="74">
        <v>2.0999999999999999E-3</v>
      </c>
      <c r="AT15" s="40">
        <f t="shared" si="14"/>
        <v>348.54166666666663</v>
      </c>
      <c r="AU15" s="73">
        <f t="shared" ref="AU15:AU21" si="55">50000000+57725000+25000000</f>
        <v>132725000</v>
      </c>
      <c r="AV15" s="74">
        <v>2.2000000000000001E-3</v>
      </c>
      <c r="AW15" s="40">
        <f t="shared" si="15"/>
        <v>811.09722222222217</v>
      </c>
      <c r="AX15" s="73"/>
      <c r="AY15" s="74"/>
      <c r="AZ15" s="40">
        <f t="shared" si="16"/>
        <v>0</v>
      </c>
      <c r="BA15" s="73"/>
      <c r="BB15" s="74"/>
      <c r="BC15" s="40">
        <f t="shared" si="17"/>
        <v>0</v>
      </c>
      <c r="BF15" s="40">
        <f t="shared" si="18"/>
        <v>0</v>
      </c>
      <c r="BI15" s="40">
        <f t="shared" si="19"/>
        <v>0</v>
      </c>
      <c r="BL15" s="40">
        <f t="shared" si="20"/>
        <v>0</v>
      </c>
      <c r="BO15" s="40">
        <f t="shared" si="21"/>
        <v>0</v>
      </c>
      <c r="BR15" s="40">
        <f t="shared" si="22"/>
        <v>0</v>
      </c>
      <c r="BU15" s="40">
        <f t="shared" si="23"/>
        <v>0</v>
      </c>
      <c r="BX15" s="40">
        <f t="shared" si="24"/>
        <v>0</v>
      </c>
      <c r="CA15" s="40">
        <f t="shared" si="25"/>
        <v>0</v>
      </c>
      <c r="CD15" s="40">
        <f t="shared" si="26"/>
        <v>0</v>
      </c>
      <c r="CG15" s="40">
        <f t="shared" si="27"/>
        <v>0</v>
      </c>
      <c r="CJ15" s="40">
        <f t="shared" si="28"/>
        <v>0</v>
      </c>
      <c r="CM15" s="40">
        <f t="shared" si="29"/>
        <v>0</v>
      </c>
      <c r="CP15" s="40">
        <f t="shared" si="30"/>
        <v>0</v>
      </c>
      <c r="CS15" s="40">
        <f t="shared" si="31"/>
        <v>0</v>
      </c>
      <c r="CV15" s="40">
        <f t="shared" si="32"/>
        <v>0</v>
      </c>
      <c r="CY15" s="40">
        <f t="shared" si="33"/>
        <v>0</v>
      </c>
      <c r="DB15" s="40">
        <f t="shared" si="34"/>
        <v>0</v>
      </c>
      <c r="DE15" s="40">
        <f t="shared" si="35"/>
        <v>0</v>
      </c>
      <c r="DH15" s="40">
        <f t="shared" si="36"/>
        <v>0</v>
      </c>
      <c r="DK15" s="40">
        <f t="shared" si="37"/>
        <v>0</v>
      </c>
      <c r="DN15" s="40">
        <f t="shared" si="38"/>
        <v>0</v>
      </c>
      <c r="DQ15" s="40">
        <f t="shared" si="39"/>
        <v>0</v>
      </c>
      <c r="DT15" s="40">
        <f t="shared" si="40"/>
        <v>0</v>
      </c>
      <c r="DW15" s="40">
        <f t="shared" si="41"/>
        <v>0</v>
      </c>
      <c r="DY15" s="46"/>
      <c r="DZ15" s="38"/>
      <c r="EA15" s="40"/>
      <c r="EB15" s="75">
        <f t="shared" si="42"/>
        <v>473175000</v>
      </c>
      <c r="EC15" s="75">
        <f t="shared" si="43"/>
        <v>0</v>
      </c>
      <c r="ED15" s="40">
        <f t="shared" si="44"/>
        <v>2689.1388888888887</v>
      </c>
      <c r="EE15" s="41">
        <f t="shared" si="45"/>
        <v>2.0459449463729063E-3</v>
      </c>
      <c r="EG15" s="75">
        <f t="shared" si="46"/>
        <v>0</v>
      </c>
      <c r="EH15" s="40">
        <f t="shared" si="47"/>
        <v>0</v>
      </c>
      <c r="EI15" s="41">
        <f t="shared" si="48"/>
        <v>0</v>
      </c>
      <c r="EJ15" s="41"/>
      <c r="EK15" s="75">
        <f t="shared" si="49"/>
        <v>473175000</v>
      </c>
      <c r="EL15" s="75">
        <f t="shared" si="50"/>
        <v>0</v>
      </c>
      <c r="EM15" s="75">
        <f t="shared" si="51"/>
        <v>2689.1388888888887</v>
      </c>
      <c r="EN15" s="41">
        <f t="shared" si="52"/>
        <v>2.0459449463729063E-3</v>
      </c>
      <c r="EP15" s="40"/>
    </row>
    <row r="16" spans="1:147" x14ac:dyDescent="0.25">
      <c r="A16" s="25">
        <f t="shared" si="53"/>
        <v>44414</v>
      </c>
      <c r="D16" s="40">
        <f t="shared" si="2"/>
        <v>0</v>
      </c>
      <c r="E16" s="40">
        <v>0</v>
      </c>
      <c r="G16" s="40">
        <f t="shared" si="3"/>
        <v>0</v>
      </c>
      <c r="J16" s="40">
        <f t="shared" si="4"/>
        <v>0</v>
      </c>
      <c r="M16" s="40">
        <f t="shared" si="5"/>
        <v>0</v>
      </c>
      <c r="P16" s="40">
        <f t="shared" si="6"/>
        <v>0</v>
      </c>
      <c r="S16" s="40">
        <f t="shared" si="7"/>
        <v>0</v>
      </c>
      <c r="V16" s="40">
        <f t="shared" si="8"/>
        <v>0</v>
      </c>
      <c r="Y16" s="40">
        <f t="shared" si="9"/>
        <v>0</v>
      </c>
      <c r="AB16" s="40">
        <f t="shared" si="10"/>
        <v>0</v>
      </c>
      <c r="AE16" s="40">
        <v>0</v>
      </c>
      <c r="AH16" s="40">
        <v>0</v>
      </c>
      <c r="AI16" s="73">
        <f>100900000</f>
        <v>100900000</v>
      </c>
      <c r="AJ16" s="74">
        <v>1.6000000000000001E-3</v>
      </c>
      <c r="AK16" s="40">
        <f t="shared" si="11"/>
        <v>448.44444444444446</v>
      </c>
      <c r="AL16" s="73">
        <f t="shared" si="0"/>
        <v>65000000</v>
      </c>
      <c r="AM16" s="74">
        <v>2.0999999999999999E-3</v>
      </c>
      <c r="AN16" s="40">
        <f t="shared" si="12"/>
        <v>379.16666666666669</v>
      </c>
      <c r="AO16" s="73">
        <f t="shared" si="54"/>
        <v>115000000</v>
      </c>
      <c r="AP16" s="74">
        <v>2.2000000000000001E-3</v>
      </c>
      <c r="AQ16" s="40">
        <f t="shared" si="13"/>
        <v>702.77777777777783</v>
      </c>
      <c r="AR16" s="73">
        <f t="shared" si="1"/>
        <v>59750000</v>
      </c>
      <c r="AS16" s="74">
        <v>2.0999999999999999E-3</v>
      </c>
      <c r="AT16" s="40">
        <f t="shared" si="14"/>
        <v>348.54166666666663</v>
      </c>
      <c r="AU16" s="73">
        <f t="shared" si="55"/>
        <v>132725000</v>
      </c>
      <c r="AV16" s="74">
        <v>2.2000000000000001E-3</v>
      </c>
      <c r="AW16" s="40">
        <f t="shared" si="15"/>
        <v>811.09722222222217</v>
      </c>
      <c r="AX16" s="73"/>
      <c r="AY16" s="74"/>
      <c r="AZ16" s="40">
        <f t="shared" si="16"/>
        <v>0</v>
      </c>
      <c r="BA16" s="73"/>
      <c r="BB16" s="74"/>
      <c r="BC16" s="40">
        <f t="shared" si="17"/>
        <v>0</v>
      </c>
      <c r="BF16" s="40">
        <f t="shared" si="18"/>
        <v>0</v>
      </c>
      <c r="BI16" s="40">
        <f t="shared" si="19"/>
        <v>0</v>
      </c>
      <c r="BL16" s="40">
        <f t="shared" si="20"/>
        <v>0</v>
      </c>
      <c r="BO16" s="40">
        <f t="shared" si="21"/>
        <v>0</v>
      </c>
      <c r="BR16" s="40">
        <f t="shared" si="22"/>
        <v>0</v>
      </c>
      <c r="BU16" s="40">
        <f t="shared" si="23"/>
        <v>0</v>
      </c>
      <c r="BX16" s="40">
        <f t="shared" si="24"/>
        <v>0</v>
      </c>
      <c r="CA16" s="40">
        <f t="shared" si="25"/>
        <v>0</v>
      </c>
      <c r="CD16" s="40">
        <f t="shared" si="26"/>
        <v>0</v>
      </c>
      <c r="CG16" s="40">
        <f t="shared" si="27"/>
        <v>0</v>
      </c>
      <c r="CJ16" s="40">
        <f t="shared" si="28"/>
        <v>0</v>
      </c>
      <c r="CM16" s="40">
        <f t="shared" si="29"/>
        <v>0</v>
      </c>
      <c r="CP16" s="40">
        <f t="shared" si="30"/>
        <v>0</v>
      </c>
      <c r="CS16" s="40">
        <f t="shared" si="31"/>
        <v>0</v>
      </c>
      <c r="CV16" s="40">
        <f t="shared" si="32"/>
        <v>0</v>
      </c>
      <c r="CY16" s="40">
        <f t="shared" si="33"/>
        <v>0</v>
      </c>
      <c r="DB16" s="40">
        <f t="shared" si="34"/>
        <v>0</v>
      </c>
      <c r="DE16" s="40">
        <f t="shared" si="35"/>
        <v>0</v>
      </c>
      <c r="DH16" s="40">
        <f t="shared" si="36"/>
        <v>0</v>
      </c>
      <c r="DK16" s="40">
        <f t="shared" si="37"/>
        <v>0</v>
      </c>
      <c r="DN16" s="40">
        <f t="shared" si="38"/>
        <v>0</v>
      </c>
      <c r="DQ16" s="40">
        <f t="shared" si="39"/>
        <v>0</v>
      </c>
      <c r="DT16" s="40">
        <f t="shared" si="40"/>
        <v>0</v>
      </c>
      <c r="DW16" s="40">
        <f t="shared" si="41"/>
        <v>0</v>
      </c>
      <c r="DY16" s="46"/>
      <c r="DZ16" s="38"/>
      <c r="EA16" s="40"/>
      <c r="EB16" s="75">
        <f t="shared" si="42"/>
        <v>473375000</v>
      </c>
      <c r="EC16" s="75">
        <f t="shared" si="43"/>
        <v>0</v>
      </c>
      <c r="ED16" s="40">
        <f t="shared" si="44"/>
        <v>2690.0277777777778</v>
      </c>
      <c r="EE16" s="41">
        <f t="shared" si="45"/>
        <v>2.04575653551624E-3</v>
      </c>
      <c r="EG16" s="75">
        <f t="shared" si="46"/>
        <v>0</v>
      </c>
      <c r="EH16" s="40">
        <f t="shared" si="47"/>
        <v>0</v>
      </c>
      <c r="EI16" s="41">
        <f t="shared" si="48"/>
        <v>0</v>
      </c>
      <c r="EJ16" s="41"/>
      <c r="EK16" s="75">
        <f t="shared" si="49"/>
        <v>473375000</v>
      </c>
      <c r="EL16" s="75">
        <f t="shared" si="50"/>
        <v>0</v>
      </c>
      <c r="EM16" s="75">
        <f t="shared" si="51"/>
        <v>2690.0277777777774</v>
      </c>
      <c r="EN16" s="41">
        <f t="shared" si="52"/>
        <v>2.0457565355162396E-3</v>
      </c>
      <c r="EP16" s="40"/>
    </row>
    <row r="17" spans="1:146" x14ac:dyDescent="0.25">
      <c r="A17" s="25">
        <f t="shared" si="53"/>
        <v>44415</v>
      </c>
      <c r="D17" s="40">
        <f t="shared" si="2"/>
        <v>0</v>
      </c>
      <c r="E17" s="40">
        <v>0</v>
      </c>
      <c r="G17" s="40">
        <f t="shared" si="3"/>
        <v>0</v>
      </c>
      <c r="J17" s="40">
        <f t="shared" si="4"/>
        <v>0</v>
      </c>
      <c r="M17" s="40">
        <f t="shared" si="5"/>
        <v>0</v>
      </c>
      <c r="P17" s="40">
        <f t="shared" si="6"/>
        <v>0</v>
      </c>
      <c r="S17" s="40">
        <f t="shared" si="7"/>
        <v>0</v>
      </c>
      <c r="V17" s="40">
        <f t="shared" si="8"/>
        <v>0</v>
      </c>
      <c r="Y17" s="40">
        <f t="shared" si="9"/>
        <v>0</v>
      </c>
      <c r="AB17" s="40">
        <f t="shared" si="10"/>
        <v>0</v>
      </c>
      <c r="AE17" s="40">
        <v>0</v>
      </c>
      <c r="AH17" s="40">
        <v>0</v>
      </c>
      <c r="AI17" s="73">
        <f>100900000</f>
        <v>100900000</v>
      </c>
      <c r="AJ17" s="74">
        <v>1.6000000000000001E-3</v>
      </c>
      <c r="AK17" s="40">
        <f t="shared" si="11"/>
        <v>448.44444444444446</v>
      </c>
      <c r="AL17" s="73">
        <f t="shared" si="0"/>
        <v>65000000</v>
      </c>
      <c r="AM17" s="74">
        <v>2.0999999999999999E-3</v>
      </c>
      <c r="AN17" s="40">
        <f t="shared" si="12"/>
        <v>379.16666666666669</v>
      </c>
      <c r="AO17" s="73">
        <f t="shared" si="54"/>
        <v>115000000</v>
      </c>
      <c r="AP17" s="74">
        <v>2.2000000000000001E-3</v>
      </c>
      <c r="AQ17" s="40">
        <f t="shared" si="13"/>
        <v>702.77777777777783</v>
      </c>
      <c r="AR17" s="73">
        <f t="shared" si="1"/>
        <v>59750000</v>
      </c>
      <c r="AS17" s="74">
        <v>2.0999999999999999E-3</v>
      </c>
      <c r="AT17" s="40">
        <f t="shared" si="14"/>
        <v>348.54166666666663</v>
      </c>
      <c r="AU17" s="73">
        <f t="shared" si="55"/>
        <v>132725000</v>
      </c>
      <c r="AV17" s="74">
        <v>2.2000000000000001E-3</v>
      </c>
      <c r="AW17" s="40">
        <f t="shared" si="15"/>
        <v>811.09722222222217</v>
      </c>
      <c r="AX17" s="73"/>
      <c r="AY17" s="74"/>
      <c r="AZ17" s="40">
        <f t="shared" si="16"/>
        <v>0</v>
      </c>
      <c r="BA17" s="73"/>
      <c r="BB17" s="74"/>
      <c r="BC17" s="40">
        <f t="shared" si="17"/>
        <v>0</v>
      </c>
      <c r="BF17" s="40">
        <f t="shared" si="18"/>
        <v>0</v>
      </c>
      <c r="BI17" s="40">
        <f t="shared" si="19"/>
        <v>0</v>
      </c>
      <c r="BL17" s="40">
        <f t="shared" si="20"/>
        <v>0</v>
      </c>
      <c r="BO17" s="40">
        <f t="shared" si="21"/>
        <v>0</v>
      </c>
      <c r="BR17" s="40">
        <f t="shared" si="22"/>
        <v>0</v>
      </c>
      <c r="BU17" s="40">
        <f t="shared" si="23"/>
        <v>0</v>
      </c>
      <c r="BX17" s="40">
        <f t="shared" si="24"/>
        <v>0</v>
      </c>
      <c r="CA17" s="40">
        <f t="shared" si="25"/>
        <v>0</v>
      </c>
      <c r="CD17" s="40">
        <f t="shared" si="26"/>
        <v>0</v>
      </c>
      <c r="CG17" s="40">
        <f t="shared" si="27"/>
        <v>0</v>
      </c>
      <c r="CJ17" s="40">
        <f t="shared" si="28"/>
        <v>0</v>
      </c>
      <c r="CM17" s="40">
        <f t="shared" si="29"/>
        <v>0</v>
      </c>
      <c r="CP17" s="40">
        <f t="shared" si="30"/>
        <v>0</v>
      </c>
      <c r="CS17" s="40">
        <f t="shared" si="31"/>
        <v>0</v>
      </c>
      <c r="CV17" s="40">
        <f t="shared" si="32"/>
        <v>0</v>
      </c>
      <c r="CY17" s="40">
        <f t="shared" si="33"/>
        <v>0</v>
      </c>
      <c r="DB17" s="40">
        <f t="shared" si="34"/>
        <v>0</v>
      </c>
      <c r="DE17" s="40">
        <f t="shared" si="35"/>
        <v>0</v>
      </c>
      <c r="DH17" s="40">
        <f t="shared" si="36"/>
        <v>0</v>
      </c>
      <c r="DK17" s="40">
        <f t="shared" si="37"/>
        <v>0</v>
      </c>
      <c r="DN17" s="40">
        <f t="shared" si="38"/>
        <v>0</v>
      </c>
      <c r="DQ17" s="40">
        <f t="shared" si="39"/>
        <v>0</v>
      </c>
      <c r="DT17" s="40">
        <f t="shared" si="40"/>
        <v>0</v>
      </c>
      <c r="DW17" s="40">
        <f t="shared" si="41"/>
        <v>0</v>
      </c>
      <c r="DY17" s="46"/>
      <c r="DZ17" s="38"/>
      <c r="EA17" s="40"/>
      <c r="EB17" s="75">
        <f t="shared" si="42"/>
        <v>473375000</v>
      </c>
      <c r="EC17" s="75">
        <f t="shared" si="43"/>
        <v>0</v>
      </c>
      <c r="ED17" s="40">
        <f t="shared" si="44"/>
        <v>2690.0277777777778</v>
      </c>
      <c r="EE17" s="41">
        <f t="shared" si="45"/>
        <v>2.04575653551624E-3</v>
      </c>
      <c r="EG17" s="75">
        <f t="shared" si="46"/>
        <v>0</v>
      </c>
      <c r="EH17" s="40">
        <f t="shared" si="47"/>
        <v>0</v>
      </c>
      <c r="EI17" s="41">
        <f t="shared" si="48"/>
        <v>0</v>
      </c>
      <c r="EJ17" s="41"/>
      <c r="EK17" s="75">
        <f t="shared" si="49"/>
        <v>473375000</v>
      </c>
      <c r="EL17" s="75">
        <f t="shared" si="50"/>
        <v>0</v>
      </c>
      <c r="EM17" s="75">
        <f t="shared" si="51"/>
        <v>2690.0277777777774</v>
      </c>
      <c r="EN17" s="41">
        <f t="shared" si="52"/>
        <v>2.0457565355162396E-3</v>
      </c>
      <c r="EP17" s="40"/>
    </row>
    <row r="18" spans="1:146" x14ac:dyDescent="0.25">
      <c r="A18" s="25">
        <f t="shared" si="53"/>
        <v>44416</v>
      </c>
      <c r="D18" s="40">
        <f t="shared" si="2"/>
        <v>0</v>
      </c>
      <c r="E18" s="40">
        <v>0</v>
      </c>
      <c r="G18" s="40">
        <f t="shared" si="3"/>
        <v>0</v>
      </c>
      <c r="J18" s="40">
        <f t="shared" si="4"/>
        <v>0</v>
      </c>
      <c r="M18" s="40">
        <f t="shared" si="5"/>
        <v>0</v>
      </c>
      <c r="P18" s="40">
        <f t="shared" si="6"/>
        <v>0</v>
      </c>
      <c r="S18" s="40">
        <f t="shared" si="7"/>
        <v>0</v>
      </c>
      <c r="V18" s="40">
        <f t="shared" si="8"/>
        <v>0</v>
      </c>
      <c r="Y18" s="40">
        <f t="shared" si="9"/>
        <v>0</v>
      </c>
      <c r="AB18" s="40">
        <f t="shared" si="10"/>
        <v>0</v>
      </c>
      <c r="AE18" s="40">
        <v>0</v>
      </c>
      <c r="AH18" s="40">
        <v>0</v>
      </c>
      <c r="AI18" s="73">
        <f>100900000</f>
        <v>100900000</v>
      </c>
      <c r="AJ18" s="74">
        <v>1.6000000000000001E-3</v>
      </c>
      <c r="AK18" s="40">
        <f t="shared" si="11"/>
        <v>448.44444444444446</v>
      </c>
      <c r="AL18" s="73">
        <f t="shared" si="0"/>
        <v>65000000</v>
      </c>
      <c r="AM18" s="74">
        <v>2.0999999999999999E-3</v>
      </c>
      <c r="AN18" s="40">
        <f t="shared" si="12"/>
        <v>379.16666666666669</v>
      </c>
      <c r="AO18" s="73">
        <f t="shared" si="54"/>
        <v>115000000</v>
      </c>
      <c r="AP18" s="74">
        <v>2.2000000000000001E-3</v>
      </c>
      <c r="AQ18" s="40">
        <f t="shared" si="13"/>
        <v>702.77777777777783</v>
      </c>
      <c r="AR18" s="73">
        <f t="shared" si="1"/>
        <v>59750000</v>
      </c>
      <c r="AS18" s="74">
        <v>2.0999999999999999E-3</v>
      </c>
      <c r="AT18" s="40">
        <f t="shared" si="14"/>
        <v>348.54166666666663</v>
      </c>
      <c r="AU18" s="73">
        <f t="shared" si="55"/>
        <v>132725000</v>
      </c>
      <c r="AV18" s="74">
        <v>2.2000000000000001E-3</v>
      </c>
      <c r="AW18" s="40">
        <f t="shared" si="15"/>
        <v>811.09722222222217</v>
      </c>
      <c r="AX18" s="73"/>
      <c r="AY18" s="74"/>
      <c r="AZ18" s="40">
        <f t="shared" si="16"/>
        <v>0</v>
      </c>
      <c r="BA18" s="73"/>
      <c r="BB18" s="74"/>
      <c r="BC18" s="40">
        <f t="shared" si="17"/>
        <v>0</v>
      </c>
      <c r="BF18" s="40">
        <f t="shared" si="18"/>
        <v>0</v>
      </c>
      <c r="BI18" s="40">
        <f t="shared" si="19"/>
        <v>0</v>
      </c>
      <c r="BL18" s="40">
        <f t="shared" si="20"/>
        <v>0</v>
      </c>
      <c r="BO18" s="40">
        <f t="shared" si="21"/>
        <v>0</v>
      </c>
      <c r="BR18" s="40">
        <f t="shared" si="22"/>
        <v>0</v>
      </c>
      <c r="BU18" s="40">
        <f t="shared" si="23"/>
        <v>0</v>
      </c>
      <c r="BX18" s="40">
        <f t="shared" si="24"/>
        <v>0</v>
      </c>
      <c r="CA18" s="40">
        <f t="shared" si="25"/>
        <v>0</v>
      </c>
      <c r="CD18" s="40">
        <f t="shared" si="26"/>
        <v>0</v>
      </c>
      <c r="CG18" s="40">
        <f t="shared" si="27"/>
        <v>0</v>
      </c>
      <c r="CJ18" s="40">
        <f t="shared" si="28"/>
        <v>0</v>
      </c>
      <c r="CM18" s="40">
        <f t="shared" si="29"/>
        <v>0</v>
      </c>
      <c r="CP18" s="40">
        <f t="shared" si="30"/>
        <v>0</v>
      </c>
      <c r="CS18" s="40">
        <f t="shared" si="31"/>
        <v>0</v>
      </c>
      <c r="CV18" s="40">
        <f t="shared" si="32"/>
        <v>0</v>
      </c>
      <c r="CY18" s="40">
        <f t="shared" si="33"/>
        <v>0</v>
      </c>
      <c r="DB18" s="40">
        <f t="shared" si="34"/>
        <v>0</v>
      </c>
      <c r="DE18" s="40">
        <f t="shared" si="35"/>
        <v>0</v>
      </c>
      <c r="DH18" s="40">
        <f t="shared" si="36"/>
        <v>0</v>
      </c>
      <c r="DK18" s="40">
        <f t="shared" si="37"/>
        <v>0</v>
      </c>
      <c r="DN18" s="40">
        <f t="shared" si="38"/>
        <v>0</v>
      </c>
      <c r="DQ18" s="40">
        <f t="shared" si="39"/>
        <v>0</v>
      </c>
      <c r="DT18" s="40">
        <f t="shared" si="40"/>
        <v>0</v>
      </c>
      <c r="DW18" s="40">
        <f t="shared" si="41"/>
        <v>0</v>
      </c>
      <c r="DY18" s="46"/>
      <c r="DZ18" s="38"/>
      <c r="EA18" s="40"/>
      <c r="EB18" s="75">
        <f t="shared" si="42"/>
        <v>473375000</v>
      </c>
      <c r="EC18" s="75">
        <f t="shared" si="43"/>
        <v>0</v>
      </c>
      <c r="ED18" s="40">
        <f t="shared" si="44"/>
        <v>2690.0277777777778</v>
      </c>
      <c r="EE18" s="41">
        <f t="shared" si="45"/>
        <v>2.04575653551624E-3</v>
      </c>
      <c r="EG18" s="75">
        <f t="shared" si="46"/>
        <v>0</v>
      </c>
      <c r="EH18" s="40">
        <f t="shared" si="47"/>
        <v>0</v>
      </c>
      <c r="EI18" s="41">
        <f t="shared" si="48"/>
        <v>0</v>
      </c>
      <c r="EJ18" s="41"/>
      <c r="EK18" s="75">
        <f t="shared" si="49"/>
        <v>473375000</v>
      </c>
      <c r="EL18" s="75">
        <f t="shared" si="50"/>
        <v>0</v>
      </c>
      <c r="EM18" s="75">
        <f t="shared" si="51"/>
        <v>2690.0277777777774</v>
      </c>
      <c r="EN18" s="41">
        <f t="shared" si="52"/>
        <v>2.0457565355162396E-3</v>
      </c>
      <c r="EP18" s="40"/>
    </row>
    <row r="19" spans="1:146" x14ac:dyDescent="0.25">
      <c r="A19" s="25">
        <f t="shared" si="53"/>
        <v>44417</v>
      </c>
      <c r="D19" s="40">
        <f t="shared" si="2"/>
        <v>0</v>
      </c>
      <c r="E19" s="40">
        <v>0</v>
      </c>
      <c r="G19" s="40">
        <f t="shared" si="3"/>
        <v>0</v>
      </c>
      <c r="J19" s="40">
        <f t="shared" si="4"/>
        <v>0</v>
      </c>
      <c r="M19" s="40">
        <f t="shared" si="5"/>
        <v>0</v>
      </c>
      <c r="P19" s="40">
        <f t="shared" si="6"/>
        <v>0</v>
      </c>
      <c r="S19" s="40">
        <f t="shared" si="7"/>
        <v>0</v>
      </c>
      <c r="V19" s="40">
        <f t="shared" si="8"/>
        <v>0</v>
      </c>
      <c r="Y19" s="40">
        <f t="shared" si="9"/>
        <v>0</v>
      </c>
      <c r="AB19" s="40">
        <f t="shared" si="10"/>
        <v>0</v>
      </c>
      <c r="AE19" s="40">
        <v>0</v>
      </c>
      <c r="AH19" s="40">
        <v>0</v>
      </c>
      <c r="AI19" s="73">
        <v>100825000</v>
      </c>
      <c r="AJ19" s="74">
        <v>1.6000000000000001E-3</v>
      </c>
      <c r="AK19" s="40">
        <f t="shared" si="11"/>
        <v>448.11111111111109</v>
      </c>
      <c r="AL19" s="73">
        <f t="shared" si="0"/>
        <v>65000000</v>
      </c>
      <c r="AM19" s="74">
        <v>2.0999999999999999E-3</v>
      </c>
      <c r="AN19" s="40">
        <f t="shared" si="12"/>
        <v>379.16666666666669</v>
      </c>
      <c r="AO19" s="73">
        <f t="shared" si="54"/>
        <v>115000000</v>
      </c>
      <c r="AP19" s="74">
        <v>2.2000000000000001E-3</v>
      </c>
      <c r="AQ19" s="40">
        <f t="shared" si="13"/>
        <v>702.77777777777783</v>
      </c>
      <c r="AR19" s="73">
        <f t="shared" si="1"/>
        <v>59750000</v>
      </c>
      <c r="AS19" s="74">
        <v>2.0999999999999999E-3</v>
      </c>
      <c r="AT19" s="40">
        <f t="shared" si="14"/>
        <v>348.54166666666663</v>
      </c>
      <c r="AU19" s="73">
        <f t="shared" si="55"/>
        <v>132725000</v>
      </c>
      <c r="AV19" s="74">
        <v>2.2000000000000001E-3</v>
      </c>
      <c r="AW19" s="40">
        <f t="shared" si="15"/>
        <v>811.09722222222217</v>
      </c>
      <c r="AX19" s="73"/>
      <c r="AY19" s="74"/>
      <c r="AZ19" s="40">
        <f t="shared" si="16"/>
        <v>0</v>
      </c>
      <c r="BA19" s="73"/>
      <c r="BB19" s="74"/>
      <c r="BC19" s="40">
        <f t="shared" si="17"/>
        <v>0</v>
      </c>
      <c r="BF19" s="40">
        <f t="shared" si="18"/>
        <v>0</v>
      </c>
      <c r="BI19" s="40">
        <f t="shared" si="19"/>
        <v>0</v>
      </c>
      <c r="BL19" s="40">
        <f t="shared" si="20"/>
        <v>0</v>
      </c>
      <c r="BO19" s="40">
        <f t="shared" si="21"/>
        <v>0</v>
      </c>
      <c r="BR19" s="40">
        <f t="shared" si="22"/>
        <v>0</v>
      </c>
      <c r="BU19" s="40">
        <f t="shared" si="23"/>
        <v>0</v>
      </c>
      <c r="BX19" s="40">
        <f t="shared" si="24"/>
        <v>0</v>
      </c>
      <c r="CA19" s="40">
        <f t="shared" si="25"/>
        <v>0</v>
      </c>
      <c r="CD19" s="40">
        <f t="shared" si="26"/>
        <v>0</v>
      </c>
      <c r="CG19" s="40">
        <f t="shared" si="27"/>
        <v>0</v>
      </c>
      <c r="CJ19" s="40">
        <f t="shared" si="28"/>
        <v>0</v>
      </c>
      <c r="CM19" s="40">
        <f t="shared" si="29"/>
        <v>0</v>
      </c>
      <c r="CP19" s="40">
        <f t="shared" si="30"/>
        <v>0</v>
      </c>
      <c r="CS19" s="40">
        <f t="shared" si="31"/>
        <v>0</v>
      </c>
      <c r="CV19" s="40">
        <f t="shared" si="32"/>
        <v>0</v>
      </c>
      <c r="CY19" s="40">
        <f t="shared" si="33"/>
        <v>0</v>
      </c>
      <c r="DB19" s="40">
        <f t="shared" si="34"/>
        <v>0</v>
      </c>
      <c r="DE19" s="40">
        <f t="shared" si="35"/>
        <v>0</v>
      </c>
      <c r="DH19" s="40">
        <f t="shared" si="36"/>
        <v>0</v>
      </c>
      <c r="DK19" s="40">
        <f t="shared" si="37"/>
        <v>0</v>
      </c>
      <c r="DN19" s="40">
        <f t="shared" si="38"/>
        <v>0</v>
      </c>
      <c r="DQ19" s="40">
        <f t="shared" si="39"/>
        <v>0</v>
      </c>
      <c r="DT19" s="40">
        <f t="shared" si="40"/>
        <v>0</v>
      </c>
      <c r="DW19" s="40">
        <f t="shared" si="41"/>
        <v>0</v>
      </c>
      <c r="DY19" s="46"/>
      <c r="DZ19" s="38"/>
      <c r="EA19" s="40"/>
      <c r="EB19" s="75">
        <f t="shared" si="42"/>
        <v>473300000</v>
      </c>
      <c r="EC19" s="75">
        <f t="shared" si="43"/>
        <v>0</v>
      </c>
      <c r="ED19" s="40">
        <f t="shared" si="44"/>
        <v>2689.6944444444443</v>
      </c>
      <c r="EE19" s="41">
        <f t="shared" si="45"/>
        <v>2.04582717092753E-3</v>
      </c>
      <c r="EG19" s="75">
        <f t="shared" si="46"/>
        <v>0</v>
      </c>
      <c r="EH19" s="40">
        <f t="shared" si="47"/>
        <v>0</v>
      </c>
      <c r="EI19" s="41">
        <f t="shared" si="48"/>
        <v>0</v>
      </c>
      <c r="EJ19" s="41"/>
      <c r="EK19" s="75">
        <f t="shared" si="49"/>
        <v>473300000</v>
      </c>
      <c r="EL19" s="75">
        <f t="shared" si="50"/>
        <v>0</v>
      </c>
      <c r="EM19" s="75">
        <f t="shared" si="51"/>
        <v>2689.6944444444443</v>
      </c>
      <c r="EN19" s="41">
        <f t="shared" si="52"/>
        <v>2.04582717092753E-3</v>
      </c>
      <c r="EP19" s="40"/>
    </row>
    <row r="20" spans="1:146" x14ac:dyDescent="0.25">
      <c r="A20" s="25">
        <f t="shared" si="53"/>
        <v>44418</v>
      </c>
      <c r="D20" s="40">
        <f t="shared" si="2"/>
        <v>0</v>
      </c>
      <c r="E20" s="40">
        <v>0</v>
      </c>
      <c r="G20" s="40">
        <f t="shared" si="3"/>
        <v>0</v>
      </c>
      <c r="J20" s="40">
        <f t="shared" si="4"/>
        <v>0</v>
      </c>
      <c r="M20" s="40">
        <f t="shared" si="5"/>
        <v>0</v>
      </c>
      <c r="P20" s="40">
        <f t="shared" si="6"/>
        <v>0</v>
      </c>
      <c r="S20" s="40">
        <f t="shared" si="7"/>
        <v>0</v>
      </c>
      <c r="V20" s="40">
        <f t="shared" si="8"/>
        <v>0</v>
      </c>
      <c r="Y20" s="40">
        <f t="shared" si="9"/>
        <v>0</v>
      </c>
      <c r="AB20" s="40">
        <f t="shared" si="10"/>
        <v>0</v>
      </c>
      <c r="AE20" s="40">
        <v>0</v>
      </c>
      <c r="AH20" s="40">
        <v>0</v>
      </c>
      <c r="AI20" s="73">
        <f>99725000</f>
        <v>99725000</v>
      </c>
      <c r="AJ20" s="74">
        <v>1.6000000000000001E-3</v>
      </c>
      <c r="AK20" s="40">
        <f t="shared" si="11"/>
        <v>443.22222222222223</v>
      </c>
      <c r="AL20" s="73">
        <f t="shared" si="0"/>
        <v>65000000</v>
      </c>
      <c r="AM20" s="74">
        <v>2.0999999999999999E-3</v>
      </c>
      <c r="AN20" s="40">
        <f t="shared" si="12"/>
        <v>379.16666666666669</v>
      </c>
      <c r="AO20" s="73">
        <f t="shared" si="54"/>
        <v>115000000</v>
      </c>
      <c r="AP20" s="74">
        <v>2.2000000000000001E-3</v>
      </c>
      <c r="AQ20" s="40">
        <f t="shared" si="13"/>
        <v>702.77777777777783</v>
      </c>
      <c r="AR20" s="73">
        <f t="shared" si="1"/>
        <v>59750000</v>
      </c>
      <c r="AS20" s="74">
        <v>2.0999999999999999E-3</v>
      </c>
      <c r="AT20" s="40">
        <f t="shared" si="14"/>
        <v>348.54166666666663</v>
      </c>
      <c r="AU20" s="73">
        <f t="shared" si="55"/>
        <v>132725000</v>
      </c>
      <c r="AV20" s="74">
        <v>2.2000000000000001E-3</v>
      </c>
      <c r="AW20" s="40">
        <f t="shared" si="15"/>
        <v>811.09722222222217</v>
      </c>
      <c r="AX20" s="73"/>
      <c r="AY20" s="74"/>
      <c r="AZ20" s="40">
        <f t="shared" si="16"/>
        <v>0</v>
      </c>
      <c r="BA20" s="73"/>
      <c r="BB20" s="74"/>
      <c r="BC20" s="40">
        <f t="shared" si="17"/>
        <v>0</v>
      </c>
      <c r="BF20" s="40">
        <f t="shared" si="18"/>
        <v>0</v>
      </c>
      <c r="BI20" s="40">
        <f t="shared" si="19"/>
        <v>0</v>
      </c>
      <c r="BL20" s="40">
        <f t="shared" si="20"/>
        <v>0</v>
      </c>
      <c r="BO20" s="40">
        <f t="shared" si="21"/>
        <v>0</v>
      </c>
      <c r="BR20" s="40">
        <f t="shared" si="22"/>
        <v>0</v>
      </c>
      <c r="BU20" s="40">
        <f t="shared" si="23"/>
        <v>0</v>
      </c>
      <c r="BX20" s="40">
        <f t="shared" si="24"/>
        <v>0</v>
      </c>
      <c r="CA20" s="40">
        <f t="shared" si="25"/>
        <v>0</v>
      </c>
      <c r="CD20" s="40">
        <f t="shared" si="26"/>
        <v>0</v>
      </c>
      <c r="CG20" s="40">
        <f t="shared" si="27"/>
        <v>0</v>
      </c>
      <c r="CJ20" s="40">
        <f t="shared" si="28"/>
        <v>0</v>
      </c>
      <c r="CM20" s="40">
        <f t="shared" si="29"/>
        <v>0</v>
      </c>
      <c r="CP20" s="40">
        <f t="shared" si="30"/>
        <v>0</v>
      </c>
      <c r="CS20" s="40">
        <f t="shared" si="31"/>
        <v>0</v>
      </c>
      <c r="CV20" s="40">
        <f t="shared" si="32"/>
        <v>0</v>
      </c>
      <c r="CY20" s="40">
        <f t="shared" si="33"/>
        <v>0</v>
      </c>
      <c r="DB20" s="40">
        <f t="shared" si="34"/>
        <v>0</v>
      </c>
      <c r="DE20" s="40">
        <f t="shared" si="35"/>
        <v>0</v>
      </c>
      <c r="DH20" s="40">
        <f t="shared" si="36"/>
        <v>0</v>
      </c>
      <c r="DK20" s="40">
        <f t="shared" si="37"/>
        <v>0</v>
      </c>
      <c r="DN20" s="40">
        <f t="shared" si="38"/>
        <v>0</v>
      </c>
      <c r="DQ20" s="40">
        <f t="shared" si="39"/>
        <v>0</v>
      </c>
      <c r="DT20" s="40">
        <f t="shared" si="40"/>
        <v>0</v>
      </c>
      <c r="DW20" s="40">
        <f t="shared" si="41"/>
        <v>0</v>
      </c>
      <c r="DY20" s="46"/>
      <c r="DZ20" s="38"/>
      <c r="EA20" s="40"/>
      <c r="EB20" s="75">
        <f t="shared" si="42"/>
        <v>472200000</v>
      </c>
      <c r="EC20" s="75">
        <f t="shared" si="43"/>
        <v>0</v>
      </c>
      <c r="ED20" s="40">
        <f t="shared" si="44"/>
        <v>2684.8055555555557</v>
      </c>
      <c r="EE20" s="41">
        <f t="shared" si="45"/>
        <v>2.0468657348581111E-3</v>
      </c>
      <c r="EG20" s="75">
        <f t="shared" si="46"/>
        <v>0</v>
      </c>
      <c r="EH20" s="40">
        <f t="shared" si="47"/>
        <v>0</v>
      </c>
      <c r="EI20" s="41">
        <f t="shared" si="48"/>
        <v>0</v>
      </c>
      <c r="EJ20" s="41"/>
      <c r="EK20" s="75">
        <f t="shared" si="49"/>
        <v>472200000</v>
      </c>
      <c r="EL20" s="75">
        <f t="shared" si="50"/>
        <v>0</v>
      </c>
      <c r="EM20" s="75">
        <f t="shared" si="51"/>
        <v>2684.8055555555552</v>
      </c>
      <c r="EN20" s="41">
        <f t="shared" si="52"/>
        <v>2.0468657348581107E-3</v>
      </c>
      <c r="EP20" s="40"/>
    </row>
    <row r="21" spans="1:146" x14ac:dyDescent="0.25">
      <c r="A21" s="25">
        <f t="shared" si="53"/>
        <v>44419</v>
      </c>
      <c r="D21" s="40">
        <f t="shared" si="2"/>
        <v>0</v>
      </c>
      <c r="E21" s="40">
        <v>0</v>
      </c>
      <c r="G21" s="40">
        <f t="shared" si="3"/>
        <v>0</v>
      </c>
      <c r="J21" s="40">
        <f t="shared" si="4"/>
        <v>0</v>
      </c>
      <c r="M21" s="40">
        <f t="shared" si="5"/>
        <v>0</v>
      </c>
      <c r="P21" s="40">
        <f t="shared" si="6"/>
        <v>0</v>
      </c>
      <c r="S21" s="40">
        <f t="shared" si="7"/>
        <v>0</v>
      </c>
      <c r="V21" s="40">
        <f t="shared" si="8"/>
        <v>0</v>
      </c>
      <c r="Y21" s="40">
        <f t="shared" si="9"/>
        <v>0</v>
      </c>
      <c r="AB21" s="40">
        <f t="shared" si="10"/>
        <v>0</v>
      </c>
      <c r="AE21" s="40">
        <v>0</v>
      </c>
      <c r="AH21" s="40">
        <v>0</v>
      </c>
      <c r="AI21" s="73">
        <f>108250000</f>
        <v>108250000</v>
      </c>
      <c r="AJ21" s="74">
        <v>1.6000000000000001E-3</v>
      </c>
      <c r="AK21" s="40">
        <f t="shared" si="11"/>
        <v>481.11111111111109</v>
      </c>
      <c r="AL21" s="73">
        <f t="shared" si="0"/>
        <v>65000000</v>
      </c>
      <c r="AM21" s="74">
        <v>2.0999999999999999E-3</v>
      </c>
      <c r="AN21" s="40">
        <f t="shared" si="12"/>
        <v>379.16666666666669</v>
      </c>
      <c r="AO21" s="73">
        <f t="shared" si="54"/>
        <v>115000000</v>
      </c>
      <c r="AP21" s="74">
        <v>2.2000000000000001E-3</v>
      </c>
      <c r="AQ21" s="40">
        <f t="shared" si="13"/>
        <v>702.77777777777783</v>
      </c>
      <c r="AR21" s="73">
        <f t="shared" si="1"/>
        <v>59750000</v>
      </c>
      <c r="AS21" s="74">
        <v>2.0999999999999999E-3</v>
      </c>
      <c r="AT21" s="40">
        <f t="shared" si="14"/>
        <v>348.54166666666663</v>
      </c>
      <c r="AU21" s="73">
        <f t="shared" si="55"/>
        <v>132725000</v>
      </c>
      <c r="AV21" s="74">
        <v>2.2000000000000001E-3</v>
      </c>
      <c r="AW21" s="40">
        <f t="shared" si="15"/>
        <v>811.09722222222217</v>
      </c>
      <c r="AX21" s="73"/>
      <c r="AY21" s="74"/>
      <c r="AZ21" s="40">
        <f t="shared" si="16"/>
        <v>0</v>
      </c>
      <c r="BA21" s="73"/>
      <c r="BB21" s="74"/>
      <c r="BC21" s="40">
        <f t="shared" si="17"/>
        <v>0</v>
      </c>
      <c r="BF21" s="40">
        <f t="shared" si="18"/>
        <v>0</v>
      </c>
      <c r="BI21" s="40">
        <f t="shared" si="19"/>
        <v>0</v>
      </c>
      <c r="BL21" s="40">
        <f t="shared" si="20"/>
        <v>0</v>
      </c>
      <c r="BO21" s="40">
        <f t="shared" si="21"/>
        <v>0</v>
      </c>
      <c r="BR21" s="40">
        <f t="shared" si="22"/>
        <v>0</v>
      </c>
      <c r="BU21" s="40">
        <f t="shared" si="23"/>
        <v>0</v>
      </c>
      <c r="BX21" s="40">
        <f t="shared" si="24"/>
        <v>0</v>
      </c>
      <c r="CA21" s="40">
        <f t="shared" si="25"/>
        <v>0</v>
      </c>
      <c r="CD21" s="40">
        <f t="shared" si="26"/>
        <v>0</v>
      </c>
      <c r="CG21" s="40">
        <f t="shared" si="27"/>
        <v>0</v>
      </c>
      <c r="CJ21" s="40">
        <f t="shared" si="28"/>
        <v>0</v>
      </c>
      <c r="CM21" s="40">
        <f t="shared" si="29"/>
        <v>0</v>
      </c>
      <c r="CP21" s="40">
        <f t="shared" si="30"/>
        <v>0</v>
      </c>
      <c r="CS21" s="40">
        <f t="shared" si="31"/>
        <v>0</v>
      </c>
      <c r="CV21" s="40">
        <f t="shared" si="32"/>
        <v>0</v>
      </c>
      <c r="CY21" s="40">
        <f t="shared" si="33"/>
        <v>0</v>
      </c>
      <c r="DB21" s="40">
        <f t="shared" si="34"/>
        <v>0</v>
      </c>
      <c r="DE21" s="40">
        <f t="shared" si="35"/>
        <v>0</v>
      </c>
      <c r="DH21" s="40">
        <f t="shared" si="36"/>
        <v>0</v>
      </c>
      <c r="DK21" s="40">
        <f t="shared" si="37"/>
        <v>0</v>
      </c>
      <c r="DN21" s="40">
        <f t="shared" si="38"/>
        <v>0</v>
      </c>
      <c r="DQ21" s="40">
        <f t="shared" si="39"/>
        <v>0</v>
      </c>
      <c r="DT21" s="40">
        <f t="shared" si="40"/>
        <v>0</v>
      </c>
      <c r="DW21" s="40">
        <f t="shared" si="41"/>
        <v>0</v>
      </c>
      <c r="DY21" s="46"/>
      <c r="DZ21" s="38"/>
      <c r="EA21" s="40"/>
      <c r="EB21" s="75">
        <f t="shared" si="42"/>
        <v>480725000</v>
      </c>
      <c r="EC21" s="75">
        <f t="shared" si="43"/>
        <v>0</v>
      </c>
      <c r="ED21" s="40">
        <f t="shared" si="44"/>
        <v>2722.6944444444443</v>
      </c>
      <c r="EE21" s="41">
        <f t="shared" si="45"/>
        <v>2.0389411825887981E-3</v>
      </c>
      <c r="EG21" s="75">
        <f t="shared" si="46"/>
        <v>0</v>
      </c>
      <c r="EH21" s="40">
        <f t="shared" si="47"/>
        <v>0</v>
      </c>
      <c r="EI21" s="41">
        <f t="shared" si="48"/>
        <v>0</v>
      </c>
      <c r="EJ21" s="41"/>
      <c r="EK21" s="75">
        <f t="shared" si="49"/>
        <v>480725000</v>
      </c>
      <c r="EL21" s="75">
        <f t="shared" si="50"/>
        <v>0</v>
      </c>
      <c r="EM21" s="75">
        <f t="shared" si="51"/>
        <v>2722.6944444444443</v>
      </c>
      <c r="EN21" s="41">
        <f t="shared" si="52"/>
        <v>2.0389411825887981E-3</v>
      </c>
      <c r="EP21" s="40"/>
    </row>
    <row r="22" spans="1:146" x14ac:dyDescent="0.25">
      <c r="A22" s="25">
        <f t="shared" si="53"/>
        <v>44420</v>
      </c>
      <c r="D22" s="40">
        <f t="shared" si="2"/>
        <v>0</v>
      </c>
      <c r="E22" s="40">
        <v>0</v>
      </c>
      <c r="G22" s="40">
        <f t="shared" si="3"/>
        <v>0</v>
      </c>
      <c r="J22" s="40">
        <f t="shared" si="4"/>
        <v>0</v>
      </c>
      <c r="M22" s="40">
        <f t="shared" si="5"/>
        <v>0</v>
      </c>
      <c r="P22" s="40">
        <f t="shared" si="6"/>
        <v>0</v>
      </c>
      <c r="S22" s="40">
        <f t="shared" si="7"/>
        <v>0</v>
      </c>
      <c r="V22" s="40">
        <f t="shared" si="8"/>
        <v>0</v>
      </c>
      <c r="Y22" s="40">
        <f t="shared" si="9"/>
        <v>0</v>
      </c>
      <c r="AB22" s="40">
        <f t="shared" si="10"/>
        <v>0</v>
      </c>
      <c r="AE22" s="40">
        <v>0</v>
      </c>
      <c r="AH22" s="40">
        <v>0</v>
      </c>
      <c r="AI22" s="73">
        <f>97250000</f>
        <v>97250000</v>
      </c>
      <c r="AJ22" s="74">
        <v>1.6000000000000001E-3</v>
      </c>
      <c r="AK22" s="40">
        <f t="shared" si="11"/>
        <v>432.22222222222223</v>
      </c>
      <c r="AL22" s="73">
        <f t="shared" si="0"/>
        <v>65000000</v>
      </c>
      <c r="AM22" s="74">
        <v>2.0999999999999999E-3</v>
      </c>
      <c r="AN22" s="40">
        <f t="shared" si="12"/>
        <v>379.16666666666669</v>
      </c>
      <c r="AO22" s="73">
        <f>45000000+40000000</f>
        <v>85000000</v>
      </c>
      <c r="AP22" s="74">
        <v>2.2000000000000001E-3</v>
      </c>
      <c r="AQ22" s="40">
        <f t="shared" si="13"/>
        <v>519.44444444444446</v>
      </c>
      <c r="AR22" s="73">
        <f t="shared" si="1"/>
        <v>59750000</v>
      </c>
      <c r="AS22" s="74">
        <v>2.0999999999999999E-3</v>
      </c>
      <c r="AT22" s="40">
        <f t="shared" si="14"/>
        <v>348.54166666666663</v>
      </c>
      <c r="AU22" s="73">
        <f t="shared" ref="AU22:AU41" si="56">50000000+57725000+25000000+40000000</f>
        <v>172725000</v>
      </c>
      <c r="AV22" s="74">
        <v>2.2000000000000001E-3</v>
      </c>
      <c r="AW22" s="40">
        <f t="shared" si="15"/>
        <v>1055.5416666666667</v>
      </c>
      <c r="AX22" s="73"/>
      <c r="AY22" s="74"/>
      <c r="AZ22" s="40">
        <f t="shared" si="16"/>
        <v>0</v>
      </c>
      <c r="BA22" s="73"/>
      <c r="BB22" s="74"/>
      <c r="BC22" s="40">
        <f t="shared" si="17"/>
        <v>0</v>
      </c>
      <c r="BF22" s="40">
        <f t="shared" si="18"/>
        <v>0</v>
      </c>
      <c r="BI22" s="40">
        <f t="shared" si="19"/>
        <v>0</v>
      </c>
      <c r="BL22" s="40">
        <f t="shared" si="20"/>
        <v>0</v>
      </c>
      <c r="BO22" s="40">
        <f t="shared" si="21"/>
        <v>0</v>
      </c>
      <c r="BR22" s="40">
        <f t="shared" si="22"/>
        <v>0</v>
      </c>
      <c r="BU22" s="40">
        <f t="shared" si="23"/>
        <v>0</v>
      </c>
      <c r="BX22" s="40">
        <f t="shared" si="24"/>
        <v>0</v>
      </c>
      <c r="CA22" s="40">
        <f t="shared" si="25"/>
        <v>0</v>
      </c>
      <c r="CD22" s="40">
        <f t="shared" si="26"/>
        <v>0</v>
      </c>
      <c r="CG22" s="40">
        <f t="shared" si="27"/>
        <v>0</v>
      </c>
      <c r="CJ22" s="40">
        <f t="shared" si="28"/>
        <v>0</v>
      </c>
      <c r="CM22" s="40">
        <f t="shared" si="29"/>
        <v>0</v>
      </c>
      <c r="CP22" s="40">
        <f t="shared" si="30"/>
        <v>0</v>
      </c>
      <c r="CS22" s="40">
        <f t="shared" si="31"/>
        <v>0</v>
      </c>
      <c r="CV22" s="40">
        <f t="shared" si="32"/>
        <v>0</v>
      </c>
      <c r="CY22" s="40">
        <f t="shared" si="33"/>
        <v>0</v>
      </c>
      <c r="DB22" s="40">
        <f t="shared" si="34"/>
        <v>0</v>
      </c>
      <c r="DE22" s="40">
        <f t="shared" si="35"/>
        <v>0</v>
      </c>
      <c r="DH22" s="40">
        <f t="shared" si="36"/>
        <v>0</v>
      </c>
      <c r="DK22" s="40">
        <f t="shared" si="37"/>
        <v>0</v>
      </c>
      <c r="DN22" s="40">
        <f t="shared" si="38"/>
        <v>0</v>
      </c>
      <c r="DQ22" s="40">
        <f t="shared" si="39"/>
        <v>0</v>
      </c>
      <c r="DT22" s="40">
        <f t="shared" si="40"/>
        <v>0</v>
      </c>
      <c r="DW22" s="40">
        <f t="shared" si="41"/>
        <v>0</v>
      </c>
      <c r="DY22" s="46"/>
      <c r="DZ22" s="38"/>
      <c r="EA22" s="40"/>
      <c r="EB22" s="75">
        <f t="shared" si="42"/>
        <v>479725000</v>
      </c>
      <c r="EC22" s="75">
        <f t="shared" si="43"/>
        <v>0</v>
      </c>
      <c r="ED22" s="40">
        <f t="shared" si="44"/>
        <v>2734.916666666667</v>
      </c>
      <c r="EE22" s="41">
        <f t="shared" si="45"/>
        <v>2.0523633331596229E-3</v>
      </c>
      <c r="EG22" s="75">
        <f t="shared" si="46"/>
        <v>0</v>
      </c>
      <c r="EH22" s="40">
        <f t="shared" si="47"/>
        <v>0</v>
      </c>
      <c r="EI22" s="41">
        <f t="shared" si="48"/>
        <v>0</v>
      </c>
      <c r="EJ22" s="41"/>
      <c r="EK22" s="75">
        <f t="shared" si="49"/>
        <v>479725000</v>
      </c>
      <c r="EL22" s="75">
        <f t="shared" si="50"/>
        <v>0</v>
      </c>
      <c r="EM22" s="75">
        <f t="shared" si="51"/>
        <v>2734.9166666666665</v>
      </c>
      <c r="EN22" s="41">
        <f t="shared" si="52"/>
        <v>2.0523633331596225E-3</v>
      </c>
      <c r="EP22" s="40"/>
    </row>
    <row r="23" spans="1:146" x14ac:dyDescent="0.25">
      <c r="A23" s="25">
        <f t="shared" si="53"/>
        <v>44421</v>
      </c>
      <c r="D23" s="40">
        <f t="shared" si="2"/>
        <v>0</v>
      </c>
      <c r="E23" s="40">
        <v>0</v>
      </c>
      <c r="G23" s="40">
        <f t="shared" si="3"/>
        <v>0</v>
      </c>
      <c r="J23" s="40">
        <f t="shared" si="4"/>
        <v>0</v>
      </c>
      <c r="M23" s="40">
        <f t="shared" si="5"/>
        <v>0</v>
      </c>
      <c r="P23" s="40">
        <f t="shared" si="6"/>
        <v>0</v>
      </c>
      <c r="S23" s="40">
        <f t="shared" si="7"/>
        <v>0</v>
      </c>
      <c r="V23" s="40">
        <f t="shared" si="8"/>
        <v>0</v>
      </c>
      <c r="Y23" s="40">
        <f t="shared" si="9"/>
        <v>0</v>
      </c>
      <c r="AB23" s="40">
        <f t="shared" si="10"/>
        <v>0</v>
      </c>
      <c r="AE23" s="40">
        <v>0</v>
      </c>
      <c r="AH23" s="40">
        <v>0</v>
      </c>
      <c r="AI23" s="73">
        <f>82925000</f>
        <v>82925000</v>
      </c>
      <c r="AJ23" s="74">
        <v>1.6000000000000001E-3</v>
      </c>
      <c r="AK23" s="40">
        <f t="shared" si="11"/>
        <v>368.55555555555554</v>
      </c>
      <c r="AL23" s="73">
        <f t="shared" si="0"/>
        <v>65000000</v>
      </c>
      <c r="AM23" s="74">
        <v>2.0999999999999999E-3</v>
      </c>
      <c r="AN23" s="40">
        <f t="shared" si="12"/>
        <v>379.16666666666669</v>
      </c>
      <c r="AO23" s="73">
        <f>45000000+40000000</f>
        <v>85000000</v>
      </c>
      <c r="AP23" s="74">
        <v>2.2000000000000001E-3</v>
      </c>
      <c r="AQ23" s="40">
        <f t="shared" si="13"/>
        <v>519.44444444444446</v>
      </c>
      <c r="AR23" s="73">
        <f t="shared" si="1"/>
        <v>59750000</v>
      </c>
      <c r="AS23" s="74">
        <v>2.0999999999999999E-3</v>
      </c>
      <c r="AT23" s="40">
        <f t="shared" si="14"/>
        <v>348.54166666666663</v>
      </c>
      <c r="AU23" s="73">
        <f t="shared" si="56"/>
        <v>172725000</v>
      </c>
      <c r="AV23" s="74">
        <v>2.2000000000000001E-3</v>
      </c>
      <c r="AW23" s="40">
        <f t="shared" si="15"/>
        <v>1055.5416666666667</v>
      </c>
      <c r="AX23" s="73"/>
      <c r="AY23" s="74"/>
      <c r="AZ23" s="40">
        <f t="shared" si="16"/>
        <v>0</v>
      </c>
      <c r="BA23" s="73"/>
      <c r="BB23" s="74"/>
      <c r="BC23" s="40">
        <f t="shared" si="17"/>
        <v>0</v>
      </c>
      <c r="BF23" s="40">
        <f t="shared" si="18"/>
        <v>0</v>
      </c>
      <c r="BI23" s="40">
        <f t="shared" si="19"/>
        <v>0</v>
      </c>
      <c r="BL23" s="40">
        <f t="shared" si="20"/>
        <v>0</v>
      </c>
      <c r="BO23" s="40">
        <f t="shared" si="21"/>
        <v>0</v>
      </c>
      <c r="BR23" s="40">
        <f t="shared" si="22"/>
        <v>0</v>
      </c>
      <c r="BU23" s="40">
        <f t="shared" si="23"/>
        <v>0</v>
      </c>
      <c r="BX23" s="40">
        <f t="shared" si="24"/>
        <v>0</v>
      </c>
      <c r="CA23" s="40">
        <f t="shared" si="25"/>
        <v>0</v>
      </c>
      <c r="CD23" s="40">
        <f t="shared" si="26"/>
        <v>0</v>
      </c>
      <c r="CG23" s="40">
        <f t="shared" si="27"/>
        <v>0</v>
      </c>
      <c r="CJ23" s="40">
        <f t="shared" si="28"/>
        <v>0</v>
      </c>
      <c r="CM23" s="40">
        <f t="shared" si="29"/>
        <v>0</v>
      </c>
      <c r="CP23" s="40">
        <f t="shared" si="30"/>
        <v>0</v>
      </c>
      <c r="CS23" s="40">
        <f t="shared" si="31"/>
        <v>0</v>
      </c>
      <c r="CV23" s="40">
        <f t="shared" si="32"/>
        <v>0</v>
      </c>
      <c r="CY23" s="40">
        <f t="shared" si="33"/>
        <v>0</v>
      </c>
      <c r="DB23" s="40">
        <f t="shared" si="34"/>
        <v>0</v>
      </c>
      <c r="DE23" s="40">
        <f t="shared" si="35"/>
        <v>0</v>
      </c>
      <c r="DH23" s="40">
        <f t="shared" si="36"/>
        <v>0</v>
      </c>
      <c r="DK23" s="40">
        <f t="shared" si="37"/>
        <v>0</v>
      </c>
      <c r="DN23" s="40">
        <f t="shared" si="38"/>
        <v>0</v>
      </c>
      <c r="DQ23" s="40">
        <f t="shared" si="39"/>
        <v>0</v>
      </c>
      <c r="DT23" s="40">
        <f t="shared" si="40"/>
        <v>0</v>
      </c>
      <c r="DW23" s="40">
        <f t="shared" si="41"/>
        <v>0</v>
      </c>
      <c r="DY23" s="46"/>
      <c r="DZ23" s="38"/>
      <c r="EA23" s="40"/>
      <c r="EB23" s="75">
        <f t="shared" si="42"/>
        <v>465400000</v>
      </c>
      <c r="EC23" s="75">
        <f t="shared" si="43"/>
        <v>0</v>
      </c>
      <c r="ED23" s="40">
        <f t="shared" si="44"/>
        <v>2671.25</v>
      </c>
      <c r="EE23" s="41">
        <f t="shared" si="45"/>
        <v>2.0662870648904168E-3</v>
      </c>
      <c r="EG23" s="75">
        <f t="shared" si="46"/>
        <v>0</v>
      </c>
      <c r="EH23" s="40">
        <f t="shared" si="47"/>
        <v>0</v>
      </c>
      <c r="EI23" s="41">
        <f t="shared" si="48"/>
        <v>0</v>
      </c>
      <c r="EJ23" s="41"/>
      <c r="EK23" s="75">
        <f t="shared" si="49"/>
        <v>465400000</v>
      </c>
      <c r="EL23" s="75">
        <f t="shared" si="50"/>
        <v>0</v>
      </c>
      <c r="EM23" s="75">
        <f t="shared" si="51"/>
        <v>2671.25</v>
      </c>
      <c r="EN23" s="41">
        <f t="shared" si="52"/>
        <v>2.0662870648904168E-3</v>
      </c>
      <c r="EP23" s="40"/>
    </row>
    <row r="24" spans="1:146" x14ac:dyDescent="0.25">
      <c r="A24" s="25">
        <f t="shared" si="53"/>
        <v>44422</v>
      </c>
      <c r="D24" s="40">
        <f t="shared" si="2"/>
        <v>0</v>
      </c>
      <c r="E24" s="40">
        <v>0</v>
      </c>
      <c r="G24" s="40">
        <f t="shared" si="3"/>
        <v>0</v>
      </c>
      <c r="J24" s="40">
        <f t="shared" si="4"/>
        <v>0</v>
      </c>
      <c r="M24" s="40">
        <f t="shared" si="5"/>
        <v>0</v>
      </c>
      <c r="P24" s="40">
        <f t="shared" si="6"/>
        <v>0</v>
      </c>
      <c r="S24" s="40">
        <f t="shared" si="7"/>
        <v>0</v>
      </c>
      <c r="V24" s="40">
        <f t="shared" si="8"/>
        <v>0</v>
      </c>
      <c r="Y24" s="40">
        <f t="shared" si="9"/>
        <v>0</v>
      </c>
      <c r="AB24" s="40">
        <f t="shared" si="10"/>
        <v>0</v>
      </c>
      <c r="AE24" s="40">
        <v>0</v>
      </c>
      <c r="AH24" s="40">
        <v>0</v>
      </c>
      <c r="AI24" s="73">
        <f>82925000</f>
        <v>82925000</v>
      </c>
      <c r="AJ24" s="74">
        <v>1.6000000000000001E-3</v>
      </c>
      <c r="AK24" s="40">
        <f t="shared" si="11"/>
        <v>368.55555555555554</v>
      </c>
      <c r="AL24" s="73">
        <f t="shared" si="0"/>
        <v>65000000</v>
      </c>
      <c r="AM24" s="74">
        <v>2.0999999999999999E-3</v>
      </c>
      <c r="AN24" s="40">
        <f t="shared" si="12"/>
        <v>379.16666666666669</v>
      </c>
      <c r="AO24" s="73">
        <f>45000000+40000000</f>
        <v>85000000</v>
      </c>
      <c r="AP24" s="74">
        <v>2.2000000000000001E-3</v>
      </c>
      <c r="AQ24" s="40">
        <f t="shared" si="13"/>
        <v>519.44444444444446</v>
      </c>
      <c r="AR24" s="73">
        <f t="shared" si="1"/>
        <v>59750000</v>
      </c>
      <c r="AS24" s="74">
        <v>2.0999999999999999E-3</v>
      </c>
      <c r="AT24" s="40">
        <f t="shared" si="14"/>
        <v>348.54166666666663</v>
      </c>
      <c r="AU24" s="73">
        <f t="shared" si="56"/>
        <v>172725000</v>
      </c>
      <c r="AV24" s="74">
        <v>2.2000000000000001E-3</v>
      </c>
      <c r="AW24" s="40">
        <f t="shared" si="15"/>
        <v>1055.5416666666667</v>
      </c>
      <c r="AX24" s="73"/>
      <c r="AY24" s="74"/>
      <c r="AZ24" s="40">
        <f t="shared" si="16"/>
        <v>0</v>
      </c>
      <c r="BA24" s="73"/>
      <c r="BB24" s="74"/>
      <c r="BC24" s="40">
        <f t="shared" si="17"/>
        <v>0</v>
      </c>
      <c r="BF24" s="40">
        <f t="shared" si="18"/>
        <v>0</v>
      </c>
      <c r="BI24" s="40">
        <f t="shared" si="19"/>
        <v>0</v>
      </c>
      <c r="BL24" s="40">
        <f t="shared" si="20"/>
        <v>0</v>
      </c>
      <c r="BO24" s="40">
        <f t="shared" si="21"/>
        <v>0</v>
      </c>
      <c r="BR24" s="40">
        <f t="shared" si="22"/>
        <v>0</v>
      </c>
      <c r="BU24" s="40">
        <f t="shared" si="23"/>
        <v>0</v>
      </c>
      <c r="BX24" s="40">
        <f t="shared" si="24"/>
        <v>0</v>
      </c>
      <c r="CA24" s="40">
        <f t="shared" si="25"/>
        <v>0</v>
      </c>
      <c r="CD24" s="40">
        <f t="shared" si="26"/>
        <v>0</v>
      </c>
      <c r="CG24" s="40">
        <f t="shared" si="27"/>
        <v>0</v>
      </c>
      <c r="CJ24" s="40">
        <f t="shared" si="28"/>
        <v>0</v>
      </c>
      <c r="CM24" s="40">
        <f t="shared" si="29"/>
        <v>0</v>
      </c>
      <c r="CP24" s="40">
        <f t="shared" si="30"/>
        <v>0</v>
      </c>
      <c r="CS24" s="40">
        <f t="shared" si="31"/>
        <v>0</v>
      </c>
      <c r="CV24" s="40">
        <f t="shared" si="32"/>
        <v>0</v>
      </c>
      <c r="CY24" s="40">
        <f t="shared" si="33"/>
        <v>0</v>
      </c>
      <c r="DB24" s="40">
        <f t="shared" si="34"/>
        <v>0</v>
      </c>
      <c r="DE24" s="40">
        <f t="shared" si="35"/>
        <v>0</v>
      </c>
      <c r="DH24" s="40">
        <f t="shared" si="36"/>
        <v>0</v>
      </c>
      <c r="DK24" s="40">
        <f t="shared" si="37"/>
        <v>0</v>
      </c>
      <c r="DN24" s="40">
        <f t="shared" si="38"/>
        <v>0</v>
      </c>
      <c r="DQ24" s="40">
        <f t="shared" si="39"/>
        <v>0</v>
      </c>
      <c r="DT24" s="40">
        <f t="shared" si="40"/>
        <v>0</v>
      </c>
      <c r="DW24" s="40">
        <f t="shared" si="41"/>
        <v>0</v>
      </c>
      <c r="DY24" s="46"/>
      <c r="DZ24" s="38"/>
      <c r="EA24" s="40"/>
      <c r="EB24" s="75">
        <f t="shared" si="42"/>
        <v>465400000</v>
      </c>
      <c r="EC24" s="75">
        <f t="shared" si="43"/>
        <v>0</v>
      </c>
      <c r="ED24" s="40">
        <f t="shared" si="44"/>
        <v>2671.25</v>
      </c>
      <c r="EE24" s="41">
        <f t="shared" si="45"/>
        <v>2.0662870648904168E-3</v>
      </c>
      <c r="EG24" s="75">
        <f t="shared" si="46"/>
        <v>0</v>
      </c>
      <c r="EH24" s="40">
        <f t="shared" si="47"/>
        <v>0</v>
      </c>
      <c r="EI24" s="41">
        <f t="shared" si="48"/>
        <v>0</v>
      </c>
      <c r="EJ24" s="41"/>
      <c r="EK24" s="75">
        <f t="shared" si="49"/>
        <v>465400000</v>
      </c>
      <c r="EL24" s="75">
        <f t="shared" si="50"/>
        <v>0</v>
      </c>
      <c r="EM24" s="75">
        <f t="shared" si="51"/>
        <v>2671.25</v>
      </c>
      <c r="EN24" s="41">
        <f t="shared" si="52"/>
        <v>2.0662870648904168E-3</v>
      </c>
      <c r="EP24" s="40"/>
    </row>
    <row r="25" spans="1:146" x14ac:dyDescent="0.25">
      <c r="A25" s="25">
        <f t="shared" si="53"/>
        <v>44423</v>
      </c>
      <c r="D25" s="40">
        <f t="shared" si="2"/>
        <v>0</v>
      </c>
      <c r="E25" s="40">
        <v>0</v>
      </c>
      <c r="G25" s="40">
        <f t="shared" si="3"/>
        <v>0</v>
      </c>
      <c r="J25" s="40">
        <f t="shared" si="4"/>
        <v>0</v>
      </c>
      <c r="M25" s="40">
        <f t="shared" si="5"/>
        <v>0</v>
      </c>
      <c r="P25" s="40">
        <f t="shared" si="6"/>
        <v>0</v>
      </c>
      <c r="S25" s="40">
        <f t="shared" si="7"/>
        <v>0</v>
      </c>
      <c r="V25" s="40">
        <f t="shared" si="8"/>
        <v>0</v>
      </c>
      <c r="Y25" s="40">
        <f t="shared" si="9"/>
        <v>0</v>
      </c>
      <c r="AB25" s="40">
        <f t="shared" si="10"/>
        <v>0</v>
      </c>
      <c r="AE25" s="40">
        <v>0</v>
      </c>
      <c r="AH25" s="40">
        <v>0</v>
      </c>
      <c r="AI25" s="73">
        <f>82925000</f>
        <v>82925000</v>
      </c>
      <c r="AJ25" s="74">
        <v>1.6000000000000001E-3</v>
      </c>
      <c r="AK25" s="40">
        <f t="shared" si="11"/>
        <v>368.55555555555554</v>
      </c>
      <c r="AL25" s="73">
        <f t="shared" si="0"/>
        <v>65000000</v>
      </c>
      <c r="AM25" s="74">
        <v>2.0999999999999999E-3</v>
      </c>
      <c r="AN25" s="40">
        <f t="shared" si="12"/>
        <v>379.16666666666669</v>
      </c>
      <c r="AO25" s="73">
        <f>45000000+40000000</f>
        <v>85000000</v>
      </c>
      <c r="AP25" s="74">
        <v>2.2000000000000001E-3</v>
      </c>
      <c r="AQ25" s="40">
        <f t="shared" si="13"/>
        <v>519.44444444444446</v>
      </c>
      <c r="AR25" s="73">
        <f t="shared" si="1"/>
        <v>59750000</v>
      </c>
      <c r="AS25" s="74">
        <v>2.0999999999999999E-3</v>
      </c>
      <c r="AT25" s="40">
        <f t="shared" si="14"/>
        <v>348.54166666666663</v>
      </c>
      <c r="AU25" s="73">
        <f t="shared" si="56"/>
        <v>172725000</v>
      </c>
      <c r="AV25" s="74">
        <v>2.2000000000000001E-3</v>
      </c>
      <c r="AW25" s="40">
        <f t="shared" si="15"/>
        <v>1055.5416666666667</v>
      </c>
      <c r="AX25" s="73"/>
      <c r="AY25" s="74"/>
      <c r="AZ25" s="40">
        <f t="shared" si="16"/>
        <v>0</v>
      </c>
      <c r="BA25" s="73"/>
      <c r="BB25" s="74"/>
      <c r="BC25" s="40">
        <f t="shared" si="17"/>
        <v>0</v>
      </c>
      <c r="BF25" s="40">
        <f t="shared" si="18"/>
        <v>0</v>
      </c>
      <c r="BI25" s="40">
        <f t="shared" si="19"/>
        <v>0</v>
      </c>
      <c r="BL25" s="40">
        <f t="shared" si="20"/>
        <v>0</v>
      </c>
      <c r="BO25" s="40">
        <f t="shared" si="21"/>
        <v>0</v>
      </c>
      <c r="BR25" s="40">
        <f t="shared" si="22"/>
        <v>0</v>
      </c>
      <c r="BU25" s="40">
        <f t="shared" si="23"/>
        <v>0</v>
      </c>
      <c r="BX25" s="40">
        <f t="shared" si="24"/>
        <v>0</v>
      </c>
      <c r="CA25" s="40">
        <f t="shared" si="25"/>
        <v>0</v>
      </c>
      <c r="CD25" s="40">
        <f t="shared" si="26"/>
        <v>0</v>
      </c>
      <c r="CG25" s="40">
        <f t="shared" si="27"/>
        <v>0</v>
      </c>
      <c r="CJ25" s="40">
        <f t="shared" si="28"/>
        <v>0</v>
      </c>
      <c r="CM25" s="40">
        <f t="shared" si="29"/>
        <v>0</v>
      </c>
      <c r="CP25" s="40">
        <f t="shared" si="30"/>
        <v>0</v>
      </c>
      <c r="CS25" s="40">
        <f t="shared" si="31"/>
        <v>0</v>
      </c>
      <c r="CV25" s="40">
        <f t="shared" si="32"/>
        <v>0</v>
      </c>
      <c r="CY25" s="40">
        <f t="shared" si="33"/>
        <v>0</v>
      </c>
      <c r="DB25" s="40">
        <f t="shared" si="34"/>
        <v>0</v>
      </c>
      <c r="DE25" s="40">
        <f t="shared" si="35"/>
        <v>0</v>
      </c>
      <c r="DH25" s="40">
        <f t="shared" si="36"/>
        <v>0</v>
      </c>
      <c r="DK25" s="40">
        <f t="shared" si="37"/>
        <v>0</v>
      </c>
      <c r="DN25" s="40">
        <f t="shared" si="38"/>
        <v>0</v>
      </c>
      <c r="DQ25" s="40">
        <f t="shared" si="39"/>
        <v>0</v>
      </c>
      <c r="DT25" s="40">
        <f t="shared" si="40"/>
        <v>0</v>
      </c>
      <c r="DW25" s="40">
        <f t="shared" si="41"/>
        <v>0</v>
      </c>
      <c r="DY25" s="46"/>
      <c r="DZ25" s="38"/>
      <c r="EA25" s="40"/>
      <c r="EB25" s="75">
        <f t="shared" si="42"/>
        <v>465400000</v>
      </c>
      <c r="EC25" s="75">
        <f t="shared" si="43"/>
        <v>0</v>
      </c>
      <c r="ED25" s="40">
        <f t="shared" si="44"/>
        <v>2671.25</v>
      </c>
      <c r="EE25" s="41">
        <f t="shared" si="45"/>
        <v>2.0662870648904168E-3</v>
      </c>
      <c r="EG25" s="75">
        <f t="shared" si="46"/>
        <v>0</v>
      </c>
      <c r="EH25" s="40">
        <f t="shared" si="47"/>
        <v>0</v>
      </c>
      <c r="EI25" s="41">
        <f t="shared" si="48"/>
        <v>0</v>
      </c>
      <c r="EJ25" s="41"/>
      <c r="EK25" s="75">
        <f t="shared" si="49"/>
        <v>465400000</v>
      </c>
      <c r="EL25" s="75">
        <f t="shared" si="50"/>
        <v>0</v>
      </c>
      <c r="EM25" s="75">
        <f t="shared" si="51"/>
        <v>2671.25</v>
      </c>
      <c r="EN25" s="41">
        <f t="shared" si="52"/>
        <v>2.0662870648904168E-3</v>
      </c>
      <c r="EP25" s="40"/>
    </row>
    <row r="26" spans="1:146" x14ac:dyDescent="0.25">
      <c r="A26" s="25">
        <f t="shared" si="53"/>
        <v>44424</v>
      </c>
      <c r="D26" s="40">
        <f t="shared" si="2"/>
        <v>0</v>
      </c>
      <c r="E26" s="40">
        <v>20438747.989999998</v>
      </c>
      <c r="F26" s="41">
        <v>5.9999999999999995E-4</v>
      </c>
      <c r="G26" s="40">
        <f t="shared" si="3"/>
        <v>34.064579983333324</v>
      </c>
      <c r="J26" s="40">
        <f t="shared" si="4"/>
        <v>0</v>
      </c>
      <c r="M26" s="40">
        <f t="shared" si="5"/>
        <v>0</v>
      </c>
      <c r="P26" s="40">
        <f t="shared" si="6"/>
        <v>0</v>
      </c>
      <c r="S26" s="40">
        <f t="shared" si="7"/>
        <v>0</v>
      </c>
      <c r="V26" s="40">
        <f t="shared" si="8"/>
        <v>0</v>
      </c>
      <c r="Y26" s="40">
        <f t="shared" si="9"/>
        <v>0</v>
      </c>
      <c r="AB26" s="40">
        <f t="shared" si="10"/>
        <v>0</v>
      </c>
      <c r="AE26" s="40">
        <v>0</v>
      </c>
      <c r="AH26" s="40">
        <v>0</v>
      </c>
      <c r="AI26" s="73">
        <f>102825000</f>
        <v>102825000</v>
      </c>
      <c r="AJ26" s="74">
        <v>1.6000000000000001E-3</v>
      </c>
      <c r="AK26" s="40">
        <f t="shared" si="11"/>
        <v>457</v>
      </c>
      <c r="AL26" s="73">
        <f t="shared" si="0"/>
        <v>65000000</v>
      </c>
      <c r="AM26" s="74">
        <v>2.0999999999999999E-3</v>
      </c>
      <c r="AN26" s="40">
        <f t="shared" si="12"/>
        <v>379.16666666666669</v>
      </c>
      <c r="AO26" s="73"/>
      <c r="AP26" s="74"/>
      <c r="AQ26" s="40">
        <f t="shared" si="13"/>
        <v>0</v>
      </c>
      <c r="AR26" s="73">
        <f t="shared" si="1"/>
        <v>59750000</v>
      </c>
      <c r="AS26" s="74">
        <v>2.0999999999999999E-3</v>
      </c>
      <c r="AT26" s="40">
        <f t="shared" si="14"/>
        <v>348.54166666666663</v>
      </c>
      <c r="AU26" s="73">
        <f t="shared" si="56"/>
        <v>172725000</v>
      </c>
      <c r="AV26" s="74">
        <v>2.2000000000000001E-3</v>
      </c>
      <c r="AW26" s="40">
        <f t="shared" si="15"/>
        <v>1055.5416666666667</v>
      </c>
      <c r="AX26" s="73"/>
      <c r="AY26" s="74"/>
      <c r="AZ26" s="40">
        <f t="shared" si="16"/>
        <v>0</v>
      </c>
      <c r="BA26" s="73"/>
      <c r="BB26" s="74"/>
      <c r="BC26" s="40">
        <f t="shared" si="17"/>
        <v>0</v>
      </c>
      <c r="BF26" s="40">
        <f t="shared" si="18"/>
        <v>0</v>
      </c>
      <c r="BI26" s="40">
        <f t="shared" si="19"/>
        <v>0</v>
      </c>
      <c r="BL26" s="40">
        <f t="shared" si="20"/>
        <v>0</v>
      </c>
      <c r="BO26" s="40">
        <f t="shared" si="21"/>
        <v>0</v>
      </c>
      <c r="BR26" s="40">
        <f t="shared" si="22"/>
        <v>0</v>
      </c>
      <c r="BU26" s="40">
        <f t="shared" si="23"/>
        <v>0</v>
      </c>
      <c r="BX26" s="40">
        <f t="shared" si="24"/>
        <v>0</v>
      </c>
      <c r="CA26" s="40">
        <f t="shared" si="25"/>
        <v>0</v>
      </c>
      <c r="CD26" s="40">
        <f t="shared" si="26"/>
        <v>0</v>
      </c>
      <c r="CG26" s="40">
        <f t="shared" si="27"/>
        <v>0</v>
      </c>
      <c r="CJ26" s="40">
        <f t="shared" si="28"/>
        <v>0</v>
      </c>
      <c r="CM26" s="40">
        <f t="shared" si="29"/>
        <v>0</v>
      </c>
      <c r="CP26" s="40">
        <f t="shared" si="30"/>
        <v>0</v>
      </c>
      <c r="CS26" s="40">
        <f t="shared" si="31"/>
        <v>0</v>
      </c>
      <c r="CV26" s="40">
        <f t="shared" si="32"/>
        <v>0</v>
      </c>
      <c r="CY26" s="40">
        <f t="shared" si="33"/>
        <v>0</v>
      </c>
      <c r="DB26" s="40">
        <f t="shared" si="34"/>
        <v>0</v>
      </c>
      <c r="DE26" s="40">
        <f t="shared" si="35"/>
        <v>0</v>
      </c>
      <c r="DH26" s="40">
        <f t="shared" si="36"/>
        <v>0</v>
      </c>
      <c r="DK26" s="40">
        <f t="shared" si="37"/>
        <v>0</v>
      </c>
      <c r="DN26" s="40">
        <f t="shared" si="38"/>
        <v>0</v>
      </c>
      <c r="DQ26" s="40">
        <f t="shared" si="39"/>
        <v>0</v>
      </c>
      <c r="DT26" s="40">
        <f t="shared" si="40"/>
        <v>0</v>
      </c>
      <c r="DW26" s="40">
        <f t="shared" si="41"/>
        <v>0</v>
      </c>
      <c r="DY26" s="46"/>
      <c r="DZ26" s="38"/>
      <c r="EA26" s="40"/>
      <c r="EB26" s="75">
        <f t="shared" si="42"/>
        <v>420738747.99000001</v>
      </c>
      <c r="EC26" s="75">
        <f t="shared" si="43"/>
        <v>20438747.99000001</v>
      </c>
      <c r="ED26" s="40">
        <f t="shared" si="44"/>
        <v>2274.3145799833337</v>
      </c>
      <c r="EE26" s="41">
        <f t="shared" si="45"/>
        <v>1.9459896496470538E-3</v>
      </c>
      <c r="EG26" s="75">
        <f t="shared" si="46"/>
        <v>0</v>
      </c>
      <c r="EH26" s="40">
        <f t="shared" si="47"/>
        <v>0</v>
      </c>
      <c r="EI26" s="41">
        <f t="shared" si="48"/>
        <v>0</v>
      </c>
      <c r="EJ26" s="41"/>
      <c r="EK26" s="75">
        <f t="shared" si="49"/>
        <v>400300000</v>
      </c>
      <c r="EL26" s="75">
        <f t="shared" si="50"/>
        <v>0</v>
      </c>
      <c r="EM26" s="75">
        <f t="shared" si="51"/>
        <v>2240.25</v>
      </c>
      <c r="EN26" s="41">
        <f t="shared" si="52"/>
        <v>2.0147139645266053E-3</v>
      </c>
      <c r="EP26" s="40"/>
    </row>
    <row r="27" spans="1:146" x14ac:dyDescent="0.25">
      <c r="A27" s="25">
        <f t="shared" si="53"/>
        <v>44425</v>
      </c>
      <c r="D27" s="40">
        <f t="shared" si="2"/>
        <v>0</v>
      </c>
      <c r="E27" s="40">
        <v>11478476.08</v>
      </c>
      <c r="F27" s="41">
        <v>5.9999999999999995E-4</v>
      </c>
      <c r="G27" s="40">
        <f t="shared" si="3"/>
        <v>19.130793466666663</v>
      </c>
      <c r="J27" s="40">
        <f t="shared" si="4"/>
        <v>0</v>
      </c>
      <c r="M27" s="40">
        <f t="shared" si="5"/>
        <v>0</v>
      </c>
      <c r="P27" s="40">
        <f t="shared" si="6"/>
        <v>0</v>
      </c>
      <c r="S27" s="40">
        <f t="shared" si="7"/>
        <v>0</v>
      </c>
      <c r="V27" s="40">
        <f t="shared" si="8"/>
        <v>0</v>
      </c>
      <c r="Y27" s="40">
        <f t="shared" si="9"/>
        <v>0</v>
      </c>
      <c r="AB27" s="40">
        <f t="shared" si="10"/>
        <v>0</v>
      </c>
      <c r="AE27" s="40">
        <v>0</v>
      </c>
      <c r="AH27" s="40">
        <v>0</v>
      </c>
      <c r="AI27" s="73">
        <f>94450000</f>
        <v>94450000</v>
      </c>
      <c r="AJ27" s="74">
        <v>1.6000000000000001E-3</v>
      </c>
      <c r="AK27" s="40">
        <f t="shared" si="11"/>
        <v>419.77777777777777</v>
      </c>
      <c r="AL27" s="73">
        <f t="shared" si="0"/>
        <v>65000000</v>
      </c>
      <c r="AM27" s="74">
        <v>2.0999999999999999E-3</v>
      </c>
      <c r="AN27" s="40">
        <f t="shared" si="12"/>
        <v>379.16666666666669</v>
      </c>
      <c r="AO27" s="73"/>
      <c r="AP27" s="74"/>
      <c r="AQ27" s="40">
        <f t="shared" si="13"/>
        <v>0</v>
      </c>
      <c r="AR27" s="73">
        <f t="shared" si="1"/>
        <v>59750000</v>
      </c>
      <c r="AS27" s="74">
        <v>2.0999999999999999E-3</v>
      </c>
      <c r="AT27" s="40">
        <f t="shared" si="14"/>
        <v>348.54166666666663</v>
      </c>
      <c r="AU27" s="73">
        <f t="shared" si="56"/>
        <v>172725000</v>
      </c>
      <c r="AV27" s="74">
        <v>2.2000000000000001E-3</v>
      </c>
      <c r="AW27" s="40">
        <f t="shared" si="15"/>
        <v>1055.5416666666667</v>
      </c>
      <c r="AX27" s="73"/>
      <c r="AY27" s="74"/>
      <c r="AZ27" s="40">
        <f t="shared" si="16"/>
        <v>0</v>
      </c>
      <c r="BA27" s="73"/>
      <c r="BB27" s="74"/>
      <c r="BC27" s="40">
        <f t="shared" si="17"/>
        <v>0</v>
      </c>
      <c r="BF27" s="40">
        <f t="shared" si="18"/>
        <v>0</v>
      </c>
      <c r="BI27" s="40">
        <f t="shared" si="19"/>
        <v>0</v>
      </c>
      <c r="BL27" s="40">
        <f t="shared" si="20"/>
        <v>0</v>
      </c>
      <c r="BO27" s="40">
        <f t="shared" si="21"/>
        <v>0</v>
      </c>
      <c r="BR27" s="40">
        <f t="shared" si="22"/>
        <v>0</v>
      </c>
      <c r="BU27" s="40">
        <f t="shared" si="23"/>
        <v>0</v>
      </c>
      <c r="BX27" s="40">
        <f t="shared" si="24"/>
        <v>0</v>
      </c>
      <c r="CA27" s="40">
        <f t="shared" si="25"/>
        <v>0</v>
      </c>
      <c r="CD27" s="40">
        <f t="shared" si="26"/>
        <v>0</v>
      </c>
      <c r="CG27" s="40">
        <f t="shared" si="27"/>
        <v>0</v>
      </c>
      <c r="CJ27" s="40">
        <f t="shared" si="28"/>
        <v>0</v>
      </c>
      <c r="CM27" s="40">
        <f t="shared" si="29"/>
        <v>0</v>
      </c>
      <c r="CP27" s="40">
        <f t="shared" si="30"/>
        <v>0</v>
      </c>
      <c r="CS27" s="40">
        <f t="shared" si="31"/>
        <v>0</v>
      </c>
      <c r="CV27" s="40">
        <f t="shared" si="32"/>
        <v>0</v>
      </c>
      <c r="CY27" s="40">
        <f t="shared" si="33"/>
        <v>0</v>
      </c>
      <c r="DB27" s="40">
        <f t="shared" si="34"/>
        <v>0</v>
      </c>
      <c r="DE27" s="40">
        <f t="shared" si="35"/>
        <v>0</v>
      </c>
      <c r="DH27" s="40">
        <f t="shared" si="36"/>
        <v>0</v>
      </c>
      <c r="DK27" s="40">
        <f t="shared" si="37"/>
        <v>0</v>
      </c>
      <c r="DN27" s="40">
        <f t="shared" si="38"/>
        <v>0</v>
      </c>
      <c r="DQ27" s="40">
        <f t="shared" si="39"/>
        <v>0</v>
      </c>
      <c r="DT27" s="40">
        <f t="shared" si="40"/>
        <v>0</v>
      </c>
      <c r="DW27" s="40">
        <f t="shared" si="41"/>
        <v>0</v>
      </c>
      <c r="DY27" s="46"/>
      <c r="DZ27" s="38"/>
      <c r="EA27" s="40"/>
      <c r="EB27" s="75">
        <f t="shared" si="42"/>
        <v>403403476.07999998</v>
      </c>
      <c r="EC27" s="75">
        <f t="shared" si="43"/>
        <v>11478476.079999983</v>
      </c>
      <c r="ED27" s="40">
        <f t="shared" si="44"/>
        <v>2222.1585712444448</v>
      </c>
      <c r="EE27" s="41">
        <f t="shared" si="45"/>
        <v>1.9830693910266521E-3</v>
      </c>
      <c r="EG27" s="75">
        <f t="shared" si="46"/>
        <v>0</v>
      </c>
      <c r="EH27" s="40">
        <f t="shared" si="47"/>
        <v>0</v>
      </c>
      <c r="EI27" s="41">
        <f t="shared" si="48"/>
        <v>0</v>
      </c>
      <c r="EJ27" s="41"/>
      <c r="EK27" s="75">
        <f t="shared" si="49"/>
        <v>391925000</v>
      </c>
      <c r="EL27" s="75">
        <f t="shared" si="50"/>
        <v>0</v>
      </c>
      <c r="EM27" s="75">
        <f t="shared" si="51"/>
        <v>2203.0277777777778</v>
      </c>
      <c r="EN27" s="41">
        <f t="shared" si="52"/>
        <v>2.0235759392740957E-3</v>
      </c>
      <c r="EP27" s="40"/>
    </row>
    <row r="28" spans="1:146" x14ac:dyDescent="0.25">
      <c r="A28" s="25">
        <f t="shared" si="53"/>
        <v>44426</v>
      </c>
      <c r="D28" s="40">
        <f t="shared" si="2"/>
        <v>0</v>
      </c>
      <c r="E28" s="40">
        <v>338989.71</v>
      </c>
      <c r="F28" s="41">
        <v>5.9999999999999995E-4</v>
      </c>
      <c r="G28" s="40">
        <f t="shared" si="3"/>
        <v>0.56498284999999993</v>
      </c>
      <c r="J28" s="40">
        <f t="shared" si="4"/>
        <v>0</v>
      </c>
      <c r="M28" s="40">
        <f t="shared" si="5"/>
        <v>0</v>
      </c>
      <c r="P28" s="40">
        <f t="shared" si="6"/>
        <v>0</v>
      </c>
      <c r="S28" s="40">
        <f t="shared" si="7"/>
        <v>0</v>
      </c>
      <c r="V28" s="40">
        <f t="shared" si="8"/>
        <v>0</v>
      </c>
      <c r="Y28" s="40">
        <f t="shared" si="9"/>
        <v>0</v>
      </c>
      <c r="AB28" s="40">
        <f t="shared" si="10"/>
        <v>0</v>
      </c>
      <c r="AE28" s="40">
        <v>0</v>
      </c>
      <c r="AH28" s="40">
        <v>0</v>
      </c>
      <c r="AI28" s="73">
        <f>105275000</f>
        <v>105275000</v>
      </c>
      <c r="AJ28" s="74">
        <v>1.6000000000000001E-3</v>
      </c>
      <c r="AK28" s="40">
        <f t="shared" si="11"/>
        <v>467.88888888888891</v>
      </c>
      <c r="AL28" s="73">
        <f t="shared" si="0"/>
        <v>65000000</v>
      </c>
      <c r="AM28" s="74">
        <v>2.0999999999999999E-3</v>
      </c>
      <c r="AN28" s="40">
        <f t="shared" si="12"/>
        <v>379.16666666666669</v>
      </c>
      <c r="AO28" s="73"/>
      <c r="AP28" s="74"/>
      <c r="AQ28" s="40">
        <f t="shared" si="13"/>
        <v>0</v>
      </c>
      <c r="AR28" s="73">
        <f t="shared" si="1"/>
        <v>59750000</v>
      </c>
      <c r="AS28" s="74">
        <v>2.0999999999999999E-3</v>
      </c>
      <c r="AT28" s="40">
        <f t="shared" si="14"/>
        <v>348.54166666666663</v>
      </c>
      <c r="AU28" s="73">
        <f t="shared" si="56"/>
        <v>172725000</v>
      </c>
      <c r="AV28" s="74">
        <v>2.2000000000000001E-3</v>
      </c>
      <c r="AW28" s="40">
        <f t="shared" si="15"/>
        <v>1055.5416666666667</v>
      </c>
      <c r="AX28" s="73"/>
      <c r="AY28" s="74"/>
      <c r="AZ28" s="40">
        <f t="shared" si="16"/>
        <v>0</v>
      </c>
      <c r="BA28" s="73"/>
      <c r="BB28" s="74"/>
      <c r="BC28" s="40">
        <f t="shared" si="17"/>
        <v>0</v>
      </c>
      <c r="BF28" s="40">
        <f t="shared" si="18"/>
        <v>0</v>
      </c>
      <c r="BI28" s="40">
        <f t="shared" si="19"/>
        <v>0</v>
      </c>
      <c r="BL28" s="40">
        <f t="shared" si="20"/>
        <v>0</v>
      </c>
      <c r="BO28" s="40">
        <f t="shared" si="21"/>
        <v>0</v>
      </c>
      <c r="BR28" s="40">
        <f t="shared" si="22"/>
        <v>0</v>
      </c>
      <c r="BU28" s="40">
        <f t="shared" si="23"/>
        <v>0</v>
      </c>
      <c r="BX28" s="40">
        <f t="shared" si="24"/>
        <v>0</v>
      </c>
      <c r="CA28" s="40">
        <f t="shared" si="25"/>
        <v>0</v>
      </c>
      <c r="CD28" s="40">
        <f t="shared" si="26"/>
        <v>0</v>
      </c>
      <c r="CG28" s="40">
        <f t="shared" si="27"/>
        <v>0</v>
      </c>
      <c r="CJ28" s="40">
        <f t="shared" si="28"/>
        <v>0</v>
      </c>
      <c r="CM28" s="40">
        <f t="shared" si="29"/>
        <v>0</v>
      </c>
      <c r="CP28" s="40">
        <f t="shared" si="30"/>
        <v>0</v>
      </c>
      <c r="CS28" s="40">
        <f t="shared" si="31"/>
        <v>0</v>
      </c>
      <c r="CV28" s="40">
        <f t="shared" si="32"/>
        <v>0</v>
      </c>
      <c r="CY28" s="40">
        <f t="shared" si="33"/>
        <v>0</v>
      </c>
      <c r="DB28" s="40">
        <f t="shared" si="34"/>
        <v>0</v>
      </c>
      <c r="DE28" s="40">
        <f t="shared" si="35"/>
        <v>0</v>
      </c>
      <c r="DH28" s="40">
        <f t="shared" si="36"/>
        <v>0</v>
      </c>
      <c r="DK28" s="40">
        <f t="shared" si="37"/>
        <v>0</v>
      </c>
      <c r="DN28" s="40">
        <f t="shared" si="38"/>
        <v>0</v>
      </c>
      <c r="DQ28" s="40">
        <f t="shared" si="39"/>
        <v>0</v>
      </c>
      <c r="DT28" s="40">
        <f t="shared" si="40"/>
        <v>0</v>
      </c>
      <c r="DW28" s="40">
        <f t="shared" si="41"/>
        <v>0</v>
      </c>
      <c r="DY28" s="46"/>
      <c r="DZ28" s="38"/>
      <c r="EA28" s="40"/>
      <c r="EB28" s="75">
        <f t="shared" si="42"/>
        <v>403088989.71000004</v>
      </c>
      <c r="EC28" s="75">
        <f t="shared" si="43"/>
        <v>338989.71000003815</v>
      </c>
      <c r="ED28" s="40">
        <f t="shared" si="44"/>
        <v>2251.7038717388887</v>
      </c>
      <c r="EE28" s="41">
        <f t="shared" si="45"/>
        <v>2.011003561295958E-3</v>
      </c>
      <c r="EG28" s="75">
        <f t="shared" si="46"/>
        <v>0</v>
      </c>
      <c r="EH28" s="40">
        <f t="shared" si="47"/>
        <v>0</v>
      </c>
      <c r="EI28" s="41">
        <f t="shared" si="48"/>
        <v>0</v>
      </c>
      <c r="EJ28" s="41"/>
      <c r="EK28" s="75">
        <f t="shared" si="49"/>
        <v>402750000</v>
      </c>
      <c r="EL28" s="75">
        <f t="shared" si="50"/>
        <v>0</v>
      </c>
      <c r="EM28" s="75">
        <f t="shared" si="51"/>
        <v>2251.1388888888891</v>
      </c>
      <c r="EN28" s="41">
        <f t="shared" si="52"/>
        <v>2.0121911855990071E-3</v>
      </c>
      <c r="EP28" s="40"/>
    </row>
    <row r="29" spans="1:146" x14ac:dyDescent="0.25">
      <c r="A29" s="25">
        <f t="shared" si="53"/>
        <v>44427</v>
      </c>
      <c r="D29" s="40">
        <f t="shared" si="2"/>
        <v>0</v>
      </c>
      <c r="E29" s="40">
        <v>1668636.33</v>
      </c>
      <c r="F29" s="41">
        <v>5.0000000000000001E-4</v>
      </c>
      <c r="G29" s="40">
        <f t="shared" si="3"/>
        <v>2.3175504583333333</v>
      </c>
      <c r="J29" s="40">
        <f t="shared" si="4"/>
        <v>0</v>
      </c>
      <c r="M29" s="40">
        <f t="shared" si="5"/>
        <v>0</v>
      </c>
      <c r="P29" s="40">
        <f t="shared" si="6"/>
        <v>0</v>
      </c>
      <c r="S29" s="40">
        <f t="shared" si="7"/>
        <v>0</v>
      </c>
      <c r="V29" s="40">
        <f t="shared" si="8"/>
        <v>0</v>
      </c>
      <c r="Y29" s="40">
        <f t="shared" si="9"/>
        <v>0</v>
      </c>
      <c r="AB29" s="40">
        <f t="shared" si="10"/>
        <v>0</v>
      </c>
      <c r="AE29" s="40">
        <v>0</v>
      </c>
      <c r="AH29" s="40">
        <v>0</v>
      </c>
      <c r="AI29" s="73">
        <f>103975000</f>
        <v>103975000</v>
      </c>
      <c r="AJ29" s="74">
        <v>1.6000000000000001E-3</v>
      </c>
      <c r="AK29" s="40">
        <f t="shared" si="11"/>
        <v>462.11111111111109</v>
      </c>
      <c r="AL29" s="73">
        <f t="shared" si="0"/>
        <v>65000000</v>
      </c>
      <c r="AM29" s="74">
        <v>2.0999999999999999E-3</v>
      </c>
      <c r="AN29" s="40">
        <f t="shared" si="12"/>
        <v>379.16666666666669</v>
      </c>
      <c r="AO29" s="73"/>
      <c r="AP29" s="74"/>
      <c r="AQ29" s="40">
        <f t="shared" si="13"/>
        <v>0</v>
      </c>
      <c r="AR29" s="73">
        <f t="shared" si="1"/>
        <v>59750000</v>
      </c>
      <c r="AS29" s="74">
        <v>2.0999999999999999E-3</v>
      </c>
      <c r="AT29" s="40">
        <f t="shared" si="14"/>
        <v>348.54166666666663</v>
      </c>
      <c r="AU29" s="73">
        <f t="shared" si="56"/>
        <v>172725000</v>
      </c>
      <c r="AV29" s="74">
        <v>2.2000000000000001E-3</v>
      </c>
      <c r="AW29" s="40">
        <f t="shared" si="15"/>
        <v>1055.5416666666667</v>
      </c>
      <c r="AX29" s="73"/>
      <c r="AY29" s="74"/>
      <c r="AZ29" s="40">
        <f t="shared" si="16"/>
        <v>0</v>
      </c>
      <c r="BA29" s="73"/>
      <c r="BB29" s="74"/>
      <c r="BC29" s="40">
        <f t="shared" si="17"/>
        <v>0</v>
      </c>
      <c r="BF29" s="40">
        <f t="shared" si="18"/>
        <v>0</v>
      </c>
      <c r="BI29" s="40">
        <f t="shared" si="19"/>
        <v>0</v>
      </c>
      <c r="BL29" s="40">
        <f t="shared" si="20"/>
        <v>0</v>
      </c>
      <c r="BO29" s="40">
        <f t="shared" si="21"/>
        <v>0</v>
      </c>
      <c r="BR29" s="40">
        <f t="shared" si="22"/>
        <v>0</v>
      </c>
      <c r="BU29" s="40">
        <f t="shared" si="23"/>
        <v>0</v>
      </c>
      <c r="BX29" s="40">
        <f t="shared" si="24"/>
        <v>0</v>
      </c>
      <c r="CA29" s="40">
        <f t="shared" si="25"/>
        <v>0</v>
      </c>
      <c r="CD29" s="40">
        <f t="shared" si="26"/>
        <v>0</v>
      </c>
      <c r="CG29" s="40">
        <f t="shared" si="27"/>
        <v>0</v>
      </c>
      <c r="CJ29" s="40">
        <f t="shared" si="28"/>
        <v>0</v>
      </c>
      <c r="CM29" s="40">
        <f t="shared" si="29"/>
        <v>0</v>
      </c>
      <c r="CP29" s="40">
        <f t="shared" si="30"/>
        <v>0</v>
      </c>
      <c r="CS29" s="40">
        <f t="shared" si="31"/>
        <v>0</v>
      </c>
      <c r="CV29" s="40">
        <f t="shared" si="32"/>
        <v>0</v>
      </c>
      <c r="CY29" s="40">
        <f t="shared" si="33"/>
        <v>0</v>
      </c>
      <c r="DB29" s="40">
        <f t="shared" si="34"/>
        <v>0</v>
      </c>
      <c r="DE29" s="40">
        <f t="shared" si="35"/>
        <v>0</v>
      </c>
      <c r="DH29" s="40">
        <f t="shared" si="36"/>
        <v>0</v>
      </c>
      <c r="DK29" s="40">
        <f t="shared" si="37"/>
        <v>0</v>
      </c>
      <c r="DN29" s="40">
        <f t="shared" si="38"/>
        <v>0</v>
      </c>
      <c r="DQ29" s="40">
        <f t="shared" si="39"/>
        <v>0</v>
      </c>
      <c r="DT29" s="40">
        <f t="shared" si="40"/>
        <v>0</v>
      </c>
      <c r="DW29" s="40">
        <f t="shared" si="41"/>
        <v>0</v>
      </c>
      <c r="DY29" s="46"/>
      <c r="DZ29" s="38"/>
      <c r="EA29" s="40"/>
      <c r="EB29" s="75">
        <f t="shared" si="42"/>
        <v>403118636.32999998</v>
      </c>
      <c r="EC29" s="75">
        <f t="shared" si="43"/>
        <v>1668636.3299999833</v>
      </c>
      <c r="ED29" s="40">
        <f t="shared" si="44"/>
        <v>2247.6786615694446</v>
      </c>
      <c r="EE29" s="41">
        <f t="shared" si="45"/>
        <v>2.0072610026955042E-3</v>
      </c>
      <c r="EG29" s="75">
        <f t="shared" si="46"/>
        <v>0</v>
      </c>
      <c r="EH29" s="40">
        <f t="shared" si="47"/>
        <v>0</v>
      </c>
      <c r="EI29" s="41">
        <f t="shared" si="48"/>
        <v>0</v>
      </c>
      <c r="EJ29" s="41"/>
      <c r="EK29" s="75">
        <f t="shared" si="49"/>
        <v>401450000</v>
      </c>
      <c r="EL29" s="75">
        <f t="shared" si="50"/>
        <v>0</v>
      </c>
      <c r="EM29" s="75">
        <f t="shared" si="51"/>
        <v>2245.3611111111113</v>
      </c>
      <c r="EN29" s="41">
        <f t="shared" si="52"/>
        <v>2.0135259683646783E-3</v>
      </c>
      <c r="EP29" s="40"/>
    </row>
    <row r="30" spans="1:146" x14ac:dyDescent="0.25">
      <c r="A30" s="25">
        <f t="shared" si="53"/>
        <v>44428</v>
      </c>
      <c r="D30" s="40">
        <f t="shared" si="2"/>
        <v>0</v>
      </c>
      <c r="E30" s="40">
        <v>0</v>
      </c>
      <c r="G30" s="40">
        <f t="shared" si="3"/>
        <v>0</v>
      </c>
      <c r="J30" s="40">
        <f t="shared" si="4"/>
        <v>0</v>
      </c>
      <c r="M30" s="40">
        <f t="shared" si="5"/>
        <v>0</v>
      </c>
      <c r="P30" s="40">
        <f t="shared" si="6"/>
        <v>0</v>
      </c>
      <c r="S30" s="40">
        <f t="shared" si="7"/>
        <v>0</v>
      </c>
      <c r="V30" s="40">
        <f t="shared" si="8"/>
        <v>0</v>
      </c>
      <c r="Y30" s="40">
        <f t="shared" si="9"/>
        <v>0</v>
      </c>
      <c r="AB30" s="40">
        <f t="shared" si="10"/>
        <v>0</v>
      </c>
      <c r="AE30" s="40">
        <v>0</v>
      </c>
      <c r="AH30" s="40">
        <v>0</v>
      </c>
      <c r="AI30" s="73">
        <f>107375000</f>
        <v>107375000</v>
      </c>
      <c r="AJ30" s="74">
        <v>1.6000000000000001E-3</v>
      </c>
      <c r="AK30" s="40">
        <f t="shared" si="11"/>
        <v>477.22222222222223</v>
      </c>
      <c r="AL30" s="73">
        <f t="shared" si="0"/>
        <v>65000000</v>
      </c>
      <c r="AM30" s="74">
        <v>2.0999999999999999E-3</v>
      </c>
      <c r="AN30" s="40">
        <f t="shared" si="12"/>
        <v>379.16666666666669</v>
      </c>
      <c r="AO30" s="73"/>
      <c r="AP30" s="74"/>
      <c r="AQ30" s="40">
        <f t="shared" si="13"/>
        <v>0</v>
      </c>
      <c r="AR30" s="73">
        <f t="shared" si="1"/>
        <v>59750000</v>
      </c>
      <c r="AS30" s="74">
        <v>2.0999999999999999E-3</v>
      </c>
      <c r="AT30" s="40">
        <f t="shared" si="14"/>
        <v>348.54166666666663</v>
      </c>
      <c r="AU30" s="73">
        <f t="shared" si="56"/>
        <v>172725000</v>
      </c>
      <c r="AV30" s="74">
        <v>2.2000000000000001E-3</v>
      </c>
      <c r="AW30" s="40">
        <f t="shared" si="15"/>
        <v>1055.5416666666667</v>
      </c>
      <c r="AX30" s="73"/>
      <c r="AY30" s="74"/>
      <c r="AZ30" s="40">
        <f t="shared" si="16"/>
        <v>0</v>
      </c>
      <c r="BA30" s="73"/>
      <c r="BB30" s="74"/>
      <c r="BC30" s="40">
        <f t="shared" si="17"/>
        <v>0</v>
      </c>
      <c r="BF30" s="40">
        <f t="shared" si="18"/>
        <v>0</v>
      </c>
      <c r="BI30" s="40">
        <f t="shared" si="19"/>
        <v>0</v>
      </c>
      <c r="BL30" s="40">
        <f t="shared" si="20"/>
        <v>0</v>
      </c>
      <c r="BO30" s="40">
        <f t="shared" si="21"/>
        <v>0</v>
      </c>
      <c r="BR30" s="40">
        <f t="shared" si="22"/>
        <v>0</v>
      </c>
      <c r="BU30" s="40">
        <f t="shared" si="23"/>
        <v>0</v>
      </c>
      <c r="BX30" s="40">
        <f t="shared" si="24"/>
        <v>0</v>
      </c>
      <c r="CA30" s="40">
        <f t="shared" si="25"/>
        <v>0</v>
      </c>
      <c r="CD30" s="40">
        <f t="shared" si="26"/>
        <v>0</v>
      </c>
      <c r="CG30" s="40">
        <f t="shared" si="27"/>
        <v>0</v>
      </c>
      <c r="CJ30" s="40">
        <f t="shared" si="28"/>
        <v>0</v>
      </c>
      <c r="CM30" s="40">
        <f t="shared" si="29"/>
        <v>0</v>
      </c>
      <c r="CP30" s="40">
        <f t="shared" si="30"/>
        <v>0</v>
      </c>
      <c r="CS30" s="40">
        <f t="shared" si="31"/>
        <v>0</v>
      </c>
      <c r="CV30" s="40">
        <f t="shared" si="32"/>
        <v>0</v>
      </c>
      <c r="CY30" s="40">
        <f t="shared" si="33"/>
        <v>0</v>
      </c>
      <c r="DB30" s="40">
        <f t="shared" si="34"/>
        <v>0</v>
      </c>
      <c r="DE30" s="40">
        <f t="shared" si="35"/>
        <v>0</v>
      </c>
      <c r="DH30" s="40">
        <f t="shared" si="36"/>
        <v>0</v>
      </c>
      <c r="DK30" s="40">
        <f t="shared" si="37"/>
        <v>0</v>
      </c>
      <c r="DN30" s="40">
        <f t="shared" si="38"/>
        <v>0</v>
      </c>
      <c r="DQ30" s="40">
        <f t="shared" si="39"/>
        <v>0</v>
      </c>
      <c r="DT30" s="40">
        <f t="shared" si="40"/>
        <v>0</v>
      </c>
      <c r="DW30" s="40">
        <f t="shared" si="41"/>
        <v>0</v>
      </c>
      <c r="DY30" s="46"/>
      <c r="DZ30" s="38"/>
      <c r="EA30" s="40"/>
      <c r="EB30" s="75">
        <f t="shared" si="42"/>
        <v>404850000</v>
      </c>
      <c r="EC30" s="75">
        <f t="shared" si="43"/>
        <v>0</v>
      </c>
      <c r="ED30" s="40">
        <f t="shared" si="44"/>
        <v>2260.4722222222226</v>
      </c>
      <c r="EE30" s="41">
        <f t="shared" si="45"/>
        <v>2.0100531060886755E-3</v>
      </c>
      <c r="EG30" s="75">
        <f t="shared" si="46"/>
        <v>0</v>
      </c>
      <c r="EH30" s="40">
        <f t="shared" si="47"/>
        <v>0</v>
      </c>
      <c r="EI30" s="41">
        <f t="shared" si="48"/>
        <v>0</v>
      </c>
      <c r="EJ30" s="41"/>
      <c r="EK30" s="75">
        <f t="shared" si="49"/>
        <v>404850000</v>
      </c>
      <c r="EL30" s="75">
        <f t="shared" si="50"/>
        <v>0</v>
      </c>
      <c r="EM30" s="75">
        <f t="shared" si="51"/>
        <v>2260.4722222222226</v>
      </c>
      <c r="EN30" s="41">
        <f t="shared" si="52"/>
        <v>2.0100531060886755E-3</v>
      </c>
      <c r="EP30" s="40"/>
    </row>
    <row r="31" spans="1:146" x14ac:dyDescent="0.25">
      <c r="A31" s="25">
        <f t="shared" si="53"/>
        <v>44429</v>
      </c>
      <c r="D31" s="40">
        <f t="shared" si="2"/>
        <v>0</v>
      </c>
      <c r="E31" s="40">
        <v>0</v>
      </c>
      <c r="G31" s="40">
        <f t="shared" si="3"/>
        <v>0</v>
      </c>
      <c r="J31" s="40">
        <f t="shared" si="4"/>
        <v>0</v>
      </c>
      <c r="M31" s="40">
        <f t="shared" si="5"/>
        <v>0</v>
      </c>
      <c r="P31" s="40">
        <f t="shared" si="6"/>
        <v>0</v>
      </c>
      <c r="S31" s="40">
        <f t="shared" si="7"/>
        <v>0</v>
      </c>
      <c r="V31" s="40">
        <f t="shared" si="8"/>
        <v>0</v>
      </c>
      <c r="Y31" s="40">
        <f t="shared" si="9"/>
        <v>0</v>
      </c>
      <c r="AB31" s="40">
        <f t="shared" si="10"/>
        <v>0</v>
      </c>
      <c r="AE31" s="40">
        <v>0</v>
      </c>
      <c r="AH31" s="40">
        <v>0</v>
      </c>
      <c r="AI31" s="73">
        <f>107375000</f>
        <v>107375000</v>
      </c>
      <c r="AJ31" s="74">
        <v>1.6000000000000001E-3</v>
      </c>
      <c r="AK31" s="40">
        <f t="shared" si="11"/>
        <v>477.22222222222223</v>
      </c>
      <c r="AL31" s="73">
        <f t="shared" si="0"/>
        <v>65000000</v>
      </c>
      <c r="AM31" s="74">
        <v>2.0999999999999999E-3</v>
      </c>
      <c r="AN31" s="40">
        <f t="shared" si="12"/>
        <v>379.16666666666669</v>
      </c>
      <c r="AO31" s="73"/>
      <c r="AP31" s="74"/>
      <c r="AQ31" s="40">
        <f t="shared" si="13"/>
        <v>0</v>
      </c>
      <c r="AR31" s="73">
        <f t="shared" si="1"/>
        <v>59750000</v>
      </c>
      <c r="AS31" s="74">
        <v>2.0999999999999999E-3</v>
      </c>
      <c r="AT31" s="40">
        <f t="shared" si="14"/>
        <v>348.54166666666663</v>
      </c>
      <c r="AU31" s="73">
        <f t="shared" si="56"/>
        <v>172725000</v>
      </c>
      <c r="AV31" s="74">
        <v>2.2000000000000001E-3</v>
      </c>
      <c r="AW31" s="40">
        <f t="shared" si="15"/>
        <v>1055.5416666666667</v>
      </c>
      <c r="AX31" s="73"/>
      <c r="AY31" s="74"/>
      <c r="AZ31" s="40">
        <f t="shared" si="16"/>
        <v>0</v>
      </c>
      <c r="BA31" s="73"/>
      <c r="BB31" s="74"/>
      <c r="BC31" s="40">
        <f t="shared" si="17"/>
        <v>0</v>
      </c>
      <c r="BF31" s="40">
        <f t="shared" si="18"/>
        <v>0</v>
      </c>
      <c r="BI31" s="40">
        <f t="shared" si="19"/>
        <v>0</v>
      </c>
      <c r="BL31" s="40">
        <f t="shared" si="20"/>
        <v>0</v>
      </c>
      <c r="BO31" s="40">
        <f t="shared" si="21"/>
        <v>0</v>
      </c>
      <c r="BR31" s="40">
        <f t="shared" si="22"/>
        <v>0</v>
      </c>
      <c r="BU31" s="40">
        <f t="shared" si="23"/>
        <v>0</v>
      </c>
      <c r="BX31" s="40">
        <f t="shared" si="24"/>
        <v>0</v>
      </c>
      <c r="CA31" s="40">
        <f t="shared" si="25"/>
        <v>0</v>
      </c>
      <c r="CD31" s="40">
        <f t="shared" si="26"/>
        <v>0</v>
      </c>
      <c r="CG31" s="40">
        <f t="shared" si="27"/>
        <v>0</v>
      </c>
      <c r="CJ31" s="40">
        <f t="shared" si="28"/>
        <v>0</v>
      </c>
      <c r="CM31" s="40">
        <f t="shared" si="29"/>
        <v>0</v>
      </c>
      <c r="CP31" s="40">
        <f t="shared" si="30"/>
        <v>0</v>
      </c>
      <c r="CS31" s="40">
        <f t="shared" si="31"/>
        <v>0</v>
      </c>
      <c r="CV31" s="40">
        <f t="shared" si="32"/>
        <v>0</v>
      </c>
      <c r="CY31" s="40">
        <f t="shared" si="33"/>
        <v>0</v>
      </c>
      <c r="DB31" s="40">
        <f t="shared" si="34"/>
        <v>0</v>
      </c>
      <c r="DE31" s="40">
        <f t="shared" si="35"/>
        <v>0</v>
      </c>
      <c r="DH31" s="40">
        <f t="shared" si="36"/>
        <v>0</v>
      </c>
      <c r="DK31" s="40">
        <f t="shared" si="37"/>
        <v>0</v>
      </c>
      <c r="DN31" s="40">
        <f t="shared" si="38"/>
        <v>0</v>
      </c>
      <c r="DQ31" s="40">
        <f t="shared" si="39"/>
        <v>0</v>
      </c>
      <c r="DT31" s="40">
        <f t="shared" si="40"/>
        <v>0</v>
      </c>
      <c r="DW31" s="40">
        <f t="shared" si="41"/>
        <v>0</v>
      </c>
      <c r="DY31" s="46"/>
      <c r="DZ31" s="38"/>
      <c r="EA31" s="40"/>
      <c r="EB31" s="75">
        <f t="shared" si="42"/>
        <v>404850000</v>
      </c>
      <c r="EC31" s="75">
        <f t="shared" si="43"/>
        <v>0</v>
      </c>
      <c r="ED31" s="40">
        <f t="shared" si="44"/>
        <v>2260.4722222222226</v>
      </c>
      <c r="EE31" s="41">
        <f t="shared" si="45"/>
        <v>2.0100531060886755E-3</v>
      </c>
      <c r="EG31" s="75">
        <f t="shared" si="46"/>
        <v>0</v>
      </c>
      <c r="EH31" s="40">
        <f t="shared" si="47"/>
        <v>0</v>
      </c>
      <c r="EI31" s="41">
        <f t="shared" si="48"/>
        <v>0</v>
      </c>
      <c r="EJ31" s="41"/>
      <c r="EK31" s="75">
        <f t="shared" si="49"/>
        <v>404850000</v>
      </c>
      <c r="EL31" s="75">
        <f t="shared" si="50"/>
        <v>0</v>
      </c>
      <c r="EM31" s="75">
        <f t="shared" si="51"/>
        <v>2260.4722222222226</v>
      </c>
      <c r="EN31" s="41">
        <f t="shared" si="52"/>
        <v>2.0100531060886755E-3</v>
      </c>
      <c r="EP31" s="40"/>
    </row>
    <row r="32" spans="1:146" x14ac:dyDescent="0.25">
      <c r="A32" s="25">
        <f t="shared" si="53"/>
        <v>44430</v>
      </c>
      <c r="D32" s="40">
        <f t="shared" si="2"/>
        <v>0</v>
      </c>
      <c r="E32" s="40">
        <v>0</v>
      </c>
      <c r="G32" s="40">
        <f t="shared" si="3"/>
        <v>0</v>
      </c>
      <c r="J32" s="40">
        <f t="shared" si="4"/>
        <v>0</v>
      </c>
      <c r="M32" s="40">
        <f t="shared" si="5"/>
        <v>0</v>
      </c>
      <c r="P32" s="40">
        <f t="shared" si="6"/>
        <v>0</v>
      </c>
      <c r="S32" s="40">
        <f t="shared" si="7"/>
        <v>0</v>
      </c>
      <c r="V32" s="40">
        <f t="shared" si="8"/>
        <v>0</v>
      </c>
      <c r="Y32" s="40">
        <f t="shared" si="9"/>
        <v>0</v>
      </c>
      <c r="AB32" s="40">
        <f t="shared" si="10"/>
        <v>0</v>
      </c>
      <c r="AE32" s="40">
        <v>0</v>
      </c>
      <c r="AH32" s="40">
        <v>0</v>
      </c>
      <c r="AI32" s="73">
        <f>107375000</f>
        <v>107375000</v>
      </c>
      <c r="AJ32" s="74">
        <v>1.6000000000000001E-3</v>
      </c>
      <c r="AK32" s="40">
        <f t="shared" si="11"/>
        <v>477.22222222222223</v>
      </c>
      <c r="AL32" s="73">
        <f t="shared" si="0"/>
        <v>65000000</v>
      </c>
      <c r="AM32" s="74">
        <v>2.0999999999999999E-3</v>
      </c>
      <c r="AN32" s="40">
        <f t="shared" si="12"/>
        <v>379.16666666666669</v>
      </c>
      <c r="AO32" s="73"/>
      <c r="AP32" s="74"/>
      <c r="AQ32" s="40">
        <f t="shared" si="13"/>
        <v>0</v>
      </c>
      <c r="AR32" s="73">
        <f t="shared" si="1"/>
        <v>59750000</v>
      </c>
      <c r="AS32" s="74">
        <v>2.0999999999999999E-3</v>
      </c>
      <c r="AT32" s="40">
        <f t="shared" si="14"/>
        <v>348.54166666666663</v>
      </c>
      <c r="AU32" s="73">
        <f t="shared" si="56"/>
        <v>172725000</v>
      </c>
      <c r="AV32" s="74">
        <v>2.2000000000000001E-3</v>
      </c>
      <c r="AW32" s="40">
        <f t="shared" si="15"/>
        <v>1055.5416666666667</v>
      </c>
      <c r="AX32" s="73"/>
      <c r="AY32" s="74"/>
      <c r="AZ32" s="40">
        <f t="shared" si="16"/>
        <v>0</v>
      </c>
      <c r="BA32" s="73"/>
      <c r="BB32" s="74"/>
      <c r="BC32" s="40">
        <f t="shared" si="17"/>
        <v>0</v>
      </c>
      <c r="BF32" s="40">
        <f t="shared" si="18"/>
        <v>0</v>
      </c>
      <c r="BI32" s="40">
        <f t="shared" si="19"/>
        <v>0</v>
      </c>
      <c r="BL32" s="40">
        <f t="shared" si="20"/>
        <v>0</v>
      </c>
      <c r="BO32" s="40">
        <f t="shared" si="21"/>
        <v>0</v>
      </c>
      <c r="BR32" s="40">
        <f t="shared" si="22"/>
        <v>0</v>
      </c>
      <c r="BU32" s="40">
        <f t="shared" si="23"/>
        <v>0</v>
      </c>
      <c r="BX32" s="40">
        <f t="shared" si="24"/>
        <v>0</v>
      </c>
      <c r="CA32" s="40">
        <f t="shared" si="25"/>
        <v>0</v>
      </c>
      <c r="CD32" s="40">
        <f t="shared" si="26"/>
        <v>0</v>
      </c>
      <c r="CG32" s="40">
        <f t="shared" si="27"/>
        <v>0</v>
      </c>
      <c r="CJ32" s="40">
        <f t="shared" si="28"/>
        <v>0</v>
      </c>
      <c r="CM32" s="40">
        <f t="shared" si="29"/>
        <v>0</v>
      </c>
      <c r="CP32" s="40">
        <f t="shared" si="30"/>
        <v>0</v>
      </c>
      <c r="CS32" s="40">
        <f t="shared" si="31"/>
        <v>0</v>
      </c>
      <c r="CV32" s="40">
        <f t="shared" si="32"/>
        <v>0</v>
      </c>
      <c r="CY32" s="40">
        <f t="shared" si="33"/>
        <v>0</v>
      </c>
      <c r="DB32" s="40">
        <f t="shared" si="34"/>
        <v>0</v>
      </c>
      <c r="DE32" s="40">
        <f t="shared" si="35"/>
        <v>0</v>
      </c>
      <c r="DH32" s="40">
        <f t="shared" si="36"/>
        <v>0</v>
      </c>
      <c r="DK32" s="40">
        <f t="shared" si="37"/>
        <v>0</v>
      </c>
      <c r="DN32" s="40">
        <f t="shared" si="38"/>
        <v>0</v>
      </c>
      <c r="DQ32" s="40">
        <f t="shared" si="39"/>
        <v>0</v>
      </c>
      <c r="DT32" s="40">
        <f t="shared" si="40"/>
        <v>0</v>
      </c>
      <c r="DW32" s="40">
        <f t="shared" si="41"/>
        <v>0</v>
      </c>
      <c r="DY32" s="46"/>
      <c r="DZ32" s="38"/>
      <c r="EA32" s="40"/>
      <c r="EB32" s="75">
        <f t="shared" si="42"/>
        <v>404850000</v>
      </c>
      <c r="EC32" s="75">
        <f t="shared" si="43"/>
        <v>0</v>
      </c>
      <c r="ED32" s="40">
        <f t="shared" si="44"/>
        <v>2260.4722222222226</v>
      </c>
      <c r="EE32" s="41">
        <f t="shared" si="45"/>
        <v>2.0100531060886755E-3</v>
      </c>
      <c r="EG32" s="75">
        <f t="shared" si="46"/>
        <v>0</v>
      </c>
      <c r="EH32" s="40">
        <f t="shared" si="47"/>
        <v>0</v>
      </c>
      <c r="EI32" s="41">
        <f t="shared" si="48"/>
        <v>0</v>
      </c>
      <c r="EJ32" s="41"/>
      <c r="EK32" s="75">
        <f t="shared" si="49"/>
        <v>404850000</v>
      </c>
      <c r="EL32" s="75">
        <f t="shared" si="50"/>
        <v>0</v>
      </c>
      <c r="EM32" s="75">
        <f t="shared" si="51"/>
        <v>2260.4722222222226</v>
      </c>
      <c r="EN32" s="41">
        <f t="shared" si="52"/>
        <v>2.0100531060886755E-3</v>
      </c>
      <c r="EP32" s="40"/>
    </row>
    <row r="33" spans="1:146" x14ac:dyDescent="0.25">
      <c r="A33" s="25">
        <f t="shared" si="53"/>
        <v>44431</v>
      </c>
      <c r="D33" s="40">
        <f t="shared" si="2"/>
        <v>0</v>
      </c>
      <c r="E33" s="40">
        <v>0</v>
      </c>
      <c r="G33" s="40">
        <f t="shared" si="3"/>
        <v>0</v>
      </c>
      <c r="J33" s="40">
        <f t="shared" si="4"/>
        <v>0</v>
      </c>
      <c r="M33" s="40">
        <f t="shared" si="5"/>
        <v>0</v>
      </c>
      <c r="P33" s="40">
        <f t="shared" si="6"/>
        <v>0</v>
      </c>
      <c r="S33" s="40">
        <f t="shared" si="7"/>
        <v>0</v>
      </c>
      <c r="V33" s="40">
        <f t="shared" si="8"/>
        <v>0</v>
      </c>
      <c r="Y33" s="40">
        <f t="shared" si="9"/>
        <v>0</v>
      </c>
      <c r="AB33" s="40">
        <f t="shared" si="10"/>
        <v>0</v>
      </c>
      <c r="AE33" s="40">
        <v>0</v>
      </c>
      <c r="AH33" s="40">
        <v>0</v>
      </c>
      <c r="AI33" s="73">
        <f>69500000</f>
        <v>69500000</v>
      </c>
      <c r="AJ33" s="74">
        <v>1.6000000000000001E-3</v>
      </c>
      <c r="AK33" s="40">
        <f t="shared" si="11"/>
        <v>308.88888888888891</v>
      </c>
      <c r="AL33" s="73">
        <f t="shared" ref="AL33:AL39" si="57">15000000+25000000</f>
        <v>40000000</v>
      </c>
      <c r="AM33" s="74">
        <v>2.0999999999999999E-3</v>
      </c>
      <c r="AN33" s="40">
        <f t="shared" si="12"/>
        <v>233.33333333333334</v>
      </c>
      <c r="AO33" s="73">
        <f t="shared" ref="AO33:AO41" si="58">25000000</f>
        <v>25000000</v>
      </c>
      <c r="AP33" s="74">
        <v>1.9E-3</v>
      </c>
      <c r="AQ33" s="40">
        <f t="shared" si="13"/>
        <v>131.94444444444446</v>
      </c>
      <c r="AR33" s="73">
        <f t="shared" si="1"/>
        <v>59750000</v>
      </c>
      <c r="AS33" s="74">
        <v>2.0999999999999999E-3</v>
      </c>
      <c r="AT33" s="40">
        <f t="shared" si="14"/>
        <v>348.54166666666663</v>
      </c>
      <c r="AU33" s="73">
        <f t="shared" si="56"/>
        <v>172725000</v>
      </c>
      <c r="AV33" s="74">
        <v>2.2000000000000001E-3</v>
      </c>
      <c r="AW33" s="40">
        <f t="shared" si="15"/>
        <v>1055.5416666666667</v>
      </c>
      <c r="AX33" s="73">
        <f t="shared" ref="AX33:AX41" si="59">30000000+10000000</f>
        <v>40000000</v>
      </c>
      <c r="AY33" s="74">
        <v>2E-3</v>
      </c>
      <c r="AZ33" s="40">
        <f t="shared" si="16"/>
        <v>222.22222222222223</v>
      </c>
      <c r="BA33" s="73"/>
      <c r="BB33" s="74"/>
      <c r="BC33" s="40">
        <f t="shared" si="17"/>
        <v>0</v>
      </c>
      <c r="BF33" s="40">
        <f t="shared" si="18"/>
        <v>0</v>
      </c>
      <c r="BI33" s="40">
        <f t="shared" si="19"/>
        <v>0</v>
      </c>
      <c r="BL33" s="40">
        <f t="shared" si="20"/>
        <v>0</v>
      </c>
      <c r="BO33" s="40">
        <f t="shared" si="21"/>
        <v>0</v>
      </c>
      <c r="BR33" s="40">
        <f t="shared" si="22"/>
        <v>0</v>
      </c>
      <c r="BU33" s="40">
        <f t="shared" si="23"/>
        <v>0</v>
      </c>
      <c r="BX33" s="40">
        <f t="shared" si="24"/>
        <v>0</v>
      </c>
      <c r="CA33" s="40">
        <f t="shared" si="25"/>
        <v>0</v>
      </c>
      <c r="CD33" s="40">
        <f t="shared" si="26"/>
        <v>0</v>
      </c>
      <c r="CG33" s="40">
        <f t="shared" si="27"/>
        <v>0</v>
      </c>
      <c r="CJ33" s="40">
        <f t="shared" si="28"/>
        <v>0</v>
      </c>
      <c r="CM33" s="40">
        <f t="shared" si="29"/>
        <v>0</v>
      </c>
      <c r="CP33" s="40">
        <f t="shared" si="30"/>
        <v>0</v>
      </c>
      <c r="CS33" s="40">
        <f t="shared" si="31"/>
        <v>0</v>
      </c>
      <c r="CV33" s="40">
        <f t="shared" si="32"/>
        <v>0</v>
      </c>
      <c r="CY33" s="40">
        <f t="shared" si="33"/>
        <v>0</v>
      </c>
      <c r="DB33" s="40">
        <f t="shared" si="34"/>
        <v>0</v>
      </c>
      <c r="DE33" s="40">
        <f t="shared" si="35"/>
        <v>0</v>
      </c>
      <c r="DH33" s="40">
        <f t="shared" si="36"/>
        <v>0</v>
      </c>
      <c r="DK33" s="40">
        <f t="shared" si="37"/>
        <v>0</v>
      </c>
      <c r="DN33" s="40">
        <f t="shared" si="38"/>
        <v>0</v>
      </c>
      <c r="DQ33" s="40">
        <f t="shared" si="39"/>
        <v>0</v>
      </c>
      <c r="DT33" s="40">
        <f t="shared" si="40"/>
        <v>0</v>
      </c>
      <c r="DW33" s="40">
        <f t="shared" si="41"/>
        <v>0</v>
      </c>
      <c r="DY33" s="46"/>
      <c r="DZ33" s="38"/>
      <c r="EA33" s="40"/>
      <c r="EB33" s="75">
        <f t="shared" si="42"/>
        <v>406975000</v>
      </c>
      <c r="EC33" s="75">
        <f t="shared" si="43"/>
        <v>0</v>
      </c>
      <c r="ED33" s="40">
        <f t="shared" si="44"/>
        <v>2300.4722222222222</v>
      </c>
      <c r="EE33" s="41">
        <f t="shared" si="45"/>
        <v>2.0349407211745192E-3</v>
      </c>
      <c r="EG33" s="75">
        <f t="shared" si="46"/>
        <v>0</v>
      </c>
      <c r="EH33" s="40">
        <f t="shared" si="47"/>
        <v>0</v>
      </c>
      <c r="EI33" s="41">
        <f t="shared" si="48"/>
        <v>0</v>
      </c>
      <c r="EJ33" s="41"/>
      <c r="EK33" s="75">
        <f t="shared" si="49"/>
        <v>406975000</v>
      </c>
      <c r="EL33" s="75">
        <f t="shared" si="50"/>
        <v>0</v>
      </c>
      <c r="EM33" s="75">
        <f t="shared" si="51"/>
        <v>2300.4722222222222</v>
      </c>
      <c r="EN33" s="41">
        <f t="shared" si="52"/>
        <v>2.0349407211745192E-3</v>
      </c>
      <c r="EP33" s="40"/>
    </row>
    <row r="34" spans="1:146" x14ac:dyDescent="0.25">
      <c r="A34" s="25">
        <f t="shared" si="53"/>
        <v>44432</v>
      </c>
      <c r="D34" s="40">
        <f t="shared" si="2"/>
        <v>0</v>
      </c>
      <c r="E34" s="40">
        <v>1435492.21</v>
      </c>
      <c r="F34" s="41">
        <v>5.0000000000000001E-4</v>
      </c>
      <c r="G34" s="40">
        <f t="shared" si="3"/>
        <v>1.9937391805555553</v>
      </c>
      <c r="J34" s="40">
        <f t="shared" si="4"/>
        <v>0</v>
      </c>
      <c r="M34" s="40">
        <f t="shared" si="5"/>
        <v>0</v>
      </c>
      <c r="P34" s="40">
        <f t="shared" si="6"/>
        <v>0</v>
      </c>
      <c r="S34" s="40">
        <f t="shared" si="7"/>
        <v>0</v>
      </c>
      <c r="V34" s="40">
        <f t="shared" si="8"/>
        <v>0</v>
      </c>
      <c r="Y34" s="40">
        <f t="shared" si="9"/>
        <v>0</v>
      </c>
      <c r="AB34" s="40">
        <f t="shared" si="10"/>
        <v>0</v>
      </c>
      <c r="AE34" s="40">
        <v>0</v>
      </c>
      <c r="AH34" s="40">
        <v>0</v>
      </c>
      <c r="AI34" s="73">
        <f>67000000</f>
        <v>67000000</v>
      </c>
      <c r="AJ34" s="74">
        <v>1.6000000000000001E-3</v>
      </c>
      <c r="AK34" s="40">
        <f t="shared" si="11"/>
        <v>297.77777777777777</v>
      </c>
      <c r="AL34" s="73">
        <f t="shared" si="57"/>
        <v>40000000</v>
      </c>
      <c r="AM34" s="74">
        <v>2.0999999999999999E-3</v>
      </c>
      <c r="AN34" s="40">
        <f t="shared" si="12"/>
        <v>233.33333333333334</v>
      </c>
      <c r="AO34" s="73">
        <f t="shared" si="58"/>
        <v>25000000</v>
      </c>
      <c r="AP34" s="74">
        <v>1.9E-3</v>
      </c>
      <c r="AQ34" s="40">
        <f t="shared" si="13"/>
        <v>131.94444444444446</v>
      </c>
      <c r="AR34" s="73">
        <f t="shared" si="1"/>
        <v>59750000</v>
      </c>
      <c r="AS34" s="74">
        <v>2.0999999999999999E-3</v>
      </c>
      <c r="AT34" s="40">
        <f t="shared" si="14"/>
        <v>348.54166666666663</v>
      </c>
      <c r="AU34" s="73">
        <f t="shared" si="56"/>
        <v>172725000</v>
      </c>
      <c r="AV34" s="74">
        <v>2.2000000000000001E-3</v>
      </c>
      <c r="AW34" s="40">
        <f t="shared" si="15"/>
        <v>1055.5416666666667</v>
      </c>
      <c r="AX34" s="73">
        <f t="shared" si="59"/>
        <v>40000000</v>
      </c>
      <c r="AY34" s="74">
        <v>2E-3</v>
      </c>
      <c r="AZ34" s="40">
        <f t="shared" si="16"/>
        <v>222.22222222222223</v>
      </c>
      <c r="BA34" s="73"/>
      <c r="BB34" s="74"/>
      <c r="BC34" s="40">
        <f t="shared" si="17"/>
        <v>0</v>
      </c>
      <c r="BF34" s="40">
        <f t="shared" si="18"/>
        <v>0</v>
      </c>
      <c r="BI34" s="40">
        <f t="shared" si="19"/>
        <v>0</v>
      </c>
      <c r="BL34" s="40">
        <f t="shared" si="20"/>
        <v>0</v>
      </c>
      <c r="BO34" s="40">
        <f t="shared" si="21"/>
        <v>0</v>
      </c>
      <c r="BR34" s="40">
        <f t="shared" si="22"/>
        <v>0</v>
      </c>
      <c r="BU34" s="40">
        <f t="shared" si="23"/>
        <v>0</v>
      </c>
      <c r="BX34" s="40">
        <f t="shared" si="24"/>
        <v>0</v>
      </c>
      <c r="CA34" s="40">
        <f t="shared" si="25"/>
        <v>0</v>
      </c>
      <c r="CD34" s="40">
        <f t="shared" si="26"/>
        <v>0</v>
      </c>
      <c r="CG34" s="40">
        <f t="shared" si="27"/>
        <v>0</v>
      </c>
      <c r="CJ34" s="40">
        <f t="shared" si="28"/>
        <v>0</v>
      </c>
      <c r="CM34" s="40">
        <f t="shared" si="29"/>
        <v>0</v>
      </c>
      <c r="CP34" s="40">
        <f t="shared" si="30"/>
        <v>0</v>
      </c>
      <c r="CS34" s="40">
        <f t="shared" si="31"/>
        <v>0</v>
      </c>
      <c r="CV34" s="40">
        <f t="shared" si="32"/>
        <v>0</v>
      </c>
      <c r="CY34" s="40">
        <f t="shared" si="33"/>
        <v>0</v>
      </c>
      <c r="DB34" s="40">
        <f t="shared" si="34"/>
        <v>0</v>
      </c>
      <c r="DE34" s="40">
        <f t="shared" si="35"/>
        <v>0</v>
      </c>
      <c r="DH34" s="40">
        <f t="shared" si="36"/>
        <v>0</v>
      </c>
      <c r="DK34" s="40">
        <f t="shared" si="37"/>
        <v>0</v>
      </c>
      <c r="DN34" s="40">
        <f t="shared" si="38"/>
        <v>0</v>
      </c>
      <c r="DQ34" s="40">
        <f t="shared" si="39"/>
        <v>0</v>
      </c>
      <c r="DT34" s="40">
        <f t="shared" si="40"/>
        <v>0</v>
      </c>
      <c r="DW34" s="40">
        <f t="shared" si="41"/>
        <v>0</v>
      </c>
      <c r="DY34" s="46"/>
      <c r="DZ34" s="38"/>
      <c r="EA34" s="40"/>
      <c r="EB34" s="75">
        <f t="shared" si="42"/>
        <v>405910492.21000004</v>
      </c>
      <c r="EC34" s="75">
        <f t="shared" si="43"/>
        <v>1435492.2100000381</v>
      </c>
      <c r="ED34" s="40">
        <f t="shared" si="44"/>
        <v>2291.3548502916669</v>
      </c>
      <c r="EE34" s="41">
        <f t="shared" si="45"/>
        <v>2.0321912390435081E-3</v>
      </c>
      <c r="EG34" s="75">
        <f t="shared" si="46"/>
        <v>0</v>
      </c>
      <c r="EH34" s="40">
        <f t="shared" si="47"/>
        <v>0</v>
      </c>
      <c r="EI34" s="41">
        <f t="shared" si="48"/>
        <v>0</v>
      </c>
      <c r="EJ34" s="41"/>
      <c r="EK34" s="75">
        <f t="shared" si="49"/>
        <v>404475000</v>
      </c>
      <c r="EL34" s="75">
        <f t="shared" si="50"/>
        <v>0</v>
      </c>
      <c r="EM34" s="75">
        <f t="shared" si="51"/>
        <v>2289.3611111111109</v>
      </c>
      <c r="EN34" s="41">
        <f t="shared" si="52"/>
        <v>2.0376290252796833E-3</v>
      </c>
      <c r="EP34" s="40"/>
    </row>
    <row r="35" spans="1:146" x14ac:dyDescent="0.25">
      <c r="A35" s="25">
        <f t="shared" si="53"/>
        <v>44433</v>
      </c>
      <c r="D35" s="40">
        <f t="shared" si="2"/>
        <v>0</v>
      </c>
      <c r="E35" s="40">
        <v>0</v>
      </c>
      <c r="G35" s="40">
        <f t="shared" si="3"/>
        <v>0</v>
      </c>
      <c r="J35" s="40">
        <f t="shared" si="4"/>
        <v>0</v>
      </c>
      <c r="M35" s="40">
        <f t="shared" si="5"/>
        <v>0</v>
      </c>
      <c r="P35" s="40">
        <f t="shared" si="6"/>
        <v>0</v>
      </c>
      <c r="S35" s="40">
        <f t="shared" si="7"/>
        <v>0</v>
      </c>
      <c r="V35" s="40">
        <f t="shared" si="8"/>
        <v>0</v>
      </c>
      <c r="Y35" s="40">
        <f t="shared" si="9"/>
        <v>0</v>
      </c>
      <c r="AB35" s="40">
        <f t="shared" si="10"/>
        <v>0</v>
      </c>
      <c r="AE35" s="40">
        <v>0</v>
      </c>
      <c r="AH35" s="40">
        <v>0</v>
      </c>
      <c r="AI35" s="73">
        <f>70300000</f>
        <v>70300000</v>
      </c>
      <c r="AJ35" s="74">
        <v>1.6000000000000001E-3</v>
      </c>
      <c r="AK35" s="40">
        <f t="shared" si="11"/>
        <v>312.44444444444446</v>
      </c>
      <c r="AL35" s="73">
        <f t="shared" si="57"/>
        <v>40000000</v>
      </c>
      <c r="AM35" s="74">
        <v>2.0999999999999999E-3</v>
      </c>
      <c r="AN35" s="40">
        <f t="shared" si="12"/>
        <v>233.33333333333334</v>
      </c>
      <c r="AO35" s="73">
        <f t="shared" si="58"/>
        <v>25000000</v>
      </c>
      <c r="AP35" s="74">
        <v>1.9E-3</v>
      </c>
      <c r="AQ35" s="40">
        <f t="shared" si="13"/>
        <v>131.94444444444446</v>
      </c>
      <c r="AR35" s="73">
        <f t="shared" si="1"/>
        <v>59750000</v>
      </c>
      <c r="AS35" s="74">
        <v>2.0999999999999999E-3</v>
      </c>
      <c r="AT35" s="40">
        <f t="shared" si="14"/>
        <v>348.54166666666663</v>
      </c>
      <c r="AU35" s="73">
        <f t="shared" si="56"/>
        <v>172725000</v>
      </c>
      <c r="AV35" s="74">
        <v>2.2000000000000001E-3</v>
      </c>
      <c r="AW35" s="40">
        <f t="shared" si="15"/>
        <v>1055.5416666666667</v>
      </c>
      <c r="AX35" s="73">
        <f t="shared" si="59"/>
        <v>40000000</v>
      </c>
      <c r="AY35" s="74">
        <v>2E-3</v>
      </c>
      <c r="AZ35" s="40">
        <f t="shared" si="16"/>
        <v>222.22222222222223</v>
      </c>
      <c r="BA35" s="73"/>
      <c r="BB35" s="74"/>
      <c r="BC35" s="40">
        <f t="shared" si="17"/>
        <v>0</v>
      </c>
      <c r="BF35" s="40">
        <f t="shared" si="18"/>
        <v>0</v>
      </c>
      <c r="BI35" s="40">
        <f t="shared" si="19"/>
        <v>0</v>
      </c>
      <c r="BL35" s="40">
        <f t="shared" si="20"/>
        <v>0</v>
      </c>
      <c r="BO35" s="40">
        <f t="shared" si="21"/>
        <v>0</v>
      </c>
      <c r="BR35" s="40">
        <f t="shared" si="22"/>
        <v>0</v>
      </c>
      <c r="BU35" s="40">
        <f t="shared" si="23"/>
        <v>0</v>
      </c>
      <c r="BX35" s="40">
        <f t="shared" si="24"/>
        <v>0</v>
      </c>
      <c r="CA35" s="40">
        <f t="shared" si="25"/>
        <v>0</v>
      </c>
      <c r="CD35" s="40">
        <f t="shared" si="26"/>
        <v>0</v>
      </c>
      <c r="CG35" s="40">
        <f t="shared" si="27"/>
        <v>0</v>
      </c>
      <c r="CJ35" s="40">
        <f t="shared" si="28"/>
        <v>0</v>
      </c>
      <c r="CM35" s="40">
        <f t="shared" si="29"/>
        <v>0</v>
      </c>
      <c r="CP35" s="40">
        <f t="shared" si="30"/>
        <v>0</v>
      </c>
      <c r="CS35" s="40">
        <f t="shared" si="31"/>
        <v>0</v>
      </c>
      <c r="CV35" s="40">
        <f t="shared" si="32"/>
        <v>0</v>
      </c>
      <c r="CY35" s="40">
        <f t="shared" si="33"/>
        <v>0</v>
      </c>
      <c r="DB35" s="40">
        <f t="shared" si="34"/>
        <v>0</v>
      </c>
      <c r="DE35" s="40">
        <f t="shared" si="35"/>
        <v>0</v>
      </c>
      <c r="DH35" s="40">
        <f t="shared" si="36"/>
        <v>0</v>
      </c>
      <c r="DK35" s="40">
        <f t="shared" si="37"/>
        <v>0</v>
      </c>
      <c r="DN35" s="40">
        <f t="shared" si="38"/>
        <v>0</v>
      </c>
      <c r="DQ35" s="40">
        <f t="shared" si="39"/>
        <v>0</v>
      </c>
      <c r="DT35" s="40">
        <f t="shared" si="40"/>
        <v>0</v>
      </c>
      <c r="DW35" s="40">
        <f t="shared" si="41"/>
        <v>0</v>
      </c>
      <c r="DY35" s="46"/>
      <c r="DZ35" s="38"/>
      <c r="EA35" s="40"/>
      <c r="EB35" s="75">
        <f t="shared" si="42"/>
        <v>407775000</v>
      </c>
      <c r="EC35" s="75">
        <f t="shared" si="43"/>
        <v>0</v>
      </c>
      <c r="ED35" s="40">
        <f t="shared" si="44"/>
        <v>2304.0277777777778</v>
      </c>
      <c r="EE35" s="41">
        <f t="shared" si="45"/>
        <v>2.0340874256636627E-3</v>
      </c>
      <c r="EG35" s="75">
        <f t="shared" si="46"/>
        <v>0</v>
      </c>
      <c r="EH35" s="40">
        <f t="shared" si="47"/>
        <v>0</v>
      </c>
      <c r="EI35" s="41">
        <f t="shared" si="48"/>
        <v>0</v>
      </c>
      <c r="EJ35" s="41"/>
      <c r="EK35" s="75">
        <f t="shared" si="49"/>
        <v>407775000</v>
      </c>
      <c r="EL35" s="75">
        <f t="shared" si="50"/>
        <v>0</v>
      </c>
      <c r="EM35" s="75">
        <f t="shared" si="51"/>
        <v>2304.0277777777778</v>
      </c>
      <c r="EN35" s="41">
        <f t="shared" si="52"/>
        <v>2.0340874256636627E-3</v>
      </c>
      <c r="EP35" s="40"/>
    </row>
    <row r="36" spans="1:146" x14ac:dyDescent="0.25">
      <c r="A36" s="25">
        <f t="shared" si="53"/>
        <v>44434</v>
      </c>
      <c r="D36" s="40">
        <f t="shared" si="2"/>
        <v>0</v>
      </c>
      <c r="E36" s="40">
        <v>0</v>
      </c>
      <c r="G36" s="40">
        <f t="shared" si="3"/>
        <v>0</v>
      </c>
      <c r="J36" s="40">
        <f t="shared" si="4"/>
        <v>0</v>
      </c>
      <c r="M36" s="40">
        <f t="shared" si="5"/>
        <v>0</v>
      </c>
      <c r="P36" s="40">
        <f t="shared" si="6"/>
        <v>0</v>
      </c>
      <c r="S36" s="40">
        <f t="shared" si="7"/>
        <v>0</v>
      </c>
      <c r="V36" s="40">
        <f t="shared" si="8"/>
        <v>0</v>
      </c>
      <c r="Y36" s="40">
        <f t="shared" si="9"/>
        <v>0</v>
      </c>
      <c r="AB36" s="40">
        <f t="shared" si="10"/>
        <v>0</v>
      </c>
      <c r="AE36" s="40">
        <v>0</v>
      </c>
      <c r="AH36" s="40">
        <v>0</v>
      </c>
      <c r="AI36" s="73">
        <f>73100000</f>
        <v>73100000</v>
      </c>
      <c r="AJ36" s="74">
        <v>1.6000000000000001E-3</v>
      </c>
      <c r="AK36" s="40">
        <f t="shared" si="11"/>
        <v>324.88888888888891</v>
      </c>
      <c r="AL36" s="73">
        <f t="shared" si="57"/>
        <v>40000000</v>
      </c>
      <c r="AM36" s="74">
        <v>2.0999999999999999E-3</v>
      </c>
      <c r="AN36" s="40">
        <f t="shared" si="12"/>
        <v>233.33333333333334</v>
      </c>
      <c r="AO36" s="73">
        <f t="shared" si="58"/>
        <v>25000000</v>
      </c>
      <c r="AP36" s="74">
        <v>1.9E-3</v>
      </c>
      <c r="AQ36" s="40">
        <f t="shared" si="13"/>
        <v>131.94444444444446</v>
      </c>
      <c r="AR36" s="73">
        <f t="shared" si="1"/>
        <v>59750000</v>
      </c>
      <c r="AS36" s="74">
        <v>2.0999999999999999E-3</v>
      </c>
      <c r="AT36" s="40">
        <f t="shared" si="14"/>
        <v>348.54166666666663</v>
      </c>
      <c r="AU36" s="73">
        <f t="shared" si="56"/>
        <v>172725000</v>
      </c>
      <c r="AV36" s="74">
        <v>2.2000000000000001E-3</v>
      </c>
      <c r="AW36" s="40">
        <f t="shared" si="15"/>
        <v>1055.5416666666667</v>
      </c>
      <c r="AX36" s="73">
        <f t="shared" si="59"/>
        <v>40000000</v>
      </c>
      <c r="AY36" s="74">
        <v>2E-3</v>
      </c>
      <c r="AZ36" s="40">
        <f t="shared" si="16"/>
        <v>222.22222222222223</v>
      </c>
      <c r="BA36" s="73"/>
      <c r="BB36" s="74"/>
      <c r="BC36" s="40">
        <f t="shared" si="17"/>
        <v>0</v>
      </c>
      <c r="BF36" s="40">
        <f t="shared" si="18"/>
        <v>0</v>
      </c>
      <c r="BI36" s="40">
        <f t="shared" si="19"/>
        <v>0</v>
      </c>
      <c r="BL36" s="40">
        <f t="shared" si="20"/>
        <v>0</v>
      </c>
      <c r="BO36" s="40">
        <f t="shared" si="21"/>
        <v>0</v>
      </c>
      <c r="BR36" s="40">
        <f t="shared" si="22"/>
        <v>0</v>
      </c>
      <c r="BU36" s="40">
        <f t="shared" si="23"/>
        <v>0</v>
      </c>
      <c r="BX36" s="40">
        <f t="shared" si="24"/>
        <v>0</v>
      </c>
      <c r="CA36" s="40">
        <f t="shared" si="25"/>
        <v>0</v>
      </c>
      <c r="CD36" s="40">
        <f t="shared" si="26"/>
        <v>0</v>
      </c>
      <c r="CG36" s="40">
        <f t="shared" si="27"/>
        <v>0</v>
      </c>
      <c r="CJ36" s="40">
        <f t="shared" si="28"/>
        <v>0</v>
      </c>
      <c r="CM36" s="40">
        <f t="shared" si="29"/>
        <v>0</v>
      </c>
      <c r="CP36" s="40">
        <f t="shared" si="30"/>
        <v>0</v>
      </c>
      <c r="CS36" s="40">
        <f t="shared" si="31"/>
        <v>0</v>
      </c>
      <c r="CV36" s="40">
        <f t="shared" si="32"/>
        <v>0</v>
      </c>
      <c r="CY36" s="40">
        <f t="shared" si="33"/>
        <v>0</v>
      </c>
      <c r="DB36" s="40">
        <f t="shared" si="34"/>
        <v>0</v>
      </c>
      <c r="DE36" s="40">
        <f t="shared" si="35"/>
        <v>0</v>
      </c>
      <c r="DH36" s="40">
        <f t="shared" si="36"/>
        <v>0</v>
      </c>
      <c r="DK36" s="40">
        <f t="shared" si="37"/>
        <v>0</v>
      </c>
      <c r="DN36" s="40">
        <f t="shared" si="38"/>
        <v>0</v>
      </c>
      <c r="DQ36" s="40">
        <f t="shared" si="39"/>
        <v>0</v>
      </c>
      <c r="DT36" s="40">
        <f t="shared" si="40"/>
        <v>0</v>
      </c>
      <c r="DW36" s="40">
        <f t="shared" si="41"/>
        <v>0</v>
      </c>
      <c r="DY36" s="46"/>
      <c r="DZ36" s="38"/>
      <c r="EA36" s="40"/>
      <c r="EB36" s="75">
        <f t="shared" si="42"/>
        <v>410575000</v>
      </c>
      <c r="EC36" s="75">
        <f t="shared" si="43"/>
        <v>0</v>
      </c>
      <c r="ED36" s="40">
        <f t="shared" si="44"/>
        <v>2316.4722222222222</v>
      </c>
      <c r="EE36" s="41">
        <f t="shared" si="45"/>
        <v>2.0311270778785849E-3</v>
      </c>
      <c r="EG36" s="75">
        <f t="shared" si="46"/>
        <v>0</v>
      </c>
      <c r="EH36" s="40">
        <f t="shared" si="47"/>
        <v>0</v>
      </c>
      <c r="EI36" s="41">
        <f t="shared" si="48"/>
        <v>0</v>
      </c>
      <c r="EJ36" s="41"/>
      <c r="EK36" s="75">
        <f t="shared" si="49"/>
        <v>410575000</v>
      </c>
      <c r="EL36" s="75">
        <f t="shared" si="50"/>
        <v>0</v>
      </c>
      <c r="EM36" s="75">
        <f t="shared" si="51"/>
        <v>2316.4722222222222</v>
      </c>
      <c r="EN36" s="41">
        <f t="shared" si="52"/>
        <v>2.0311270778785849E-3</v>
      </c>
      <c r="EP36" s="40"/>
    </row>
    <row r="37" spans="1:146" x14ac:dyDescent="0.25">
      <c r="A37" s="25">
        <f t="shared" si="53"/>
        <v>44435</v>
      </c>
      <c r="D37" s="40">
        <f t="shared" si="2"/>
        <v>0</v>
      </c>
      <c r="E37" s="40">
        <v>0</v>
      </c>
      <c r="G37" s="40">
        <f t="shared" si="3"/>
        <v>0</v>
      </c>
      <c r="J37" s="40">
        <f t="shared" si="4"/>
        <v>0</v>
      </c>
      <c r="M37" s="40">
        <f t="shared" si="5"/>
        <v>0</v>
      </c>
      <c r="P37" s="40">
        <f t="shared" si="6"/>
        <v>0</v>
      </c>
      <c r="S37" s="40">
        <f t="shared" si="7"/>
        <v>0</v>
      </c>
      <c r="V37" s="40">
        <f t="shared" si="8"/>
        <v>0</v>
      </c>
      <c r="Y37" s="40">
        <f t="shared" si="9"/>
        <v>0</v>
      </c>
      <c r="AB37" s="40">
        <f t="shared" si="10"/>
        <v>0</v>
      </c>
      <c r="AE37" s="40">
        <v>0</v>
      </c>
      <c r="AH37" s="40">
        <v>0</v>
      </c>
      <c r="AI37" s="73"/>
      <c r="AJ37" s="74"/>
      <c r="AK37" s="40">
        <f t="shared" si="11"/>
        <v>0</v>
      </c>
      <c r="AL37" s="73">
        <f t="shared" si="57"/>
        <v>40000000</v>
      </c>
      <c r="AM37" s="74">
        <v>2.0999999999999999E-3</v>
      </c>
      <c r="AN37" s="40">
        <f t="shared" si="12"/>
        <v>233.33333333333334</v>
      </c>
      <c r="AO37" s="73">
        <f t="shared" si="58"/>
        <v>25000000</v>
      </c>
      <c r="AP37" s="74">
        <v>1.9E-3</v>
      </c>
      <c r="AQ37" s="40">
        <f t="shared" si="13"/>
        <v>131.94444444444446</v>
      </c>
      <c r="AR37" s="73">
        <f t="shared" si="1"/>
        <v>59750000</v>
      </c>
      <c r="AS37" s="74">
        <v>2.0999999999999999E-3</v>
      </c>
      <c r="AT37" s="40">
        <f t="shared" si="14"/>
        <v>348.54166666666663</v>
      </c>
      <c r="AU37" s="73">
        <f t="shared" si="56"/>
        <v>172725000</v>
      </c>
      <c r="AV37" s="74">
        <v>2.2000000000000001E-3</v>
      </c>
      <c r="AW37" s="40">
        <f t="shared" si="15"/>
        <v>1055.5416666666667</v>
      </c>
      <c r="AX37" s="73">
        <f t="shared" si="59"/>
        <v>40000000</v>
      </c>
      <c r="AY37" s="74">
        <v>2E-3</v>
      </c>
      <c r="AZ37" s="40">
        <f t="shared" si="16"/>
        <v>222.22222222222223</v>
      </c>
      <c r="BA37" s="73">
        <f>77850000</f>
        <v>77850000</v>
      </c>
      <c r="BB37" s="74">
        <v>2.0999999999999999E-3</v>
      </c>
      <c r="BC37" s="40">
        <f t="shared" si="17"/>
        <v>454.125</v>
      </c>
      <c r="BF37" s="40">
        <f t="shared" si="18"/>
        <v>0</v>
      </c>
      <c r="BI37" s="40">
        <f t="shared" si="19"/>
        <v>0</v>
      </c>
      <c r="BL37" s="40">
        <f t="shared" si="20"/>
        <v>0</v>
      </c>
      <c r="BO37" s="40">
        <f t="shared" si="21"/>
        <v>0</v>
      </c>
      <c r="BR37" s="40">
        <f t="shared" si="22"/>
        <v>0</v>
      </c>
      <c r="BU37" s="40">
        <f t="shared" si="23"/>
        <v>0</v>
      </c>
      <c r="BX37" s="40">
        <f t="shared" si="24"/>
        <v>0</v>
      </c>
      <c r="CA37" s="40">
        <f t="shared" si="25"/>
        <v>0</v>
      </c>
      <c r="CD37" s="40">
        <f t="shared" si="26"/>
        <v>0</v>
      </c>
      <c r="CG37" s="40">
        <f t="shared" si="27"/>
        <v>0</v>
      </c>
      <c r="CJ37" s="40">
        <f t="shared" si="28"/>
        <v>0</v>
      </c>
      <c r="CM37" s="40">
        <f t="shared" si="29"/>
        <v>0</v>
      </c>
      <c r="CP37" s="40">
        <f t="shared" si="30"/>
        <v>0</v>
      </c>
      <c r="CS37" s="40">
        <f t="shared" si="31"/>
        <v>0</v>
      </c>
      <c r="CV37" s="40">
        <f t="shared" si="32"/>
        <v>0</v>
      </c>
      <c r="CY37" s="40">
        <f t="shared" si="33"/>
        <v>0</v>
      </c>
      <c r="DB37" s="40">
        <f t="shared" si="34"/>
        <v>0</v>
      </c>
      <c r="DE37" s="40">
        <f t="shared" si="35"/>
        <v>0</v>
      </c>
      <c r="DH37" s="40">
        <f t="shared" si="36"/>
        <v>0</v>
      </c>
      <c r="DK37" s="40">
        <f t="shared" si="37"/>
        <v>0</v>
      </c>
      <c r="DN37" s="40">
        <f t="shared" si="38"/>
        <v>0</v>
      </c>
      <c r="DQ37" s="40">
        <f t="shared" si="39"/>
        <v>0</v>
      </c>
      <c r="DT37" s="40">
        <f t="shared" si="40"/>
        <v>0</v>
      </c>
      <c r="DW37" s="40">
        <f t="shared" si="41"/>
        <v>0</v>
      </c>
      <c r="DY37" s="46"/>
      <c r="DZ37" s="38"/>
      <c r="EA37" s="40"/>
      <c r="EB37" s="75">
        <f t="shared" si="42"/>
        <v>415325000</v>
      </c>
      <c r="EC37" s="75">
        <f t="shared" si="43"/>
        <v>0</v>
      </c>
      <c r="ED37" s="40">
        <f t="shared" si="44"/>
        <v>2445.7083333333335</v>
      </c>
      <c r="EE37" s="41">
        <f t="shared" si="45"/>
        <v>2.1199181363992054E-3</v>
      </c>
      <c r="EG37" s="75">
        <f t="shared" si="46"/>
        <v>0</v>
      </c>
      <c r="EH37" s="40">
        <f t="shared" si="47"/>
        <v>0</v>
      </c>
      <c r="EI37" s="41">
        <f t="shared" si="48"/>
        <v>0</v>
      </c>
      <c r="EJ37" s="41"/>
      <c r="EK37" s="75">
        <f t="shared" si="49"/>
        <v>415325000</v>
      </c>
      <c r="EL37" s="75">
        <f t="shared" si="50"/>
        <v>0</v>
      </c>
      <c r="EM37" s="75">
        <f t="shared" si="51"/>
        <v>2445.7083333333335</v>
      </c>
      <c r="EN37" s="41">
        <f t="shared" si="52"/>
        <v>2.1199181363992054E-3</v>
      </c>
      <c r="EP37" s="40"/>
    </row>
    <row r="38" spans="1:146" x14ac:dyDescent="0.25">
      <c r="A38" s="25">
        <f t="shared" si="53"/>
        <v>44436</v>
      </c>
      <c r="D38" s="40">
        <f t="shared" si="2"/>
        <v>0</v>
      </c>
      <c r="E38" s="40">
        <v>0</v>
      </c>
      <c r="G38" s="40">
        <f t="shared" si="3"/>
        <v>0</v>
      </c>
      <c r="J38" s="40">
        <f t="shared" si="4"/>
        <v>0</v>
      </c>
      <c r="M38" s="40">
        <f t="shared" si="5"/>
        <v>0</v>
      </c>
      <c r="P38" s="40">
        <f t="shared" si="6"/>
        <v>0</v>
      </c>
      <c r="S38" s="40">
        <f t="shared" si="7"/>
        <v>0</v>
      </c>
      <c r="V38" s="40">
        <f t="shared" si="8"/>
        <v>0</v>
      </c>
      <c r="Y38" s="40">
        <f t="shared" si="9"/>
        <v>0</v>
      </c>
      <c r="AB38" s="40">
        <f t="shared" si="10"/>
        <v>0</v>
      </c>
      <c r="AE38" s="40">
        <v>0</v>
      </c>
      <c r="AH38" s="40">
        <v>0</v>
      </c>
      <c r="AI38" s="73"/>
      <c r="AJ38" s="74"/>
      <c r="AK38" s="40">
        <f t="shared" si="11"/>
        <v>0</v>
      </c>
      <c r="AL38" s="73">
        <f t="shared" si="57"/>
        <v>40000000</v>
      </c>
      <c r="AM38" s="74">
        <v>2.0999999999999999E-3</v>
      </c>
      <c r="AN38" s="40">
        <f t="shared" si="12"/>
        <v>233.33333333333334</v>
      </c>
      <c r="AO38" s="73">
        <f t="shared" si="58"/>
        <v>25000000</v>
      </c>
      <c r="AP38" s="74">
        <v>1.9E-3</v>
      </c>
      <c r="AQ38" s="40">
        <f t="shared" si="13"/>
        <v>131.94444444444446</v>
      </c>
      <c r="AR38" s="73">
        <f t="shared" si="1"/>
        <v>59750000</v>
      </c>
      <c r="AS38" s="74">
        <v>2.0999999999999999E-3</v>
      </c>
      <c r="AT38" s="40">
        <f t="shared" si="14"/>
        <v>348.54166666666663</v>
      </c>
      <c r="AU38" s="73">
        <f t="shared" si="56"/>
        <v>172725000</v>
      </c>
      <c r="AV38" s="74">
        <v>2.2000000000000001E-3</v>
      </c>
      <c r="AW38" s="40">
        <f t="shared" si="15"/>
        <v>1055.5416666666667</v>
      </c>
      <c r="AX38" s="73">
        <f t="shared" si="59"/>
        <v>40000000</v>
      </c>
      <c r="AY38" s="74">
        <v>2E-3</v>
      </c>
      <c r="AZ38" s="40">
        <f t="shared" si="16"/>
        <v>222.22222222222223</v>
      </c>
      <c r="BA38" s="73">
        <f>77850000</f>
        <v>77850000</v>
      </c>
      <c r="BB38" s="74">
        <v>2.0999999999999999E-3</v>
      </c>
      <c r="BC38" s="40">
        <f t="shared" si="17"/>
        <v>454.125</v>
      </c>
      <c r="BF38" s="40">
        <f t="shared" si="18"/>
        <v>0</v>
      </c>
      <c r="BI38" s="40">
        <f t="shared" si="19"/>
        <v>0</v>
      </c>
      <c r="BL38" s="40">
        <f t="shared" si="20"/>
        <v>0</v>
      </c>
      <c r="BO38" s="40">
        <f t="shared" si="21"/>
        <v>0</v>
      </c>
      <c r="BR38" s="40">
        <f t="shared" si="22"/>
        <v>0</v>
      </c>
      <c r="BU38" s="40">
        <f t="shared" si="23"/>
        <v>0</v>
      </c>
      <c r="BX38" s="40">
        <f t="shared" si="24"/>
        <v>0</v>
      </c>
      <c r="CA38" s="40">
        <f t="shared" si="25"/>
        <v>0</v>
      </c>
      <c r="CD38" s="40">
        <f t="shared" si="26"/>
        <v>0</v>
      </c>
      <c r="CG38" s="40">
        <f t="shared" si="27"/>
        <v>0</v>
      </c>
      <c r="CJ38" s="40">
        <f t="shared" si="28"/>
        <v>0</v>
      </c>
      <c r="CM38" s="40">
        <f t="shared" si="29"/>
        <v>0</v>
      </c>
      <c r="CP38" s="40">
        <f t="shared" si="30"/>
        <v>0</v>
      </c>
      <c r="CS38" s="40">
        <f t="shared" si="31"/>
        <v>0</v>
      </c>
      <c r="CV38" s="40">
        <f t="shared" si="32"/>
        <v>0</v>
      </c>
      <c r="CY38" s="40">
        <f t="shared" si="33"/>
        <v>0</v>
      </c>
      <c r="DB38" s="40">
        <f t="shared" si="34"/>
        <v>0</v>
      </c>
      <c r="DE38" s="40">
        <f t="shared" si="35"/>
        <v>0</v>
      </c>
      <c r="DH38" s="40">
        <f t="shared" si="36"/>
        <v>0</v>
      </c>
      <c r="DK38" s="40">
        <f t="shared" si="37"/>
        <v>0</v>
      </c>
      <c r="DN38" s="40">
        <f t="shared" si="38"/>
        <v>0</v>
      </c>
      <c r="DQ38" s="40">
        <f t="shared" si="39"/>
        <v>0</v>
      </c>
      <c r="DT38" s="40">
        <f t="shared" si="40"/>
        <v>0</v>
      </c>
      <c r="DW38" s="40">
        <f t="shared" si="41"/>
        <v>0</v>
      </c>
      <c r="DY38" s="46"/>
      <c r="DZ38" s="38"/>
      <c r="EA38" s="40"/>
      <c r="EB38" s="75">
        <f t="shared" si="42"/>
        <v>415325000</v>
      </c>
      <c r="EC38" s="75">
        <f t="shared" si="43"/>
        <v>0</v>
      </c>
      <c r="ED38" s="40">
        <f t="shared" si="44"/>
        <v>2445.7083333333335</v>
      </c>
      <c r="EE38" s="41">
        <f t="shared" si="45"/>
        <v>2.1199181363992054E-3</v>
      </c>
      <c r="EG38" s="75">
        <f t="shared" si="46"/>
        <v>0</v>
      </c>
      <c r="EH38" s="40">
        <f t="shared" si="47"/>
        <v>0</v>
      </c>
      <c r="EI38" s="41">
        <f t="shared" si="48"/>
        <v>0</v>
      </c>
      <c r="EJ38" s="41"/>
      <c r="EK38" s="75">
        <f t="shared" si="49"/>
        <v>415325000</v>
      </c>
      <c r="EL38" s="75">
        <f t="shared" si="50"/>
        <v>0</v>
      </c>
      <c r="EM38" s="75">
        <f t="shared" si="51"/>
        <v>2445.7083333333335</v>
      </c>
      <c r="EN38" s="41">
        <f t="shared" si="52"/>
        <v>2.1199181363992054E-3</v>
      </c>
      <c r="EP38" s="40"/>
    </row>
    <row r="39" spans="1:146" x14ac:dyDescent="0.25">
      <c r="A39" s="25">
        <f t="shared" si="53"/>
        <v>44437</v>
      </c>
      <c r="D39" s="40">
        <f t="shared" si="2"/>
        <v>0</v>
      </c>
      <c r="E39" s="40">
        <v>0</v>
      </c>
      <c r="G39" s="40">
        <f t="shared" si="3"/>
        <v>0</v>
      </c>
      <c r="J39" s="40">
        <f t="shared" si="4"/>
        <v>0</v>
      </c>
      <c r="M39" s="40">
        <f t="shared" si="5"/>
        <v>0</v>
      </c>
      <c r="P39" s="40">
        <f t="shared" si="6"/>
        <v>0</v>
      </c>
      <c r="S39" s="40">
        <f t="shared" si="7"/>
        <v>0</v>
      </c>
      <c r="V39" s="40">
        <f t="shared" si="8"/>
        <v>0</v>
      </c>
      <c r="Y39" s="40">
        <f t="shared" si="9"/>
        <v>0</v>
      </c>
      <c r="AB39" s="40">
        <f t="shared" si="10"/>
        <v>0</v>
      </c>
      <c r="AE39" s="40">
        <v>0</v>
      </c>
      <c r="AH39" s="40">
        <v>0</v>
      </c>
      <c r="AI39" s="73"/>
      <c r="AJ39" s="74"/>
      <c r="AK39" s="40">
        <f t="shared" si="11"/>
        <v>0</v>
      </c>
      <c r="AL39" s="73">
        <f t="shared" si="57"/>
        <v>40000000</v>
      </c>
      <c r="AM39" s="74">
        <v>2.0999999999999999E-3</v>
      </c>
      <c r="AN39" s="40">
        <f t="shared" si="12"/>
        <v>233.33333333333334</v>
      </c>
      <c r="AO39" s="73">
        <f t="shared" si="58"/>
        <v>25000000</v>
      </c>
      <c r="AP39" s="74">
        <v>1.9E-3</v>
      </c>
      <c r="AQ39" s="40">
        <f t="shared" si="13"/>
        <v>131.94444444444446</v>
      </c>
      <c r="AR39" s="73">
        <f t="shared" si="1"/>
        <v>59750000</v>
      </c>
      <c r="AS39" s="74">
        <v>2.0999999999999999E-3</v>
      </c>
      <c r="AT39" s="40">
        <f t="shared" si="14"/>
        <v>348.54166666666663</v>
      </c>
      <c r="AU39" s="73">
        <f t="shared" si="56"/>
        <v>172725000</v>
      </c>
      <c r="AV39" s="74">
        <v>2.2000000000000001E-3</v>
      </c>
      <c r="AW39" s="40">
        <f t="shared" si="15"/>
        <v>1055.5416666666667</v>
      </c>
      <c r="AX39" s="73">
        <f t="shared" si="59"/>
        <v>40000000</v>
      </c>
      <c r="AY39" s="74">
        <v>2E-3</v>
      </c>
      <c r="AZ39" s="40">
        <f t="shared" si="16"/>
        <v>222.22222222222223</v>
      </c>
      <c r="BA39" s="73">
        <f>77850000</f>
        <v>77850000</v>
      </c>
      <c r="BB39" s="74">
        <v>2.0999999999999999E-3</v>
      </c>
      <c r="BC39" s="40">
        <f t="shared" si="17"/>
        <v>454.125</v>
      </c>
      <c r="BF39" s="40">
        <f t="shared" si="18"/>
        <v>0</v>
      </c>
      <c r="BI39" s="40">
        <f t="shared" si="19"/>
        <v>0</v>
      </c>
      <c r="BL39" s="40">
        <f t="shared" si="20"/>
        <v>0</v>
      </c>
      <c r="BO39" s="40">
        <f t="shared" si="21"/>
        <v>0</v>
      </c>
      <c r="BR39" s="40">
        <f t="shared" si="22"/>
        <v>0</v>
      </c>
      <c r="BU39" s="40">
        <f t="shared" si="23"/>
        <v>0</v>
      </c>
      <c r="BX39" s="40">
        <f t="shared" si="24"/>
        <v>0</v>
      </c>
      <c r="CA39" s="40">
        <f t="shared" si="25"/>
        <v>0</v>
      </c>
      <c r="CD39" s="40">
        <f t="shared" si="26"/>
        <v>0</v>
      </c>
      <c r="CG39" s="40">
        <f t="shared" si="27"/>
        <v>0</v>
      </c>
      <c r="CJ39" s="40">
        <f t="shared" si="28"/>
        <v>0</v>
      </c>
      <c r="CM39" s="40">
        <f t="shared" si="29"/>
        <v>0</v>
      </c>
      <c r="CP39" s="40">
        <f t="shared" si="30"/>
        <v>0</v>
      </c>
      <c r="CS39" s="40">
        <f t="shared" si="31"/>
        <v>0</v>
      </c>
      <c r="CV39" s="40">
        <f t="shared" si="32"/>
        <v>0</v>
      </c>
      <c r="CY39" s="40">
        <f t="shared" si="33"/>
        <v>0</v>
      </c>
      <c r="DB39" s="40">
        <f t="shared" si="34"/>
        <v>0</v>
      </c>
      <c r="DE39" s="40">
        <f t="shared" si="35"/>
        <v>0</v>
      </c>
      <c r="DH39" s="40">
        <f t="shared" si="36"/>
        <v>0</v>
      </c>
      <c r="DK39" s="40">
        <f t="shared" si="37"/>
        <v>0</v>
      </c>
      <c r="DN39" s="40">
        <f t="shared" si="38"/>
        <v>0</v>
      </c>
      <c r="DQ39" s="40">
        <f t="shared" si="39"/>
        <v>0</v>
      </c>
      <c r="DT39" s="40">
        <f t="shared" si="40"/>
        <v>0</v>
      </c>
      <c r="DW39" s="40">
        <f t="shared" si="41"/>
        <v>0</v>
      </c>
      <c r="DY39" s="46"/>
      <c r="DZ39" s="38"/>
      <c r="EA39" s="40"/>
      <c r="EB39" s="75">
        <f t="shared" si="42"/>
        <v>415325000</v>
      </c>
      <c r="EC39" s="75">
        <f t="shared" si="43"/>
        <v>0</v>
      </c>
      <c r="ED39" s="40">
        <f t="shared" si="44"/>
        <v>2445.7083333333335</v>
      </c>
      <c r="EE39" s="41">
        <f t="shared" si="45"/>
        <v>2.1199181363992054E-3</v>
      </c>
      <c r="EG39" s="75">
        <f t="shared" si="46"/>
        <v>0</v>
      </c>
      <c r="EH39" s="40">
        <f t="shared" si="47"/>
        <v>0</v>
      </c>
      <c r="EI39" s="41">
        <f t="shared" si="48"/>
        <v>0</v>
      </c>
      <c r="EJ39" s="41"/>
      <c r="EK39" s="75">
        <f t="shared" si="49"/>
        <v>415325000</v>
      </c>
      <c r="EL39" s="75">
        <f t="shared" si="50"/>
        <v>0</v>
      </c>
      <c r="EM39" s="75">
        <f t="shared" si="51"/>
        <v>2445.7083333333335</v>
      </c>
      <c r="EN39" s="41">
        <f t="shared" si="52"/>
        <v>2.1199181363992054E-3</v>
      </c>
      <c r="EP39" s="40"/>
    </row>
    <row r="40" spans="1:146" x14ac:dyDescent="0.25">
      <c r="A40" s="25">
        <f t="shared" si="53"/>
        <v>44438</v>
      </c>
      <c r="D40" s="40">
        <f t="shared" si="2"/>
        <v>0</v>
      </c>
      <c r="E40" s="40">
        <v>0</v>
      </c>
      <c r="G40" s="40">
        <f t="shared" si="3"/>
        <v>0</v>
      </c>
      <c r="J40" s="40">
        <f t="shared" si="4"/>
        <v>0</v>
      </c>
      <c r="M40" s="40">
        <f t="shared" si="5"/>
        <v>0</v>
      </c>
      <c r="P40" s="40">
        <f t="shared" si="6"/>
        <v>0</v>
      </c>
      <c r="S40" s="40">
        <f t="shared" si="7"/>
        <v>0</v>
      </c>
      <c r="V40" s="40">
        <f t="shared" si="8"/>
        <v>0</v>
      </c>
      <c r="Y40" s="40">
        <f t="shared" si="9"/>
        <v>0</v>
      </c>
      <c r="AB40" s="40">
        <f t="shared" si="10"/>
        <v>0</v>
      </c>
      <c r="AE40" s="40">
        <v>0</v>
      </c>
      <c r="AH40" s="40">
        <v>0</v>
      </c>
      <c r="AI40" s="73">
        <f>41275000</f>
        <v>41275000</v>
      </c>
      <c r="AJ40" s="74">
        <v>1.6000000000000001E-3</v>
      </c>
      <c r="AK40" s="40">
        <f t="shared" si="11"/>
        <v>183.44444444444446</v>
      </c>
      <c r="AL40" s="73"/>
      <c r="AM40" s="74"/>
      <c r="AN40" s="40">
        <f t="shared" si="12"/>
        <v>0</v>
      </c>
      <c r="AO40" s="73">
        <f t="shared" si="58"/>
        <v>25000000</v>
      </c>
      <c r="AP40" s="74">
        <v>1.9E-3</v>
      </c>
      <c r="AQ40" s="40">
        <f t="shared" si="13"/>
        <v>131.94444444444446</v>
      </c>
      <c r="AR40" s="73">
        <f t="shared" si="1"/>
        <v>59750000</v>
      </c>
      <c r="AS40" s="74">
        <v>2.0999999999999999E-3</v>
      </c>
      <c r="AT40" s="40">
        <f t="shared" si="14"/>
        <v>348.54166666666663</v>
      </c>
      <c r="AU40" s="73">
        <f t="shared" si="56"/>
        <v>172725000</v>
      </c>
      <c r="AV40" s="74">
        <v>2.2000000000000001E-3</v>
      </c>
      <c r="AW40" s="40">
        <f t="shared" si="15"/>
        <v>1055.5416666666667</v>
      </c>
      <c r="AX40" s="73">
        <f t="shared" si="59"/>
        <v>40000000</v>
      </c>
      <c r="AY40" s="74">
        <v>2E-3</v>
      </c>
      <c r="AZ40" s="40">
        <f t="shared" si="16"/>
        <v>222.22222222222223</v>
      </c>
      <c r="BA40" s="73">
        <f>77850000</f>
        <v>77850000</v>
      </c>
      <c r="BB40" s="74">
        <v>2.0999999999999999E-3</v>
      </c>
      <c r="BC40" s="40">
        <f t="shared" si="17"/>
        <v>454.125</v>
      </c>
      <c r="BF40" s="40">
        <f t="shared" si="18"/>
        <v>0</v>
      </c>
      <c r="BI40" s="40">
        <f t="shared" si="19"/>
        <v>0</v>
      </c>
      <c r="BL40" s="40">
        <f t="shared" si="20"/>
        <v>0</v>
      </c>
      <c r="BO40" s="40">
        <f t="shared" si="21"/>
        <v>0</v>
      </c>
      <c r="BR40" s="40">
        <f t="shared" si="22"/>
        <v>0</v>
      </c>
      <c r="BU40" s="40">
        <f t="shared" si="23"/>
        <v>0</v>
      </c>
      <c r="BX40" s="40">
        <f t="shared" si="24"/>
        <v>0</v>
      </c>
      <c r="CA40" s="40">
        <f t="shared" si="25"/>
        <v>0</v>
      </c>
      <c r="CD40" s="40">
        <f t="shared" si="26"/>
        <v>0</v>
      </c>
      <c r="CG40" s="40">
        <f t="shared" si="27"/>
        <v>0</v>
      </c>
      <c r="CJ40" s="40">
        <f t="shared" si="28"/>
        <v>0</v>
      </c>
      <c r="CM40" s="40">
        <f t="shared" si="29"/>
        <v>0</v>
      </c>
      <c r="CP40" s="40">
        <f t="shared" si="30"/>
        <v>0</v>
      </c>
      <c r="CS40" s="40">
        <f t="shared" si="31"/>
        <v>0</v>
      </c>
      <c r="CV40" s="40">
        <f t="shared" si="32"/>
        <v>0</v>
      </c>
      <c r="CY40" s="40">
        <f t="shared" si="33"/>
        <v>0</v>
      </c>
      <c r="DB40" s="40">
        <f t="shared" si="34"/>
        <v>0</v>
      </c>
      <c r="DE40" s="40">
        <f t="shared" si="35"/>
        <v>0</v>
      </c>
      <c r="DH40" s="40">
        <f t="shared" si="36"/>
        <v>0</v>
      </c>
      <c r="DK40" s="40">
        <f t="shared" si="37"/>
        <v>0</v>
      </c>
      <c r="DN40" s="40">
        <f t="shared" si="38"/>
        <v>0</v>
      </c>
      <c r="DQ40" s="40">
        <f t="shared" si="39"/>
        <v>0</v>
      </c>
      <c r="DT40" s="40">
        <f t="shared" si="40"/>
        <v>0</v>
      </c>
      <c r="DW40" s="40">
        <f t="shared" si="41"/>
        <v>0</v>
      </c>
      <c r="DY40" s="46"/>
      <c r="DZ40" s="38"/>
      <c r="EA40" s="40"/>
      <c r="EB40" s="75">
        <f t="shared" si="42"/>
        <v>416600000</v>
      </c>
      <c r="EC40" s="75">
        <f t="shared" si="43"/>
        <v>0</v>
      </c>
      <c r="ED40" s="40">
        <f t="shared" si="44"/>
        <v>2395.8194444444443</v>
      </c>
      <c r="EE40" s="41">
        <f t="shared" si="45"/>
        <v>2.0703192510801729E-3</v>
      </c>
      <c r="EG40" s="75">
        <f t="shared" si="46"/>
        <v>0</v>
      </c>
      <c r="EH40" s="40">
        <f t="shared" si="47"/>
        <v>0</v>
      </c>
      <c r="EI40" s="41">
        <f t="shared" si="48"/>
        <v>0</v>
      </c>
      <c r="EJ40" s="41"/>
      <c r="EK40" s="75">
        <f t="shared" si="49"/>
        <v>416600000</v>
      </c>
      <c r="EL40" s="75">
        <f t="shared" si="50"/>
        <v>0</v>
      </c>
      <c r="EM40" s="75">
        <f t="shared" si="51"/>
        <v>2395.8194444444443</v>
      </c>
      <c r="EN40" s="41">
        <f t="shared" si="52"/>
        <v>2.0703192510801729E-3</v>
      </c>
      <c r="EP40" s="40"/>
    </row>
    <row r="41" spans="1:146" x14ac:dyDescent="0.25">
      <c r="A41" s="25">
        <f t="shared" si="53"/>
        <v>44439</v>
      </c>
      <c r="D41" s="40">
        <f t="shared" si="2"/>
        <v>0</v>
      </c>
      <c r="E41" s="40">
        <v>0</v>
      </c>
      <c r="G41" s="40">
        <f t="shared" si="3"/>
        <v>0</v>
      </c>
      <c r="J41" s="40">
        <f t="shared" si="4"/>
        <v>0</v>
      </c>
      <c r="M41" s="40">
        <f t="shared" si="5"/>
        <v>0</v>
      </c>
      <c r="P41" s="40">
        <f t="shared" si="6"/>
        <v>0</v>
      </c>
      <c r="S41" s="40">
        <f t="shared" si="7"/>
        <v>0</v>
      </c>
      <c r="V41" s="40">
        <f t="shared" si="8"/>
        <v>0</v>
      </c>
      <c r="Y41" s="40">
        <f t="shared" si="9"/>
        <v>0</v>
      </c>
      <c r="AB41" s="40">
        <f t="shared" si="10"/>
        <v>0</v>
      </c>
      <c r="AE41" s="40">
        <v>0</v>
      </c>
      <c r="AH41" s="40">
        <v>0</v>
      </c>
      <c r="AI41" s="73">
        <f>42850000+5100000</f>
        <v>47950000</v>
      </c>
      <c r="AJ41" s="74">
        <v>1.6000000000000001E-3</v>
      </c>
      <c r="AK41" s="40">
        <f t="shared" si="11"/>
        <v>213.11111111111111</v>
      </c>
      <c r="AL41" s="73"/>
      <c r="AM41" s="74"/>
      <c r="AN41" s="40">
        <f t="shared" si="12"/>
        <v>0</v>
      </c>
      <c r="AO41" s="73">
        <f t="shared" si="58"/>
        <v>25000000</v>
      </c>
      <c r="AP41" s="74">
        <v>1.9E-3</v>
      </c>
      <c r="AQ41" s="40">
        <f t="shared" si="13"/>
        <v>131.94444444444446</v>
      </c>
      <c r="AR41" s="73">
        <f t="shared" si="1"/>
        <v>59750000</v>
      </c>
      <c r="AS41" s="74">
        <v>2.0999999999999999E-3</v>
      </c>
      <c r="AT41" s="40">
        <f t="shared" si="14"/>
        <v>348.54166666666663</v>
      </c>
      <c r="AU41" s="73">
        <f t="shared" si="56"/>
        <v>172725000</v>
      </c>
      <c r="AV41" s="74">
        <v>2.2000000000000001E-3</v>
      </c>
      <c r="AW41" s="40">
        <f t="shared" si="15"/>
        <v>1055.5416666666667</v>
      </c>
      <c r="AX41" s="73">
        <f t="shared" si="59"/>
        <v>40000000</v>
      </c>
      <c r="AY41" s="74">
        <v>2E-3</v>
      </c>
      <c r="AZ41" s="40">
        <f t="shared" si="16"/>
        <v>222.22222222222223</v>
      </c>
      <c r="BA41" s="73">
        <f>77850000</f>
        <v>77850000</v>
      </c>
      <c r="BB41" s="74">
        <v>2.0999999999999999E-3</v>
      </c>
      <c r="BC41" s="40">
        <f t="shared" si="17"/>
        <v>454.125</v>
      </c>
      <c r="BF41" s="40">
        <f t="shared" si="18"/>
        <v>0</v>
      </c>
      <c r="BI41" s="40">
        <f t="shared" si="19"/>
        <v>0</v>
      </c>
      <c r="BL41" s="40">
        <f t="shared" si="20"/>
        <v>0</v>
      </c>
      <c r="BO41" s="40">
        <f t="shared" si="21"/>
        <v>0</v>
      </c>
      <c r="BR41" s="40">
        <f t="shared" si="22"/>
        <v>0</v>
      </c>
      <c r="BU41" s="40">
        <f t="shared" si="23"/>
        <v>0</v>
      </c>
      <c r="BX41" s="40">
        <f t="shared" si="24"/>
        <v>0</v>
      </c>
      <c r="CA41" s="40">
        <f t="shared" si="25"/>
        <v>0</v>
      </c>
      <c r="CD41" s="40">
        <f t="shared" si="26"/>
        <v>0</v>
      </c>
      <c r="CG41" s="40">
        <f t="shared" si="27"/>
        <v>0</v>
      </c>
      <c r="CJ41" s="40">
        <f t="shared" si="28"/>
        <v>0</v>
      </c>
      <c r="CM41" s="40">
        <f t="shared" si="29"/>
        <v>0</v>
      </c>
      <c r="CP41" s="40">
        <f t="shared" si="30"/>
        <v>0</v>
      </c>
      <c r="CS41" s="40">
        <f t="shared" si="31"/>
        <v>0</v>
      </c>
      <c r="CV41" s="40">
        <f t="shared" si="32"/>
        <v>0</v>
      </c>
      <c r="CY41" s="40">
        <f t="shared" si="33"/>
        <v>0</v>
      </c>
      <c r="DB41" s="40">
        <f t="shared" si="34"/>
        <v>0</v>
      </c>
      <c r="DE41" s="40">
        <f t="shared" si="35"/>
        <v>0</v>
      </c>
      <c r="DH41" s="40">
        <f t="shared" si="36"/>
        <v>0</v>
      </c>
      <c r="DK41" s="40">
        <f t="shared" si="37"/>
        <v>0</v>
      </c>
      <c r="DN41" s="40">
        <f t="shared" si="38"/>
        <v>0</v>
      </c>
      <c r="DQ41" s="40">
        <f t="shared" si="39"/>
        <v>0</v>
      </c>
      <c r="DT41" s="40">
        <f t="shared" si="40"/>
        <v>0</v>
      </c>
      <c r="DW41" s="40">
        <f t="shared" si="41"/>
        <v>0</v>
      </c>
      <c r="DY41" s="46"/>
      <c r="DZ41" s="38"/>
      <c r="EA41" s="40"/>
      <c r="EB41" s="75">
        <f t="shared" si="42"/>
        <v>423275000</v>
      </c>
      <c r="EC41" s="75">
        <f t="shared" si="43"/>
        <v>0</v>
      </c>
      <c r="ED41" s="40">
        <f t="shared" si="44"/>
        <v>2425.4861111111113</v>
      </c>
      <c r="EE41" s="41">
        <f t="shared" si="45"/>
        <v>2.0629023684365956E-3</v>
      </c>
      <c r="EG41" s="75">
        <f t="shared" si="46"/>
        <v>0</v>
      </c>
      <c r="EH41" s="40">
        <f t="shared" si="47"/>
        <v>0</v>
      </c>
      <c r="EI41" s="41">
        <f t="shared" si="48"/>
        <v>0</v>
      </c>
      <c r="EJ41" s="41"/>
      <c r="EK41" s="75">
        <f t="shared" si="49"/>
        <v>423275000</v>
      </c>
      <c r="EL41" s="75">
        <f t="shared" si="50"/>
        <v>0</v>
      </c>
      <c r="EM41" s="75">
        <f t="shared" si="51"/>
        <v>2425.4861111111113</v>
      </c>
      <c r="EN41" s="41">
        <f t="shared" si="52"/>
        <v>2.0629023684365956E-3</v>
      </c>
      <c r="EP41" s="40"/>
    </row>
    <row r="42" spans="1:146" x14ac:dyDescent="0.25">
      <c r="A42" s="76" t="s">
        <v>75</v>
      </c>
      <c r="D42" s="77">
        <f>SUM(D11:D41)</f>
        <v>0</v>
      </c>
      <c r="G42" s="77">
        <f>SUM(G11:G41)</f>
        <v>58.071645938888885</v>
      </c>
      <c r="J42" s="77">
        <f>SUM(J11:J41)</f>
        <v>0</v>
      </c>
      <c r="M42" s="77">
        <f>SUM(M11:M41)</f>
        <v>0</v>
      </c>
      <c r="P42" s="77">
        <f>SUM(P11:P41)</f>
        <v>0</v>
      </c>
      <c r="S42" s="77">
        <f>SUM(S11:S41)</f>
        <v>0</v>
      </c>
      <c r="V42" s="77">
        <f>SUM(V11:V41)</f>
        <v>0</v>
      </c>
      <c r="Y42" s="77">
        <f>SUM(Y11:Y41)</f>
        <v>0</v>
      </c>
      <c r="AB42" s="77">
        <f>SUM(AB11:AB41)</f>
        <v>0</v>
      </c>
      <c r="AE42" s="77">
        <f>SUM(AE11:AE41)</f>
        <v>0</v>
      </c>
      <c r="AH42" s="77">
        <f>SUM(AH11:AH41)</f>
        <v>0</v>
      </c>
      <c r="AK42" s="77">
        <f>SUM(AK11:AK41)</f>
        <v>10652.444444444445</v>
      </c>
      <c r="AL42" s="73"/>
      <c r="AM42" s="74"/>
      <c r="AN42" s="77">
        <f>SUM(AN11:AN41)</f>
        <v>9975.0000000000073</v>
      </c>
      <c r="AQ42" s="77">
        <f>SUM(AQ11:AQ41)</f>
        <v>13073.611111111119</v>
      </c>
      <c r="AT42" s="77">
        <f>SUM(AT11:AT41)</f>
        <v>10804.791666666664</v>
      </c>
      <c r="AW42" s="77">
        <f>SUM(AW11:AW41)</f>
        <v>28763.472222222234</v>
      </c>
      <c r="AZ42" s="77">
        <f>SUM(AZ11:AZ41)</f>
        <v>1999.9999999999998</v>
      </c>
      <c r="BC42" s="77">
        <f>SUM(BC11:BC41)</f>
        <v>2270.625</v>
      </c>
      <c r="BF42" s="77">
        <f>SUM(BF11:BF41)</f>
        <v>0</v>
      </c>
      <c r="BI42" s="77">
        <f>SUM(BI11:BI41)</f>
        <v>0</v>
      </c>
      <c r="BL42" s="77">
        <f>SUM(BL11:BL41)</f>
        <v>0</v>
      </c>
      <c r="BO42" s="77">
        <f>SUM(BO11:BO41)</f>
        <v>0</v>
      </c>
      <c r="BR42" s="77">
        <f>SUM(BR11:BR41)</f>
        <v>0</v>
      </c>
      <c r="BU42" s="77">
        <f>SUM(BU11:BU41)</f>
        <v>0</v>
      </c>
      <c r="BX42" s="77">
        <f>SUM(BX11:BX41)</f>
        <v>0</v>
      </c>
      <c r="CA42" s="77">
        <f>SUM(CA11:CA41)</f>
        <v>0</v>
      </c>
      <c r="CD42" s="77">
        <f>SUM(CD11:CD41)</f>
        <v>0</v>
      </c>
      <c r="CG42" s="77">
        <f>SUM(CG11:CG41)</f>
        <v>0</v>
      </c>
      <c r="CJ42" s="77">
        <f>SUM(CJ11:CJ41)</f>
        <v>0</v>
      </c>
      <c r="CM42" s="77">
        <f>SUM(CM11:CM41)</f>
        <v>0</v>
      </c>
      <c r="CP42" s="77">
        <f>SUM(CP11:CP41)</f>
        <v>0</v>
      </c>
      <c r="CS42" s="77">
        <f>SUM(CS11:CS41)</f>
        <v>0</v>
      </c>
      <c r="CV42" s="77">
        <f>SUM(CV11:CV41)</f>
        <v>0</v>
      </c>
      <c r="CY42" s="77">
        <f>SUM(CY11:CY41)</f>
        <v>0</v>
      </c>
      <c r="DB42" s="77">
        <f>SUM(DB11:DB41)</f>
        <v>0</v>
      </c>
      <c r="DE42" s="77">
        <f>SUM(DE11:DE41)</f>
        <v>0</v>
      </c>
      <c r="DH42" s="77">
        <f>SUM(DH11:DH41)</f>
        <v>0</v>
      </c>
      <c r="DK42" s="77">
        <f>SUM(DK11:DK41)</f>
        <v>0</v>
      </c>
      <c r="DN42" s="77">
        <f>SUM(DN11:DN41)</f>
        <v>0</v>
      </c>
      <c r="DQ42" s="77">
        <f>SUM(DQ11:DQ41)</f>
        <v>0</v>
      </c>
      <c r="DT42" s="77">
        <f>SUM(DT11:DT41)</f>
        <v>0</v>
      </c>
      <c r="DW42" s="77">
        <f>SUM(DW11:DW41)</f>
        <v>0</v>
      </c>
      <c r="DY42" s="46"/>
      <c r="DZ42" s="38"/>
      <c r="EA42" s="38"/>
      <c r="EB42" s="40"/>
      <c r="EC42" s="40"/>
      <c r="ED42" s="77">
        <f>SUM(ED11:ED41)</f>
        <v>77598.016090383302</v>
      </c>
      <c r="EE42" s="41"/>
      <c r="EG42" s="40"/>
      <c r="EH42" s="77">
        <f>SUM(EH11:EH41)</f>
        <v>0</v>
      </c>
      <c r="EI42" s="41"/>
      <c r="EJ42" s="41"/>
      <c r="EK42" s="40"/>
      <c r="EL42" s="40"/>
      <c r="EM42" s="77">
        <f>SUM(EM11:EM41)</f>
        <v>77539.944444444409</v>
      </c>
      <c r="EN42" s="41"/>
    </row>
    <row r="43" spans="1:146" x14ac:dyDescent="0.25">
      <c r="AL43" s="73"/>
      <c r="AM43" s="74"/>
    </row>
    <row r="44" spans="1:146" x14ac:dyDescent="0.25">
      <c r="AL44" s="73"/>
      <c r="AM44" s="74"/>
      <c r="EM44" s="78"/>
    </row>
    <row r="45" spans="1:146" x14ac:dyDescent="0.25">
      <c r="EM45" s="40"/>
    </row>
    <row r="46" spans="1:146" x14ac:dyDescent="0.25">
      <c r="EM46" s="40"/>
    </row>
    <row r="48" spans="1:146" x14ac:dyDescent="0.25">
      <c r="EM48" s="40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1"/>
  <dimension ref="A1:EQ47"/>
  <sheetViews>
    <sheetView workbookViewId="0"/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0.7109375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1.7109375" bestFit="1" customWidth="1"/>
    <col min="53" max="53" width="14.42578125" style="40" customWidth="1"/>
    <col min="54" max="54" width="10.28515625" style="41" customWidth="1"/>
    <col min="55" max="55" width="11.7109375" bestFit="1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8.28515625" bestFit="1" customWidth="1"/>
    <col min="147" max="147" width="22" bestFit="1" customWidth="1"/>
  </cols>
  <sheetData>
    <row r="1" spans="1:147" s="33" customFormat="1" ht="15.75" x14ac:dyDescent="0.25">
      <c r="A1" s="30" t="s">
        <v>183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F2" s="32"/>
      <c r="G2" s="53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EB40</f>
        <v>553000000</v>
      </c>
      <c r="EI2" s="38">
        <f>EG40</f>
        <v>0</v>
      </c>
      <c r="EM2" s="38"/>
      <c r="EN2" s="38">
        <f>EK40</f>
        <v>553000000</v>
      </c>
      <c r="EO2" s="31">
        <v>-33219.97</v>
      </c>
      <c r="EP2" s="31">
        <f>EN2+EO2</f>
        <v>552966780.02999997</v>
      </c>
      <c r="EQ2" s="31">
        <f>EE2+EO2</f>
        <v>552966780.02999997</v>
      </c>
    </row>
    <row r="3" spans="1:147" ht="16.5" thickTop="1" x14ac:dyDescent="0.25">
      <c r="A3" s="39" t="s">
        <v>230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AVERAGE(EB11:EB40)</f>
        <v>414577516.81199998</v>
      </c>
      <c r="EI3" s="38">
        <f>AVERAGE(EG11:EG40)</f>
        <v>0</v>
      </c>
      <c r="EM3" s="38"/>
      <c r="EN3" s="38">
        <f>AVERAGE(EK11:EK40)</f>
        <v>413556666.66666669</v>
      </c>
    </row>
    <row r="4" spans="1:147" x14ac:dyDescent="0.25">
      <c r="D4" s="24"/>
      <c r="E4" s="48" t="s">
        <v>98</v>
      </c>
      <c r="F4" s="38"/>
      <c r="G4" s="49">
        <f>EQ2</f>
        <v>552966780.02999997</v>
      </c>
      <c r="AI4" s="50" t="s">
        <v>102</v>
      </c>
      <c r="EB4" s="24" t="s">
        <v>103</v>
      </c>
      <c r="EC4" s="24"/>
      <c r="ED4" s="46"/>
      <c r="EE4" s="46">
        <f>IF(EE3=0,0,360*(AVERAGE(ED11:ED40)/EE3))</f>
        <v>1.9323316420917049E-3</v>
      </c>
      <c r="EI4" s="46">
        <f>IF(EI3=0,0,360*(AVERAGE(EH11:EH40)/EI3))</f>
        <v>0</v>
      </c>
      <c r="EM4" s="46"/>
      <c r="EN4" s="46">
        <f>IF(EN3=0,0,360*(AVERAGE(EM11:EM40)/EN3))</f>
        <v>1.9357331119475771E-3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414577516.81199998</v>
      </c>
      <c r="AI5" s="53" t="s">
        <v>93</v>
      </c>
      <c r="EB5" s="54" t="s">
        <v>105</v>
      </c>
      <c r="EC5" s="54"/>
      <c r="ED5" s="38"/>
      <c r="EE5" s="38">
        <f>MAX(EB11:EB40)</f>
        <v>553000000</v>
      </c>
      <c r="EI5" s="38">
        <f>MAX(EG11:EG40)</f>
        <v>0</v>
      </c>
      <c r="EM5" s="38"/>
      <c r="EN5" s="38">
        <f>MAX(EK11:EK40)</f>
        <v>553000000</v>
      </c>
    </row>
    <row r="6" spans="1:147" x14ac:dyDescent="0.25">
      <c r="D6" s="24"/>
      <c r="E6" s="48" t="s">
        <v>103</v>
      </c>
      <c r="F6" s="38"/>
      <c r="G6" s="55">
        <f>EE4</f>
        <v>1.9323316420917049E-3</v>
      </c>
    </row>
    <row r="7" spans="1:147" ht="16.5" thickBot="1" x14ac:dyDescent="0.3">
      <c r="D7" s="24"/>
      <c r="E7" s="56" t="s">
        <v>105</v>
      </c>
      <c r="F7" s="57"/>
      <c r="G7" s="58">
        <f>EE5</f>
        <v>553000000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44440</v>
      </c>
      <c r="D11" s="40">
        <f t="shared" ref="D11:D40" si="0">(B11*C11)/360</f>
        <v>0</v>
      </c>
      <c r="E11" s="40">
        <v>0</v>
      </c>
      <c r="G11" s="40">
        <f t="shared" ref="G11:G40" si="1">(E11*F11)/360</f>
        <v>0</v>
      </c>
      <c r="J11" s="40">
        <f t="shared" ref="J11:J40" si="2">(H11*I11)/360</f>
        <v>0</v>
      </c>
      <c r="M11" s="40">
        <f t="shared" ref="M11:M40" si="3">(K11*L11)/360</f>
        <v>0</v>
      </c>
      <c r="P11" s="40">
        <f t="shared" ref="P11:P40" si="4">(N11*O11)/360</f>
        <v>0</v>
      </c>
      <c r="S11" s="40">
        <f t="shared" ref="S11:S40" si="5">(Q11*R11)/360</f>
        <v>0</v>
      </c>
      <c r="V11" s="40">
        <f t="shared" ref="V11:V40" si="6">(T11*U11)/360</f>
        <v>0</v>
      </c>
      <c r="Y11" s="40">
        <f t="shared" ref="Y11:Y40" si="7">(W11*X11)/360</f>
        <v>0</v>
      </c>
      <c r="AB11" s="40">
        <f t="shared" ref="AB11:AB40" si="8">(Z11*AA11)/360</f>
        <v>0</v>
      </c>
      <c r="AE11" s="40">
        <v>0</v>
      </c>
      <c r="AH11" s="40">
        <v>0</v>
      </c>
      <c r="AI11" s="73">
        <f>54025000</f>
        <v>54025000</v>
      </c>
      <c r="AJ11" s="74">
        <v>1.5E-3</v>
      </c>
      <c r="AK11" s="40">
        <f t="shared" ref="AK11:AK40" si="9">(AI11*AJ11)/360</f>
        <v>225.10416666666666</v>
      </c>
      <c r="AL11" s="73">
        <f t="shared" ref="AL11:AL40" si="10">25000000</f>
        <v>25000000</v>
      </c>
      <c r="AM11" s="74">
        <v>1.9E-3</v>
      </c>
      <c r="AN11" s="40">
        <f t="shared" ref="AN11:AN40" si="11">(AL11*AM11)/360</f>
        <v>131.94444444444446</v>
      </c>
      <c r="AO11" s="73">
        <f t="shared" ref="AO11:AO31" si="12">10000000+30000000</f>
        <v>40000000</v>
      </c>
      <c r="AP11" s="74">
        <v>2E-3</v>
      </c>
      <c r="AQ11" s="40">
        <f t="shared" ref="AQ11:AQ40" si="13">(AO11*AP11)/360</f>
        <v>222.22222222222223</v>
      </c>
      <c r="AR11" s="73">
        <f t="shared" ref="AR11:AR17" si="14">77850000+24750000+35000000</f>
        <v>137600000</v>
      </c>
      <c r="AS11" s="74">
        <v>2.0999999999999999E-3</v>
      </c>
      <c r="AT11" s="40">
        <f t="shared" ref="AT11:AT40" si="15">(AR11*AS11)/360</f>
        <v>802.66666666666663</v>
      </c>
      <c r="AU11" s="73">
        <f t="shared" ref="AU11:AU17" si="16">40000000+25000000+57725000+50000000</f>
        <v>172725000</v>
      </c>
      <c r="AV11" s="74">
        <v>2.2000000000000001E-3</v>
      </c>
      <c r="AW11" s="40">
        <f t="shared" ref="AW11:AW40" si="17">(AU11*AV11)/360</f>
        <v>1055.5416666666667</v>
      </c>
      <c r="AX11" s="73"/>
      <c r="AY11" s="74"/>
      <c r="AZ11" s="40">
        <f t="shared" ref="AZ11:AZ40" si="18">(AX11*AY11)/360</f>
        <v>0</v>
      </c>
      <c r="BA11" s="73"/>
      <c r="BB11" s="74"/>
      <c r="BC11" s="40">
        <f t="shared" ref="BC11:BC40" si="19">(BA11*BB11)/360</f>
        <v>0</v>
      </c>
      <c r="BF11" s="40">
        <f t="shared" ref="BF11:BF40" si="20">(BD11*BE11)/360</f>
        <v>0</v>
      </c>
      <c r="BI11" s="40">
        <f t="shared" ref="BI11:BI40" si="21">(BG11*BH11)/360</f>
        <v>0</v>
      </c>
      <c r="BL11" s="40">
        <f t="shared" ref="BL11:BL40" si="22">(BJ11*BK11)/360</f>
        <v>0</v>
      </c>
      <c r="BO11" s="40">
        <f t="shared" ref="BO11:BO40" si="23">(BM11*BN11)/360</f>
        <v>0</v>
      </c>
      <c r="BR11" s="40">
        <f t="shared" ref="BR11:BR40" si="24">(BP11*BQ11)/360</f>
        <v>0</v>
      </c>
      <c r="BU11" s="40">
        <f t="shared" ref="BU11:BU40" si="25">(BS11*BT11)/360</f>
        <v>0</v>
      </c>
      <c r="BX11" s="40">
        <f t="shared" ref="BX11:BX40" si="26">(BV11*BW11)/360</f>
        <v>0</v>
      </c>
      <c r="CA11" s="40">
        <f t="shared" ref="CA11:CA40" si="27">(BY11*BZ11)/360</f>
        <v>0</v>
      </c>
      <c r="CD11" s="40">
        <f t="shared" ref="CD11:CD40" si="28">(CB11*CC11)/360</f>
        <v>0</v>
      </c>
      <c r="CG11" s="40">
        <f t="shared" ref="CG11:CG40" si="29">(CE11*CF11)/360</f>
        <v>0</v>
      </c>
      <c r="CJ11" s="40">
        <f t="shared" ref="CJ11:CJ40" si="30">(CH11*CI11)/360</f>
        <v>0</v>
      </c>
      <c r="CM11" s="40">
        <f t="shared" ref="CM11:CM40" si="31">(CK11*CL11)/360</f>
        <v>0</v>
      </c>
      <c r="CP11" s="40">
        <f t="shared" ref="CP11:CP40" si="32">(CN11*CO11)/360</f>
        <v>0</v>
      </c>
      <c r="CS11" s="40">
        <f t="shared" ref="CS11:CS40" si="33">(CQ11*CR11)/360</f>
        <v>0</v>
      </c>
      <c r="CV11" s="40">
        <f t="shared" ref="CV11:CV40" si="34">(CT11*CU11)/360</f>
        <v>0</v>
      </c>
      <c r="CY11" s="40">
        <f t="shared" ref="CY11:CY40" si="35">(CW11*CX11)/360</f>
        <v>0</v>
      </c>
      <c r="DB11" s="40">
        <f t="shared" ref="DB11:DB40" si="36">(CZ11*DA11)/360</f>
        <v>0</v>
      </c>
      <c r="DE11" s="40">
        <f t="shared" ref="DE11:DE40" si="37">(DC11*DD11)/360</f>
        <v>0</v>
      </c>
      <c r="DH11" s="40">
        <f t="shared" ref="DH11:DH40" si="38">(DF11*DG11)/360</f>
        <v>0</v>
      </c>
      <c r="DK11" s="40">
        <f t="shared" ref="DK11:DK40" si="39">(DI11*DJ11)/360</f>
        <v>0</v>
      </c>
      <c r="DN11" s="40">
        <f t="shared" ref="DN11:DN40" si="40">(DL11*DM11)/360</f>
        <v>0</v>
      </c>
      <c r="DQ11" s="40">
        <f t="shared" ref="DQ11:DQ40" si="41">(DO11*DP11)/360</f>
        <v>0</v>
      </c>
      <c r="DT11" s="40">
        <f t="shared" ref="DT11:DT40" si="42">(DR11*DS11)/360</f>
        <v>0</v>
      </c>
      <c r="DW11" s="40">
        <f t="shared" ref="DW11:DW40" si="43">(DU11*DV11)/360</f>
        <v>0</v>
      </c>
      <c r="DY11" s="46"/>
      <c r="DZ11" s="38"/>
      <c r="EA11" s="40"/>
      <c r="EB11" s="75">
        <f t="shared" ref="EB11:EB40" si="44">B11+E11+H11+K11+N11+Q11+T11+W11+Z11+AC11+AF11+AL11+AO11+AR11+AU11+AX11+BA11+BD11+BG11+DU11+AI11+DR11+DO11+DL11+DI11+DF11+DC11+CZ11+CW11+CT11+CQ11+CN11+CK11+CH11+CE11+CB11+BY11+BV11+BS11+BP11+BM11+BJ11</f>
        <v>429350000</v>
      </c>
      <c r="EC11" s="75">
        <f t="shared" ref="EC11:EC40" si="45">EB11-EK11+EL11</f>
        <v>0</v>
      </c>
      <c r="ED11" s="40">
        <f t="shared" ref="ED11:ED40" si="46">D11+G11+J11+M11+P11+S11+V11+Y11+AB11+AE11+AH11+AK11+AN11+AQ11+AT11+AW11+AZ11+BC11+BF11+BI11+DW11+DT11+DQ11+DN11+DK11+DH11+DE11+DB11+CY11+CV11+CS11+CP11+CM11+CJ11+CG11+CD11+CA11+BX11+BU11+BR11+BO11+BL11</f>
        <v>2437.479166666667</v>
      </c>
      <c r="EE11" s="41">
        <f t="shared" ref="EE11:EE40" si="47">IF(EB11&lt;&gt;0,((ED11/EB11)*360),0)</f>
        <v>2.0437696517992317E-3</v>
      </c>
      <c r="EG11" s="75">
        <f t="shared" ref="EG11:EG40" si="48">Q11+T11+W11+Z11+AC11+AF11</f>
        <v>0</v>
      </c>
      <c r="EH11" s="40">
        <f t="shared" ref="EH11:EH40" si="49">S11+V11+Y11+AB11+AE11+AH11</f>
        <v>0</v>
      </c>
      <c r="EI11" s="41">
        <f t="shared" ref="EI11:EI40" si="50">IF(EG11&lt;&gt;0,((EH11/EG11)*360),0)</f>
        <v>0</v>
      </c>
      <c r="EJ11" s="41"/>
      <c r="EK11" s="75">
        <f t="shared" ref="EK11:EK40" si="51">DR11+DL11+DI11+DF11+DC11+CZ11+CW11+CT11+CQ11+CN11+CK11+CH11+CE11+CB11+BY11+BV11+BS11+BP11+BM11+BJ11+BG11+BD11+BA11+AX11+AU11+AR11+AO11+AL11+AI11+DO11</f>
        <v>429350000</v>
      </c>
      <c r="EL11" s="75">
        <f t="shared" ref="EL11:EL40" si="52">DX11</f>
        <v>0</v>
      </c>
      <c r="EM11" s="75">
        <f t="shared" ref="EM11:EM40" si="53">DT11+DQ11+DN11+DK11+DH11+DE11+DB11+CY11+CV11+CS11+CP11+CM11+CJ11+CG11+CD11+CA11+BX11+BU11+BR11+BO11+BL11+BI11+BF11+BC11+AZ11+AW11+AT11+AQ11+AN11+AK11</f>
        <v>2437.4791666666665</v>
      </c>
      <c r="EN11" s="41">
        <f t="shared" ref="EN11:EN40" si="54">IF(EK11&lt;&gt;0,((EM11/EK11)*360),0)</f>
        <v>2.0437696517992313E-3</v>
      </c>
      <c r="EP11" s="40"/>
    </row>
    <row r="12" spans="1:147" x14ac:dyDescent="0.25">
      <c r="A12" s="25">
        <f t="shared" ref="A12:A40" si="55">1+A11</f>
        <v>44441</v>
      </c>
      <c r="D12" s="40">
        <f t="shared" si="0"/>
        <v>0</v>
      </c>
      <c r="E12" s="40">
        <v>0</v>
      </c>
      <c r="G12" s="40">
        <f t="shared" si="1"/>
        <v>0</v>
      </c>
      <c r="J12" s="40">
        <f t="shared" si="2"/>
        <v>0</v>
      </c>
      <c r="M12" s="40">
        <f t="shared" si="3"/>
        <v>0</v>
      </c>
      <c r="P12" s="40">
        <f t="shared" si="4"/>
        <v>0</v>
      </c>
      <c r="S12" s="40">
        <f t="shared" si="5"/>
        <v>0</v>
      </c>
      <c r="V12" s="40">
        <f t="shared" si="6"/>
        <v>0</v>
      </c>
      <c r="Y12" s="40">
        <f t="shared" si="7"/>
        <v>0</v>
      </c>
      <c r="AB12" s="40">
        <f t="shared" si="8"/>
        <v>0</v>
      </c>
      <c r="AE12" s="40">
        <v>0</v>
      </c>
      <c r="AH12" s="40">
        <v>0</v>
      </c>
      <c r="AI12" s="73">
        <f>53275000</f>
        <v>53275000</v>
      </c>
      <c r="AJ12" s="74">
        <v>1.5E-3</v>
      </c>
      <c r="AK12" s="40">
        <f t="shared" si="9"/>
        <v>221.97916666666666</v>
      </c>
      <c r="AL12" s="73">
        <f t="shared" si="10"/>
        <v>25000000</v>
      </c>
      <c r="AM12" s="74">
        <v>1.9E-3</v>
      </c>
      <c r="AN12" s="40">
        <f t="shared" si="11"/>
        <v>131.94444444444446</v>
      </c>
      <c r="AO12" s="73">
        <f t="shared" si="12"/>
        <v>40000000</v>
      </c>
      <c r="AP12" s="74">
        <v>2E-3</v>
      </c>
      <c r="AQ12" s="40">
        <f t="shared" si="13"/>
        <v>222.22222222222223</v>
      </c>
      <c r="AR12" s="73">
        <f t="shared" si="14"/>
        <v>137600000</v>
      </c>
      <c r="AS12" s="74">
        <v>2.0999999999999999E-3</v>
      </c>
      <c r="AT12" s="40">
        <f t="shared" si="15"/>
        <v>802.66666666666663</v>
      </c>
      <c r="AU12" s="73">
        <f t="shared" si="16"/>
        <v>172725000</v>
      </c>
      <c r="AV12" s="74">
        <v>2.2000000000000001E-3</v>
      </c>
      <c r="AW12" s="40">
        <f t="shared" si="17"/>
        <v>1055.5416666666667</v>
      </c>
      <c r="AX12" s="73"/>
      <c r="AY12" s="74"/>
      <c r="AZ12" s="40">
        <f t="shared" si="18"/>
        <v>0</v>
      </c>
      <c r="BA12" s="73"/>
      <c r="BB12" s="74"/>
      <c r="BC12" s="40">
        <f t="shared" si="19"/>
        <v>0</v>
      </c>
      <c r="BF12" s="40">
        <f t="shared" si="20"/>
        <v>0</v>
      </c>
      <c r="BI12" s="40">
        <f t="shared" si="21"/>
        <v>0</v>
      </c>
      <c r="BL12" s="40">
        <f t="shared" si="22"/>
        <v>0</v>
      </c>
      <c r="BO12" s="40">
        <f t="shared" si="23"/>
        <v>0</v>
      </c>
      <c r="BR12" s="40">
        <f t="shared" si="24"/>
        <v>0</v>
      </c>
      <c r="BU12" s="40">
        <f t="shared" si="25"/>
        <v>0</v>
      </c>
      <c r="BX12" s="40">
        <f t="shared" si="26"/>
        <v>0</v>
      </c>
      <c r="CA12" s="40">
        <f t="shared" si="27"/>
        <v>0</v>
      </c>
      <c r="CD12" s="40">
        <f t="shared" si="28"/>
        <v>0</v>
      </c>
      <c r="CG12" s="40">
        <f t="shared" si="29"/>
        <v>0</v>
      </c>
      <c r="CJ12" s="40">
        <f t="shared" si="30"/>
        <v>0</v>
      </c>
      <c r="CM12" s="40">
        <f t="shared" si="31"/>
        <v>0</v>
      </c>
      <c r="CP12" s="40">
        <f t="shared" si="32"/>
        <v>0</v>
      </c>
      <c r="CS12" s="40">
        <f t="shared" si="33"/>
        <v>0</v>
      </c>
      <c r="CV12" s="40">
        <f t="shared" si="34"/>
        <v>0</v>
      </c>
      <c r="CY12" s="40">
        <f t="shared" si="35"/>
        <v>0</v>
      </c>
      <c r="DB12" s="40">
        <f t="shared" si="36"/>
        <v>0</v>
      </c>
      <c r="DE12" s="40">
        <f t="shared" si="37"/>
        <v>0</v>
      </c>
      <c r="DH12" s="40">
        <f t="shared" si="38"/>
        <v>0</v>
      </c>
      <c r="DK12" s="40">
        <f t="shared" si="39"/>
        <v>0</v>
      </c>
      <c r="DN12" s="40">
        <f t="shared" si="40"/>
        <v>0</v>
      </c>
      <c r="DQ12" s="40">
        <f t="shared" si="41"/>
        <v>0</v>
      </c>
      <c r="DT12" s="40">
        <f t="shared" si="42"/>
        <v>0</v>
      </c>
      <c r="DW12" s="40">
        <f t="shared" si="43"/>
        <v>0</v>
      </c>
      <c r="DY12" s="46"/>
      <c r="DZ12" s="38"/>
      <c r="EA12" s="40"/>
      <c r="EB12" s="75">
        <f t="shared" si="44"/>
        <v>428600000</v>
      </c>
      <c r="EC12" s="75">
        <f t="shared" si="45"/>
        <v>0</v>
      </c>
      <c r="ED12" s="40">
        <f t="shared" si="46"/>
        <v>2434.354166666667</v>
      </c>
      <c r="EE12" s="41">
        <f t="shared" si="47"/>
        <v>2.0447211852543169E-3</v>
      </c>
      <c r="EG12" s="75">
        <f t="shared" si="48"/>
        <v>0</v>
      </c>
      <c r="EH12" s="40">
        <f t="shared" si="49"/>
        <v>0</v>
      </c>
      <c r="EI12" s="41">
        <f t="shared" si="50"/>
        <v>0</v>
      </c>
      <c r="EJ12" s="41"/>
      <c r="EK12" s="75">
        <f t="shared" si="51"/>
        <v>428600000</v>
      </c>
      <c r="EL12" s="75">
        <f t="shared" si="52"/>
        <v>0</v>
      </c>
      <c r="EM12" s="75">
        <f t="shared" si="53"/>
        <v>2434.3541666666665</v>
      </c>
      <c r="EN12" s="41">
        <f t="shared" si="54"/>
        <v>2.044721185254316E-3</v>
      </c>
      <c r="EP12" s="40"/>
    </row>
    <row r="13" spans="1:147" x14ac:dyDescent="0.25">
      <c r="A13" s="25">
        <f t="shared" si="55"/>
        <v>44442</v>
      </c>
      <c r="D13" s="40">
        <f t="shared" si="0"/>
        <v>0</v>
      </c>
      <c r="E13" s="40">
        <v>0</v>
      </c>
      <c r="G13" s="40">
        <f t="shared" si="1"/>
        <v>0</v>
      </c>
      <c r="J13" s="40">
        <f t="shared" si="2"/>
        <v>0</v>
      </c>
      <c r="M13" s="40">
        <f t="shared" si="3"/>
        <v>0</v>
      </c>
      <c r="P13" s="40">
        <f t="shared" si="4"/>
        <v>0</v>
      </c>
      <c r="S13" s="40">
        <f t="shared" si="5"/>
        <v>0</v>
      </c>
      <c r="V13" s="40">
        <f t="shared" si="6"/>
        <v>0</v>
      </c>
      <c r="Y13" s="40">
        <f t="shared" si="7"/>
        <v>0</v>
      </c>
      <c r="AB13" s="40">
        <f t="shared" si="8"/>
        <v>0</v>
      </c>
      <c r="AE13" s="40">
        <v>0</v>
      </c>
      <c r="AH13" s="40">
        <v>0</v>
      </c>
      <c r="AI13" s="73">
        <f>53625000</f>
        <v>53625000</v>
      </c>
      <c r="AJ13" s="74">
        <v>1.5E-3</v>
      </c>
      <c r="AK13" s="40">
        <f t="shared" si="9"/>
        <v>223.4375</v>
      </c>
      <c r="AL13" s="73">
        <f t="shared" si="10"/>
        <v>25000000</v>
      </c>
      <c r="AM13" s="74">
        <v>1.9E-3</v>
      </c>
      <c r="AN13" s="40">
        <f t="shared" si="11"/>
        <v>131.94444444444446</v>
      </c>
      <c r="AO13" s="73">
        <f t="shared" si="12"/>
        <v>40000000</v>
      </c>
      <c r="AP13" s="74">
        <v>2E-3</v>
      </c>
      <c r="AQ13" s="40">
        <f t="shared" si="13"/>
        <v>222.22222222222223</v>
      </c>
      <c r="AR13" s="73">
        <f t="shared" si="14"/>
        <v>137600000</v>
      </c>
      <c r="AS13" s="74">
        <v>2.0999999999999999E-3</v>
      </c>
      <c r="AT13" s="40">
        <f t="shared" si="15"/>
        <v>802.66666666666663</v>
      </c>
      <c r="AU13" s="73">
        <f t="shared" si="16"/>
        <v>172725000</v>
      </c>
      <c r="AV13" s="74">
        <v>2.2000000000000001E-3</v>
      </c>
      <c r="AW13" s="40">
        <f t="shared" si="17"/>
        <v>1055.5416666666667</v>
      </c>
      <c r="AX13" s="73"/>
      <c r="AY13" s="74"/>
      <c r="AZ13" s="40">
        <f t="shared" si="18"/>
        <v>0</v>
      </c>
      <c r="BA13" s="73"/>
      <c r="BB13" s="74"/>
      <c r="BC13" s="40">
        <f t="shared" si="19"/>
        <v>0</v>
      </c>
      <c r="BF13" s="40">
        <f t="shared" si="20"/>
        <v>0</v>
      </c>
      <c r="BI13" s="40">
        <f t="shared" si="21"/>
        <v>0</v>
      </c>
      <c r="BL13" s="40">
        <f t="shared" si="22"/>
        <v>0</v>
      </c>
      <c r="BO13" s="40">
        <f t="shared" si="23"/>
        <v>0</v>
      </c>
      <c r="BR13" s="40">
        <f t="shared" si="24"/>
        <v>0</v>
      </c>
      <c r="BU13" s="40">
        <f t="shared" si="25"/>
        <v>0</v>
      </c>
      <c r="BX13" s="40">
        <f t="shared" si="26"/>
        <v>0</v>
      </c>
      <c r="CA13" s="40">
        <f t="shared" si="27"/>
        <v>0</v>
      </c>
      <c r="CD13" s="40">
        <f t="shared" si="28"/>
        <v>0</v>
      </c>
      <c r="CG13" s="40">
        <f t="shared" si="29"/>
        <v>0</v>
      </c>
      <c r="CJ13" s="40">
        <f t="shared" si="30"/>
        <v>0</v>
      </c>
      <c r="CM13" s="40">
        <f t="shared" si="31"/>
        <v>0</v>
      </c>
      <c r="CP13" s="40">
        <f t="shared" si="32"/>
        <v>0</v>
      </c>
      <c r="CS13" s="40">
        <f t="shared" si="33"/>
        <v>0</v>
      </c>
      <c r="CV13" s="40">
        <f t="shared" si="34"/>
        <v>0</v>
      </c>
      <c r="CY13" s="40">
        <f t="shared" si="35"/>
        <v>0</v>
      </c>
      <c r="DB13" s="40">
        <f t="shared" si="36"/>
        <v>0</v>
      </c>
      <c r="DE13" s="40">
        <f t="shared" si="37"/>
        <v>0</v>
      </c>
      <c r="DH13" s="40">
        <f t="shared" si="38"/>
        <v>0</v>
      </c>
      <c r="DK13" s="40">
        <f t="shared" si="39"/>
        <v>0</v>
      </c>
      <c r="DN13" s="40">
        <f t="shared" si="40"/>
        <v>0</v>
      </c>
      <c r="DQ13" s="40">
        <f t="shared" si="41"/>
        <v>0</v>
      </c>
      <c r="DT13" s="40">
        <f t="shared" si="42"/>
        <v>0</v>
      </c>
      <c r="DW13" s="40">
        <f t="shared" si="43"/>
        <v>0</v>
      </c>
      <c r="DY13" s="46"/>
      <c r="DZ13" s="38"/>
      <c r="EA13" s="40"/>
      <c r="EB13" s="75">
        <f t="shared" si="44"/>
        <v>428950000</v>
      </c>
      <c r="EC13" s="75">
        <f t="shared" si="45"/>
        <v>0</v>
      </c>
      <c r="ED13" s="40">
        <f t="shared" si="46"/>
        <v>2435.8125</v>
      </c>
      <c r="EE13" s="41">
        <f t="shared" si="47"/>
        <v>2.0442767222286977E-3</v>
      </c>
      <c r="EG13" s="75">
        <f t="shared" si="48"/>
        <v>0</v>
      </c>
      <c r="EH13" s="40">
        <f t="shared" si="49"/>
        <v>0</v>
      </c>
      <c r="EI13" s="41">
        <f t="shared" si="50"/>
        <v>0</v>
      </c>
      <c r="EJ13" s="41"/>
      <c r="EK13" s="75">
        <f t="shared" si="51"/>
        <v>428950000</v>
      </c>
      <c r="EL13" s="75">
        <f t="shared" si="52"/>
        <v>0</v>
      </c>
      <c r="EM13" s="75">
        <f t="shared" si="53"/>
        <v>2435.8125</v>
      </c>
      <c r="EN13" s="41">
        <f t="shared" si="54"/>
        <v>2.0442767222286977E-3</v>
      </c>
      <c r="EP13" s="40"/>
    </row>
    <row r="14" spans="1:147" x14ac:dyDescent="0.25">
      <c r="A14" s="25">
        <f t="shared" si="55"/>
        <v>44443</v>
      </c>
      <c r="D14" s="40">
        <f t="shared" si="0"/>
        <v>0</v>
      </c>
      <c r="E14" s="40">
        <v>0</v>
      </c>
      <c r="G14" s="40">
        <f t="shared" si="1"/>
        <v>0</v>
      </c>
      <c r="J14" s="40">
        <f t="shared" si="2"/>
        <v>0</v>
      </c>
      <c r="M14" s="40">
        <f t="shared" si="3"/>
        <v>0</v>
      </c>
      <c r="P14" s="40">
        <f t="shared" si="4"/>
        <v>0</v>
      </c>
      <c r="S14" s="40">
        <f t="shared" si="5"/>
        <v>0</v>
      </c>
      <c r="V14" s="40">
        <f t="shared" si="6"/>
        <v>0</v>
      </c>
      <c r="Y14" s="40">
        <f t="shared" si="7"/>
        <v>0</v>
      </c>
      <c r="AB14" s="40">
        <f t="shared" si="8"/>
        <v>0</v>
      </c>
      <c r="AE14" s="40">
        <v>0</v>
      </c>
      <c r="AH14" s="40">
        <v>0</v>
      </c>
      <c r="AI14" s="73">
        <f>53625000</f>
        <v>53625000</v>
      </c>
      <c r="AJ14" s="74">
        <v>1.5E-3</v>
      </c>
      <c r="AK14" s="40">
        <f t="shared" si="9"/>
        <v>223.4375</v>
      </c>
      <c r="AL14" s="73">
        <f t="shared" si="10"/>
        <v>25000000</v>
      </c>
      <c r="AM14" s="74">
        <v>1.9E-3</v>
      </c>
      <c r="AN14" s="40">
        <f t="shared" si="11"/>
        <v>131.94444444444446</v>
      </c>
      <c r="AO14" s="73">
        <f t="shared" si="12"/>
        <v>40000000</v>
      </c>
      <c r="AP14" s="74">
        <v>2E-3</v>
      </c>
      <c r="AQ14" s="40">
        <f t="shared" si="13"/>
        <v>222.22222222222223</v>
      </c>
      <c r="AR14" s="73">
        <f t="shared" si="14"/>
        <v>137600000</v>
      </c>
      <c r="AS14" s="74">
        <v>2.0999999999999999E-3</v>
      </c>
      <c r="AT14" s="40">
        <f t="shared" si="15"/>
        <v>802.66666666666663</v>
      </c>
      <c r="AU14" s="73">
        <f t="shared" si="16"/>
        <v>172725000</v>
      </c>
      <c r="AV14" s="74">
        <v>2.2000000000000001E-3</v>
      </c>
      <c r="AW14" s="40">
        <f t="shared" si="17"/>
        <v>1055.5416666666667</v>
      </c>
      <c r="AX14" s="73"/>
      <c r="AY14" s="74"/>
      <c r="AZ14" s="40">
        <f t="shared" si="18"/>
        <v>0</v>
      </c>
      <c r="BA14" s="73"/>
      <c r="BB14" s="74"/>
      <c r="BC14" s="40">
        <f t="shared" si="19"/>
        <v>0</v>
      </c>
      <c r="BF14" s="40">
        <f t="shared" si="20"/>
        <v>0</v>
      </c>
      <c r="BI14" s="40">
        <f t="shared" si="21"/>
        <v>0</v>
      </c>
      <c r="BL14" s="40">
        <f t="shared" si="22"/>
        <v>0</v>
      </c>
      <c r="BO14" s="40">
        <f t="shared" si="23"/>
        <v>0</v>
      </c>
      <c r="BR14" s="40">
        <f t="shared" si="24"/>
        <v>0</v>
      </c>
      <c r="BU14" s="40">
        <f t="shared" si="25"/>
        <v>0</v>
      </c>
      <c r="BX14" s="40">
        <f t="shared" si="26"/>
        <v>0</v>
      </c>
      <c r="CA14" s="40">
        <f t="shared" si="27"/>
        <v>0</v>
      </c>
      <c r="CD14" s="40">
        <f t="shared" si="28"/>
        <v>0</v>
      </c>
      <c r="CG14" s="40">
        <f t="shared" si="29"/>
        <v>0</v>
      </c>
      <c r="CJ14" s="40">
        <f t="shared" si="30"/>
        <v>0</v>
      </c>
      <c r="CM14" s="40">
        <f t="shared" si="31"/>
        <v>0</v>
      </c>
      <c r="CP14" s="40">
        <f t="shared" si="32"/>
        <v>0</v>
      </c>
      <c r="CS14" s="40">
        <f t="shared" si="33"/>
        <v>0</v>
      </c>
      <c r="CV14" s="40">
        <f t="shared" si="34"/>
        <v>0</v>
      </c>
      <c r="CY14" s="40">
        <f t="shared" si="35"/>
        <v>0</v>
      </c>
      <c r="DB14" s="40">
        <f t="shared" si="36"/>
        <v>0</v>
      </c>
      <c r="DE14" s="40">
        <f t="shared" si="37"/>
        <v>0</v>
      </c>
      <c r="DH14" s="40">
        <f t="shared" si="38"/>
        <v>0</v>
      </c>
      <c r="DK14" s="40">
        <f t="shared" si="39"/>
        <v>0</v>
      </c>
      <c r="DN14" s="40">
        <f t="shared" si="40"/>
        <v>0</v>
      </c>
      <c r="DQ14" s="40">
        <f t="shared" si="41"/>
        <v>0</v>
      </c>
      <c r="DT14" s="40">
        <f t="shared" si="42"/>
        <v>0</v>
      </c>
      <c r="DW14" s="40">
        <f t="shared" si="43"/>
        <v>0</v>
      </c>
      <c r="DY14" s="46"/>
      <c r="DZ14" s="38"/>
      <c r="EA14" s="40"/>
      <c r="EB14" s="75">
        <f t="shared" si="44"/>
        <v>428950000</v>
      </c>
      <c r="EC14" s="75">
        <f t="shared" si="45"/>
        <v>0</v>
      </c>
      <c r="ED14" s="40">
        <f t="shared" si="46"/>
        <v>2435.8125</v>
      </c>
      <c r="EE14" s="41">
        <f t="shared" si="47"/>
        <v>2.0442767222286977E-3</v>
      </c>
      <c r="EG14" s="75">
        <f t="shared" si="48"/>
        <v>0</v>
      </c>
      <c r="EH14" s="40">
        <f t="shared" si="49"/>
        <v>0</v>
      </c>
      <c r="EI14" s="41">
        <f t="shared" si="50"/>
        <v>0</v>
      </c>
      <c r="EJ14" s="41"/>
      <c r="EK14" s="75">
        <f t="shared" si="51"/>
        <v>428950000</v>
      </c>
      <c r="EL14" s="75">
        <f t="shared" si="52"/>
        <v>0</v>
      </c>
      <c r="EM14" s="75">
        <f t="shared" si="53"/>
        <v>2435.8125</v>
      </c>
      <c r="EN14" s="41">
        <f t="shared" si="54"/>
        <v>2.0442767222286977E-3</v>
      </c>
      <c r="EP14" s="40"/>
    </row>
    <row r="15" spans="1:147" x14ac:dyDescent="0.25">
      <c r="A15" s="25">
        <f t="shared" si="55"/>
        <v>44444</v>
      </c>
      <c r="D15" s="40">
        <f t="shared" si="0"/>
        <v>0</v>
      </c>
      <c r="E15" s="40">
        <v>0</v>
      </c>
      <c r="G15" s="40">
        <f t="shared" si="1"/>
        <v>0</v>
      </c>
      <c r="J15" s="40">
        <f t="shared" si="2"/>
        <v>0</v>
      </c>
      <c r="M15" s="40">
        <f t="shared" si="3"/>
        <v>0</v>
      </c>
      <c r="P15" s="40">
        <f t="shared" si="4"/>
        <v>0</v>
      </c>
      <c r="S15" s="40">
        <f t="shared" si="5"/>
        <v>0</v>
      </c>
      <c r="V15" s="40">
        <f t="shared" si="6"/>
        <v>0</v>
      </c>
      <c r="Y15" s="40">
        <f t="shared" si="7"/>
        <v>0</v>
      </c>
      <c r="AB15" s="40">
        <f t="shared" si="8"/>
        <v>0</v>
      </c>
      <c r="AE15" s="40">
        <v>0</v>
      </c>
      <c r="AH15" s="40">
        <v>0</v>
      </c>
      <c r="AI15" s="73">
        <f>53625000</f>
        <v>53625000</v>
      </c>
      <c r="AJ15" s="74">
        <v>1.5E-3</v>
      </c>
      <c r="AK15" s="40">
        <f t="shared" si="9"/>
        <v>223.4375</v>
      </c>
      <c r="AL15" s="73">
        <f t="shared" si="10"/>
        <v>25000000</v>
      </c>
      <c r="AM15" s="74">
        <v>1.9E-3</v>
      </c>
      <c r="AN15" s="40">
        <f t="shared" si="11"/>
        <v>131.94444444444446</v>
      </c>
      <c r="AO15" s="73">
        <f t="shared" si="12"/>
        <v>40000000</v>
      </c>
      <c r="AP15" s="74">
        <v>2E-3</v>
      </c>
      <c r="AQ15" s="40">
        <f t="shared" si="13"/>
        <v>222.22222222222223</v>
      </c>
      <c r="AR15" s="73">
        <f t="shared" si="14"/>
        <v>137600000</v>
      </c>
      <c r="AS15" s="74">
        <v>2.0999999999999999E-3</v>
      </c>
      <c r="AT15" s="40">
        <f t="shared" si="15"/>
        <v>802.66666666666663</v>
      </c>
      <c r="AU15" s="73">
        <f t="shared" si="16"/>
        <v>172725000</v>
      </c>
      <c r="AV15" s="74">
        <v>2.2000000000000001E-3</v>
      </c>
      <c r="AW15" s="40">
        <f t="shared" si="17"/>
        <v>1055.5416666666667</v>
      </c>
      <c r="AX15" s="73"/>
      <c r="AY15" s="74"/>
      <c r="AZ15" s="40">
        <f t="shared" si="18"/>
        <v>0</v>
      </c>
      <c r="BA15" s="73"/>
      <c r="BB15" s="74"/>
      <c r="BC15" s="40">
        <f t="shared" si="19"/>
        <v>0</v>
      </c>
      <c r="BF15" s="40">
        <f t="shared" si="20"/>
        <v>0</v>
      </c>
      <c r="BI15" s="40">
        <f t="shared" si="21"/>
        <v>0</v>
      </c>
      <c r="BL15" s="40">
        <f t="shared" si="22"/>
        <v>0</v>
      </c>
      <c r="BO15" s="40">
        <f t="shared" si="23"/>
        <v>0</v>
      </c>
      <c r="BR15" s="40">
        <f t="shared" si="24"/>
        <v>0</v>
      </c>
      <c r="BU15" s="40">
        <f t="shared" si="25"/>
        <v>0</v>
      </c>
      <c r="BX15" s="40">
        <f t="shared" si="26"/>
        <v>0</v>
      </c>
      <c r="CA15" s="40">
        <f t="shared" si="27"/>
        <v>0</v>
      </c>
      <c r="CD15" s="40">
        <f t="shared" si="28"/>
        <v>0</v>
      </c>
      <c r="CG15" s="40">
        <f t="shared" si="29"/>
        <v>0</v>
      </c>
      <c r="CJ15" s="40">
        <f t="shared" si="30"/>
        <v>0</v>
      </c>
      <c r="CM15" s="40">
        <f t="shared" si="31"/>
        <v>0</v>
      </c>
      <c r="CP15" s="40">
        <f t="shared" si="32"/>
        <v>0</v>
      </c>
      <c r="CS15" s="40">
        <f t="shared" si="33"/>
        <v>0</v>
      </c>
      <c r="CV15" s="40">
        <f t="shared" si="34"/>
        <v>0</v>
      </c>
      <c r="CY15" s="40">
        <f t="shared" si="35"/>
        <v>0</v>
      </c>
      <c r="DB15" s="40">
        <f t="shared" si="36"/>
        <v>0</v>
      </c>
      <c r="DE15" s="40">
        <f t="shared" si="37"/>
        <v>0</v>
      </c>
      <c r="DH15" s="40">
        <f t="shared" si="38"/>
        <v>0</v>
      </c>
      <c r="DK15" s="40">
        <f t="shared" si="39"/>
        <v>0</v>
      </c>
      <c r="DN15" s="40">
        <f t="shared" si="40"/>
        <v>0</v>
      </c>
      <c r="DQ15" s="40">
        <f t="shared" si="41"/>
        <v>0</v>
      </c>
      <c r="DT15" s="40">
        <f t="shared" si="42"/>
        <v>0</v>
      </c>
      <c r="DW15" s="40">
        <f t="shared" si="43"/>
        <v>0</v>
      </c>
      <c r="DY15" s="46"/>
      <c r="DZ15" s="38"/>
      <c r="EA15" s="40"/>
      <c r="EB15" s="75">
        <f t="shared" si="44"/>
        <v>428950000</v>
      </c>
      <c r="EC15" s="75">
        <f t="shared" si="45"/>
        <v>0</v>
      </c>
      <c r="ED15" s="40">
        <f t="shared" si="46"/>
        <v>2435.8125</v>
      </c>
      <c r="EE15" s="41">
        <f t="shared" si="47"/>
        <v>2.0442767222286977E-3</v>
      </c>
      <c r="EG15" s="75">
        <f t="shared" si="48"/>
        <v>0</v>
      </c>
      <c r="EH15" s="40">
        <f t="shared" si="49"/>
        <v>0</v>
      </c>
      <c r="EI15" s="41">
        <f t="shared" si="50"/>
        <v>0</v>
      </c>
      <c r="EJ15" s="41"/>
      <c r="EK15" s="75">
        <f t="shared" si="51"/>
        <v>428950000</v>
      </c>
      <c r="EL15" s="75">
        <f t="shared" si="52"/>
        <v>0</v>
      </c>
      <c r="EM15" s="75">
        <f t="shared" si="53"/>
        <v>2435.8125</v>
      </c>
      <c r="EN15" s="41">
        <f t="shared" si="54"/>
        <v>2.0442767222286977E-3</v>
      </c>
      <c r="EP15" s="40"/>
    </row>
    <row r="16" spans="1:147" x14ac:dyDescent="0.25">
      <c r="A16" s="25">
        <f t="shared" si="55"/>
        <v>44445</v>
      </c>
      <c r="D16" s="40">
        <f t="shared" si="0"/>
        <v>0</v>
      </c>
      <c r="E16" s="40">
        <v>0</v>
      </c>
      <c r="G16" s="40">
        <f t="shared" si="1"/>
        <v>0</v>
      </c>
      <c r="J16" s="40">
        <f t="shared" si="2"/>
        <v>0</v>
      </c>
      <c r="M16" s="40">
        <f t="shared" si="3"/>
        <v>0</v>
      </c>
      <c r="P16" s="40">
        <f t="shared" si="4"/>
        <v>0</v>
      </c>
      <c r="S16" s="40">
        <f t="shared" si="5"/>
        <v>0</v>
      </c>
      <c r="V16" s="40">
        <f t="shared" si="6"/>
        <v>0</v>
      </c>
      <c r="Y16" s="40">
        <f t="shared" si="7"/>
        <v>0</v>
      </c>
      <c r="AB16" s="40">
        <f t="shared" si="8"/>
        <v>0</v>
      </c>
      <c r="AE16" s="40">
        <v>0</v>
      </c>
      <c r="AH16" s="40">
        <v>0</v>
      </c>
      <c r="AI16" s="73">
        <f>53625000</f>
        <v>53625000</v>
      </c>
      <c r="AJ16" s="74">
        <v>1.5E-3</v>
      </c>
      <c r="AK16" s="40">
        <f t="shared" si="9"/>
        <v>223.4375</v>
      </c>
      <c r="AL16" s="73">
        <f t="shared" si="10"/>
        <v>25000000</v>
      </c>
      <c r="AM16" s="74">
        <v>1.9E-3</v>
      </c>
      <c r="AN16" s="40">
        <f t="shared" si="11"/>
        <v>131.94444444444446</v>
      </c>
      <c r="AO16" s="73">
        <f t="shared" si="12"/>
        <v>40000000</v>
      </c>
      <c r="AP16" s="74">
        <v>2E-3</v>
      </c>
      <c r="AQ16" s="40">
        <f t="shared" si="13"/>
        <v>222.22222222222223</v>
      </c>
      <c r="AR16" s="73">
        <f t="shared" si="14"/>
        <v>137600000</v>
      </c>
      <c r="AS16" s="74">
        <v>2.0999999999999999E-3</v>
      </c>
      <c r="AT16" s="40">
        <f t="shared" si="15"/>
        <v>802.66666666666663</v>
      </c>
      <c r="AU16" s="73">
        <f t="shared" si="16"/>
        <v>172725000</v>
      </c>
      <c r="AV16" s="74">
        <v>2.2000000000000001E-3</v>
      </c>
      <c r="AW16" s="40">
        <f t="shared" si="17"/>
        <v>1055.5416666666667</v>
      </c>
      <c r="AX16" s="73"/>
      <c r="AY16" s="74"/>
      <c r="AZ16" s="40">
        <f t="shared" si="18"/>
        <v>0</v>
      </c>
      <c r="BA16" s="73"/>
      <c r="BB16" s="74"/>
      <c r="BC16" s="40">
        <f t="shared" si="19"/>
        <v>0</v>
      </c>
      <c r="BF16" s="40">
        <f t="shared" si="20"/>
        <v>0</v>
      </c>
      <c r="BI16" s="40">
        <f t="shared" si="21"/>
        <v>0</v>
      </c>
      <c r="BL16" s="40">
        <f t="shared" si="22"/>
        <v>0</v>
      </c>
      <c r="BO16" s="40">
        <f t="shared" si="23"/>
        <v>0</v>
      </c>
      <c r="BR16" s="40">
        <f t="shared" si="24"/>
        <v>0</v>
      </c>
      <c r="BU16" s="40">
        <f t="shared" si="25"/>
        <v>0</v>
      </c>
      <c r="BX16" s="40">
        <f t="shared" si="26"/>
        <v>0</v>
      </c>
      <c r="CA16" s="40">
        <f t="shared" si="27"/>
        <v>0</v>
      </c>
      <c r="CD16" s="40">
        <f t="shared" si="28"/>
        <v>0</v>
      </c>
      <c r="CG16" s="40">
        <f t="shared" si="29"/>
        <v>0</v>
      </c>
      <c r="CJ16" s="40">
        <f t="shared" si="30"/>
        <v>0</v>
      </c>
      <c r="CM16" s="40">
        <f t="shared" si="31"/>
        <v>0</v>
      </c>
      <c r="CP16" s="40">
        <f t="shared" si="32"/>
        <v>0</v>
      </c>
      <c r="CS16" s="40">
        <f t="shared" si="33"/>
        <v>0</v>
      </c>
      <c r="CV16" s="40">
        <f t="shared" si="34"/>
        <v>0</v>
      </c>
      <c r="CY16" s="40">
        <f t="shared" si="35"/>
        <v>0</v>
      </c>
      <c r="DB16" s="40">
        <f t="shared" si="36"/>
        <v>0</v>
      </c>
      <c r="DE16" s="40">
        <f t="shared" si="37"/>
        <v>0</v>
      </c>
      <c r="DH16" s="40">
        <f t="shared" si="38"/>
        <v>0</v>
      </c>
      <c r="DK16" s="40">
        <f t="shared" si="39"/>
        <v>0</v>
      </c>
      <c r="DN16" s="40">
        <f t="shared" si="40"/>
        <v>0</v>
      </c>
      <c r="DQ16" s="40">
        <f t="shared" si="41"/>
        <v>0</v>
      </c>
      <c r="DT16" s="40">
        <f t="shared" si="42"/>
        <v>0</v>
      </c>
      <c r="DW16" s="40">
        <f t="shared" si="43"/>
        <v>0</v>
      </c>
      <c r="DY16" s="46"/>
      <c r="DZ16" s="38"/>
      <c r="EA16" s="40"/>
      <c r="EB16" s="75">
        <f t="shared" si="44"/>
        <v>428950000</v>
      </c>
      <c r="EC16" s="75">
        <f t="shared" si="45"/>
        <v>0</v>
      </c>
      <c r="ED16" s="40">
        <f t="shared" si="46"/>
        <v>2435.8125</v>
      </c>
      <c r="EE16" s="41">
        <f t="shared" si="47"/>
        <v>2.0442767222286977E-3</v>
      </c>
      <c r="EG16" s="75">
        <f t="shared" si="48"/>
        <v>0</v>
      </c>
      <c r="EH16" s="40">
        <f t="shared" si="49"/>
        <v>0</v>
      </c>
      <c r="EI16" s="41">
        <f t="shared" si="50"/>
        <v>0</v>
      </c>
      <c r="EJ16" s="41"/>
      <c r="EK16" s="75">
        <f t="shared" si="51"/>
        <v>428950000</v>
      </c>
      <c r="EL16" s="75">
        <f t="shared" si="52"/>
        <v>0</v>
      </c>
      <c r="EM16" s="75">
        <f t="shared" si="53"/>
        <v>2435.8125</v>
      </c>
      <c r="EN16" s="41">
        <f t="shared" si="54"/>
        <v>2.0442767222286977E-3</v>
      </c>
      <c r="EP16" s="40"/>
    </row>
    <row r="17" spans="1:146" x14ac:dyDescent="0.25">
      <c r="A17" s="25">
        <f t="shared" si="55"/>
        <v>44446</v>
      </c>
      <c r="D17" s="40">
        <f t="shared" si="0"/>
        <v>0</v>
      </c>
      <c r="E17" s="40">
        <v>0</v>
      </c>
      <c r="G17" s="40">
        <f t="shared" si="1"/>
        <v>0</v>
      </c>
      <c r="J17" s="40">
        <f t="shared" si="2"/>
        <v>0</v>
      </c>
      <c r="M17" s="40">
        <f t="shared" si="3"/>
        <v>0</v>
      </c>
      <c r="P17" s="40">
        <f t="shared" si="4"/>
        <v>0</v>
      </c>
      <c r="S17" s="40">
        <f t="shared" si="5"/>
        <v>0</v>
      </c>
      <c r="V17" s="40">
        <f t="shared" si="6"/>
        <v>0</v>
      </c>
      <c r="Y17" s="40">
        <f t="shared" si="7"/>
        <v>0</v>
      </c>
      <c r="AB17" s="40">
        <f t="shared" si="8"/>
        <v>0</v>
      </c>
      <c r="AE17" s="40">
        <v>0</v>
      </c>
      <c r="AH17" s="40">
        <v>0</v>
      </c>
      <c r="AI17" s="73">
        <f>54075000</f>
        <v>54075000</v>
      </c>
      <c r="AJ17" s="74">
        <v>1.5E-3</v>
      </c>
      <c r="AK17" s="40">
        <f t="shared" si="9"/>
        <v>225.3125</v>
      </c>
      <c r="AL17" s="73">
        <f t="shared" si="10"/>
        <v>25000000</v>
      </c>
      <c r="AM17" s="74">
        <v>1.9E-3</v>
      </c>
      <c r="AN17" s="40">
        <f t="shared" si="11"/>
        <v>131.94444444444446</v>
      </c>
      <c r="AO17" s="73">
        <f t="shared" si="12"/>
        <v>40000000</v>
      </c>
      <c r="AP17" s="74">
        <v>2E-3</v>
      </c>
      <c r="AQ17" s="40">
        <f t="shared" si="13"/>
        <v>222.22222222222223</v>
      </c>
      <c r="AR17" s="73">
        <f t="shared" si="14"/>
        <v>137600000</v>
      </c>
      <c r="AS17" s="74">
        <v>2.0999999999999999E-3</v>
      </c>
      <c r="AT17" s="40">
        <f t="shared" si="15"/>
        <v>802.66666666666663</v>
      </c>
      <c r="AU17" s="73">
        <f t="shared" si="16"/>
        <v>172725000</v>
      </c>
      <c r="AV17" s="74">
        <v>2.2000000000000001E-3</v>
      </c>
      <c r="AW17" s="40">
        <f t="shared" si="17"/>
        <v>1055.5416666666667</v>
      </c>
      <c r="AX17" s="73"/>
      <c r="AY17" s="74"/>
      <c r="AZ17" s="40">
        <f t="shared" si="18"/>
        <v>0</v>
      </c>
      <c r="BA17" s="73"/>
      <c r="BB17" s="74"/>
      <c r="BC17" s="40">
        <f t="shared" si="19"/>
        <v>0</v>
      </c>
      <c r="BF17" s="40">
        <f t="shared" si="20"/>
        <v>0</v>
      </c>
      <c r="BI17" s="40">
        <f t="shared" si="21"/>
        <v>0</v>
      </c>
      <c r="BL17" s="40">
        <f t="shared" si="22"/>
        <v>0</v>
      </c>
      <c r="BO17" s="40">
        <f t="shared" si="23"/>
        <v>0</v>
      </c>
      <c r="BR17" s="40">
        <f t="shared" si="24"/>
        <v>0</v>
      </c>
      <c r="BU17" s="40">
        <f t="shared" si="25"/>
        <v>0</v>
      </c>
      <c r="BX17" s="40">
        <f t="shared" si="26"/>
        <v>0</v>
      </c>
      <c r="CA17" s="40">
        <f t="shared" si="27"/>
        <v>0</v>
      </c>
      <c r="CD17" s="40">
        <f t="shared" si="28"/>
        <v>0</v>
      </c>
      <c r="CG17" s="40">
        <f t="shared" si="29"/>
        <v>0</v>
      </c>
      <c r="CJ17" s="40">
        <f t="shared" si="30"/>
        <v>0</v>
      </c>
      <c r="CM17" s="40">
        <f t="shared" si="31"/>
        <v>0</v>
      </c>
      <c r="CP17" s="40">
        <f t="shared" si="32"/>
        <v>0</v>
      </c>
      <c r="CS17" s="40">
        <f t="shared" si="33"/>
        <v>0</v>
      </c>
      <c r="CV17" s="40">
        <f t="shared" si="34"/>
        <v>0</v>
      </c>
      <c r="CY17" s="40">
        <f t="shared" si="35"/>
        <v>0</v>
      </c>
      <c r="DB17" s="40">
        <f t="shared" si="36"/>
        <v>0</v>
      </c>
      <c r="DE17" s="40">
        <f t="shared" si="37"/>
        <v>0</v>
      </c>
      <c r="DH17" s="40">
        <f t="shared" si="38"/>
        <v>0</v>
      </c>
      <c r="DK17" s="40">
        <f t="shared" si="39"/>
        <v>0</v>
      </c>
      <c r="DN17" s="40">
        <f t="shared" si="40"/>
        <v>0</v>
      </c>
      <c r="DQ17" s="40">
        <f t="shared" si="41"/>
        <v>0</v>
      </c>
      <c r="DT17" s="40">
        <f t="shared" si="42"/>
        <v>0</v>
      </c>
      <c r="DW17" s="40">
        <f t="shared" si="43"/>
        <v>0</v>
      </c>
      <c r="DY17" s="46"/>
      <c r="DZ17" s="38"/>
      <c r="EA17" s="40"/>
      <c r="EB17" s="75">
        <f t="shared" si="44"/>
        <v>429400000</v>
      </c>
      <c r="EC17" s="75">
        <f t="shared" si="45"/>
        <v>0</v>
      </c>
      <c r="ED17" s="40">
        <f t="shared" si="46"/>
        <v>2437.6875</v>
      </c>
      <c r="EE17" s="41">
        <f t="shared" si="47"/>
        <v>2.0437063344201211E-3</v>
      </c>
      <c r="EG17" s="75">
        <f t="shared" si="48"/>
        <v>0</v>
      </c>
      <c r="EH17" s="40">
        <f t="shared" si="49"/>
        <v>0</v>
      </c>
      <c r="EI17" s="41">
        <f t="shared" si="50"/>
        <v>0</v>
      </c>
      <c r="EJ17" s="41"/>
      <c r="EK17" s="75">
        <f t="shared" si="51"/>
        <v>429400000</v>
      </c>
      <c r="EL17" s="75">
        <f t="shared" si="52"/>
        <v>0</v>
      </c>
      <c r="EM17" s="75">
        <f t="shared" si="53"/>
        <v>2437.6875</v>
      </c>
      <c r="EN17" s="41">
        <f t="shared" si="54"/>
        <v>2.0437063344201211E-3</v>
      </c>
      <c r="EP17" s="40"/>
    </row>
    <row r="18" spans="1:146" x14ac:dyDescent="0.25">
      <c r="A18" s="25">
        <f t="shared" si="55"/>
        <v>44447</v>
      </c>
      <c r="D18" s="40">
        <f t="shared" si="0"/>
        <v>0</v>
      </c>
      <c r="E18" s="40">
        <v>0</v>
      </c>
      <c r="G18" s="40">
        <f t="shared" si="1"/>
        <v>0</v>
      </c>
      <c r="J18" s="40">
        <f t="shared" si="2"/>
        <v>0</v>
      </c>
      <c r="M18" s="40">
        <f t="shared" si="3"/>
        <v>0</v>
      </c>
      <c r="P18" s="40">
        <f t="shared" si="4"/>
        <v>0</v>
      </c>
      <c r="S18" s="40">
        <f t="shared" si="5"/>
        <v>0</v>
      </c>
      <c r="V18" s="40">
        <f t="shared" si="6"/>
        <v>0</v>
      </c>
      <c r="Y18" s="40">
        <f t="shared" si="7"/>
        <v>0</v>
      </c>
      <c r="AB18" s="40">
        <f t="shared" si="8"/>
        <v>0</v>
      </c>
      <c r="AE18" s="40">
        <v>0</v>
      </c>
      <c r="AH18" s="40">
        <v>0</v>
      </c>
      <c r="AI18" s="73">
        <f>32600000</f>
        <v>32600000</v>
      </c>
      <c r="AJ18" s="74">
        <v>1.5E-3</v>
      </c>
      <c r="AK18" s="40">
        <f t="shared" si="9"/>
        <v>135.83333333333334</v>
      </c>
      <c r="AL18" s="73">
        <f t="shared" si="10"/>
        <v>25000000</v>
      </c>
      <c r="AM18" s="74">
        <v>1.9E-3</v>
      </c>
      <c r="AN18" s="40">
        <f t="shared" si="11"/>
        <v>131.94444444444446</v>
      </c>
      <c r="AO18" s="73">
        <f t="shared" si="12"/>
        <v>40000000</v>
      </c>
      <c r="AP18" s="74">
        <v>2E-3</v>
      </c>
      <c r="AQ18" s="40">
        <f t="shared" si="13"/>
        <v>222.22222222222223</v>
      </c>
      <c r="AR18" s="73">
        <f>77850000+24750000</f>
        <v>102600000</v>
      </c>
      <c r="AS18" s="74">
        <v>2.0999999999999999E-3</v>
      </c>
      <c r="AT18" s="40">
        <f t="shared" si="15"/>
        <v>598.5</v>
      </c>
      <c r="AU18" s="73">
        <f>40000000+25000000+57725000</f>
        <v>122725000</v>
      </c>
      <c r="AV18" s="74">
        <v>2.2000000000000001E-3</v>
      </c>
      <c r="AW18" s="40">
        <f t="shared" si="17"/>
        <v>749.98611111111109</v>
      </c>
      <c r="AX18" s="73">
        <f t="shared" ref="AX18:AX31" si="56">50000000+50000000</f>
        <v>100000000</v>
      </c>
      <c r="AY18" s="74">
        <v>2E-3</v>
      </c>
      <c r="AZ18" s="40">
        <f t="shared" si="18"/>
        <v>555.55555555555554</v>
      </c>
      <c r="BA18" s="73"/>
      <c r="BB18" s="74"/>
      <c r="BC18" s="40">
        <f t="shared" si="19"/>
        <v>0</v>
      </c>
      <c r="BF18" s="40">
        <f t="shared" si="20"/>
        <v>0</v>
      </c>
      <c r="BI18" s="40">
        <f t="shared" si="21"/>
        <v>0</v>
      </c>
      <c r="BL18" s="40">
        <f t="shared" si="22"/>
        <v>0</v>
      </c>
      <c r="BO18" s="40">
        <f t="shared" si="23"/>
        <v>0</v>
      </c>
      <c r="BR18" s="40">
        <f t="shared" si="24"/>
        <v>0</v>
      </c>
      <c r="BU18" s="40">
        <f t="shared" si="25"/>
        <v>0</v>
      </c>
      <c r="BX18" s="40">
        <f t="shared" si="26"/>
        <v>0</v>
      </c>
      <c r="CA18" s="40">
        <f t="shared" si="27"/>
        <v>0</v>
      </c>
      <c r="CD18" s="40">
        <f t="shared" si="28"/>
        <v>0</v>
      </c>
      <c r="CG18" s="40">
        <f t="shared" si="29"/>
        <v>0</v>
      </c>
      <c r="CJ18" s="40">
        <f t="shared" si="30"/>
        <v>0</v>
      </c>
      <c r="CM18" s="40">
        <f t="shared" si="31"/>
        <v>0</v>
      </c>
      <c r="CP18" s="40">
        <f t="shared" si="32"/>
        <v>0</v>
      </c>
      <c r="CS18" s="40">
        <f t="shared" si="33"/>
        <v>0</v>
      </c>
      <c r="CV18" s="40">
        <f t="shared" si="34"/>
        <v>0</v>
      </c>
      <c r="CY18" s="40">
        <f t="shared" si="35"/>
        <v>0</v>
      </c>
      <c r="DB18" s="40">
        <f t="shared" si="36"/>
        <v>0</v>
      </c>
      <c r="DE18" s="40">
        <f t="shared" si="37"/>
        <v>0</v>
      </c>
      <c r="DH18" s="40">
        <f t="shared" si="38"/>
        <v>0</v>
      </c>
      <c r="DK18" s="40">
        <f t="shared" si="39"/>
        <v>0</v>
      </c>
      <c r="DN18" s="40">
        <f t="shared" si="40"/>
        <v>0</v>
      </c>
      <c r="DQ18" s="40">
        <f t="shared" si="41"/>
        <v>0</v>
      </c>
      <c r="DT18" s="40">
        <f t="shared" si="42"/>
        <v>0</v>
      </c>
      <c r="DW18" s="40">
        <f t="shared" si="43"/>
        <v>0</v>
      </c>
      <c r="DY18" s="46"/>
      <c r="DZ18" s="38"/>
      <c r="EA18" s="40"/>
      <c r="EB18" s="75">
        <f t="shared" si="44"/>
        <v>422925000</v>
      </c>
      <c r="EC18" s="75">
        <f t="shared" si="45"/>
        <v>0</v>
      </c>
      <c r="ED18" s="40">
        <f t="shared" si="46"/>
        <v>2394.0416666666665</v>
      </c>
      <c r="EE18" s="41">
        <f t="shared" si="47"/>
        <v>2.0378435892888808E-3</v>
      </c>
      <c r="EG18" s="75">
        <f t="shared" si="48"/>
        <v>0</v>
      </c>
      <c r="EH18" s="40">
        <f t="shared" si="49"/>
        <v>0</v>
      </c>
      <c r="EI18" s="41">
        <f t="shared" si="50"/>
        <v>0</v>
      </c>
      <c r="EJ18" s="41"/>
      <c r="EK18" s="75">
        <f t="shared" si="51"/>
        <v>422925000</v>
      </c>
      <c r="EL18" s="75">
        <f t="shared" si="52"/>
        <v>0</v>
      </c>
      <c r="EM18" s="75">
        <f t="shared" si="53"/>
        <v>2394.0416666666665</v>
      </c>
      <c r="EN18" s="41">
        <f t="shared" si="54"/>
        <v>2.0378435892888808E-3</v>
      </c>
      <c r="EP18" s="40"/>
    </row>
    <row r="19" spans="1:146" x14ac:dyDescent="0.25">
      <c r="A19" s="25">
        <f t="shared" si="55"/>
        <v>44448</v>
      </c>
      <c r="D19" s="40">
        <f t="shared" si="0"/>
        <v>0</v>
      </c>
      <c r="E19" s="40">
        <v>0</v>
      </c>
      <c r="G19" s="40">
        <f t="shared" si="1"/>
        <v>0</v>
      </c>
      <c r="J19" s="40">
        <f t="shared" si="2"/>
        <v>0</v>
      </c>
      <c r="M19" s="40">
        <f t="shared" si="3"/>
        <v>0</v>
      </c>
      <c r="P19" s="40">
        <f t="shared" si="4"/>
        <v>0</v>
      </c>
      <c r="S19" s="40">
        <f t="shared" si="5"/>
        <v>0</v>
      </c>
      <c r="V19" s="40">
        <f t="shared" si="6"/>
        <v>0</v>
      </c>
      <c r="Y19" s="40">
        <f t="shared" si="7"/>
        <v>0</v>
      </c>
      <c r="AB19" s="40">
        <f t="shared" si="8"/>
        <v>0</v>
      </c>
      <c r="AE19" s="40">
        <v>0</v>
      </c>
      <c r="AH19" s="40">
        <v>0</v>
      </c>
      <c r="AI19" s="73">
        <f>62000000+62700000</f>
        <v>124700000</v>
      </c>
      <c r="AJ19" s="74">
        <v>1.5E-3</v>
      </c>
      <c r="AK19" s="40">
        <f t="shared" si="9"/>
        <v>519.58333333333337</v>
      </c>
      <c r="AL19" s="73">
        <f t="shared" si="10"/>
        <v>25000000</v>
      </c>
      <c r="AM19" s="74">
        <v>1.9E-3</v>
      </c>
      <c r="AN19" s="40">
        <f t="shared" si="11"/>
        <v>131.94444444444446</v>
      </c>
      <c r="AO19" s="73">
        <f t="shared" si="12"/>
        <v>40000000</v>
      </c>
      <c r="AP19" s="74">
        <v>2E-3</v>
      </c>
      <c r="AQ19" s="40">
        <f t="shared" si="13"/>
        <v>222.22222222222223</v>
      </c>
      <c r="AR19" s="73">
        <f t="shared" ref="AR19:AR40" si="57">77850000</f>
        <v>77850000</v>
      </c>
      <c r="AS19" s="74">
        <v>2.0999999999999999E-3</v>
      </c>
      <c r="AT19" s="40">
        <f t="shared" si="15"/>
        <v>454.125</v>
      </c>
      <c r="AU19" s="73">
        <f>40000000+25000000</f>
        <v>65000000</v>
      </c>
      <c r="AV19" s="74">
        <v>2.2000000000000001E-3</v>
      </c>
      <c r="AW19" s="40">
        <f t="shared" si="17"/>
        <v>397.22222222222223</v>
      </c>
      <c r="AX19" s="73">
        <f t="shared" si="56"/>
        <v>100000000</v>
      </c>
      <c r="AY19" s="74">
        <v>2E-3</v>
      </c>
      <c r="AZ19" s="40">
        <f t="shared" si="18"/>
        <v>555.55555555555554</v>
      </c>
      <c r="BA19" s="73"/>
      <c r="BB19" s="74"/>
      <c r="BC19" s="40">
        <f t="shared" si="19"/>
        <v>0</v>
      </c>
      <c r="BF19" s="40">
        <f t="shared" si="20"/>
        <v>0</v>
      </c>
      <c r="BI19" s="40">
        <f t="shared" si="21"/>
        <v>0</v>
      </c>
      <c r="BL19" s="40">
        <f t="shared" si="22"/>
        <v>0</v>
      </c>
      <c r="BO19" s="40">
        <f t="shared" si="23"/>
        <v>0</v>
      </c>
      <c r="BR19" s="40">
        <f t="shared" si="24"/>
        <v>0</v>
      </c>
      <c r="BU19" s="40">
        <f t="shared" si="25"/>
        <v>0</v>
      </c>
      <c r="BX19" s="40">
        <f t="shared" si="26"/>
        <v>0</v>
      </c>
      <c r="CA19" s="40">
        <f t="shared" si="27"/>
        <v>0</v>
      </c>
      <c r="CD19" s="40">
        <f t="shared" si="28"/>
        <v>0</v>
      </c>
      <c r="CG19" s="40">
        <f t="shared" si="29"/>
        <v>0</v>
      </c>
      <c r="CJ19" s="40">
        <f t="shared" si="30"/>
        <v>0</v>
      </c>
      <c r="CM19" s="40">
        <f t="shared" si="31"/>
        <v>0</v>
      </c>
      <c r="CP19" s="40">
        <f t="shared" si="32"/>
        <v>0</v>
      </c>
      <c r="CS19" s="40">
        <f t="shared" si="33"/>
        <v>0</v>
      </c>
      <c r="CV19" s="40">
        <f t="shared" si="34"/>
        <v>0</v>
      </c>
      <c r="CY19" s="40">
        <f t="shared" si="35"/>
        <v>0</v>
      </c>
      <c r="DB19" s="40">
        <f t="shared" si="36"/>
        <v>0</v>
      </c>
      <c r="DE19" s="40">
        <f t="shared" si="37"/>
        <v>0</v>
      </c>
      <c r="DH19" s="40">
        <f t="shared" si="38"/>
        <v>0</v>
      </c>
      <c r="DK19" s="40">
        <f t="shared" si="39"/>
        <v>0</v>
      </c>
      <c r="DN19" s="40">
        <f t="shared" si="40"/>
        <v>0</v>
      </c>
      <c r="DQ19" s="40">
        <f t="shared" si="41"/>
        <v>0</v>
      </c>
      <c r="DT19" s="40">
        <f t="shared" si="42"/>
        <v>0</v>
      </c>
      <c r="DW19" s="40">
        <f t="shared" si="43"/>
        <v>0</v>
      </c>
      <c r="DY19" s="46"/>
      <c r="DZ19" s="38"/>
      <c r="EA19" s="40"/>
      <c r="EB19" s="75">
        <f t="shared" si="44"/>
        <v>432550000</v>
      </c>
      <c r="EC19" s="75">
        <f t="shared" si="45"/>
        <v>0</v>
      </c>
      <c r="ED19" s="40">
        <f t="shared" si="46"/>
        <v>2280.6527777777778</v>
      </c>
      <c r="EE19" s="41">
        <f t="shared" si="47"/>
        <v>1.898127384117443E-3</v>
      </c>
      <c r="EG19" s="75">
        <f t="shared" si="48"/>
        <v>0</v>
      </c>
      <c r="EH19" s="40">
        <f t="shared" si="49"/>
        <v>0</v>
      </c>
      <c r="EI19" s="41">
        <f t="shared" si="50"/>
        <v>0</v>
      </c>
      <c r="EJ19" s="41"/>
      <c r="EK19" s="75">
        <f t="shared" si="51"/>
        <v>432550000</v>
      </c>
      <c r="EL19" s="75">
        <f t="shared" si="52"/>
        <v>0</v>
      </c>
      <c r="EM19" s="75">
        <f t="shared" si="53"/>
        <v>2280.6527777777778</v>
      </c>
      <c r="EN19" s="41">
        <f t="shared" si="54"/>
        <v>1.898127384117443E-3</v>
      </c>
      <c r="EP19" s="40"/>
    </row>
    <row r="20" spans="1:146" x14ac:dyDescent="0.25">
      <c r="A20" s="25">
        <f t="shared" si="55"/>
        <v>44449</v>
      </c>
      <c r="D20" s="40">
        <f t="shared" si="0"/>
        <v>0</v>
      </c>
      <c r="E20" s="40">
        <v>0</v>
      </c>
      <c r="G20" s="40">
        <f t="shared" si="1"/>
        <v>0</v>
      </c>
      <c r="J20" s="40">
        <f t="shared" si="2"/>
        <v>0</v>
      </c>
      <c r="M20" s="40">
        <f t="shared" si="3"/>
        <v>0</v>
      </c>
      <c r="P20" s="40">
        <f t="shared" si="4"/>
        <v>0</v>
      </c>
      <c r="S20" s="40">
        <f t="shared" si="5"/>
        <v>0</v>
      </c>
      <c r="V20" s="40">
        <f t="shared" si="6"/>
        <v>0</v>
      </c>
      <c r="Y20" s="40">
        <f t="shared" si="7"/>
        <v>0</v>
      </c>
      <c r="AB20" s="40">
        <f t="shared" si="8"/>
        <v>0</v>
      </c>
      <c r="AE20" s="40">
        <v>0</v>
      </c>
      <c r="AH20" s="40">
        <v>0</v>
      </c>
      <c r="AI20" s="73">
        <f>25000000+63000000+61100000</f>
        <v>149100000</v>
      </c>
      <c r="AJ20" s="74">
        <v>1.5E-3</v>
      </c>
      <c r="AK20" s="40">
        <f t="shared" si="9"/>
        <v>621.25</v>
      </c>
      <c r="AL20" s="73">
        <f t="shared" si="10"/>
        <v>25000000</v>
      </c>
      <c r="AM20" s="74">
        <v>1.9E-3</v>
      </c>
      <c r="AN20" s="40">
        <f t="shared" si="11"/>
        <v>131.94444444444446</v>
      </c>
      <c r="AO20" s="73">
        <f t="shared" si="12"/>
        <v>40000000</v>
      </c>
      <c r="AP20" s="74">
        <v>2E-3</v>
      </c>
      <c r="AQ20" s="40">
        <f t="shared" si="13"/>
        <v>222.22222222222223</v>
      </c>
      <c r="AR20" s="73">
        <f t="shared" si="57"/>
        <v>77850000</v>
      </c>
      <c r="AS20" s="74">
        <v>2.0999999999999999E-3</v>
      </c>
      <c r="AT20" s="40">
        <f t="shared" si="15"/>
        <v>454.125</v>
      </c>
      <c r="AU20" s="73">
        <f t="shared" ref="AU20:AU40" si="58">40000000</f>
        <v>40000000</v>
      </c>
      <c r="AV20" s="74">
        <v>2.2000000000000001E-3</v>
      </c>
      <c r="AW20" s="40">
        <f t="shared" si="17"/>
        <v>244.44444444444446</v>
      </c>
      <c r="AX20" s="73">
        <f t="shared" si="56"/>
        <v>100000000</v>
      </c>
      <c r="AY20" s="74">
        <v>2E-3</v>
      </c>
      <c r="AZ20" s="40">
        <f t="shared" si="18"/>
        <v>555.55555555555554</v>
      </c>
      <c r="BA20" s="73"/>
      <c r="BB20" s="74"/>
      <c r="BC20" s="40">
        <f t="shared" si="19"/>
        <v>0</v>
      </c>
      <c r="BF20" s="40">
        <f t="shared" si="20"/>
        <v>0</v>
      </c>
      <c r="BI20" s="40">
        <f t="shared" si="21"/>
        <v>0</v>
      </c>
      <c r="BL20" s="40">
        <f t="shared" si="22"/>
        <v>0</v>
      </c>
      <c r="BO20" s="40">
        <f t="shared" si="23"/>
        <v>0</v>
      </c>
      <c r="BR20" s="40">
        <f t="shared" si="24"/>
        <v>0</v>
      </c>
      <c r="BU20" s="40">
        <f t="shared" si="25"/>
        <v>0</v>
      </c>
      <c r="BX20" s="40">
        <f t="shared" si="26"/>
        <v>0</v>
      </c>
      <c r="CA20" s="40">
        <f t="shared" si="27"/>
        <v>0</v>
      </c>
      <c r="CD20" s="40">
        <f t="shared" si="28"/>
        <v>0</v>
      </c>
      <c r="CG20" s="40">
        <f t="shared" si="29"/>
        <v>0</v>
      </c>
      <c r="CJ20" s="40">
        <f t="shared" si="30"/>
        <v>0</v>
      </c>
      <c r="CM20" s="40">
        <f t="shared" si="31"/>
        <v>0</v>
      </c>
      <c r="CP20" s="40">
        <f t="shared" si="32"/>
        <v>0</v>
      </c>
      <c r="CS20" s="40">
        <f t="shared" si="33"/>
        <v>0</v>
      </c>
      <c r="CV20" s="40">
        <f t="shared" si="34"/>
        <v>0</v>
      </c>
      <c r="CY20" s="40">
        <f t="shared" si="35"/>
        <v>0</v>
      </c>
      <c r="DB20" s="40">
        <f t="shared" si="36"/>
        <v>0</v>
      </c>
      <c r="DE20" s="40">
        <f t="shared" si="37"/>
        <v>0</v>
      </c>
      <c r="DH20" s="40">
        <f t="shared" si="38"/>
        <v>0</v>
      </c>
      <c r="DK20" s="40">
        <f t="shared" si="39"/>
        <v>0</v>
      </c>
      <c r="DN20" s="40">
        <f t="shared" si="40"/>
        <v>0</v>
      </c>
      <c r="DQ20" s="40">
        <f t="shared" si="41"/>
        <v>0</v>
      </c>
      <c r="DT20" s="40">
        <f t="shared" si="42"/>
        <v>0</v>
      </c>
      <c r="DW20" s="40">
        <f t="shared" si="43"/>
        <v>0</v>
      </c>
      <c r="DY20" s="46"/>
      <c r="DZ20" s="38"/>
      <c r="EA20" s="40"/>
      <c r="EB20" s="75">
        <f t="shared" si="44"/>
        <v>431950000</v>
      </c>
      <c r="EC20" s="75">
        <f t="shared" si="45"/>
        <v>0</v>
      </c>
      <c r="ED20" s="40">
        <f t="shared" si="46"/>
        <v>2229.541666666667</v>
      </c>
      <c r="EE20" s="41">
        <f t="shared" si="47"/>
        <v>1.8581664544507469E-3</v>
      </c>
      <c r="EG20" s="75">
        <f t="shared" si="48"/>
        <v>0</v>
      </c>
      <c r="EH20" s="40">
        <f t="shared" si="49"/>
        <v>0</v>
      </c>
      <c r="EI20" s="41">
        <f t="shared" si="50"/>
        <v>0</v>
      </c>
      <c r="EJ20" s="41"/>
      <c r="EK20" s="75">
        <f t="shared" si="51"/>
        <v>431950000</v>
      </c>
      <c r="EL20" s="75">
        <f t="shared" si="52"/>
        <v>0</v>
      </c>
      <c r="EM20" s="75">
        <f t="shared" si="53"/>
        <v>2229.5416666666665</v>
      </c>
      <c r="EN20" s="41">
        <f t="shared" si="54"/>
        <v>1.8581664544507466E-3</v>
      </c>
      <c r="EP20" s="40"/>
    </row>
    <row r="21" spans="1:146" x14ac:dyDescent="0.25">
      <c r="A21" s="25">
        <f t="shared" si="55"/>
        <v>44450</v>
      </c>
      <c r="D21" s="40">
        <f t="shared" si="0"/>
        <v>0</v>
      </c>
      <c r="E21" s="40">
        <v>0</v>
      </c>
      <c r="G21" s="40">
        <f t="shared" si="1"/>
        <v>0</v>
      </c>
      <c r="J21" s="40">
        <f t="shared" si="2"/>
        <v>0</v>
      </c>
      <c r="M21" s="40">
        <f t="shared" si="3"/>
        <v>0</v>
      </c>
      <c r="P21" s="40">
        <f t="shared" si="4"/>
        <v>0</v>
      </c>
      <c r="S21" s="40">
        <f t="shared" si="5"/>
        <v>0</v>
      </c>
      <c r="V21" s="40">
        <f t="shared" si="6"/>
        <v>0</v>
      </c>
      <c r="Y21" s="40">
        <f t="shared" si="7"/>
        <v>0</v>
      </c>
      <c r="AB21" s="40">
        <f t="shared" si="8"/>
        <v>0</v>
      </c>
      <c r="AE21" s="40">
        <v>0</v>
      </c>
      <c r="AH21" s="40">
        <v>0</v>
      </c>
      <c r="AI21" s="73">
        <f>25000000+63000000+61100000</f>
        <v>149100000</v>
      </c>
      <c r="AJ21" s="74">
        <v>1.5E-3</v>
      </c>
      <c r="AK21" s="40">
        <f t="shared" si="9"/>
        <v>621.25</v>
      </c>
      <c r="AL21" s="73">
        <f t="shared" si="10"/>
        <v>25000000</v>
      </c>
      <c r="AM21" s="74">
        <v>1.9E-3</v>
      </c>
      <c r="AN21" s="40">
        <f t="shared" si="11"/>
        <v>131.94444444444446</v>
      </c>
      <c r="AO21" s="73">
        <f t="shared" si="12"/>
        <v>40000000</v>
      </c>
      <c r="AP21" s="74">
        <v>2E-3</v>
      </c>
      <c r="AQ21" s="40">
        <f t="shared" si="13"/>
        <v>222.22222222222223</v>
      </c>
      <c r="AR21" s="73">
        <f t="shared" si="57"/>
        <v>77850000</v>
      </c>
      <c r="AS21" s="74">
        <v>2.0999999999999999E-3</v>
      </c>
      <c r="AT21" s="40">
        <f t="shared" si="15"/>
        <v>454.125</v>
      </c>
      <c r="AU21" s="73">
        <f t="shared" si="58"/>
        <v>40000000</v>
      </c>
      <c r="AV21" s="74">
        <v>2.2000000000000001E-3</v>
      </c>
      <c r="AW21" s="40">
        <f t="shared" si="17"/>
        <v>244.44444444444446</v>
      </c>
      <c r="AX21" s="73">
        <f t="shared" si="56"/>
        <v>100000000</v>
      </c>
      <c r="AY21" s="74">
        <v>2E-3</v>
      </c>
      <c r="AZ21" s="40">
        <f t="shared" si="18"/>
        <v>555.55555555555554</v>
      </c>
      <c r="BA21" s="73"/>
      <c r="BB21" s="74"/>
      <c r="BC21" s="40">
        <f t="shared" si="19"/>
        <v>0</v>
      </c>
      <c r="BF21" s="40">
        <f t="shared" si="20"/>
        <v>0</v>
      </c>
      <c r="BI21" s="40">
        <f t="shared" si="21"/>
        <v>0</v>
      </c>
      <c r="BL21" s="40">
        <f t="shared" si="22"/>
        <v>0</v>
      </c>
      <c r="BO21" s="40">
        <f t="shared" si="23"/>
        <v>0</v>
      </c>
      <c r="BR21" s="40">
        <f t="shared" si="24"/>
        <v>0</v>
      </c>
      <c r="BU21" s="40">
        <f t="shared" si="25"/>
        <v>0</v>
      </c>
      <c r="BX21" s="40">
        <f t="shared" si="26"/>
        <v>0</v>
      </c>
      <c r="CA21" s="40">
        <f t="shared" si="27"/>
        <v>0</v>
      </c>
      <c r="CD21" s="40">
        <f t="shared" si="28"/>
        <v>0</v>
      </c>
      <c r="CG21" s="40">
        <f t="shared" si="29"/>
        <v>0</v>
      </c>
      <c r="CJ21" s="40">
        <f t="shared" si="30"/>
        <v>0</v>
      </c>
      <c r="CM21" s="40">
        <f t="shared" si="31"/>
        <v>0</v>
      </c>
      <c r="CP21" s="40">
        <f t="shared" si="32"/>
        <v>0</v>
      </c>
      <c r="CS21" s="40">
        <f t="shared" si="33"/>
        <v>0</v>
      </c>
      <c r="CV21" s="40">
        <f t="shared" si="34"/>
        <v>0</v>
      </c>
      <c r="CY21" s="40">
        <f t="shared" si="35"/>
        <v>0</v>
      </c>
      <c r="DB21" s="40">
        <f t="shared" si="36"/>
        <v>0</v>
      </c>
      <c r="DE21" s="40">
        <f t="shared" si="37"/>
        <v>0</v>
      </c>
      <c r="DH21" s="40">
        <f t="shared" si="38"/>
        <v>0</v>
      </c>
      <c r="DK21" s="40">
        <f t="shared" si="39"/>
        <v>0</v>
      </c>
      <c r="DN21" s="40">
        <f t="shared" si="40"/>
        <v>0</v>
      </c>
      <c r="DQ21" s="40">
        <f t="shared" si="41"/>
        <v>0</v>
      </c>
      <c r="DT21" s="40">
        <f t="shared" si="42"/>
        <v>0</v>
      </c>
      <c r="DW21" s="40">
        <f t="shared" si="43"/>
        <v>0</v>
      </c>
      <c r="DY21" s="46"/>
      <c r="DZ21" s="38"/>
      <c r="EA21" s="40"/>
      <c r="EB21" s="75">
        <f t="shared" si="44"/>
        <v>431950000</v>
      </c>
      <c r="EC21" s="75">
        <f t="shared" si="45"/>
        <v>0</v>
      </c>
      <c r="ED21" s="40">
        <f t="shared" si="46"/>
        <v>2229.541666666667</v>
      </c>
      <c r="EE21" s="41">
        <f t="shared" si="47"/>
        <v>1.8581664544507469E-3</v>
      </c>
      <c r="EG21" s="75">
        <f t="shared" si="48"/>
        <v>0</v>
      </c>
      <c r="EH21" s="40">
        <f t="shared" si="49"/>
        <v>0</v>
      </c>
      <c r="EI21" s="41">
        <f t="shared" si="50"/>
        <v>0</v>
      </c>
      <c r="EJ21" s="41"/>
      <c r="EK21" s="75">
        <f t="shared" si="51"/>
        <v>431950000</v>
      </c>
      <c r="EL21" s="75">
        <f t="shared" si="52"/>
        <v>0</v>
      </c>
      <c r="EM21" s="75">
        <f t="shared" si="53"/>
        <v>2229.5416666666665</v>
      </c>
      <c r="EN21" s="41">
        <f t="shared" si="54"/>
        <v>1.8581664544507466E-3</v>
      </c>
      <c r="EP21" s="40"/>
    </row>
    <row r="22" spans="1:146" x14ac:dyDescent="0.25">
      <c r="A22" s="25">
        <f t="shared" si="55"/>
        <v>44451</v>
      </c>
      <c r="D22" s="40">
        <f t="shared" si="0"/>
        <v>0</v>
      </c>
      <c r="E22" s="40">
        <v>0</v>
      </c>
      <c r="G22" s="40">
        <f t="shared" si="1"/>
        <v>0</v>
      </c>
      <c r="J22" s="40">
        <f t="shared" si="2"/>
        <v>0</v>
      </c>
      <c r="M22" s="40">
        <f t="shared" si="3"/>
        <v>0</v>
      </c>
      <c r="P22" s="40">
        <f t="shared" si="4"/>
        <v>0</v>
      </c>
      <c r="S22" s="40">
        <f t="shared" si="5"/>
        <v>0</v>
      </c>
      <c r="V22" s="40">
        <f t="shared" si="6"/>
        <v>0</v>
      </c>
      <c r="Y22" s="40">
        <f t="shared" si="7"/>
        <v>0</v>
      </c>
      <c r="AB22" s="40">
        <f t="shared" si="8"/>
        <v>0</v>
      </c>
      <c r="AE22" s="40">
        <v>0</v>
      </c>
      <c r="AH22" s="40">
        <v>0</v>
      </c>
      <c r="AI22" s="73">
        <f>25000000+63000000+61100000</f>
        <v>149100000</v>
      </c>
      <c r="AJ22" s="74">
        <v>1.5E-3</v>
      </c>
      <c r="AK22" s="40">
        <f t="shared" si="9"/>
        <v>621.25</v>
      </c>
      <c r="AL22" s="73">
        <f t="shared" si="10"/>
        <v>25000000</v>
      </c>
      <c r="AM22" s="74">
        <v>1.9E-3</v>
      </c>
      <c r="AN22" s="40">
        <f t="shared" si="11"/>
        <v>131.94444444444446</v>
      </c>
      <c r="AO22" s="73">
        <f t="shared" si="12"/>
        <v>40000000</v>
      </c>
      <c r="AP22" s="74">
        <v>2E-3</v>
      </c>
      <c r="AQ22" s="40">
        <f t="shared" si="13"/>
        <v>222.22222222222223</v>
      </c>
      <c r="AR22" s="73">
        <f t="shared" si="57"/>
        <v>77850000</v>
      </c>
      <c r="AS22" s="74">
        <v>2.0999999999999999E-3</v>
      </c>
      <c r="AT22" s="40">
        <f t="shared" si="15"/>
        <v>454.125</v>
      </c>
      <c r="AU22" s="73">
        <f t="shared" si="58"/>
        <v>40000000</v>
      </c>
      <c r="AV22" s="74">
        <v>2.2000000000000001E-3</v>
      </c>
      <c r="AW22" s="40">
        <f t="shared" si="17"/>
        <v>244.44444444444446</v>
      </c>
      <c r="AX22" s="73">
        <f t="shared" si="56"/>
        <v>100000000</v>
      </c>
      <c r="AY22" s="74">
        <v>2E-3</v>
      </c>
      <c r="AZ22" s="40">
        <f t="shared" si="18"/>
        <v>555.55555555555554</v>
      </c>
      <c r="BA22" s="73"/>
      <c r="BB22" s="74"/>
      <c r="BC22" s="40">
        <f t="shared" si="19"/>
        <v>0</v>
      </c>
      <c r="BF22" s="40">
        <f t="shared" si="20"/>
        <v>0</v>
      </c>
      <c r="BI22" s="40">
        <f t="shared" si="21"/>
        <v>0</v>
      </c>
      <c r="BL22" s="40">
        <f t="shared" si="22"/>
        <v>0</v>
      </c>
      <c r="BO22" s="40">
        <f t="shared" si="23"/>
        <v>0</v>
      </c>
      <c r="BR22" s="40">
        <f t="shared" si="24"/>
        <v>0</v>
      </c>
      <c r="BU22" s="40">
        <f t="shared" si="25"/>
        <v>0</v>
      </c>
      <c r="BX22" s="40">
        <f t="shared" si="26"/>
        <v>0</v>
      </c>
      <c r="CA22" s="40">
        <f t="shared" si="27"/>
        <v>0</v>
      </c>
      <c r="CD22" s="40">
        <f t="shared" si="28"/>
        <v>0</v>
      </c>
      <c r="CG22" s="40">
        <f t="shared" si="29"/>
        <v>0</v>
      </c>
      <c r="CJ22" s="40">
        <f t="shared" si="30"/>
        <v>0</v>
      </c>
      <c r="CM22" s="40">
        <f t="shared" si="31"/>
        <v>0</v>
      </c>
      <c r="CP22" s="40">
        <f t="shared" si="32"/>
        <v>0</v>
      </c>
      <c r="CS22" s="40">
        <f t="shared" si="33"/>
        <v>0</v>
      </c>
      <c r="CV22" s="40">
        <f t="shared" si="34"/>
        <v>0</v>
      </c>
      <c r="CY22" s="40">
        <f t="shared" si="35"/>
        <v>0</v>
      </c>
      <c r="DB22" s="40">
        <f t="shared" si="36"/>
        <v>0</v>
      </c>
      <c r="DE22" s="40">
        <f t="shared" si="37"/>
        <v>0</v>
      </c>
      <c r="DH22" s="40">
        <f t="shared" si="38"/>
        <v>0</v>
      </c>
      <c r="DK22" s="40">
        <f t="shared" si="39"/>
        <v>0</v>
      </c>
      <c r="DN22" s="40">
        <f t="shared" si="40"/>
        <v>0</v>
      </c>
      <c r="DQ22" s="40">
        <f t="shared" si="41"/>
        <v>0</v>
      </c>
      <c r="DT22" s="40">
        <f t="shared" si="42"/>
        <v>0</v>
      </c>
      <c r="DW22" s="40">
        <f t="shared" si="43"/>
        <v>0</v>
      </c>
      <c r="DY22" s="46"/>
      <c r="DZ22" s="38"/>
      <c r="EA22" s="40"/>
      <c r="EB22" s="75">
        <f t="shared" si="44"/>
        <v>431950000</v>
      </c>
      <c r="EC22" s="75">
        <f t="shared" si="45"/>
        <v>0</v>
      </c>
      <c r="ED22" s="40">
        <f t="shared" si="46"/>
        <v>2229.541666666667</v>
      </c>
      <c r="EE22" s="41">
        <f t="shared" si="47"/>
        <v>1.8581664544507469E-3</v>
      </c>
      <c r="EG22" s="75">
        <f t="shared" si="48"/>
        <v>0</v>
      </c>
      <c r="EH22" s="40">
        <f t="shared" si="49"/>
        <v>0</v>
      </c>
      <c r="EI22" s="41">
        <f t="shared" si="50"/>
        <v>0</v>
      </c>
      <c r="EJ22" s="41"/>
      <c r="EK22" s="75">
        <f t="shared" si="51"/>
        <v>431950000</v>
      </c>
      <c r="EL22" s="75">
        <f t="shared" si="52"/>
        <v>0</v>
      </c>
      <c r="EM22" s="75">
        <f t="shared" si="53"/>
        <v>2229.5416666666665</v>
      </c>
      <c r="EN22" s="41">
        <f t="shared" si="54"/>
        <v>1.8581664544507466E-3</v>
      </c>
      <c r="EP22" s="40"/>
    </row>
    <row r="23" spans="1:146" x14ac:dyDescent="0.25">
      <c r="A23" s="25">
        <f t="shared" si="55"/>
        <v>44452</v>
      </c>
      <c r="D23" s="40">
        <f t="shared" si="0"/>
        <v>0</v>
      </c>
      <c r="E23" s="40">
        <v>0</v>
      </c>
      <c r="G23" s="40">
        <f t="shared" si="1"/>
        <v>0</v>
      </c>
      <c r="J23" s="40">
        <f t="shared" si="2"/>
        <v>0</v>
      </c>
      <c r="M23" s="40">
        <f t="shared" si="3"/>
        <v>0</v>
      </c>
      <c r="P23" s="40">
        <f t="shared" si="4"/>
        <v>0</v>
      </c>
      <c r="S23" s="40">
        <f t="shared" si="5"/>
        <v>0</v>
      </c>
      <c r="V23" s="40">
        <f t="shared" si="6"/>
        <v>0</v>
      </c>
      <c r="Y23" s="40">
        <f t="shared" si="7"/>
        <v>0</v>
      </c>
      <c r="AB23" s="40">
        <f t="shared" si="8"/>
        <v>0</v>
      </c>
      <c r="AE23" s="40">
        <v>0</v>
      </c>
      <c r="AH23" s="40">
        <v>0</v>
      </c>
      <c r="AI23" s="73">
        <f>25000000+64500000+66000000</f>
        <v>155500000</v>
      </c>
      <c r="AJ23" s="74">
        <v>1.5E-3</v>
      </c>
      <c r="AK23" s="40">
        <f t="shared" si="9"/>
        <v>647.91666666666663</v>
      </c>
      <c r="AL23" s="73">
        <f t="shared" si="10"/>
        <v>25000000</v>
      </c>
      <c r="AM23" s="74">
        <v>2E-3</v>
      </c>
      <c r="AN23" s="40">
        <f t="shared" si="11"/>
        <v>138.88888888888889</v>
      </c>
      <c r="AO23" s="73">
        <f t="shared" si="12"/>
        <v>40000000</v>
      </c>
      <c r="AP23" s="74">
        <v>2E-3</v>
      </c>
      <c r="AQ23" s="40">
        <f t="shared" si="13"/>
        <v>222.22222222222223</v>
      </c>
      <c r="AR23" s="73">
        <f t="shared" si="57"/>
        <v>77850000</v>
      </c>
      <c r="AS23" s="74">
        <v>2.0999999999999999E-3</v>
      </c>
      <c r="AT23" s="40">
        <f t="shared" si="15"/>
        <v>454.125</v>
      </c>
      <c r="AU23" s="73">
        <f t="shared" si="58"/>
        <v>40000000</v>
      </c>
      <c r="AV23" s="74">
        <v>2E-3</v>
      </c>
      <c r="AW23" s="40">
        <f t="shared" si="17"/>
        <v>222.22222222222223</v>
      </c>
      <c r="AX23" s="73">
        <f t="shared" si="56"/>
        <v>100000000</v>
      </c>
      <c r="AY23" s="74">
        <v>2E-3</v>
      </c>
      <c r="AZ23" s="40">
        <f t="shared" si="18"/>
        <v>555.55555555555554</v>
      </c>
      <c r="BA23" s="73"/>
      <c r="BB23" s="74"/>
      <c r="BC23" s="40">
        <f t="shared" si="19"/>
        <v>0</v>
      </c>
      <c r="BF23" s="40">
        <f t="shared" si="20"/>
        <v>0</v>
      </c>
      <c r="BI23" s="40">
        <f t="shared" si="21"/>
        <v>0</v>
      </c>
      <c r="BL23" s="40">
        <f t="shared" si="22"/>
        <v>0</v>
      </c>
      <c r="BO23" s="40">
        <f t="shared" si="23"/>
        <v>0</v>
      </c>
      <c r="BR23" s="40">
        <f t="shared" si="24"/>
        <v>0</v>
      </c>
      <c r="BU23" s="40">
        <f t="shared" si="25"/>
        <v>0</v>
      </c>
      <c r="BX23" s="40">
        <f t="shared" si="26"/>
        <v>0</v>
      </c>
      <c r="CA23" s="40">
        <f t="shared" si="27"/>
        <v>0</v>
      </c>
      <c r="CD23" s="40">
        <f t="shared" si="28"/>
        <v>0</v>
      </c>
      <c r="CG23" s="40">
        <f t="shared" si="29"/>
        <v>0</v>
      </c>
      <c r="CJ23" s="40">
        <f t="shared" si="30"/>
        <v>0</v>
      </c>
      <c r="CM23" s="40">
        <f t="shared" si="31"/>
        <v>0</v>
      </c>
      <c r="CP23" s="40">
        <f t="shared" si="32"/>
        <v>0</v>
      </c>
      <c r="CS23" s="40">
        <f t="shared" si="33"/>
        <v>0</v>
      </c>
      <c r="CV23" s="40">
        <f t="shared" si="34"/>
        <v>0</v>
      </c>
      <c r="CY23" s="40">
        <f t="shared" si="35"/>
        <v>0</v>
      </c>
      <c r="DB23" s="40">
        <f t="shared" si="36"/>
        <v>0</v>
      </c>
      <c r="DE23" s="40">
        <f t="shared" si="37"/>
        <v>0</v>
      </c>
      <c r="DH23" s="40">
        <f t="shared" si="38"/>
        <v>0</v>
      </c>
      <c r="DK23" s="40">
        <f t="shared" si="39"/>
        <v>0</v>
      </c>
      <c r="DN23" s="40">
        <f t="shared" si="40"/>
        <v>0</v>
      </c>
      <c r="DQ23" s="40">
        <f t="shared" si="41"/>
        <v>0</v>
      </c>
      <c r="DT23" s="40">
        <f t="shared" si="42"/>
        <v>0</v>
      </c>
      <c r="DW23" s="40">
        <f t="shared" si="43"/>
        <v>0</v>
      </c>
      <c r="DY23" s="46"/>
      <c r="DZ23" s="38"/>
      <c r="EA23" s="40"/>
      <c r="EB23" s="75">
        <f t="shared" si="44"/>
        <v>438350000</v>
      </c>
      <c r="EC23" s="75">
        <f t="shared" si="45"/>
        <v>0</v>
      </c>
      <c r="ED23" s="40">
        <f t="shared" si="46"/>
        <v>2240.9305555555557</v>
      </c>
      <c r="EE23" s="41">
        <f t="shared" si="47"/>
        <v>1.8403900992357703E-3</v>
      </c>
      <c r="EG23" s="75">
        <f t="shared" si="48"/>
        <v>0</v>
      </c>
      <c r="EH23" s="40">
        <f t="shared" si="49"/>
        <v>0</v>
      </c>
      <c r="EI23" s="41">
        <f t="shared" si="50"/>
        <v>0</v>
      </c>
      <c r="EJ23" s="41"/>
      <c r="EK23" s="75">
        <f t="shared" si="51"/>
        <v>438350000</v>
      </c>
      <c r="EL23" s="75">
        <f t="shared" si="52"/>
        <v>0</v>
      </c>
      <c r="EM23" s="75">
        <f t="shared" si="53"/>
        <v>2240.9305555555557</v>
      </c>
      <c r="EN23" s="41">
        <f t="shared" si="54"/>
        <v>1.8403900992357703E-3</v>
      </c>
      <c r="EP23" s="40"/>
    </row>
    <row r="24" spans="1:146" x14ac:dyDescent="0.25">
      <c r="A24" s="25">
        <f t="shared" si="55"/>
        <v>44453</v>
      </c>
      <c r="D24" s="40">
        <f t="shared" si="0"/>
        <v>0</v>
      </c>
      <c r="E24" s="40">
        <v>0</v>
      </c>
      <c r="G24" s="40">
        <f t="shared" si="1"/>
        <v>0</v>
      </c>
      <c r="J24" s="40">
        <f t="shared" si="2"/>
        <v>0</v>
      </c>
      <c r="M24" s="40">
        <f t="shared" si="3"/>
        <v>0</v>
      </c>
      <c r="P24" s="40">
        <f t="shared" si="4"/>
        <v>0</v>
      </c>
      <c r="S24" s="40">
        <f t="shared" si="5"/>
        <v>0</v>
      </c>
      <c r="V24" s="40">
        <f t="shared" si="6"/>
        <v>0</v>
      </c>
      <c r="Y24" s="40">
        <f t="shared" si="7"/>
        <v>0</v>
      </c>
      <c r="AB24" s="40">
        <f t="shared" si="8"/>
        <v>0</v>
      </c>
      <c r="AE24" s="40">
        <v>0</v>
      </c>
      <c r="AH24" s="40">
        <v>0</v>
      </c>
      <c r="AI24" s="73">
        <f>65000000+65000000+25750000</f>
        <v>155750000</v>
      </c>
      <c r="AJ24" s="74">
        <v>1.5E-3</v>
      </c>
      <c r="AK24" s="40">
        <f t="shared" si="9"/>
        <v>648.95833333333337</v>
      </c>
      <c r="AL24" s="73">
        <f t="shared" si="10"/>
        <v>25000000</v>
      </c>
      <c r="AM24" s="74">
        <v>2E-3</v>
      </c>
      <c r="AN24" s="40">
        <f t="shared" si="11"/>
        <v>138.88888888888889</v>
      </c>
      <c r="AO24" s="73">
        <f t="shared" si="12"/>
        <v>40000000</v>
      </c>
      <c r="AP24" s="74">
        <v>2E-3</v>
      </c>
      <c r="AQ24" s="40">
        <f t="shared" si="13"/>
        <v>222.22222222222223</v>
      </c>
      <c r="AR24" s="73">
        <f t="shared" si="57"/>
        <v>77850000</v>
      </c>
      <c r="AS24" s="74">
        <v>2.0999999999999999E-3</v>
      </c>
      <c r="AT24" s="40">
        <f t="shared" si="15"/>
        <v>454.125</v>
      </c>
      <c r="AU24" s="73">
        <f t="shared" si="58"/>
        <v>40000000</v>
      </c>
      <c r="AV24" s="74">
        <v>2E-3</v>
      </c>
      <c r="AW24" s="40">
        <f t="shared" si="17"/>
        <v>222.22222222222223</v>
      </c>
      <c r="AX24" s="73">
        <f t="shared" si="56"/>
        <v>100000000</v>
      </c>
      <c r="AY24" s="74">
        <v>2E-3</v>
      </c>
      <c r="AZ24" s="40">
        <f t="shared" si="18"/>
        <v>555.55555555555554</v>
      </c>
      <c r="BA24" s="73"/>
      <c r="BB24" s="74"/>
      <c r="BC24" s="40">
        <f t="shared" si="19"/>
        <v>0</v>
      </c>
      <c r="BF24" s="40">
        <f t="shared" si="20"/>
        <v>0</v>
      </c>
      <c r="BI24" s="40">
        <f t="shared" si="21"/>
        <v>0</v>
      </c>
      <c r="BL24" s="40">
        <f t="shared" si="22"/>
        <v>0</v>
      </c>
      <c r="BO24" s="40">
        <f t="shared" si="23"/>
        <v>0</v>
      </c>
      <c r="BR24" s="40">
        <f t="shared" si="24"/>
        <v>0</v>
      </c>
      <c r="BU24" s="40">
        <f t="shared" si="25"/>
        <v>0</v>
      </c>
      <c r="BX24" s="40">
        <f t="shared" si="26"/>
        <v>0</v>
      </c>
      <c r="CA24" s="40">
        <f t="shared" si="27"/>
        <v>0</v>
      </c>
      <c r="CD24" s="40">
        <f t="shared" si="28"/>
        <v>0</v>
      </c>
      <c r="CG24" s="40">
        <f t="shared" si="29"/>
        <v>0</v>
      </c>
      <c r="CJ24" s="40">
        <f t="shared" si="30"/>
        <v>0</v>
      </c>
      <c r="CM24" s="40">
        <f t="shared" si="31"/>
        <v>0</v>
      </c>
      <c r="CP24" s="40">
        <f t="shared" si="32"/>
        <v>0</v>
      </c>
      <c r="CS24" s="40">
        <f t="shared" si="33"/>
        <v>0</v>
      </c>
      <c r="CV24" s="40">
        <f t="shared" si="34"/>
        <v>0</v>
      </c>
      <c r="CY24" s="40">
        <f t="shared" si="35"/>
        <v>0</v>
      </c>
      <c r="DB24" s="40">
        <f t="shared" si="36"/>
        <v>0</v>
      </c>
      <c r="DE24" s="40">
        <f t="shared" si="37"/>
        <v>0</v>
      </c>
      <c r="DH24" s="40">
        <f t="shared" si="38"/>
        <v>0</v>
      </c>
      <c r="DK24" s="40">
        <f t="shared" si="39"/>
        <v>0</v>
      </c>
      <c r="DN24" s="40">
        <f t="shared" si="40"/>
        <v>0</v>
      </c>
      <c r="DQ24" s="40">
        <f t="shared" si="41"/>
        <v>0</v>
      </c>
      <c r="DT24" s="40">
        <f t="shared" si="42"/>
        <v>0</v>
      </c>
      <c r="DW24" s="40">
        <f t="shared" si="43"/>
        <v>0</v>
      </c>
      <c r="DY24" s="46"/>
      <c r="DZ24" s="38"/>
      <c r="EA24" s="40"/>
      <c r="EB24" s="75">
        <f t="shared" si="44"/>
        <v>438600000</v>
      </c>
      <c r="EC24" s="75">
        <f t="shared" si="45"/>
        <v>0</v>
      </c>
      <c r="ED24" s="40">
        <f t="shared" si="46"/>
        <v>2241.9722222222222</v>
      </c>
      <c r="EE24" s="41">
        <f t="shared" si="47"/>
        <v>1.8401960784313724E-3</v>
      </c>
      <c r="EG24" s="75">
        <f t="shared" si="48"/>
        <v>0</v>
      </c>
      <c r="EH24" s="40">
        <f t="shared" si="49"/>
        <v>0</v>
      </c>
      <c r="EI24" s="41">
        <f t="shared" si="50"/>
        <v>0</v>
      </c>
      <c r="EJ24" s="41"/>
      <c r="EK24" s="75">
        <f t="shared" si="51"/>
        <v>438600000</v>
      </c>
      <c r="EL24" s="75">
        <f t="shared" si="52"/>
        <v>0</v>
      </c>
      <c r="EM24" s="75">
        <f t="shared" si="53"/>
        <v>2241.9722222222222</v>
      </c>
      <c r="EN24" s="41">
        <f t="shared" si="54"/>
        <v>1.8401960784313724E-3</v>
      </c>
      <c r="EP24" s="40"/>
    </row>
    <row r="25" spans="1:146" x14ac:dyDescent="0.25">
      <c r="A25" s="25">
        <f t="shared" si="55"/>
        <v>44454</v>
      </c>
      <c r="D25" s="40">
        <f t="shared" si="0"/>
        <v>0</v>
      </c>
      <c r="E25" s="40">
        <v>0</v>
      </c>
      <c r="G25" s="40">
        <f t="shared" si="1"/>
        <v>0</v>
      </c>
      <c r="J25" s="40">
        <f t="shared" si="2"/>
        <v>0</v>
      </c>
      <c r="M25" s="40">
        <f t="shared" si="3"/>
        <v>0</v>
      </c>
      <c r="P25" s="40">
        <f t="shared" si="4"/>
        <v>0</v>
      </c>
      <c r="S25" s="40">
        <f t="shared" si="5"/>
        <v>0</v>
      </c>
      <c r="V25" s="40">
        <f t="shared" si="6"/>
        <v>0</v>
      </c>
      <c r="Y25" s="40">
        <f t="shared" si="7"/>
        <v>0</v>
      </c>
      <c r="AB25" s="40">
        <f t="shared" si="8"/>
        <v>0</v>
      </c>
      <c r="AE25" s="40">
        <v>0</v>
      </c>
      <c r="AH25" s="40">
        <v>0</v>
      </c>
      <c r="AI25" s="73">
        <f>40000000+70000000+68450000</f>
        <v>178450000</v>
      </c>
      <c r="AJ25" s="74">
        <v>1.5E-3</v>
      </c>
      <c r="AK25" s="40">
        <f t="shared" si="9"/>
        <v>743.54166666666663</v>
      </c>
      <c r="AL25" s="73">
        <f t="shared" si="10"/>
        <v>25000000</v>
      </c>
      <c r="AM25" s="74">
        <v>2E-3</v>
      </c>
      <c r="AN25" s="40">
        <f t="shared" si="11"/>
        <v>138.88888888888889</v>
      </c>
      <c r="AO25" s="73">
        <f t="shared" si="12"/>
        <v>40000000</v>
      </c>
      <c r="AP25" s="74">
        <v>2E-3</v>
      </c>
      <c r="AQ25" s="40">
        <f t="shared" si="13"/>
        <v>222.22222222222223</v>
      </c>
      <c r="AR25" s="73">
        <f t="shared" si="57"/>
        <v>77850000</v>
      </c>
      <c r="AS25" s="74">
        <v>2.0999999999999999E-3</v>
      </c>
      <c r="AT25" s="40">
        <f t="shared" si="15"/>
        <v>454.125</v>
      </c>
      <c r="AU25" s="73">
        <f t="shared" si="58"/>
        <v>40000000</v>
      </c>
      <c r="AV25" s="74">
        <v>2E-3</v>
      </c>
      <c r="AW25" s="40">
        <f t="shared" si="17"/>
        <v>222.22222222222223</v>
      </c>
      <c r="AX25" s="73">
        <f t="shared" si="56"/>
        <v>100000000</v>
      </c>
      <c r="AY25" s="74">
        <v>2E-3</v>
      </c>
      <c r="AZ25" s="40">
        <f t="shared" si="18"/>
        <v>555.55555555555554</v>
      </c>
      <c r="BA25" s="73"/>
      <c r="BB25" s="74"/>
      <c r="BC25" s="40">
        <f t="shared" si="19"/>
        <v>0</v>
      </c>
      <c r="BF25" s="40">
        <f t="shared" si="20"/>
        <v>0</v>
      </c>
      <c r="BI25" s="40">
        <f t="shared" si="21"/>
        <v>0</v>
      </c>
      <c r="BL25" s="40">
        <f t="shared" si="22"/>
        <v>0</v>
      </c>
      <c r="BO25" s="40">
        <f t="shared" si="23"/>
        <v>0</v>
      </c>
      <c r="BR25" s="40">
        <f t="shared" si="24"/>
        <v>0</v>
      </c>
      <c r="BU25" s="40">
        <f t="shared" si="25"/>
        <v>0</v>
      </c>
      <c r="BX25" s="40">
        <f t="shared" si="26"/>
        <v>0</v>
      </c>
      <c r="CA25" s="40">
        <f t="shared" si="27"/>
        <v>0</v>
      </c>
      <c r="CD25" s="40">
        <f t="shared" si="28"/>
        <v>0</v>
      </c>
      <c r="CG25" s="40">
        <f t="shared" si="29"/>
        <v>0</v>
      </c>
      <c r="CJ25" s="40">
        <f t="shared" si="30"/>
        <v>0</v>
      </c>
      <c r="CM25" s="40">
        <f t="shared" si="31"/>
        <v>0</v>
      </c>
      <c r="CP25" s="40">
        <f t="shared" si="32"/>
        <v>0</v>
      </c>
      <c r="CS25" s="40">
        <f t="shared" si="33"/>
        <v>0</v>
      </c>
      <c r="CV25" s="40">
        <f t="shared" si="34"/>
        <v>0</v>
      </c>
      <c r="CY25" s="40">
        <f t="shared" si="35"/>
        <v>0</v>
      </c>
      <c r="DB25" s="40">
        <f t="shared" si="36"/>
        <v>0</v>
      </c>
      <c r="DE25" s="40">
        <f t="shared" si="37"/>
        <v>0</v>
      </c>
      <c r="DH25" s="40">
        <f t="shared" si="38"/>
        <v>0</v>
      </c>
      <c r="DK25" s="40">
        <f t="shared" si="39"/>
        <v>0</v>
      </c>
      <c r="DN25" s="40">
        <f t="shared" si="40"/>
        <v>0</v>
      </c>
      <c r="DQ25" s="40">
        <f t="shared" si="41"/>
        <v>0</v>
      </c>
      <c r="DT25" s="40">
        <f t="shared" si="42"/>
        <v>0</v>
      </c>
      <c r="DW25" s="40">
        <f t="shared" si="43"/>
        <v>0</v>
      </c>
      <c r="DY25" s="46"/>
      <c r="DZ25" s="38"/>
      <c r="EA25" s="40"/>
      <c r="EB25" s="75">
        <f t="shared" si="44"/>
        <v>461300000</v>
      </c>
      <c r="EC25" s="75">
        <f t="shared" si="45"/>
        <v>0</v>
      </c>
      <c r="ED25" s="40">
        <f t="shared" si="46"/>
        <v>2336.5555555555557</v>
      </c>
      <c r="EE25" s="41">
        <f t="shared" si="47"/>
        <v>1.8234554519835249E-3</v>
      </c>
      <c r="EG25" s="75">
        <f t="shared" si="48"/>
        <v>0</v>
      </c>
      <c r="EH25" s="40">
        <f t="shared" si="49"/>
        <v>0</v>
      </c>
      <c r="EI25" s="41">
        <f t="shared" si="50"/>
        <v>0</v>
      </c>
      <c r="EJ25" s="41"/>
      <c r="EK25" s="75">
        <f t="shared" si="51"/>
        <v>461300000</v>
      </c>
      <c r="EL25" s="75">
        <f t="shared" si="52"/>
        <v>0</v>
      </c>
      <c r="EM25" s="75">
        <f t="shared" si="53"/>
        <v>2336.5555555555557</v>
      </c>
      <c r="EN25" s="41">
        <f t="shared" si="54"/>
        <v>1.8234554519835249E-3</v>
      </c>
      <c r="EP25" s="40"/>
    </row>
    <row r="26" spans="1:146" x14ac:dyDescent="0.25">
      <c r="A26" s="25">
        <f t="shared" si="55"/>
        <v>44455</v>
      </c>
      <c r="D26" s="40">
        <f t="shared" si="0"/>
        <v>0</v>
      </c>
      <c r="E26" s="40">
        <v>7342524.71</v>
      </c>
      <c r="F26" s="41">
        <v>5.9999999999999995E-4</v>
      </c>
      <c r="G26" s="40">
        <f t="shared" si="1"/>
        <v>12.237541183333333</v>
      </c>
      <c r="J26" s="40">
        <f t="shared" si="2"/>
        <v>0</v>
      </c>
      <c r="M26" s="40">
        <f t="shared" si="3"/>
        <v>0</v>
      </c>
      <c r="P26" s="40">
        <f t="shared" si="4"/>
        <v>0</v>
      </c>
      <c r="S26" s="40">
        <f t="shared" si="5"/>
        <v>0</v>
      </c>
      <c r="V26" s="40">
        <f t="shared" si="6"/>
        <v>0</v>
      </c>
      <c r="Y26" s="40">
        <f t="shared" si="7"/>
        <v>0</v>
      </c>
      <c r="AB26" s="40">
        <f t="shared" si="8"/>
        <v>0</v>
      </c>
      <c r="AE26" s="40">
        <v>0</v>
      </c>
      <c r="AH26" s="40">
        <v>0</v>
      </c>
      <c r="AI26" s="73">
        <f>30000000+60000000+57075000</f>
        <v>147075000</v>
      </c>
      <c r="AJ26" s="74">
        <v>1.5E-3</v>
      </c>
      <c r="AK26" s="40">
        <f t="shared" si="9"/>
        <v>612.8125</v>
      </c>
      <c r="AL26" s="73">
        <f t="shared" si="10"/>
        <v>25000000</v>
      </c>
      <c r="AM26" s="74">
        <v>2E-3</v>
      </c>
      <c r="AN26" s="40">
        <f t="shared" si="11"/>
        <v>138.88888888888889</v>
      </c>
      <c r="AO26" s="73">
        <f t="shared" si="12"/>
        <v>40000000</v>
      </c>
      <c r="AP26" s="74">
        <v>2E-3</v>
      </c>
      <c r="AQ26" s="40">
        <f t="shared" si="13"/>
        <v>222.22222222222223</v>
      </c>
      <c r="AR26" s="73">
        <f t="shared" si="57"/>
        <v>77850000</v>
      </c>
      <c r="AS26" s="74">
        <v>2.0999999999999999E-3</v>
      </c>
      <c r="AT26" s="40">
        <f t="shared" si="15"/>
        <v>454.125</v>
      </c>
      <c r="AU26" s="73">
        <f t="shared" si="58"/>
        <v>40000000</v>
      </c>
      <c r="AV26" s="74">
        <v>2E-3</v>
      </c>
      <c r="AW26" s="40">
        <f t="shared" si="17"/>
        <v>222.22222222222223</v>
      </c>
      <c r="AX26" s="73">
        <f t="shared" si="56"/>
        <v>100000000</v>
      </c>
      <c r="AY26" s="74">
        <v>2E-3</v>
      </c>
      <c r="AZ26" s="40">
        <f t="shared" si="18"/>
        <v>555.55555555555554</v>
      </c>
      <c r="BA26" s="73"/>
      <c r="BB26" s="74"/>
      <c r="BC26" s="40">
        <f t="shared" si="19"/>
        <v>0</v>
      </c>
      <c r="BF26" s="40">
        <f t="shared" si="20"/>
        <v>0</v>
      </c>
      <c r="BI26" s="40">
        <f t="shared" si="21"/>
        <v>0</v>
      </c>
      <c r="BL26" s="40">
        <f t="shared" si="22"/>
        <v>0</v>
      </c>
      <c r="BO26" s="40">
        <f t="shared" si="23"/>
        <v>0</v>
      </c>
      <c r="BR26" s="40">
        <f t="shared" si="24"/>
        <v>0</v>
      </c>
      <c r="BU26" s="40">
        <f t="shared" si="25"/>
        <v>0</v>
      </c>
      <c r="BX26" s="40">
        <f t="shared" si="26"/>
        <v>0</v>
      </c>
      <c r="CA26" s="40">
        <f t="shared" si="27"/>
        <v>0</v>
      </c>
      <c r="CD26" s="40">
        <f t="shared" si="28"/>
        <v>0</v>
      </c>
      <c r="CG26" s="40">
        <f t="shared" si="29"/>
        <v>0</v>
      </c>
      <c r="CJ26" s="40">
        <f t="shared" si="30"/>
        <v>0</v>
      </c>
      <c r="CM26" s="40">
        <f t="shared" si="31"/>
        <v>0</v>
      </c>
      <c r="CP26" s="40">
        <f t="shared" si="32"/>
        <v>0</v>
      </c>
      <c r="CS26" s="40">
        <f t="shared" si="33"/>
        <v>0</v>
      </c>
      <c r="CV26" s="40">
        <f t="shared" si="34"/>
        <v>0</v>
      </c>
      <c r="CY26" s="40">
        <f t="shared" si="35"/>
        <v>0</v>
      </c>
      <c r="DB26" s="40">
        <f t="shared" si="36"/>
        <v>0</v>
      </c>
      <c r="DE26" s="40">
        <f t="shared" si="37"/>
        <v>0</v>
      </c>
      <c r="DH26" s="40">
        <f t="shared" si="38"/>
        <v>0</v>
      </c>
      <c r="DK26" s="40">
        <f t="shared" si="39"/>
        <v>0</v>
      </c>
      <c r="DN26" s="40">
        <f t="shared" si="40"/>
        <v>0</v>
      </c>
      <c r="DQ26" s="40">
        <f t="shared" si="41"/>
        <v>0</v>
      </c>
      <c r="DT26" s="40">
        <f t="shared" si="42"/>
        <v>0</v>
      </c>
      <c r="DW26" s="40">
        <f t="shared" si="43"/>
        <v>0</v>
      </c>
      <c r="DY26" s="46"/>
      <c r="DZ26" s="38"/>
      <c r="EA26" s="40"/>
      <c r="EB26" s="75">
        <f t="shared" si="44"/>
        <v>437267524.71000004</v>
      </c>
      <c r="EC26" s="75">
        <f t="shared" si="45"/>
        <v>7342524.7100000381</v>
      </c>
      <c r="ED26" s="40">
        <f t="shared" si="46"/>
        <v>2218.0639300722223</v>
      </c>
      <c r="EE26" s="41">
        <f t="shared" si="47"/>
        <v>1.8261200974290849E-3</v>
      </c>
      <c r="EG26" s="75">
        <f t="shared" si="48"/>
        <v>0</v>
      </c>
      <c r="EH26" s="40">
        <f t="shared" si="49"/>
        <v>0</v>
      </c>
      <c r="EI26" s="41">
        <f t="shared" si="50"/>
        <v>0</v>
      </c>
      <c r="EJ26" s="41"/>
      <c r="EK26" s="75">
        <f t="shared" si="51"/>
        <v>429925000</v>
      </c>
      <c r="EL26" s="75">
        <f t="shared" si="52"/>
        <v>0</v>
      </c>
      <c r="EM26" s="75">
        <f t="shared" si="53"/>
        <v>2205.8263888888887</v>
      </c>
      <c r="EN26" s="41">
        <f t="shared" si="54"/>
        <v>1.8470605338140372E-3</v>
      </c>
      <c r="EP26" s="40"/>
    </row>
    <row r="27" spans="1:146" x14ac:dyDescent="0.25">
      <c r="A27" s="25">
        <f t="shared" si="55"/>
        <v>44456</v>
      </c>
      <c r="D27" s="40">
        <f t="shared" si="0"/>
        <v>0</v>
      </c>
      <c r="E27" s="40">
        <v>4658958.49</v>
      </c>
      <c r="F27" s="41">
        <v>5.0000000000000001E-4</v>
      </c>
      <c r="G27" s="40">
        <f t="shared" si="1"/>
        <v>6.4707756805555556</v>
      </c>
      <c r="J27" s="40">
        <f t="shared" si="2"/>
        <v>0</v>
      </c>
      <c r="M27" s="40">
        <f t="shared" si="3"/>
        <v>0</v>
      </c>
      <c r="P27" s="40">
        <f t="shared" si="4"/>
        <v>0</v>
      </c>
      <c r="S27" s="40">
        <f t="shared" si="5"/>
        <v>0</v>
      </c>
      <c r="V27" s="40">
        <f t="shared" si="6"/>
        <v>0</v>
      </c>
      <c r="Y27" s="40">
        <f t="shared" si="7"/>
        <v>0</v>
      </c>
      <c r="AB27" s="40">
        <f t="shared" si="8"/>
        <v>0</v>
      </c>
      <c r="AE27" s="40">
        <v>0</v>
      </c>
      <c r="AH27" s="40">
        <v>0</v>
      </c>
      <c r="AI27" s="73">
        <f>20000000+50000000+54350000</f>
        <v>124350000</v>
      </c>
      <c r="AJ27" s="74">
        <v>1.5E-3</v>
      </c>
      <c r="AK27" s="40">
        <f t="shared" si="9"/>
        <v>518.125</v>
      </c>
      <c r="AL27" s="73">
        <f t="shared" si="10"/>
        <v>25000000</v>
      </c>
      <c r="AM27" s="74">
        <v>2E-3</v>
      </c>
      <c r="AN27" s="40">
        <f t="shared" si="11"/>
        <v>138.88888888888889</v>
      </c>
      <c r="AO27" s="73">
        <f t="shared" si="12"/>
        <v>40000000</v>
      </c>
      <c r="AP27" s="74">
        <v>2E-3</v>
      </c>
      <c r="AQ27" s="40">
        <f t="shared" si="13"/>
        <v>222.22222222222223</v>
      </c>
      <c r="AR27" s="73">
        <f t="shared" si="57"/>
        <v>77850000</v>
      </c>
      <c r="AS27" s="74">
        <v>2.0999999999999999E-3</v>
      </c>
      <c r="AT27" s="40">
        <f t="shared" si="15"/>
        <v>454.125</v>
      </c>
      <c r="AU27" s="73">
        <f t="shared" si="58"/>
        <v>40000000</v>
      </c>
      <c r="AV27" s="74">
        <v>2E-3</v>
      </c>
      <c r="AW27" s="40">
        <f t="shared" si="17"/>
        <v>222.22222222222223</v>
      </c>
      <c r="AX27" s="73">
        <f t="shared" si="56"/>
        <v>100000000</v>
      </c>
      <c r="AY27" s="74">
        <v>2E-3</v>
      </c>
      <c r="AZ27" s="40">
        <f t="shared" si="18"/>
        <v>555.55555555555554</v>
      </c>
      <c r="BA27" s="73"/>
      <c r="BB27" s="74"/>
      <c r="BC27" s="40">
        <f t="shared" si="19"/>
        <v>0</v>
      </c>
      <c r="BF27" s="40">
        <f t="shared" si="20"/>
        <v>0</v>
      </c>
      <c r="BI27" s="40">
        <f t="shared" si="21"/>
        <v>0</v>
      </c>
      <c r="BL27" s="40">
        <f t="shared" si="22"/>
        <v>0</v>
      </c>
      <c r="BO27" s="40">
        <f t="shared" si="23"/>
        <v>0</v>
      </c>
      <c r="BR27" s="40">
        <f t="shared" si="24"/>
        <v>0</v>
      </c>
      <c r="BU27" s="40">
        <f t="shared" si="25"/>
        <v>0</v>
      </c>
      <c r="BX27" s="40">
        <f t="shared" si="26"/>
        <v>0</v>
      </c>
      <c r="CA27" s="40">
        <f t="shared" si="27"/>
        <v>0</v>
      </c>
      <c r="CD27" s="40">
        <f t="shared" si="28"/>
        <v>0</v>
      </c>
      <c r="CG27" s="40">
        <f t="shared" si="29"/>
        <v>0</v>
      </c>
      <c r="CJ27" s="40">
        <f t="shared" si="30"/>
        <v>0</v>
      </c>
      <c r="CM27" s="40">
        <f t="shared" si="31"/>
        <v>0</v>
      </c>
      <c r="CP27" s="40">
        <f t="shared" si="32"/>
        <v>0</v>
      </c>
      <c r="CS27" s="40">
        <f t="shared" si="33"/>
        <v>0</v>
      </c>
      <c r="CV27" s="40">
        <f t="shared" si="34"/>
        <v>0</v>
      </c>
      <c r="CY27" s="40">
        <f t="shared" si="35"/>
        <v>0</v>
      </c>
      <c r="DB27" s="40">
        <f t="shared" si="36"/>
        <v>0</v>
      </c>
      <c r="DE27" s="40">
        <f t="shared" si="37"/>
        <v>0</v>
      </c>
      <c r="DH27" s="40">
        <f t="shared" si="38"/>
        <v>0</v>
      </c>
      <c r="DK27" s="40">
        <f t="shared" si="39"/>
        <v>0</v>
      </c>
      <c r="DN27" s="40">
        <f t="shared" si="40"/>
        <v>0</v>
      </c>
      <c r="DQ27" s="40">
        <f t="shared" si="41"/>
        <v>0</v>
      </c>
      <c r="DT27" s="40">
        <f t="shared" si="42"/>
        <v>0</v>
      </c>
      <c r="DW27" s="40">
        <f t="shared" si="43"/>
        <v>0</v>
      </c>
      <c r="DY27" s="46"/>
      <c r="DZ27" s="38"/>
      <c r="EA27" s="40"/>
      <c r="EB27" s="75">
        <f t="shared" si="44"/>
        <v>411858958.49000001</v>
      </c>
      <c r="EC27" s="75">
        <f t="shared" si="45"/>
        <v>4658958.4900000095</v>
      </c>
      <c r="ED27" s="40">
        <f t="shared" si="46"/>
        <v>2117.6096645694442</v>
      </c>
      <c r="EE27" s="41">
        <f t="shared" si="47"/>
        <v>1.850972192130937E-3</v>
      </c>
      <c r="EG27" s="75">
        <f t="shared" si="48"/>
        <v>0</v>
      </c>
      <c r="EH27" s="40">
        <f t="shared" si="49"/>
        <v>0</v>
      </c>
      <c r="EI27" s="41">
        <f t="shared" si="50"/>
        <v>0</v>
      </c>
      <c r="EJ27" s="41"/>
      <c r="EK27" s="75">
        <f t="shared" si="51"/>
        <v>407200000</v>
      </c>
      <c r="EL27" s="75">
        <f t="shared" si="52"/>
        <v>0</v>
      </c>
      <c r="EM27" s="75">
        <f t="shared" si="53"/>
        <v>2111.1388888888887</v>
      </c>
      <c r="EN27" s="41">
        <f t="shared" si="54"/>
        <v>1.8664292730844793E-3</v>
      </c>
      <c r="EP27" s="40"/>
    </row>
    <row r="28" spans="1:146" x14ac:dyDescent="0.25">
      <c r="A28" s="25">
        <f t="shared" si="55"/>
        <v>44457</v>
      </c>
      <c r="D28" s="40">
        <f t="shared" si="0"/>
        <v>0</v>
      </c>
      <c r="E28" s="40">
        <v>4658958.49</v>
      </c>
      <c r="F28" s="41">
        <v>5.0000000000000001E-4</v>
      </c>
      <c r="G28" s="40">
        <f t="shared" si="1"/>
        <v>6.4707756805555556</v>
      </c>
      <c r="J28" s="40">
        <f t="shared" si="2"/>
        <v>0</v>
      </c>
      <c r="M28" s="40">
        <f t="shared" si="3"/>
        <v>0</v>
      </c>
      <c r="P28" s="40">
        <f t="shared" si="4"/>
        <v>0</v>
      </c>
      <c r="S28" s="40">
        <f t="shared" si="5"/>
        <v>0</v>
      </c>
      <c r="V28" s="40">
        <f t="shared" si="6"/>
        <v>0</v>
      </c>
      <c r="Y28" s="40">
        <f t="shared" si="7"/>
        <v>0</v>
      </c>
      <c r="AB28" s="40">
        <f t="shared" si="8"/>
        <v>0</v>
      </c>
      <c r="AE28" s="40">
        <v>0</v>
      </c>
      <c r="AH28" s="40">
        <v>0</v>
      </c>
      <c r="AI28" s="73">
        <f>20000000+50000000+54350000</f>
        <v>124350000</v>
      </c>
      <c r="AJ28" s="74">
        <v>1.5E-3</v>
      </c>
      <c r="AK28" s="40">
        <f t="shared" si="9"/>
        <v>518.125</v>
      </c>
      <c r="AL28" s="73">
        <f t="shared" si="10"/>
        <v>25000000</v>
      </c>
      <c r="AM28" s="74">
        <v>2E-3</v>
      </c>
      <c r="AN28" s="40">
        <f t="shared" si="11"/>
        <v>138.88888888888889</v>
      </c>
      <c r="AO28" s="73">
        <f t="shared" si="12"/>
        <v>40000000</v>
      </c>
      <c r="AP28" s="74">
        <v>2E-3</v>
      </c>
      <c r="AQ28" s="40">
        <f t="shared" si="13"/>
        <v>222.22222222222223</v>
      </c>
      <c r="AR28" s="73">
        <f t="shared" si="57"/>
        <v>77850000</v>
      </c>
      <c r="AS28" s="74">
        <v>2.0999999999999999E-3</v>
      </c>
      <c r="AT28" s="40">
        <f t="shared" si="15"/>
        <v>454.125</v>
      </c>
      <c r="AU28" s="73">
        <f t="shared" si="58"/>
        <v>40000000</v>
      </c>
      <c r="AV28" s="74">
        <v>2E-3</v>
      </c>
      <c r="AW28" s="40">
        <f t="shared" si="17"/>
        <v>222.22222222222223</v>
      </c>
      <c r="AX28" s="73">
        <f t="shared" si="56"/>
        <v>100000000</v>
      </c>
      <c r="AY28" s="74">
        <v>2E-3</v>
      </c>
      <c r="AZ28" s="40">
        <f t="shared" si="18"/>
        <v>555.55555555555554</v>
      </c>
      <c r="BA28" s="73"/>
      <c r="BB28" s="74"/>
      <c r="BC28" s="40">
        <f t="shared" si="19"/>
        <v>0</v>
      </c>
      <c r="BF28" s="40">
        <f t="shared" si="20"/>
        <v>0</v>
      </c>
      <c r="BI28" s="40">
        <f t="shared" si="21"/>
        <v>0</v>
      </c>
      <c r="BL28" s="40">
        <f t="shared" si="22"/>
        <v>0</v>
      </c>
      <c r="BO28" s="40">
        <f t="shared" si="23"/>
        <v>0</v>
      </c>
      <c r="BR28" s="40">
        <f t="shared" si="24"/>
        <v>0</v>
      </c>
      <c r="BU28" s="40">
        <f t="shared" si="25"/>
        <v>0</v>
      </c>
      <c r="BX28" s="40">
        <f t="shared" si="26"/>
        <v>0</v>
      </c>
      <c r="CA28" s="40">
        <f t="shared" si="27"/>
        <v>0</v>
      </c>
      <c r="CD28" s="40">
        <f t="shared" si="28"/>
        <v>0</v>
      </c>
      <c r="CG28" s="40">
        <f t="shared" si="29"/>
        <v>0</v>
      </c>
      <c r="CJ28" s="40">
        <f t="shared" si="30"/>
        <v>0</v>
      </c>
      <c r="CM28" s="40">
        <f t="shared" si="31"/>
        <v>0</v>
      </c>
      <c r="CP28" s="40">
        <f t="shared" si="32"/>
        <v>0</v>
      </c>
      <c r="CS28" s="40">
        <f t="shared" si="33"/>
        <v>0</v>
      </c>
      <c r="CV28" s="40">
        <f t="shared" si="34"/>
        <v>0</v>
      </c>
      <c r="CY28" s="40">
        <f t="shared" si="35"/>
        <v>0</v>
      </c>
      <c r="DB28" s="40">
        <f t="shared" si="36"/>
        <v>0</v>
      </c>
      <c r="DE28" s="40">
        <f t="shared" si="37"/>
        <v>0</v>
      </c>
      <c r="DH28" s="40">
        <f t="shared" si="38"/>
        <v>0</v>
      </c>
      <c r="DK28" s="40">
        <f t="shared" si="39"/>
        <v>0</v>
      </c>
      <c r="DN28" s="40">
        <f t="shared" si="40"/>
        <v>0</v>
      </c>
      <c r="DQ28" s="40">
        <f t="shared" si="41"/>
        <v>0</v>
      </c>
      <c r="DT28" s="40">
        <f t="shared" si="42"/>
        <v>0</v>
      </c>
      <c r="DW28" s="40">
        <f t="shared" si="43"/>
        <v>0</v>
      </c>
      <c r="DY28" s="46"/>
      <c r="DZ28" s="38"/>
      <c r="EA28" s="40"/>
      <c r="EB28" s="75">
        <f t="shared" si="44"/>
        <v>411858958.49000001</v>
      </c>
      <c r="EC28" s="75">
        <f t="shared" si="45"/>
        <v>4658958.4900000095</v>
      </c>
      <c r="ED28" s="40">
        <f t="shared" si="46"/>
        <v>2117.6096645694442</v>
      </c>
      <c r="EE28" s="41">
        <f t="shared" si="47"/>
        <v>1.850972192130937E-3</v>
      </c>
      <c r="EG28" s="75">
        <f t="shared" si="48"/>
        <v>0</v>
      </c>
      <c r="EH28" s="40">
        <f t="shared" si="49"/>
        <v>0</v>
      </c>
      <c r="EI28" s="41">
        <f t="shared" si="50"/>
        <v>0</v>
      </c>
      <c r="EJ28" s="41"/>
      <c r="EK28" s="75">
        <f t="shared" si="51"/>
        <v>407200000</v>
      </c>
      <c r="EL28" s="75">
        <f t="shared" si="52"/>
        <v>0</v>
      </c>
      <c r="EM28" s="75">
        <f t="shared" si="53"/>
        <v>2111.1388888888887</v>
      </c>
      <c r="EN28" s="41">
        <f t="shared" si="54"/>
        <v>1.8664292730844793E-3</v>
      </c>
      <c r="EP28" s="40"/>
    </row>
    <row r="29" spans="1:146" x14ac:dyDescent="0.25">
      <c r="A29" s="25">
        <f t="shared" si="55"/>
        <v>44458</v>
      </c>
      <c r="D29" s="40">
        <f t="shared" si="0"/>
        <v>0</v>
      </c>
      <c r="E29" s="40">
        <v>4658958.49</v>
      </c>
      <c r="F29" s="41">
        <v>5.0000000000000001E-4</v>
      </c>
      <c r="G29" s="40">
        <f t="shared" si="1"/>
        <v>6.4707756805555556</v>
      </c>
      <c r="J29" s="40">
        <f t="shared" si="2"/>
        <v>0</v>
      </c>
      <c r="M29" s="40">
        <f t="shared" si="3"/>
        <v>0</v>
      </c>
      <c r="P29" s="40">
        <f t="shared" si="4"/>
        <v>0</v>
      </c>
      <c r="S29" s="40">
        <f t="shared" si="5"/>
        <v>0</v>
      </c>
      <c r="V29" s="40">
        <f t="shared" si="6"/>
        <v>0</v>
      </c>
      <c r="Y29" s="40">
        <f t="shared" si="7"/>
        <v>0</v>
      </c>
      <c r="AB29" s="40">
        <f t="shared" si="8"/>
        <v>0</v>
      </c>
      <c r="AE29" s="40">
        <v>0</v>
      </c>
      <c r="AH29" s="40">
        <v>0</v>
      </c>
      <c r="AI29" s="73">
        <f>20000000+50000000+54350000</f>
        <v>124350000</v>
      </c>
      <c r="AJ29" s="74">
        <v>1.5E-3</v>
      </c>
      <c r="AK29" s="40">
        <f t="shared" si="9"/>
        <v>518.125</v>
      </c>
      <c r="AL29" s="73">
        <f t="shared" si="10"/>
        <v>25000000</v>
      </c>
      <c r="AM29" s="74">
        <v>2E-3</v>
      </c>
      <c r="AN29" s="40">
        <f t="shared" si="11"/>
        <v>138.88888888888889</v>
      </c>
      <c r="AO29" s="73">
        <f t="shared" si="12"/>
        <v>40000000</v>
      </c>
      <c r="AP29" s="74">
        <v>2E-3</v>
      </c>
      <c r="AQ29" s="40">
        <f t="shared" si="13"/>
        <v>222.22222222222223</v>
      </c>
      <c r="AR29" s="73">
        <f t="shared" si="57"/>
        <v>77850000</v>
      </c>
      <c r="AS29" s="74">
        <v>2.0999999999999999E-3</v>
      </c>
      <c r="AT29" s="40">
        <f t="shared" si="15"/>
        <v>454.125</v>
      </c>
      <c r="AU29" s="73">
        <f t="shared" si="58"/>
        <v>40000000</v>
      </c>
      <c r="AV29" s="74">
        <v>2E-3</v>
      </c>
      <c r="AW29" s="40">
        <f t="shared" si="17"/>
        <v>222.22222222222223</v>
      </c>
      <c r="AX29" s="73">
        <f t="shared" si="56"/>
        <v>100000000</v>
      </c>
      <c r="AY29" s="74">
        <v>2E-3</v>
      </c>
      <c r="AZ29" s="40">
        <f t="shared" si="18"/>
        <v>555.55555555555554</v>
      </c>
      <c r="BA29" s="73"/>
      <c r="BB29" s="74"/>
      <c r="BC29" s="40">
        <f t="shared" si="19"/>
        <v>0</v>
      </c>
      <c r="BF29" s="40">
        <f t="shared" si="20"/>
        <v>0</v>
      </c>
      <c r="BI29" s="40">
        <f t="shared" si="21"/>
        <v>0</v>
      </c>
      <c r="BL29" s="40">
        <f t="shared" si="22"/>
        <v>0</v>
      </c>
      <c r="BO29" s="40">
        <f t="shared" si="23"/>
        <v>0</v>
      </c>
      <c r="BR29" s="40">
        <f t="shared" si="24"/>
        <v>0</v>
      </c>
      <c r="BU29" s="40">
        <f t="shared" si="25"/>
        <v>0</v>
      </c>
      <c r="BX29" s="40">
        <f t="shared" si="26"/>
        <v>0</v>
      </c>
      <c r="CA29" s="40">
        <f t="shared" si="27"/>
        <v>0</v>
      </c>
      <c r="CD29" s="40">
        <f t="shared" si="28"/>
        <v>0</v>
      </c>
      <c r="CG29" s="40">
        <f t="shared" si="29"/>
        <v>0</v>
      </c>
      <c r="CJ29" s="40">
        <f t="shared" si="30"/>
        <v>0</v>
      </c>
      <c r="CM29" s="40">
        <f t="shared" si="31"/>
        <v>0</v>
      </c>
      <c r="CP29" s="40">
        <f t="shared" si="32"/>
        <v>0</v>
      </c>
      <c r="CS29" s="40">
        <f t="shared" si="33"/>
        <v>0</v>
      </c>
      <c r="CV29" s="40">
        <f t="shared" si="34"/>
        <v>0</v>
      </c>
      <c r="CY29" s="40">
        <f t="shared" si="35"/>
        <v>0</v>
      </c>
      <c r="DB29" s="40">
        <f t="shared" si="36"/>
        <v>0</v>
      </c>
      <c r="DE29" s="40">
        <f t="shared" si="37"/>
        <v>0</v>
      </c>
      <c r="DH29" s="40">
        <f t="shared" si="38"/>
        <v>0</v>
      </c>
      <c r="DK29" s="40">
        <f t="shared" si="39"/>
        <v>0</v>
      </c>
      <c r="DN29" s="40">
        <f t="shared" si="40"/>
        <v>0</v>
      </c>
      <c r="DQ29" s="40">
        <f t="shared" si="41"/>
        <v>0</v>
      </c>
      <c r="DT29" s="40">
        <f t="shared" si="42"/>
        <v>0</v>
      </c>
      <c r="DW29" s="40">
        <f t="shared" si="43"/>
        <v>0</v>
      </c>
      <c r="DY29" s="46"/>
      <c r="DZ29" s="38"/>
      <c r="EA29" s="40"/>
      <c r="EB29" s="75">
        <f t="shared" si="44"/>
        <v>411858958.49000001</v>
      </c>
      <c r="EC29" s="75">
        <f t="shared" si="45"/>
        <v>4658958.4900000095</v>
      </c>
      <c r="ED29" s="40">
        <f t="shared" si="46"/>
        <v>2117.6096645694442</v>
      </c>
      <c r="EE29" s="41">
        <f t="shared" si="47"/>
        <v>1.850972192130937E-3</v>
      </c>
      <c r="EG29" s="75">
        <f t="shared" si="48"/>
        <v>0</v>
      </c>
      <c r="EH29" s="40">
        <f t="shared" si="49"/>
        <v>0</v>
      </c>
      <c r="EI29" s="41">
        <f t="shared" si="50"/>
        <v>0</v>
      </c>
      <c r="EJ29" s="41"/>
      <c r="EK29" s="75">
        <f t="shared" si="51"/>
        <v>407200000</v>
      </c>
      <c r="EL29" s="75">
        <f t="shared" si="52"/>
        <v>0</v>
      </c>
      <c r="EM29" s="75">
        <f t="shared" si="53"/>
        <v>2111.1388888888887</v>
      </c>
      <c r="EN29" s="41">
        <f t="shared" si="54"/>
        <v>1.8664292730844793E-3</v>
      </c>
      <c r="EP29" s="40"/>
    </row>
    <row r="30" spans="1:146" x14ac:dyDescent="0.25">
      <c r="A30" s="25">
        <f t="shared" si="55"/>
        <v>44459</v>
      </c>
      <c r="D30" s="40">
        <f t="shared" si="0"/>
        <v>0</v>
      </c>
      <c r="E30" s="40">
        <v>3497727.78</v>
      </c>
      <c r="F30" s="41">
        <v>5.9999999999999995E-4</v>
      </c>
      <c r="G30" s="40">
        <f t="shared" si="1"/>
        <v>5.8295462999999987</v>
      </c>
      <c r="J30" s="40">
        <f t="shared" si="2"/>
        <v>0</v>
      </c>
      <c r="M30" s="40">
        <f t="shared" si="3"/>
        <v>0</v>
      </c>
      <c r="P30" s="40">
        <f t="shared" si="4"/>
        <v>0</v>
      </c>
      <c r="S30" s="40">
        <f t="shared" si="5"/>
        <v>0</v>
      </c>
      <c r="V30" s="40">
        <f t="shared" si="6"/>
        <v>0</v>
      </c>
      <c r="Y30" s="40">
        <f t="shared" si="7"/>
        <v>0</v>
      </c>
      <c r="AB30" s="40">
        <f t="shared" si="8"/>
        <v>0</v>
      </c>
      <c r="AE30" s="40">
        <v>0</v>
      </c>
      <c r="AH30" s="40">
        <v>0</v>
      </c>
      <c r="AI30" s="73">
        <f>20000000+50000000+58400000</f>
        <v>128400000</v>
      </c>
      <c r="AJ30" s="74">
        <v>1.5E-3</v>
      </c>
      <c r="AK30" s="40">
        <f t="shared" si="9"/>
        <v>535</v>
      </c>
      <c r="AL30" s="73">
        <f t="shared" si="10"/>
        <v>25000000</v>
      </c>
      <c r="AM30" s="74">
        <v>2E-3</v>
      </c>
      <c r="AN30" s="40">
        <f t="shared" si="11"/>
        <v>138.88888888888889</v>
      </c>
      <c r="AO30" s="73">
        <f t="shared" si="12"/>
        <v>40000000</v>
      </c>
      <c r="AP30" s="74">
        <v>2E-3</v>
      </c>
      <c r="AQ30" s="40">
        <f t="shared" si="13"/>
        <v>222.22222222222223</v>
      </c>
      <c r="AR30" s="73">
        <f t="shared" si="57"/>
        <v>77850000</v>
      </c>
      <c r="AS30" s="74">
        <v>2.0999999999999999E-3</v>
      </c>
      <c r="AT30" s="40">
        <f t="shared" si="15"/>
        <v>454.125</v>
      </c>
      <c r="AU30" s="73">
        <f t="shared" si="58"/>
        <v>40000000</v>
      </c>
      <c r="AV30" s="74">
        <v>2E-3</v>
      </c>
      <c r="AW30" s="40">
        <f t="shared" si="17"/>
        <v>222.22222222222223</v>
      </c>
      <c r="AX30" s="73">
        <f t="shared" si="56"/>
        <v>100000000</v>
      </c>
      <c r="AY30" s="74">
        <v>2E-3</v>
      </c>
      <c r="AZ30" s="40">
        <f t="shared" si="18"/>
        <v>555.55555555555554</v>
      </c>
      <c r="BA30" s="73"/>
      <c r="BB30" s="74"/>
      <c r="BC30" s="40">
        <f t="shared" si="19"/>
        <v>0</v>
      </c>
      <c r="BF30" s="40">
        <f t="shared" si="20"/>
        <v>0</v>
      </c>
      <c r="BI30" s="40">
        <f t="shared" si="21"/>
        <v>0</v>
      </c>
      <c r="BL30" s="40">
        <f t="shared" si="22"/>
        <v>0</v>
      </c>
      <c r="BO30" s="40">
        <f t="shared" si="23"/>
        <v>0</v>
      </c>
      <c r="BR30" s="40">
        <f t="shared" si="24"/>
        <v>0</v>
      </c>
      <c r="BU30" s="40">
        <f t="shared" si="25"/>
        <v>0</v>
      </c>
      <c r="BX30" s="40">
        <f t="shared" si="26"/>
        <v>0</v>
      </c>
      <c r="CA30" s="40">
        <f t="shared" si="27"/>
        <v>0</v>
      </c>
      <c r="CD30" s="40">
        <f t="shared" si="28"/>
        <v>0</v>
      </c>
      <c r="CG30" s="40">
        <f t="shared" si="29"/>
        <v>0</v>
      </c>
      <c r="CJ30" s="40">
        <f t="shared" si="30"/>
        <v>0</v>
      </c>
      <c r="CM30" s="40">
        <f t="shared" si="31"/>
        <v>0</v>
      </c>
      <c r="CP30" s="40">
        <f t="shared" si="32"/>
        <v>0</v>
      </c>
      <c r="CS30" s="40">
        <f t="shared" si="33"/>
        <v>0</v>
      </c>
      <c r="CV30" s="40">
        <f t="shared" si="34"/>
        <v>0</v>
      </c>
      <c r="CY30" s="40">
        <f t="shared" si="35"/>
        <v>0</v>
      </c>
      <c r="DB30" s="40">
        <f t="shared" si="36"/>
        <v>0</v>
      </c>
      <c r="DE30" s="40">
        <f t="shared" si="37"/>
        <v>0</v>
      </c>
      <c r="DH30" s="40">
        <f t="shared" si="38"/>
        <v>0</v>
      </c>
      <c r="DK30" s="40">
        <f t="shared" si="39"/>
        <v>0</v>
      </c>
      <c r="DN30" s="40">
        <f t="shared" si="40"/>
        <v>0</v>
      </c>
      <c r="DQ30" s="40">
        <f t="shared" si="41"/>
        <v>0</v>
      </c>
      <c r="DT30" s="40">
        <f t="shared" si="42"/>
        <v>0</v>
      </c>
      <c r="DW30" s="40">
        <f t="shared" si="43"/>
        <v>0</v>
      </c>
      <c r="DY30" s="46"/>
      <c r="DZ30" s="38"/>
      <c r="EA30" s="40"/>
      <c r="EB30" s="75">
        <f t="shared" si="44"/>
        <v>414747727.77999997</v>
      </c>
      <c r="EC30" s="75">
        <f t="shared" si="45"/>
        <v>3497727.7799999714</v>
      </c>
      <c r="ED30" s="40">
        <f t="shared" si="46"/>
        <v>2133.8434351888886</v>
      </c>
      <c r="EE30" s="41">
        <f t="shared" si="47"/>
        <v>1.8521708142436831E-3</v>
      </c>
      <c r="EG30" s="75">
        <f t="shared" si="48"/>
        <v>0</v>
      </c>
      <c r="EH30" s="40">
        <f t="shared" si="49"/>
        <v>0</v>
      </c>
      <c r="EI30" s="41">
        <f t="shared" si="50"/>
        <v>0</v>
      </c>
      <c r="EJ30" s="41"/>
      <c r="EK30" s="75">
        <f t="shared" si="51"/>
        <v>411250000</v>
      </c>
      <c r="EL30" s="75">
        <f t="shared" si="52"/>
        <v>0</v>
      </c>
      <c r="EM30" s="75">
        <f t="shared" si="53"/>
        <v>2128.0138888888887</v>
      </c>
      <c r="EN30" s="41">
        <f t="shared" si="54"/>
        <v>1.862820668693009E-3</v>
      </c>
      <c r="EP30" s="40"/>
    </row>
    <row r="31" spans="1:146" x14ac:dyDescent="0.25">
      <c r="A31" s="25">
        <f t="shared" si="55"/>
        <v>44460</v>
      </c>
      <c r="D31" s="40">
        <f t="shared" si="0"/>
        <v>0</v>
      </c>
      <c r="E31" s="40">
        <v>5808376.4000000004</v>
      </c>
      <c r="F31" s="41">
        <v>5.9999999999999995E-4</v>
      </c>
      <c r="G31" s="40">
        <f t="shared" si="1"/>
        <v>9.6806273333333319</v>
      </c>
      <c r="J31" s="40">
        <f t="shared" si="2"/>
        <v>0</v>
      </c>
      <c r="M31" s="40">
        <f t="shared" si="3"/>
        <v>0</v>
      </c>
      <c r="P31" s="40">
        <f t="shared" si="4"/>
        <v>0</v>
      </c>
      <c r="S31" s="40">
        <f t="shared" si="5"/>
        <v>0</v>
      </c>
      <c r="V31" s="40">
        <f t="shared" si="6"/>
        <v>0</v>
      </c>
      <c r="Y31" s="40">
        <f t="shared" si="7"/>
        <v>0</v>
      </c>
      <c r="AB31" s="40">
        <f t="shared" si="8"/>
        <v>0</v>
      </c>
      <c r="AE31" s="40">
        <v>0</v>
      </c>
      <c r="AH31" s="40">
        <v>0</v>
      </c>
      <c r="AI31" s="73">
        <f>20000000+50000000+51850000</f>
        <v>121850000</v>
      </c>
      <c r="AJ31" s="74">
        <v>1.5E-3</v>
      </c>
      <c r="AK31" s="40">
        <f t="shared" si="9"/>
        <v>507.70833333333331</v>
      </c>
      <c r="AL31" s="73">
        <f t="shared" si="10"/>
        <v>25000000</v>
      </c>
      <c r="AM31" s="74">
        <v>2E-3</v>
      </c>
      <c r="AN31" s="40">
        <f t="shared" si="11"/>
        <v>138.88888888888889</v>
      </c>
      <c r="AO31" s="73">
        <f t="shared" si="12"/>
        <v>40000000</v>
      </c>
      <c r="AP31" s="74">
        <v>2E-3</v>
      </c>
      <c r="AQ31" s="40">
        <f t="shared" si="13"/>
        <v>222.22222222222223</v>
      </c>
      <c r="AR31" s="73">
        <f t="shared" si="57"/>
        <v>77850000</v>
      </c>
      <c r="AS31" s="74">
        <v>2.0999999999999999E-3</v>
      </c>
      <c r="AT31" s="40">
        <f t="shared" si="15"/>
        <v>454.125</v>
      </c>
      <c r="AU31" s="73">
        <f t="shared" si="58"/>
        <v>40000000</v>
      </c>
      <c r="AV31" s="74">
        <v>2E-3</v>
      </c>
      <c r="AW31" s="40">
        <f t="shared" si="17"/>
        <v>222.22222222222223</v>
      </c>
      <c r="AX31" s="73">
        <f t="shared" si="56"/>
        <v>100000000</v>
      </c>
      <c r="AY31" s="74">
        <v>2E-3</v>
      </c>
      <c r="AZ31" s="40">
        <f t="shared" si="18"/>
        <v>555.55555555555554</v>
      </c>
      <c r="BA31" s="73"/>
      <c r="BB31" s="74"/>
      <c r="BC31" s="40">
        <f t="shared" si="19"/>
        <v>0</v>
      </c>
      <c r="BF31" s="40">
        <f t="shared" si="20"/>
        <v>0</v>
      </c>
      <c r="BI31" s="40">
        <f t="shared" si="21"/>
        <v>0</v>
      </c>
      <c r="BL31" s="40">
        <f t="shared" si="22"/>
        <v>0</v>
      </c>
      <c r="BO31" s="40">
        <f t="shared" si="23"/>
        <v>0</v>
      </c>
      <c r="BR31" s="40">
        <f t="shared" si="24"/>
        <v>0</v>
      </c>
      <c r="BU31" s="40">
        <f t="shared" si="25"/>
        <v>0</v>
      </c>
      <c r="BX31" s="40">
        <f t="shared" si="26"/>
        <v>0</v>
      </c>
      <c r="CA31" s="40">
        <f t="shared" si="27"/>
        <v>0</v>
      </c>
      <c r="CD31" s="40">
        <f t="shared" si="28"/>
        <v>0</v>
      </c>
      <c r="CG31" s="40">
        <f t="shared" si="29"/>
        <v>0</v>
      </c>
      <c r="CJ31" s="40">
        <f t="shared" si="30"/>
        <v>0</v>
      </c>
      <c r="CM31" s="40">
        <f t="shared" si="31"/>
        <v>0</v>
      </c>
      <c r="CP31" s="40">
        <f t="shared" si="32"/>
        <v>0</v>
      </c>
      <c r="CS31" s="40">
        <f t="shared" si="33"/>
        <v>0</v>
      </c>
      <c r="CV31" s="40">
        <f t="shared" si="34"/>
        <v>0</v>
      </c>
      <c r="CY31" s="40">
        <f t="shared" si="35"/>
        <v>0</v>
      </c>
      <c r="DB31" s="40">
        <f t="shared" si="36"/>
        <v>0</v>
      </c>
      <c r="DE31" s="40">
        <f t="shared" si="37"/>
        <v>0</v>
      </c>
      <c r="DH31" s="40">
        <f t="shared" si="38"/>
        <v>0</v>
      </c>
      <c r="DK31" s="40">
        <f t="shared" si="39"/>
        <v>0</v>
      </c>
      <c r="DN31" s="40">
        <f t="shared" si="40"/>
        <v>0</v>
      </c>
      <c r="DQ31" s="40">
        <f t="shared" si="41"/>
        <v>0</v>
      </c>
      <c r="DT31" s="40">
        <f t="shared" si="42"/>
        <v>0</v>
      </c>
      <c r="DW31" s="40">
        <f t="shared" si="43"/>
        <v>0</v>
      </c>
      <c r="DY31" s="46"/>
      <c r="DZ31" s="38"/>
      <c r="EA31" s="40"/>
      <c r="EB31" s="75">
        <f t="shared" si="44"/>
        <v>410508376.39999998</v>
      </c>
      <c r="EC31" s="75">
        <f t="shared" si="45"/>
        <v>5808376.3999999762</v>
      </c>
      <c r="ED31" s="40">
        <f t="shared" si="46"/>
        <v>2110.4028495555553</v>
      </c>
      <c r="EE31" s="41">
        <f t="shared" si="47"/>
        <v>1.8507418350452935E-3</v>
      </c>
      <c r="EG31" s="75">
        <f t="shared" si="48"/>
        <v>0</v>
      </c>
      <c r="EH31" s="40">
        <f t="shared" si="49"/>
        <v>0</v>
      </c>
      <c r="EI31" s="41">
        <f t="shared" si="50"/>
        <v>0</v>
      </c>
      <c r="EJ31" s="41"/>
      <c r="EK31" s="75">
        <f t="shared" si="51"/>
        <v>404700000</v>
      </c>
      <c r="EL31" s="75">
        <f t="shared" si="52"/>
        <v>0</v>
      </c>
      <c r="EM31" s="75">
        <f t="shared" si="53"/>
        <v>2100.7222222222222</v>
      </c>
      <c r="EN31" s="41">
        <f t="shared" si="54"/>
        <v>1.8686928589078328E-3</v>
      </c>
      <c r="EP31" s="40"/>
    </row>
    <row r="32" spans="1:146" x14ac:dyDescent="0.25">
      <c r="A32" s="25">
        <f t="shared" si="55"/>
        <v>44461</v>
      </c>
      <c r="D32" s="40">
        <f t="shared" si="0"/>
        <v>0</v>
      </c>
      <c r="E32" s="40">
        <v>0</v>
      </c>
      <c r="G32" s="40">
        <f t="shared" si="1"/>
        <v>0</v>
      </c>
      <c r="J32" s="40">
        <f t="shared" si="2"/>
        <v>0</v>
      </c>
      <c r="M32" s="40">
        <f t="shared" si="3"/>
        <v>0</v>
      </c>
      <c r="P32" s="40">
        <f t="shared" si="4"/>
        <v>0</v>
      </c>
      <c r="S32" s="40">
        <f t="shared" si="5"/>
        <v>0</v>
      </c>
      <c r="V32" s="40">
        <f t="shared" si="6"/>
        <v>0</v>
      </c>
      <c r="Y32" s="40">
        <f t="shared" si="7"/>
        <v>0</v>
      </c>
      <c r="AB32" s="40">
        <f t="shared" si="8"/>
        <v>0</v>
      </c>
      <c r="AE32" s="40">
        <v>0</v>
      </c>
      <c r="AH32" s="40">
        <v>0</v>
      </c>
      <c r="AI32" s="73">
        <f>41275000</f>
        <v>41275000</v>
      </c>
      <c r="AJ32" s="74">
        <v>1.5E-3</v>
      </c>
      <c r="AK32" s="40">
        <f t="shared" si="9"/>
        <v>171.97916666666666</v>
      </c>
      <c r="AL32" s="73">
        <f t="shared" si="10"/>
        <v>25000000</v>
      </c>
      <c r="AM32" s="74">
        <v>2E-3</v>
      </c>
      <c r="AN32" s="40">
        <f t="shared" si="11"/>
        <v>138.88888888888889</v>
      </c>
      <c r="AO32" s="73"/>
      <c r="AP32" s="74"/>
      <c r="AQ32" s="40">
        <f t="shared" si="13"/>
        <v>0</v>
      </c>
      <c r="AR32" s="73">
        <f t="shared" si="57"/>
        <v>77850000</v>
      </c>
      <c r="AS32" s="74">
        <v>2.0999999999999999E-3</v>
      </c>
      <c r="AT32" s="40">
        <f t="shared" si="15"/>
        <v>454.125</v>
      </c>
      <c r="AU32" s="73">
        <f t="shared" si="58"/>
        <v>40000000</v>
      </c>
      <c r="AV32" s="74">
        <v>2E-3</v>
      </c>
      <c r="AW32" s="40">
        <f t="shared" si="17"/>
        <v>222.22222222222223</v>
      </c>
      <c r="AX32" s="73">
        <f t="shared" ref="AX32:AX40" si="59">50000000+50000000+60000000+20000000</f>
        <v>180000000</v>
      </c>
      <c r="AY32" s="74">
        <v>2E-3</v>
      </c>
      <c r="AZ32" s="40">
        <f t="shared" si="18"/>
        <v>1000</v>
      </c>
      <c r="BA32" s="73"/>
      <c r="BB32" s="74"/>
      <c r="BC32" s="40">
        <f t="shared" si="19"/>
        <v>0</v>
      </c>
      <c r="BF32" s="40">
        <f t="shared" si="20"/>
        <v>0</v>
      </c>
      <c r="BI32" s="40">
        <f t="shared" si="21"/>
        <v>0</v>
      </c>
      <c r="BL32" s="40">
        <f t="shared" si="22"/>
        <v>0</v>
      </c>
      <c r="BO32" s="40">
        <f t="shared" si="23"/>
        <v>0</v>
      </c>
      <c r="BR32" s="40">
        <f t="shared" si="24"/>
        <v>0</v>
      </c>
      <c r="BU32" s="40">
        <f t="shared" si="25"/>
        <v>0</v>
      </c>
      <c r="BX32" s="40">
        <f t="shared" si="26"/>
        <v>0</v>
      </c>
      <c r="CA32" s="40">
        <f t="shared" si="27"/>
        <v>0</v>
      </c>
      <c r="CD32" s="40">
        <f t="shared" si="28"/>
        <v>0</v>
      </c>
      <c r="CG32" s="40">
        <f t="shared" si="29"/>
        <v>0</v>
      </c>
      <c r="CJ32" s="40">
        <f t="shared" si="30"/>
        <v>0</v>
      </c>
      <c r="CM32" s="40">
        <f t="shared" si="31"/>
        <v>0</v>
      </c>
      <c r="CP32" s="40">
        <f t="shared" si="32"/>
        <v>0</v>
      </c>
      <c r="CS32" s="40">
        <f t="shared" si="33"/>
        <v>0</v>
      </c>
      <c r="CV32" s="40">
        <f t="shared" si="34"/>
        <v>0</v>
      </c>
      <c r="CY32" s="40">
        <f t="shared" si="35"/>
        <v>0</v>
      </c>
      <c r="DB32" s="40">
        <f t="shared" si="36"/>
        <v>0</v>
      </c>
      <c r="DE32" s="40">
        <f t="shared" si="37"/>
        <v>0</v>
      </c>
      <c r="DH32" s="40">
        <f t="shared" si="38"/>
        <v>0</v>
      </c>
      <c r="DK32" s="40">
        <f t="shared" si="39"/>
        <v>0</v>
      </c>
      <c r="DN32" s="40">
        <f t="shared" si="40"/>
        <v>0</v>
      </c>
      <c r="DQ32" s="40">
        <f t="shared" si="41"/>
        <v>0</v>
      </c>
      <c r="DT32" s="40">
        <f t="shared" si="42"/>
        <v>0</v>
      </c>
      <c r="DW32" s="40">
        <f t="shared" si="43"/>
        <v>0</v>
      </c>
      <c r="DY32" s="46"/>
      <c r="DZ32" s="38"/>
      <c r="EA32" s="40"/>
      <c r="EB32" s="75">
        <f t="shared" si="44"/>
        <v>364125000</v>
      </c>
      <c r="EC32" s="75">
        <f t="shared" si="45"/>
        <v>0</v>
      </c>
      <c r="ED32" s="40">
        <f t="shared" si="46"/>
        <v>1987.2152777777778</v>
      </c>
      <c r="EE32" s="41">
        <f t="shared" si="47"/>
        <v>1.9647030552694816E-3</v>
      </c>
      <c r="EG32" s="75">
        <f t="shared" si="48"/>
        <v>0</v>
      </c>
      <c r="EH32" s="40">
        <f t="shared" si="49"/>
        <v>0</v>
      </c>
      <c r="EI32" s="41">
        <f t="shared" si="50"/>
        <v>0</v>
      </c>
      <c r="EJ32" s="41"/>
      <c r="EK32" s="75">
        <f t="shared" si="51"/>
        <v>364125000</v>
      </c>
      <c r="EL32" s="75">
        <f t="shared" si="52"/>
        <v>0</v>
      </c>
      <c r="EM32" s="75">
        <f t="shared" si="53"/>
        <v>1987.2152777777778</v>
      </c>
      <c r="EN32" s="41">
        <f t="shared" si="54"/>
        <v>1.9647030552694816E-3</v>
      </c>
      <c r="EP32" s="40"/>
    </row>
    <row r="33" spans="1:146" x14ac:dyDescent="0.25">
      <c r="A33" s="25">
        <f t="shared" si="55"/>
        <v>44462</v>
      </c>
      <c r="D33" s="40">
        <f t="shared" si="0"/>
        <v>0</v>
      </c>
      <c r="E33" s="40">
        <v>0</v>
      </c>
      <c r="G33" s="40">
        <f t="shared" si="1"/>
        <v>0</v>
      </c>
      <c r="J33" s="40">
        <f t="shared" si="2"/>
        <v>0</v>
      </c>
      <c r="M33" s="40">
        <f t="shared" si="3"/>
        <v>0</v>
      </c>
      <c r="P33" s="40">
        <f t="shared" si="4"/>
        <v>0</v>
      </c>
      <c r="S33" s="40">
        <f t="shared" si="5"/>
        <v>0</v>
      </c>
      <c r="V33" s="40">
        <f t="shared" si="6"/>
        <v>0</v>
      </c>
      <c r="Y33" s="40">
        <f t="shared" si="7"/>
        <v>0</v>
      </c>
      <c r="AB33" s="40">
        <f t="shared" si="8"/>
        <v>0</v>
      </c>
      <c r="AE33" s="40">
        <v>0</v>
      </c>
      <c r="AH33" s="40">
        <v>0</v>
      </c>
      <c r="AI33" s="73">
        <f>25575000</f>
        <v>25575000</v>
      </c>
      <c r="AJ33" s="74">
        <v>1.5E-3</v>
      </c>
      <c r="AK33" s="40">
        <f t="shared" si="9"/>
        <v>106.5625</v>
      </c>
      <c r="AL33" s="73">
        <f t="shared" si="10"/>
        <v>25000000</v>
      </c>
      <c r="AM33" s="74">
        <v>2E-3</v>
      </c>
      <c r="AN33" s="40">
        <f t="shared" si="11"/>
        <v>138.88888888888889</v>
      </c>
      <c r="AO33" s="73"/>
      <c r="AP33" s="74"/>
      <c r="AQ33" s="40">
        <f t="shared" si="13"/>
        <v>0</v>
      </c>
      <c r="AR33" s="73">
        <f t="shared" si="57"/>
        <v>77850000</v>
      </c>
      <c r="AS33" s="74">
        <v>2.0999999999999999E-3</v>
      </c>
      <c r="AT33" s="40">
        <f t="shared" si="15"/>
        <v>454.125</v>
      </c>
      <c r="AU33" s="73">
        <f t="shared" si="58"/>
        <v>40000000</v>
      </c>
      <c r="AV33" s="74">
        <v>2E-3</v>
      </c>
      <c r="AW33" s="40">
        <f t="shared" si="17"/>
        <v>222.22222222222223</v>
      </c>
      <c r="AX33" s="73">
        <f t="shared" si="59"/>
        <v>180000000</v>
      </c>
      <c r="AY33" s="74">
        <v>2E-3</v>
      </c>
      <c r="AZ33" s="40">
        <f t="shared" si="18"/>
        <v>1000</v>
      </c>
      <c r="BA33" s="73"/>
      <c r="BB33" s="74"/>
      <c r="BC33" s="40">
        <f t="shared" si="19"/>
        <v>0</v>
      </c>
      <c r="BF33" s="40">
        <f t="shared" si="20"/>
        <v>0</v>
      </c>
      <c r="BI33" s="40">
        <f t="shared" si="21"/>
        <v>0</v>
      </c>
      <c r="BL33" s="40">
        <f t="shared" si="22"/>
        <v>0</v>
      </c>
      <c r="BO33" s="40">
        <f t="shared" si="23"/>
        <v>0</v>
      </c>
      <c r="BR33" s="40">
        <f t="shared" si="24"/>
        <v>0</v>
      </c>
      <c r="BU33" s="40">
        <f t="shared" si="25"/>
        <v>0</v>
      </c>
      <c r="BX33" s="40">
        <f t="shared" si="26"/>
        <v>0</v>
      </c>
      <c r="CA33" s="40">
        <f t="shared" si="27"/>
        <v>0</v>
      </c>
      <c r="CD33" s="40">
        <f t="shared" si="28"/>
        <v>0</v>
      </c>
      <c r="CG33" s="40">
        <f t="shared" si="29"/>
        <v>0</v>
      </c>
      <c r="CJ33" s="40">
        <f t="shared" si="30"/>
        <v>0</v>
      </c>
      <c r="CM33" s="40">
        <f t="shared" si="31"/>
        <v>0</v>
      </c>
      <c r="CP33" s="40">
        <f t="shared" si="32"/>
        <v>0</v>
      </c>
      <c r="CS33" s="40">
        <f t="shared" si="33"/>
        <v>0</v>
      </c>
      <c r="CV33" s="40">
        <f t="shared" si="34"/>
        <v>0</v>
      </c>
      <c r="CY33" s="40">
        <f t="shared" si="35"/>
        <v>0</v>
      </c>
      <c r="DB33" s="40">
        <f t="shared" si="36"/>
        <v>0</v>
      </c>
      <c r="DE33" s="40">
        <f t="shared" si="37"/>
        <v>0</v>
      </c>
      <c r="DH33" s="40">
        <f t="shared" si="38"/>
        <v>0</v>
      </c>
      <c r="DK33" s="40">
        <f t="shared" si="39"/>
        <v>0</v>
      </c>
      <c r="DN33" s="40">
        <f t="shared" si="40"/>
        <v>0</v>
      </c>
      <c r="DQ33" s="40">
        <f t="shared" si="41"/>
        <v>0</v>
      </c>
      <c r="DT33" s="40">
        <f t="shared" si="42"/>
        <v>0</v>
      </c>
      <c r="DW33" s="40">
        <f t="shared" si="43"/>
        <v>0</v>
      </c>
      <c r="DY33" s="46"/>
      <c r="DZ33" s="38"/>
      <c r="EA33" s="40"/>
      <c r="EB33" s="75">
        <f t="shared" si="44"/>
        <v>348425000</v>
      </c>
      <c r="EC33" s="75">
        <f t="shared" si="45"/>
        <v>0</v>
      </c>
      <c r="ED33" s="40">
        <f t="shared" si="46"/>
        <v>1921.7986111111111</v>
      </c>
      <c r="EE33" s="41">
        <f t="shared" si="47"/>
        <v>1.9856425342613185E-3</v>
      </c>
      <c r="EG33" s="75">
        <f t="shared" si="48"/>
        <v>0</v>
      </c>
      <c r="EH33" s="40">
        <f t="shared" si="49"/>
        <v>0</v>
      </c>
      <c r="EI33" s="41">
        <f t="shared" si="50"/>
        <v>0</v>
      </c>
      <c r="EJ33" s="41"/>
      <c r="EK33" s="75">
        <f t="shared" si="51"/>
        <v>348425000</v>
      </c>
      <c r="EL33" s="75">
        <f t="shared" si="52"/>
        <v>0</v>
      </c>
      <c r="EM33" s="75">
        <f t="shared" si="53"/>
        <v>1921.7986111111111</v>
      </c>
      <c r="EN33" s="41">
        <f t="shared" si="54"/>
        <v>1.9856425342613185E-3</v>
      </c>
      <c r="EP33" s="40"/>
    </row>
    <row r="34" spans="1:146" x14ac:dyDescent="0.25">
      <c r="A34" s="25">
        <f t="shared" si="55"/>
        <v>44463</v>
      </c>
      <c r="D34" s="40">
        <f t="shared" si="0"/>
        <v>0</v>
      </c>
      <c r="E34" s="40">
        <v>0</v>
      </c>
      <c r="G34" s="40">
        <f t="shared" si="1"/>
        <v>0</v>
      </c>
      <c r="J34" s="40">
        <f t="shared" si="2"/>
        <v>0</v>
      </c>
      <c r="M34" s="40">
        <f t="shared" si="3"/>
        <v>0</v>
      </c>
      <c r="P34" s="40">
        <f t="shared" si="4"/>
        <v>0</v>
      </c>
      <c r="S34" s="40">
        <f t="shared" si="5"/>
        <v>0</v>
      </c>
      <c r="V34" s="40">
        <f t="shared" si="6"/>
        <v>0</v>
      </c>
      <c r="Y34" s="40">
        <f t="shared" si="7"/>
        <v>0</v>
      </c>
      <c r="AB34" s="40">
        <f t="shared" si="8"/>
        <v>0</v>
      </c>
      <c r="AE34" s="40">
        <v>0</v>
      </c>
      <c r="AH34" s="40">
        <v>0</v>
      </c>
      <c r="AI34" s="73">
        <f>28525000</f>
        <v>28525000</v>
      </c>
      <c r="AJ34" s="74">
        <v>1.5E-3</v>
      </c>
      <c r="AK34" s="40">
        <f t="shared" si="9"/>
        <v>118.85416666666667</v>
      </c>
      <c r="AL34" s="73">
        <f t="shared" si="10"/>
        <v>25000000</v>
      </c>
      <c r="AM34" s="74">
        <v>2E-3</v>
      </c>
      <c r="AN34" s="40">
        <f t="shared" si="11"/>
        <v>138.88888888888889</v>
      </c>
      <c r="AO34" s="73"/>
      <c r="AP34" s="74"/>
      <c r="AQ34" s="40">
        <f t="shared" si="13"/>
        <v>0</v>
      </c>
      <c r="AR34" s="73">
        <f t="shared" si="57"/>
        <v>77850000</v>
      </c>
      <c r="AS34" s="74">
        <v>2.0999999999999999E-3</v>
      </c>
      <c r="AT34" s="40">
        <f t="shared" si="15"/>
        <v>454.125</v>
      </c>
      <c r="AU34" s="73">
        <f t="shared" si="58"/>
        <v>40000000</v>
      </c>
      <c r="AV34" s="74">
        <v>2E-3</v>
      </c>
      <c r="AW34" s="40">
        <f t="shared" si="17"/>
        <v>222.22222222222223</v>
      </c>
      <c r="AX34" s="73">
        <f t="shared" si="59"/>
        <v>180000000</v>
      </c>
      <c r="AY34" s="74">
        <v>2E-3</v>
      </c>
      <c r="AZ34" s="40">
        <f t="shared" si="18"/>
        <v>1000</v>
      </c>
      <c r="BA34" s="73"/>
      <c r="BB34" s="74"/>
      <c r="BC34" s="40">
        <f t="shared" si="19"/>
        <v>0</v>
      </c>
      <c r="BF34" s="40">
        <f t="shared" si="20"/>
        <v>0</v>
      </c>
      <c r="BI34" s="40">
        <f t="shared" si="21"/>
        <v>0</v>
      </c>
      <c r="BL34" s="40">
        <f t="shared" si="22"/>
        <v>0</v>
      </c>
      <c r="BO34" s="40">
        <f t="shared" si="23"/>
        <v>0</v>
      </c>
      <c r="BR34" s="40">
        <f t="shared" si="24"/>
        <v>0</v>
      </c>
      <c r="BU34" s="40">
        <f t="shared" si="25"/>
        <v>0</v>
      </c>
      <c r="BX34" s="40">
        <f t="shared" si="26"/>
        <v>0</v>
      </c>
      <c r="CA34" s="40">
        <f t="shared" si="27"/>
        <v>0</v>
      </c>
      <c r="CD34" s="40">
        <f t="shared" si="28"/>
        <v>0</v>
      </c>
      <c r="CG34" s="40">
        <f t="shared" si="29"/>
        <v>0</v>
      </c>
      <c r="CJ34" s="40">
        <f t="shared" si="30"/>
        <v>0</v>
      </c>
      <c r="CM34" s="40">
        <f t="shared" si="31"/>
        <v>0</v>
      </c>
      <c r="CP34" s="40">
        <f t="shared" si="32"/>
        <v>0</v>
      </c>
      <c r="CS34" s="40">
        <f t="shared" si="33"/>
        <v>0</v>
      </c>
      <c r="CV34" s="40">
        <f t="shared" si="34"/>
        <v>0</v>
      </c>
      <c r="CY34" s="40">
        <f t="shared" si="35"/>
        <v>0</v>
      </c>
      <c r="DB34" s="40">
        <f t="shared" si="36"/>
        <v>0</v>
      </c>
      <c r="DE34" s="40">
        <f t="shared" si="37"/>
        <v>0</v>
      </c>
      <c r="DH34" s="40">
        <f t="shared" si="38"/>
        <v>0</v>
      </c>
      <c r="DK34" s="40">
        <f t="shared" si="39"/>
        <v>0</v>
      </c>
      <c r="DN34" s="40">
        <f t="shared" si="40"/>
        <v>0</v>
      </c>
      <c r="DQ34" s="40">
        <f t="shared" si="41"/>
        <v>0</v>
      </c>
      <c r="DT34" s="40">
        <f t="shared" si="42"/>
        <v>0</v>
      </c>
      <c r="DW34" s="40">
        <f t="shared" si="43"/>
        <v>0</v>
      </c>
      <c r="DY34" s="46"/>
      <c r="DZ34" s="38"/>
      <c r="EA34" s="40"/>
      <c r="EB34" s="75">
        <f t="shared" si="44"/>
        <v>351375000</v>
      </c>
      <c r="EC34" s="75">
        <f t="shared" si="45"/>
        <v>0</v>
      </c>
      <c r="ED34" s="40">
        <f t="shared" si="46"/>
        <v>1934.0902777777778</v>
      </c>
      <c r="EE34" s="41">
        <f t="shared" si="47"/>
        <v>1.9815652792600498E-3</v>
      </c>
      <c r="EG34" s="75">
        <f t="shared" si="48"/>
        <v>0</v>
      </c>
      <c r="EH34" s="40">
        <f t="shared" si="49"/>
        <v>0</v>
      </c>
      <c r="EI34" s="41">
        <f t="shared" si="50"/>
        <v>0</v>
      </c>
      <c r="EJ34" s="41"/>
      <c r="EK34" s="75">
        <f t="shared" si="51"/>
        <v>351375000</v>
      </c>
      <c r="EL34" s="75">
        <f t="shared" si="52"/>
        <v>0</v>
      </c>
      <c r="EM34" s="75">
        <f t="shared" si="53"/>
        <v>1934.0902777777778</v>
      </c>
      <c r="EN34" s="41">
        <f t="shared" si="54"/>
        <v>1.9815652792600498E-3</v>
      </c>
      <c r="EP34" s="40"/>
    </row>
    <row r="35" spans="1:146" x14ac:dyDescent="0.25">
      <c r="A35" s="25">
        <f t="shared" si="55"/>
        <v>44464</v>
      </c>
      <c r="D35" s="40">
        <f t="shared" si="0"/>
        <v>0</v>
      </c>
      <c r="E35" s="40">
        <v>0</v>
      </c>
      <c r="G35" s="40">
        <f t="shared" si="1"/>
        <v>0</v>
      </c>
      <c r="J35" s="40">
        <f t="shared" si="2"/>
        <v>0</v>
      </c>
      <c r="M35" s="40">
        <f t="shared" si="3"/>
        <v>0</v>
      </c>
      <c r="P35" s="40">
        <f t="shared" si="4"/>
        <v>0</v>
      </c>
      <c r="S35" s="40">
        <f t="shared" si="5"/>
        <v>0</v>
      </c>
      <c r="V35" s="40">
        <f t="shared" si="6"/>
        <v>0</v>
      </c>
      <c r="Y35" s="40">
        <f t="shared" si="7"/>
        <v>0</v>
      </c>
      <c r="AB35" s="40">
        <f t="shared" si="8"/>
        <v>0</v>
      </c>
      <c r="AE35" s="40">
        <v>0</v>
      </c>
      <c r="AH35" s="40">
        <v>0</v>
      </c>
      <c r="AI35" s="73">
        <f>28525000</f>
        <v>28525000</v>
      </c>
      <c r="AJ35" s="74">
        <v>1.5E-3</v>
      </c>
      <c r="AK35" s="40">
        <f t="shared" si="9"/>
        <v>118.85416666666667</v>
      </c>
      <c r="AL35" s="73">
        <f t="shared" si="10"/>
        <v>25000000</v>
      </c>
      <c r="AM35" s="74">
        <v>2E-3</v>
      </c>
      <c r="AN35" s="40">
        <f t="shared" si="11"/>
        <v>138.88888888888889</v>
      </c>
      <c r="AO35" s="73"/>
      <c r="AP35" s="74"/>
      <c r="AQ35" s="40">
        <f t="shared" si="13"/>
        <v>0</v>
      </c>
      <c r="AR35" s="73">
        <f t="shared" si="57"/>
        <v>77850000</v>
      </c>
      <c r="AS35" s="74">
        <v>2.0999999999999999E-3</v>
      </c>
      <c r="AT35" s="40">
        <f t="shared" si="15"/>
        <v>454.125</v>
      </c>
      <c r="AU35" s="73">
        <f t="shared" si="58"/>
        <v>40000000</v>
      </c>
      <c r="AV35" s="74">
        <v>2E-3</v>
      </c>
      <c r="AW35" s="40">
        <f t="shared" si="17"/>
        <v>222.22222222222223</v>
      </c>
      <c r="AX35" s="73">
        <f t="shared" si="59"/>
        <v>180000000</v>
      </c>
      <c r="AY35" s="74">
        <v>2E-3</v>
      </c>
      <c r="AZ35" s="40">
        <f t="shared" si="18"/>
        <v>1000</v>
      </c>
      <c r="BA35" s="73"/>
      <c r="BB35" s="74"/>
      <c r="BC35" s="40">
        <f t="shared" si="19"/>
        <v>0</v>
      </c>
      <c r="BF35" s="40">
        <f t="shared" si="20"/>
        <v>0</v>
      </c>
      <c r="BI35" s="40">
        <f t="shared" si="21"/>
        <v>0</v>
      </c>
      <c r="BL35" s="40">
        <f t="shared" si="22"/>
        <v>0</v>
      </c>
      <c r="BO35" s="40">
        <f t="shared" si="23"/>
        <v>0</v>
      </c>
      <c r="BR35" s="40">
        <f t="shared" si="24"/>
        <v>0</v>
      </c>
      <c r="BU35" s="40">
        <f t="shared" si="25"/>
        <v>0</v>
      </c>
      <c r="BX35" s="40">
        <f t="shared" si="26"/>
        <v>0</v>
      </c>
      <c r="CA35" s="40">
        <f t="shared" si="27"/>
        <v>0</v>
      </c>
      <c r="CD35" s="40">
        <f t="shared" si="28"/>
        <v>0</v>
      </c>
      <c r="CG35" s="40">
        <f t="shared" si="29"/>
        <v>0</v>
      </c>
      <c r="CJ35" s="40">
        <f t="shared" si="30"/>
        <v>0</v>
      </c>
      <c r="CM35" s="40">
        <f t="shared" si="31"/>
        <v>0</v>
      </c>
      <c r="CP35" s="40">
        <f t="shared" si="32"/>
        <v>0</v>
      </c>
      <c r="CS35" s="40">
        <f t="shared" si="33"/>
        <v>0</v>
      </c>
      <c r="CV35" s="40">
        <f t="shared" si="34"/>
        <v>0</v>
      </c>
      <c r="CY35" s="40">
        <f t="shared" si="35"/>
        <v>0</v>
      </c>
      <c r="DB35" s="40">
        <f t="shared" si="36"/>
        <v>0</v>
      </c>
      <c r="DE35" s="40">
        <f t="shared" si="37"/>
        <v>0</v>
      </c>
      <c r="DH35" s="40">
        <f t="shared" si="38"/>
        <v>0</v>
      </c>
      <c r="DK35" s="40">
        <f t="shared" si="39"/>
        <v>0</v>
      </c>
      <c r="DN35" s="40">
        <f t="shared" si="40"/>
        <v>0</v>
      </c>
      <c r="DQ35" s="40">
        <f t="shared" si="41"/>
        <v>0</v>
      </c>
      <c r="DT35" s="40">
        <f t="shared" si="42"/>
        <v>0</v>
      </c>
      <c r="DW35" s="40">
        <f t="shared" si="43"/>
        <v>0</v>
      </c>
      <c r="DY35" s="46"/>
      <c r="DZ35" s="38"/>
      <c r="EA35" s="40"/>
      <c r="EB35" s="75">
        <f t="shared" si="44"/>
        <v>351375000</v>
      </c>
      <c r="EC35" s="75">
        <f t="shared" si="45"/>
        <v>0</v>
      </c>
      <c r="ED35" s="40">
        <f t="shared" si="46"/>
        <v>1934.0902777777778</v>
      </c>
      <c r="EE35" s="41">
        <f t="shared" si="47"/>
        <v>1.9815652792600498E-3</v>
      </c>
      <c r="EG35" s="75">
        <f t="shared" si="48"/>
        <v>0</v>
      </c>
      <c r="EH35" s="40">
        <f t="shared" si="49"/>
        <v>0</v>
      </c>
      <c r="EI35" s="41">
        <f t="shared" si="50"/>
        <v>0</v>
      </c>
      <c r="EJ35" s="41"/>
      <c r="EK35" s="75">
        <f t="shared" si="51"/>
        <v>351375000</v>
      </c>
      <c r="EL35" s="75">
        <f t="shared" si="52"/>
        <v>0</v>
      </c>
      <c r="EM35" s="75">
        <f t="shared" si="53"/>
        <v>1934.0902777777778</v>
      </c>
      <c r="EN35" s="41">
        <f t="shared" si="54"/>
        <v>1.9815652792600498E-3</v>
      </c>
      <c r="EP35" s="40"/>
    </row>
    <row r="36" spans="1:146" x14ac:dyDescent="0.25">
      <c r="A36" s="25">
        <f t="shared" si="55"/>
        <v>44465</v>
      </c>
      <c r="D36" s="40">
        <f t="shared" si="0"/>
        <v>0</v>
      </c>
      <c r="E36" s="40">
        <v>0</v>
      </c>
      <c r="G36" s="40">
        <f t="shared" si="1"/>
        <v>0</v>
      </c>
      <c r="J36" s="40">
        <f t="shared" si="2"/>
        <v>0</v>
      </c>
      <c r="M36" s="40">
        <f t="shared" si="3"/>
        <v>0</v>
      </c>
      <c r="P36" s="40">
        <f t="shared" si="4"/>
        <v>0</v>
      </c>
      <c r="S36" s="40">
        <f t="shared" si="5"/>
        <v>0</v>
      </c>
      <c r="V36" s="40">
        <f t="shared" si="6"/>
        <v>0</v>
      </c>
      <c r="Y36" s="40">
        <f t="shared" si="7"/>
        <v>0</v>
      </c>
      <c r="AB36" s="40">
        <f t="shared" si="8"/>
        <v>0</v>
      </c>
      <c r="AE36" s="40">
        <v>0</v>
      </c>
      <c r="AH36" s="40">
        <v>0</v>
      </c>
      <c r="AI36" s="73">
        <f>28525000</f>
        <v>28525000</v>
      </c>
      <c r="AJ36" s="74">
        <v>1.5E-3</v>
      </c>
      <c r="AK36" s="40">
        <f t="shared" si="9"/>
        <v>118.85416666666667</v>
      </c>
      <c r="AL36" s="73">
        <f t="shared" si="10"/>
        <v>25000000</v>
      </c>
      <c r="AM36" s="74">
        <v>2E-3</v>
      </c>
      <c r="AN36" s="40">
        <f t="shared" si="11"/>
        <v>138.88888888888889</v>
      </c>
      <c r="AO36" s="73"/>
      <c r="AP36" s="74"/>
      <c r="AQ36" s="40">
        <f t="shared" si="13"/>
        <v>0</v>
      </c>
      <c r="AR36" s="73">
        <f t="shared" si="57"/>
        <v>77850000</v>
      </c>
      <c r="AS36" s="74">
        <v>2.0999999999999999E-3</v>
      </c>
      <c r="AT36" s="40">
        <f t="shared" si="15"/>
        <v>454.125</v>
      </c>
      <c r="AU36" s="73">
        <f t="shared" si="58"/>
        <v>40000000</v>
      </c>
      <c r="AV36" s="74">
        <v>2E-3</v>
      </c>
      <c r="AW36" s="40">
        <f t="shared" si="17"/>
        <v>222.22222222222223</v>
      </c>
      <c r="AX36" s="73">
        <f t="shared" si="59"/>
        <v>180000000</v>
      </c>
      <c r="AY36" s="74">
        <v>2E-3</v>
      </c>
      <c r="AZ36" s="40">
        <f t="shared" si="18"/>
        <v>1000</v>
      </c>
      <c r="BA36" s="73"/>
      <c r="BB36" s="74"/>
      <c r="BC36" s="40">
        <f t="shared" si="19"/>
        <v>0</v>
      </c>
      <c r="BF36" s="40">
        <f t="shared" si="20"/>
        <v>0</v>
      </c>
      <c r="BI36" s="40">
        <f t="shared" si="21"/>
        <v>0</v>
      </c>
      <c r="BL36" s="40">
        <f t="shared" si="22"/>
        <v>0</v>
      </c>
      <c r="BO36" s="40">
        <f t="shared" si="23"/>
        <v>0</v>
      </c>
      <c r="BR36" s="40">
        <f t="shared" si="24"/>
        <v>0</v>
      </c>
      <c r="BU36" s="40">
        <f t="shared" si="25"/>
        <v>0</v>
      </c>
      <c r="BX36" s="40">
        <f t="shared" si="26"/>
        <v>0</v>
      </c>
      <c r="CA36" s="40">
        <f t="shared" si="27"/>
        <v>0</v>
      </c>
      <c r="CD36" s="40">
        <f t="shared" si="28"/>
        <v>0</v>
      </c>
      <c r="CG36" s="40">
        <f t="shared" si="29"/>
        <v>0</v>
      </c>
      <c r="CJ36" s="40">
        <f t="shared" si="30"/>
        <v>0</v>
      </c>
      <c r="CM36" s="40">
        <f t="shared" si="31"/>
        <v>0</v>
      </c>
      <c r="CP36" s="40">
        <f t="shared" si="32"/>
        <v>0</v>
      </c>
      <c r="CS36" s="40">
        <f t="shared" si="33"/>
        <v>0</v>
      </c>
      <c r="CV36" s="40">
        <f t="shared" si="34"/>
        <v>0</v>
      </c>
      <c r="CY36" s="40">
        <f t="shared" si="35"/>
        <v>0</v>
      </c>
      <c r="DB36" s="40">
        <f t="shared" si="36"/>
        <v>0</v>
      </c>
      <c r="DE36" s="40">
        <f t="shared" si="37"/>
        <v>0</v>
      </c>
      <c r="DH36" s="40">
        <f t="shared" si="38"/>
        <v>0</v>
      </c>
      <c r="DK36" s="40">
        <f t="shared" si="39"/>
        <v>0</v>
      </c>
      <c r="DN36" s="40">
        <f t="shared" si="40"/>
        <v>0</v>
      </c>
      <c r="DQ36" s="40">
        <f t="shared" si="41"/>
        <v>0</v>
      </c>
      <c r="DT36" s="40">
        <f t="shared" si="42"/>
        <v>0</v>
      </c>
      <c r="DW36" s="40">
        <f t="shared" si="43"/>
        <v>0</v>
      </c>
      <c r="DY36" s="46"/>
      <c r="DZ36" s="38"/>
      <c r="EA36" s="40"/>
      <c r="EB36" s="75">
        <f t="shared" si="44"/>
        <v>351375000</v>
      </c>
      <c r="EC36" s="75">
        <f t="shared" si="45"/>
        <v>0</v>
      </c>
      <c r="ED36" s="40">
        <f t="shared" si="46"/>
        <v>1934.0902777777778</v>
      </c>
      <c r="EE36" s="41">
        <f t="shared" si="47"/>
        <v>1.9815652792600498E-3</v>
      </c>
      <c r="EG36" s="75">
        <f t="shared" si="48"/>
        <v>0</v>
      </c>
      <c r="EH36" s="40">
        <f t="shared" si="49"/>
        <v>0</v>
      </c>
      <c r="EI36" s="41">
        <f t="shared" si="50"/>
        <v>0</v>
      </c>
      <c r="EJ36" s="41"/>
      <c r="EK36" s="75">
        <f t="shared" si="51"/>
        <v>351375000</v>
      </c>
      <c r="EL36" s="75">
        <f t="shared" si="52"/>
        <v>0</v>
      </c>
      <c r="EM36" s="75">
        <f t="shared" si="53"/>
        <v>1934.0902777777778</v>
      </c>
      <c r="EN36" s="41">
        <f t="shared" si="54"/>
        <v>1.9815652792600498E-3</v>
      </c>
      <c r="EP36" s="40"/>
    </row>
    <row r="37" spans="1:146" x14ac:dyDescent="0.25">
      <c r="A37" s="25">
        <f t="shared" si="55"/>
        <v>44466</v>
      </c>
      <c r="D37" s="40">
        <f t="shared" si="0"/>
        <v>0</v>
      </c>
      <c r="E37" s="40">
        <v>0</v>
      </c>
      <c r="G37" s="40">
        <f t="shared" si="1"/>
        <v>0</v>
      </c>
      <c r="J37" s="40">
        <f t="shared" si="2"/>
        <v>0</v>
      </c>
      <c r="M37" s="40">
        <f t="shared" si="3"/>
        <v>0</v>
      </c>
      <c r="P37" s="40">
        <f t="shared" si="4"/>
        <v>0</v>
      </c>
      <c r="S37" s="40">
        <f t="shared" si="5"/>
        <v>0</v>
      </c>
      <c r="V37" s="40">
        <f t="shared" si="6"/>
        <v>0</v>
      </c>
      <c r="Y37" s="40">
        <f t="shared" si="7"/>
        <v>0</v>
      </c>
      <c r="AB37" s="40">
        <f t="shared" si="8"/>
        <v>0</v>
      </c>
      <c r="AE37" s="40">
        <v>0</v>
      </c>
      <c r="AH37" s="40">
        <v>0</v>
      </c>
      <c r="AI37" s="73">
        <f>30000000+23050000</f>
        <v>53050000</v>
      </c>
      <c r="AJ37" s="74">
        <v>1.5E-3</v>
      </c>
      <c r="AK37" s="40">
        <f t="shared" si="9"/>
        <v>221.04166666666666</v>
      </c>
      <c r="AL37" s="73">
        <f t="shared" si="10"/>
        <v>25000000</v>
      </c>
      <c r="AM37" s="74">
        <v>2E-3</v>
      </c>
      <c r="AN37" s="40">
        <f t="shared" si="11"/>
        <v>138.88888888888889</v>
      </c>
      <c r="AO37" s="73"/>
      <c r="AP37" s="74"/>
      <c r="AQ37" s="40">
        <f t="shared" si="13"/>
        <v>0</v>
      </c>
      <c r="AR37" s="73">
        <f t="shared" si="57"/>
        <v>77850000</v>
      </c>
      <c r="AS37" s="74">
        <v>2.0999999999999999E-3</v>
      </c>
      <c r="AT37" s="40">
        <f t="shared" si="15"/>
        <v>454.125</v>
      </c>
      <c r="AU37" s="73">
        <f t="shared" si="58"/>
        <v>40000000</v>
      </c>
      <c r="AV37" s="74">
        <v>2E-3</v>
      </c>
      <c r="AW37" s="40">
        <f t="shared" si="17"/>
        <v>222.22222222222223</v>
      </c>
      <c r="AX37" s="73">
        <f t="shared" si="59"/>
        <v>180000000</v>
      </c>
      <c r="AY37" s="74">
        <v>2E-3</v>
      </c>
      <c r="AZ37" s="40">
        <f t="shared" si="18"/>
        <v>1000</v>
      </c>
      <c r="BA37" s="73"/>
      <c r="BB37" s="74"/>
      <c r="BC37" s="40">
        <f t="shared" si="19"/>
        <v>0</v>
      </c>
      <c r="BF37" s="40">
        <f t="shared" si="20"/>
        <v>0</v>
      </c>
      <c r="BI37" s="40">
        <f t="shared" si="21"/>
        <v>0</v>
      </c>
      <c r="BL37" s="40">
        <f t="shared" si="22"/>
        <v>0</v>
      </c>
      <c r="BO37" s="40">
        <f t="shared" si="23"/>
        <v>0</v>
      </c>
      <c r="BR37" s="40">
        <f t="shared" si="24"/>
        <v>0</v>
      </c>
      <c r="BU37" s="40">
        <f t="shared" si="25"/>
        <v>0</v>
      </c>
      <c r="BX37" s="40">
        <f t="shared" si="26"/>
        <v>0</v>
      </c>
      <c r="CA37" s="40">
        <f t="shared" si="27"/>
        <v>0</v>
      </c>
      <c r="CD37" s="40">
        <f t="shared" si="28"/>
        <v>0</v>
      </c>
      <c r="CG37" s="40">
        <f t="shared" si="29"/>
        <v>0</v>
      </c>
      <c r="CJ37" s="40">
        <f t="shared" si="30"/>
        <v>0</v>
      </c>
      <c r="CM37" s="40">
        <f t="shared" si="31"/>
        <v>0</v>
      </c>
      <c r="CP37" s="40">
        <f t="shared" si="32"/>
        <v>0</v>
      </c>
      <c r="CS37" s="40">
        <f t="shared" si="33"/>
        <v>0</v>
      </c>
      <c r="CV37" s="40">
        <f t="shared" si="34"/>
        <v>0</v>
      </c>
      <c r="CY37" s="40">
        <f t="shared" si="35"/>
        <v>0</v>
      </c>
      <c r="DB37" s="40">
        <f t="shared" si="36"/>
        <v>0</v>
      </c>
      <c r="DE37" s="40">
        <f t="shared" si="37"/>
        <v>0</v>
      </c>
      <c r="DH37" s="40">
        <f t="shared" si="38"/>
        <v>0</v>
      </c>
      <c r="DK37" s="40">
        <f t="shared" si="39"/>
        <v>0</v>
      </c>
      <c r="DN37" s="40">
        <f t="shared" si="40"/>
        <v>0</v>
      </c>
      <c r="DQ37" s="40">
        <f t="shared" si="41"/>
        <v>0</v>
      </c>
      <c r="DT37" s="40">
        <f t="shared" si="42"/>
        <v>0</v>
      </c>
      <c r="DW37" s="40">
        <f t="shared" si="43"/>
        <v>0</v>
      </c>
      <c r="DY37" s="46"/>
      <c r="DZ37" s="38"/>
      <c r="EA37" s="40"/>
      <c r="EB37" s="75">
        <f t="shared" si="44"/>
        <v>375900000</v>
      </c>
      <c r="EC37" s="75">
        <f t="shared" si="45"/>
        <v>0</v>
      </c>
      <c r="ED37" s="40">
        <f t="shared" si="46"/>
        <v>2036.2777777777778</v>
      </c>
      <c r="EE37" s="41">
        <f t="shared" si="47"/>
        <v>1.9501463155094441E-3</v>
      </c>
      <c r="EG37" s="75">
        <f t="shared" si="48"/>
        <v>0</v>
      </c>
      <c r="EH37" s="40">
        <f t="shared" si="49"/>
        <v>0</v>
      </c>
      <c r="EI37" s="41">
        <f t="shared" si="50"/>
        <v>0</v>
      </c>
      <c r="EJ37" s="41"/>
      <c r="EK37" s="75">
        <f t="shared" si="51"/>
        <v>375900000</v>
      </c>
      <c r="EL37" s="75">
        <f t="shared" si="52"/>
        <v>0</v>
      </c>
      <c r="EM37" s="75">
        <f t="shared" si="53"/>
        <v>2036.2777777777778</v>
      </c>
      <c r="EN37" s="41">
        <f t="shared" si="54"/>
        <v>1.9501463155094441E-3</v>
      </c>
      <c r="EP37" s="40"/>
    </row>
    <row r="38" spans="1:146" x14ac:dyDescent="0.25">
      <c r="A38" s="25">
        <f t="shared" si="55"/>
        <v>44467</v>
      </c>
      <c r="D38" s="40">
        <f t="shared" si="0"/>
        <v>0</v>
      </c>
      <c r="E38" s="40">
        <v>0</v>
      </c>
      <c r="G38" s="40">
        <f t="shared" si="1"/>
        <v>0</v>
      </c>
      <c r="J38" s="40">
        <f t="shared" si="2"/>
        <v>0</v>
      </c>
      <c r="M38" s="40">
        <f t="shared" si="3"/>
        <v>0</v>
      </c>
      <c r="P38" s="40">
        <f t="shared" si="4"/>
        <v>0</v>
      </c>
      <c r="S38" s="40">
        <f t="shared" si="5"/>
        <v>0</v>
      </c>
      <c r="V38" s="40">
        <f t="shared" si="6"/>
        <v>0</v>
      </c>
      <c r="Y38" s="40">
        <f t="shared" si="7"/>
        <v>0</v>
      </c>
      <c r="AB38" s="40">
        <f t="shared" si="8"/>
        <v>0</v>
      </c>
      <c r="AE38" s="40">
        <v>0</v>
      </c>
      <c r="AH38" s="40">
        <v>0</v>
      </c>
      <c r="AI38" s="73">
        <f>25000000+38075000</f>
        <v>63075000</v>
      </c>
      <c r="AJ38" s="74">
        <v>1.5E-3</v>
      </c>
      <c r="AK38" s="40">
        <f t="shared" si="9"/>
        <v>262.8125</v>
      </c>
      <c r="AL38" s="73">
        <f t="shared" si="10"/>
        <v>25000000</v>
      </c>
      <c r="AM38" s="74">
        <v>2E-3</v>
      </c>
      <c r="AN38" s="40">
        <f t="shared" si="11"/>
        <v>138.88888888888889</v>
      </c>
      <c r="AO38" s="73"/>
      <c r="AP38" s="74"/>
      <c r="AQ38" s="40">
        <f t="shared" si="13"/>
        <v>0</v>
      </c>
      <c r="AR38" s="73">
        <f t="shared" si="57"/>
        <v>77850000</v>
      </c>
      <c r="AS38" s="74">
        <v>2.0999999999999999E-3</v>
      </c>
      <c r="AT38" s="40">
        <f t="shared" si="15"/>
        <v>454.125</v>
      </c>
      <c r="AU38" s="73">
        <f t="shared" si="58"/>
        <v>40000000</v>
      </c>
      <c r="AV38" s="74">
        <v>2E-3</v>
      </c>
      <c r="AW38" s="40">
        <f t="shared" si="17"/>
        <v>222.22222222222223</v>
      </c>
      <c r="AX38" s="73">
        <f t="shared" si="59"/>
        <v>180000000</v>
      </c>
      <c r="AY38" s="74">
        <v>2E-3</v>
      </c>
      <c r="AZ38" s="40">
        <f t="shared" si="18"/>
        <v>1000</v>
      </c>
      <c r="BA38" s="73"/>
      <c r="BB38" s="74"/>
      <c r="BC38" s="40">
        <f t="shared" si="19"/>
        <v>0</v>
      </c>
      <c r="BF38" s="40">
        <f t="shared" si="20"/>
        <v>0</v>
      </c>
      <c r="BI38" s="40">
        <f t="shared" si="21"/>
        <v>0</v>
      </c>
      <c r="BL38" s="40">
        <f t="shared" si="22"/>
        <v>0</v>
      </c>
      <c r="BO38" s="40">
        <f t="shared" si="23"/>
        <v>0</v>
      </c>
      <c r="BR38" s="40">
        <f t="shared" si="24"/>
        <v>0</v>
      </c>
      <c r="BU38" s="40">
        <f t="shared" si="25"/>
        <v>0</v>
      </c>
      <c r="BX38" s="40">
        <f t="shared" si="26"/>
        <v>0</v>
      </c>
      <c r="CA38" s="40">
        <f t="shared" si="27"/>
        <v>0</v>
      </c>
      <c r="CD38" s="40">
        <f t="shared" si="28"/>
        <v>0</v>
      </c>
      <c r="CG38" s="40">
        <f t="shared" si="29"/>
        <v>0</v>
      </c>
      <c r="CJ38" s="40">
        <f t="shared" si="30"/>
        <v>0</v>
      </c>
      <c r="CM38" s="40">
        <f t="shared" si="31"/>
        <v>0</v>
      </c>
      <c r="CP38" s="40">
        <f t="shared" si="32"/>
        <v>0</v>
      </c>
      <c r="CS38" s="40">
        <f t="shared" si="33"/>
        <v>0</v>
      </c>
      <c r="CV38" s="40">
        <f t="shared" si="34"/>
        <v>0</v>
      </c>
      <c r="CY38" s="40">
        <f t="shared" si="35"/>
        <v>0</v>
      </c>
      <c r="DB38" s="40">
        <f t="shared" si="36"/>
        <v>0</v>
      </c>
      <c r="DE38" s="40">
        <f t="shared" si="37"/>
        <v>0</v>
      </c>
      <c r="DH38" s="40">
        <f t="shared" si="38"/>
        <v>0</v>
      </c>
      <c r="DK38" s="40">
        <f t="shared" si="39"/>
        <v>0</v>
      </c>
      <c r="DN38" s="40">
        <f t="shared" si="40"/>
        <v>0</v>
      </c>
      <c r="DQ38" s="40">
        <f t="shared" si="41"/>
        <v>0</v>
      </c>
      <c r="DT38" s="40">
        <f t="shared" si="42"/>
        <v>0</v>
      </c>
      <c r="DW38" s="40">
        <f t="shared" si="43"/>
        <v>0</v>
      </c>
      <c r="DY38" s="46"/>
      <c r="DZ38" s="38"/>
      <c r="EA38" s="40"/>
      <c r="EB38" s="75">
        <f t="shared" si="44"/>
        <v>385925000</v>
      </c>
      <c r="EC38" s="75">
        <f t="shared" si="45"/>
        <v>0</v>
      </c>
      <c r="ED38" s="40">
        <f t="shared" si="46"/>
        <v>2078.0486111111113</v>
      </c>
      <c r="EE38" s="41">
        <f t="shared" si="47"/>
        <v>1.9384530673058238E-3</v>
      </c>
      <c r="EG38" s="75">
        <f t="shared" si="48"/>
        <v>0</v>
      </c>
      <c r="EH38" s="40">
        <f t="shared" si="49"/>
        <v>0</v>
      </c>
      <c r="EI38" s="41">
        <f t="shared" si="50"/>
        <v>0</v>
      </c>
      <c r="EJ38" s="41"/>
      <c r="EK38" s="75">
        <f t="shared" si="51"/>
        <v>385925000</v>
      </c>
      <c r="EL38" s="75">
        <f t="shared" si="52"/>
        <v>0</v>
      </c>
      <c r="EM38" s="75">
        <f t="shared" si="53"/>
        <v>2078.0486111111113</v>
      </c>
      <c r="EN38" s="41">
        <f t="shared" si="54"/>
        <v>1.9384530673058238E-3</v>
      </c>
      <c r="EP38" s="40"/>
    </row>
    <row r="39" spans="1:146" x14ac:dyDescent="0.25">
      <c r="A39" s="25">
        <f t="shared" si="55"/>
        <v>44468</v>
      </c>
      <c r="D39" s="40">
        <f t="shared" si="0"/>
        <v>0</v>
      </c>
      <c r="E39" s="40">
        <v>0</v>
      </c>
      <c r="G39" s="40">
        <f t="shared" si="1"/>
        <v>0</v>
      </c>
      <c r="J39" s="40">
        <f t="shared" si="2"/>
        <v>0</v>
      </c>
      <c r="M39" s="40">
        <f t="shared" si="3"/>
        <v>0</v>
      </c>
      <c r="P39" s="40">
        <f t="shared" si="4"/>
        <v>0</v>
      </c>
      <c r="S39" s="40">
        <f t="shared" si="5"/>
        <v>0</v>
      </c>
      <c r="V39" s="40">
        <f t="shared" si="6"/>
        <v>0</v>
      </c>
      <c r="Y39" s="40">
        <f t="shared" si="7"/>
        <v>0</v>
      </c>
      <c r="AB39" s="40">
        <f t="shared" si="8"/>
        <v>0</v>
      </c>
      <c r="AE39" s="40">
        <v>0</v>
      </c>
      <c r="AH39" s="40">
        <v>0</v>
      </c>
      <c r="AI39" s="73"/>
      <c r="AJ39" s="74"/>
      <c r="AK39" s="40">
        <f t="shared" si="9"/>
        <v>0</v>
      </c>
      <c r="AL39" s="73">
        <f t="shared" si="10"/>
        <v>25000000</v>
      </c>
      <c r="AM39" s="74">
        <v>2E-3</v>
      </c>
      <c r="AN39" s="40">
        <f t="shared" si="11"/>
        <v>138.88888888888889</v>
      </c>
      <c r="AO39" s="73">
        <f>42150000</f>
        <v>42150000</v>
      </c>
      <c r="AP39" s="74">
        <v>2E-3</v>
      </c>
      <c r="AQ39" s="40">
        <f t="shared" si="13"/>
        <v>234.16666666666666</v>
      </c>
      <c r="AR39" s="73">
        <f t="shared" si="57"/>
        <v>77850000</v>
      </c>
      <c r="AS39" s="74">
        <v>2.0999999999999999E-3</v>
      </c>
      <c r="AT39" s="40">
        <f t="shared" si="15"/>
        <v>454.125</v>
      </c>
      <c r="AU39" s="73">
        <f t="shared" si="58"/>
        <v>40000000</v>
      </c>
      <c r="AV39" s="74">
        <v>2E-3</v>
      </c>
      <c r="AW39" s="40">
        <f t="shared" si="17"/>
        <v>222.22222222222223</v>
      </c>
      <c r="AX39" s="73">
        <f t="shared" si="59"/>
        <v>180000000</v>
      </c>
      <c r="AY39" s="74">
        <v>2E-3</v>
      </c>
      <c r="AZ39" s="40">
        <f t="shared" si="18"/>
        <v>1000</v>
      </c>
      <c r="BA39" s="73"/>
      <c r="BB39" s="74"/>
      <c r="BC39" s="40">
        <f t="shared" si="19"/>
        <v>0</v>
      </c>
      <c r="BF39" s="40">
        <f t="shared" si="20"/>
        <v>0</v>
      </c>
      <c r="BI39" s="40">
        <f t="shared" si="21"/>
        <v>0</v>
      </c>
      <c r="BL39" s="40">
        <f t="shared" si="22"/>
        <v>0</v>
      </c>
      <c r="BO39" s="40">
        <f t="shared" si="23"/>
        <v>0</v>
      </c>
      <c r="BR39" s="40">
        <f t="shared" si="24"/>
        <v>0</v>
      </c>
      <c r="BU39" s="40">
        <f t="shared" si="25"/>
        <v>0</v>
      </c>
      <c r="BX39" s="40">
        <f t="shared" si="26"/>
        <v>0</v>
      </c>
      <c r="CA39" s="40">
        <f t="shared" si="27"/>
        <v>0</v>
      </c>
      <c r="CD39" s="40">
        <f t="shared" si="28"/>
        <v>0</v>
      </c>
      <c r="CG39" s="40">
        <f t="shared" si="29"/>
        <v>0</v>
      </c>
      <c r="CJ39" s="40">
        <f t="shared" si="30"/>
        <v>0</v>
      </c>
      <c r="CM39" s="40">
        <f t="shared" si="31"/>
        <v>0</v>
      </c>
      <c r="CP39" s="40">
        <f t="shared" si="32"/>
        <v>0</v>
      </c>
      <c r="CS39" s="40">
        <f t="shared" si="33"/>
        <v>0</v>
      </c>
      <c r="CV39" s="40">
        <f t="shared" si="34"/>
        <v>0</v>
      </c>
      <c r="CY39" s="40">
        <f t="shared" si="35"/>
        <v>0</v>
      </c>
      <c r="DB39" s="40">
        <f t="shared" si="36"/>
        <v>0</v>
      </c>
      <c r="DE39" s="40">
        <f t="shared" si="37"/>
        <v>0</v>
      </c>
      <c r="DH39" s="40">
        <f t="shared" si="38"/>
        <v>0</v>
      </c>
      <c r="DK39" s="40">
        <f t="shared" si="39"/>
        <v>0</v>
      </c>
      <c r="DN39" s="40">
        <f t="shared" si="40"/>
        <v>0</v>
      </c>
      <c r="DQ39" s="40">
        <f t="shared" si="41"/>
        <v>0</v>
      </c>
      <c r="DT39" s="40">
        <f t="shared" si="42"/>
        <v>0</v>
      </c>
      <c r="DW39" s="40">
        <f t="shared" si="43"/>
        <v>0</v>
      </c>
      <c r="DY39" s="46"/>
      <c r="DZ39" s="38"/>
      <c r="EA39" s="40"/>
      <c r="EB39" s="75">
        <f t="shared" si="44"/>
        <v>365000000</v>
      </c>
      <c r="EC39" s="75">
        <f t="shared" si="45"/>
        <v>0</v>
      </c>
      <c r="ED39" s="40">
        <f t="shared" si="46"/>
        <v>2049.4027777777778</v>
      </c>
      <c r="EE39" s="41">
        <f t="shared" si="47"/>
        <v>2.0213287671232878E-3</v>
      </c>
      <c r="EG39" s="75">
        <f t="shared" si="48"/>
        <v>0</v>
      </c>
      <c r="EH39" s="40">
        <f t="shared" si="49"/>
        <v>0</v>
      </c>
      <c r="EI39" s="41">
        <f t="shared" si="50"/>
        <v>0</v>
      </c>
      <c r="EJ39" s="41"/>
      <c r="EK39" s="75">
        <f t="shared" si="51"/>
        <v>365000000</v>
      </c>
      <c r="EL39" s="75">
        <f t="shared" si="52"/>
        <v>0</v>
      </c>
      <c r="EM39" s="75">
        <f t="shared" si="53"/>
        <v>2049.4027777777778</v>
      </c>
      <c r="EN39" s="41">
        <f t="shared" si="54"/>
        <v>2.0213287671232878E-3</v>
      </c>
      <c r="EP39" s="40"/>
    </row>
    <row r="40" spans="1:146" x14ac:dyDescent="0.25">
      <c r="A40" s="25">
        <f t="shared" si="55"/>
        <v>44469</v>
      </c>
      <c r="D40" s="40">
        <f t="shared" si="0"/>
        <v>0</v>
      </c>
      <c r="E40" s="40">
        <v>0</v>
      </c>
      <c r="G40" s="40">
        <f t="shared" si="1"/>
        <v>0</v>
      </c>
      <c r="J40" s="40">
        <f t="shared" si="2"/>
        <v>0</v>
      </c>
      <c r="M40" s="40">
        <f t="shared" si="3"/>
        <v>0</v>
      </c>
      <c r="P40" s="40">
        <f t="shared" si="4"/>
        <v>0</v>
      </c>
      <c r="S40" s="40">
        <f t="shared" si="5"/>
        <v>0</v>
      </c>
      <c r="V40" s="40">
        <f t="shared" si="6"/>
        <v>0</v>
      </c>
      <c r="Y40" s="40">
        <f t="shared" si="7"/>
        <v>0</v>
      </c>
      <c r="AB40" s="40">
        <f t="shared" si="8"/>
        <v>0</v>
      </c>
      <c r="AE40" s="40">
        <v>0</v>
      </c>
      <c r="AH40" s="40">
        <v>0</v>
      </c>
      <c r="AI40" s="73">
        <f>45000000+70000000+73000000</f>
        <v>188000000</v>
      </c>
      <c r="AJ40" s="74">
        <v>1.5E-3</v>
      </c>
      <c r="AK40" s="40">
        <f t="shared" si="9"/>
        <v>783.33333333333337</v>
      </c>
      <c r="AL40" s="73">
        <f t="shared" si="10"/>
        <v>25000000</v>
      </c>
      <c r="AM40" s="74">
        <v>2E-3</v>
      </c>
      <c r="AN40" s="40">
        <f t="shared" si="11"/>
        <v>138.88888888888889</v>
      </c>
      <c r="AO40" s="73">
        <f>42150000</f>
        <v>42150000</v>
      </c>
      <c r="AP40" s="74">
        <v>2E-3</v>
      </c>
      <c r="AQ40" s="40">
        <f t="shared" si="13"/>
        <v>234.16666666666666</v>
      </c>
      <c r="AR40" s="73">
        <f t="shared" si="57"/>
        <v>77850000</v>
      </c>
      <c r="AS40" s="74">
        <v>2.0999999999999999E-3</v>
      </c>
      <c r="AT40" s="40">
        <f t="shared" si="15"/>
        <v>454.125</v>
      </c>
      <c r="AU40" s="73">
        <f t="shared" si="58"/>
        <v>40000000</v>
      </c>
      <c r="AV40" s="74">
        <v>2E-3</v>
      </c>
      <c r="AW40" s="40">
        <f t="shared" si="17"/>
        <v>222.22222222222223</v>
      </c>
      <c r="AX40" s="73">
        <f t="shared" si="59"/>
        <v>180000000</v>
      </c>
      <c r="AY40" s="74">
        <v>2E-3</v>
      </c>
      <c r="AZ40" s="40">
        <f t="shared" si="18"/>
        <v>1000</v>
      </c>
      <c r="BA40" s="73"/>
      <c r="BB40" s="74"/>
      <c r="BC40" s="40">
        <f t="shared" si="19"/>
        <v>0</v>
      </c>
      <c r="BF40" s="40">
        <f t="shared" si="20"/>
        <v>0</v>
      </c>
      <c r="BI40" s="40">
        <f t="shared" si="21"/>
        <v>0</v>
      </c>
      <c r="BL40" s="40">
        <f t="shared" si="22"/>
        <v>0</v>
      </c>
      <c r="BO40" s="40">
        <f t="shared" si="23"/>
        <v>0</v>
      </c>
      <c r="BR40" s="40">
        <f t="shared" si="24"/>
        <v>0</v>
      </c>
      <c r="BU40" s="40">
        <f t="shared" si="25"/>
        <v>0</v>
      </c>
      <c r="BX40" s="40">
        <f t="shared" si="26"/>
        <v>0</v>
      </c>
      <c r="CA40" s="40">
        <f t="shared" si="27"/>
        <v>0</v>
      </c>
      <c r="CD40" s="40">
        <f t="shared" si="28"/>
        <v>0</v>
      </c>
      <c r="CG40" s="40">
        <f t="shared" si="29"/>
        <v>0</v>
      </c>
      <c r="CJ40" s="40">
        <f t="shared" si="30"/>
        <v>0</v>
      </c>
      <c r="CM40" s="40">
        <f t="shared" si="31"/>
        <v>0</v>
      </c>
      <c r="CP40" s="40">
        <f t="shared" si="32"/>
        <v>0</v>
      </c>
      <c r="CS40" s="40">
        <f t="shared" si="33"/>
        <v>0</v>
      </c>
      <c r="CV40" s="40">
        <f t="shared" si="34"/>
        <v>0</v>
      </c>
      <c r="CY40" s="40">
        <f t="shared" si="35"/>
        <v>0</v>
      </c>
      <c r="DB40" s="40">
        <f t="shared" si="36"/>
        <v>0</v>
      </c>
      <c r="DE40" s="40">
        <f t="shared" si="37"/>
        <v>0</v>
      </c>
      <c r="DH40" s="40">
        <f t="shared" si="38"/>
        <v>0</v>
      </c>
      <c r="DK40" s="40">
        <f t="shared" si="39"/>
        <v>0</v>
      </c>
      <c r="DN40" s="40">
        <f t="shared" si="40"/>
        <v>0</v>
      </c>
      <c r="DQ40" s="40">
        <f t="shared" si="41"/>
        <v>0</v>
      </c>
      <c r="DT40" s="40">
        <f t="shared" si="42"/>
        <v>0</v>
      </c>
      <c r="DW40" s="40">
        <f t="shared" si="43"/>
        <v>0</v>
      </c>
      <c r="DY40" s="46"/>
      <c r="DZ40" s="38"/>
      <c r="EA40" s="40"/>
      <c r="EB40" s="75">
        <f t="shared" si="44"/>
        <v>553000000</v>
      </c>
      <c r="EC40" s="75">
        <f t="shared" si="45"/>
        <v>0</v>
      </c>
      <c r="ED40" s="40">
        <f t="shared" si="46"/>
        <v>2832.7361111111113</v>
      </c>
      <c r="EE40" s="41">
        <f t="shared" si="47"/>
        <v>1.8440958408679929E-3</v>
      </c>
      <c r="EG40" s="75">
        <f t="shared" si="48"/>
        <v>0</v>
      </c>
      <c r="EH40" s="40">
        <f t="shared" si="49"/>
        <v>0</v>
      </c>
      <c r="EI40" s="41">
        <f t="shared" si="50"/>
        <v>0</v>
      </c>
      <c r="EJ40" s="41"/>
      <c r="EK40" s="75">
        <f t="shared" si="51"/>
        <v>553000000</v>
      </c>
      <c r="EL40" s="75">
        <f t="shared" si="52"/>
        <v>0</v>
      </c>
      <c r="EM40" s="75">
        <f t="shared" si="53"/>
        <v>2832.7361111111113</v>
      </c>
      <c r="EN40" s="41">
        <f t="shared" si="54"/>
        <v>1.8440958408679929E-3</v>
      </c>
      <c r="EP40" s="40"/>
    </row>
    <row r="41" spans="1:146" x14ac:dyDescent="0.25">
      <c r="A41" s="76" t="s">
        <v>75</v>
      </c>
      <c r="D41" s="77">
        <f>SUM(D11:D40)</f>
        <v>0</v>
      </c>
      <c r="G41" s="77">
        <f>SUM(G11:G40)</f>
        <v>47.160041858333329</v>
      </c>
      <c r="J41" s="77">
        <f>SUM(J11:J40)</f>
        <v>0</v>
      </c>
      <c r="M41" s="77">
        <f>SUM(M11:M40)</f>
        <v>0</v>
      </c>
      <c r="P41" s="77">
        <f>SUM(P11:P40)</f>
        <v>0</v>
      </c>
      <c r="S41" s="77">
        <f>SUM(S11:S40)</f>
        <v>0</v>
      </c>
      <c r="V41" s="77">
        <f>SUM(V11:V40)</f>
        <v>0</v>
      </c>
      <c r="Y41" s="77">
        <f>SUM(Y11:Y40)</f>
        <v>0</v>
      </c>
      <c r="AB41" s="77">
        <f>SUM(AB11:AB40)</f>
        <v>0</v>
      </c>
      <c r="AE41" s="77">
        <f>SUM(AE11:AE40)</f>
        <v>0</v>
      </c>
      <c r="AH41" s="77">
        <f>SUM(AH11:AH40)</f>
        <v>0</v>
      </c>
      <c r="AK41" s="77">
        <f>SUM(AK11:AK40)</f>
        <v>11237.916666666666</v>
      </c>
      <c r="AL41" s="73"/>
      <c r="AM41" s="74"/>
      <c r="AN41" s="77">
        <f>SUM(AN11:AN40)</f>
        <v>4083.3333333333303</v>
      </c>
      <c r="AQ41" s="77">
        <f>SUM(AQ11:AQ40)</f>
        <v>5135.0000000000009</v>
      </c>
      <c r="AT41" s="77">
        <f>SUM(AT11:AT40)</f>
        <v>16207.916666666668</v>
      </c>
      <c r="AW41" s="77">
        <f>SUM(AW11:AW40)</f>
        <v>13269.333333333345</v>
      </c>
      <c r="AZ41" s="77">
        <f>SUM(AZ11:AZ40)</f>
        <v>16777.777777777777</v>
      </c>
      <c r="BC41" s="77">
        <f>SUM(BC11:BC40)</f>
        <v>0</v>
      </c>
      <c r="BF41" s="77">
        <f>SUM(BF11:BF40)</f>
        <v>0</v>
      </c>
      <c r="BI41" s="77">
        <f>SUM(BI11:BI40)</f>
        <v>0</v>
      </c>
      <c r="BL41" s="77">
        <f>SUM(BL11:BL40)</f>
        <v>0</v>
      </c>
      <c r="BO41" s="77">
        <f>SUM(BO11:BO40)</f>
        <v>0</v>
      </c>
      <c r="BR41" s="77">
        <f>SUM(BR11:BR40)</f>
        <v>0</v>
      </c>
      <c r="BU41" s="77">
        <f>SUM(BU11:BU40)</f>
        <v>0</v>
      </c>
      <c r="BX41" s="77">
        <f>SUM(BX11:BX40)</f>
        <v>0</v>
      </c>
      <c r="CA41" s="77">
        <f>SUM(CA11:CA40)</f>
        <v>0</v>
      </c>
      <c r="CD41" s="77">
        <f>SUM(CD11:CD40)</f>
        <v>0</v>
      </c>
      <c r="CG41" s="77">
        <f>SUM(CG11:CG40)</f>
        <v>0</v>
      </c>
      <c r="CJ41" s="77">
        <f>SUM(CJ11:CJ40)</f>
        <v>0</v>
      </c>
      <c r="CM41" s="77">
        <f>SUM(CM11:CM40)</f>
        <v>0</v>
      </c>
      <c r="CP41" s="77">
        <f>SUM(CP11:CP40)</f>
        <v>0</v>
      </c>
      <c r="CS41" s="77">
        <f>SUM(CS11:CS40)</f>
        <v>0</v>
      </c>
      <c r="CV41" s="77">
        <f>SUM(CV11:CV40)</f>
        <v>0</v>
      </c>
      <c r="CY41" s="77">
        <f>SUM(CY11:CY40)</f>
        <v>0</v>
      </c>
      <c r="DB41" s="77">
        <f>SUM(DB11:DB40)</f>
        <v>0</v>
      </c>
      <c r="DE41" s="77">
        <f>SUM(DE11:DE40)</f>
        <v>0</v>
      </c>
      <c r="DH41" s="77">
        <f>SUM(DH11:DH40)</f>
        <v>0</v>
      </c>
      <c r="DK41" s="77">
        <f>SUM(DK11:DK40)</f>
        <v>0</v>
      </c>
      <c r="DN41" s="77">
        <f>SUM(DN11:DN40)</f>
        <v>0</v>
      </c>
      <c r="DQ41" s="77">
        <f>SUM(DQ11:DQ40)</f>
        <v>0</v>
      </c>
      <c r="DT41" s="77">
        <f>SUM(DT11:DT40)</f>
        <v>0</v>
      </c>
      <c r="DW41" s="77">
        <f>SUM(DW11:DW40)</f>
        <v>0</v>
      </c>
      <c r="DY41" s="46"/>
      <c r="DZ41" s="38"/>
      <c r="EA41" s="38"/>
      <c r="EB41" s="40"/>
      <c r="EC41" s="40"/>
      <c r="ED41" s="77">
        <f>SUM(ED11:ED40)</f>
        <v>66758.437819636121</v>
      </c>
      <c r="EE41" s="41"/>
      <c r="EG41" s="40"/>
      <c r="EH41" s="77">
        <f>SUM(EH11:EH40)</f>
        <v>0</v>
      </c>
      <c r="EI41" s="41"/>
      <c r="EJ41" s="41"/>
      <c r="EK41" s="40"/>
      <c r="EL41" s="40"/>
      <c r="EM41" s="77">
        <f>SUM(EM11:EM40)</f>
        <v>66711.277777777796</v>
      </c>
      <c r="EN41" s="41"/>
    </row>
    <row r="42" spans="1:146" x14ac:dyDescent="0.25">
      <c r="AL42" s="73"/>
      <c r="AM42" s="74"/>
    </row>
    <row r="43" spans="1:146" x14ac:dyDescent="0.25">
      <c r="AL43" s="73"/>
      <c r="AM43" s="74"/>
      <c r="EM43" s="78"/>
    </row>
    <row r="45" spans="1:146" x14ac:dyDescent="0.25">
      <c r="EM45" s="40"/>
    </row>
    <row r="47" spans="1:146" x14ac:dyDescent="0.25">
      <c r="EM47" s="40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2"/>
  <dimension ref="A1:EQ48"/>
  <sheetViews>
    <sheetView workbookViewId="0"/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5.710937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EB41</f>
        <v>6425000</v>
      </c>
      <c r="EI2" s="38">
        <f>EG40</f>
        <v>0</v>
      </c>
      <c r="EM2" s="38"/>
      <c r="EN2" s="38">
        <f>EK41</f>
        <v>6425000</v>
      </c>
      <c r="EO2" s="31">
        <v>0</v>
      </c>
      <c r="EP2" s="31">
        <f>EN2+EO2</f>
        <v>6425000</v>
      </c>
      <c r="EQ2" s="31">
        <f>EE2+EO2</f>
        <v>6425000</v>
      </c>
    </row>
    <row r="3" spans="1:147" ht="16.5" thickTop="1" x14ac:dyDescent="0.25">
      <c r="A3" s="39" t="s">
        <v>231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AVERAGE(EB11:EB41)</f>
        <v>1374193.5483870967</v>
      </c>
      <c r="EI3" s="38">
        <f>AVERAGE(EG11:EG40)</f>
        <v>0</v>
      </c>
      <c r="EM3" s="38"/>
      <c r="EN3" s="38">
        <f>AVERAGE(EK11:EK41)</f>
        <v>1374193.5483870967</v>
      </c>
    </row>
    <row r="4" spans="1:147" x14ac:dyDescent="0.25">
      <c r="D4" s="24"/>
      <c r="E4" s="48" t="s">
        <v>98</v>
      </c>
      <c r="F4" s="38"/>
      <c r="G4" s="49">
        <f>EQ2</f>
        <v>6425000</v>
      </c>
      <c r="AI4" s="50" t="s">
        <v>102</v>
      </c>
      <c r="EB4" s="24" t="s">
        <v>103</v>
      </c>
      <c r="EC4" s="24"/>
      <c r="ED4" s="46"/>
      <c r="EE4" s="46">
        <f>IF(EE3=0,0,360*(AVERAGE(ED11:ED41)/EE3))</f>
        <v>1.5E-3</v>
      </c>
      <c r="EI4" s="46">
        <f>IF(EI3=0,0,360*(AVERAGE(EH11:EH40)/EI3))</f>
        <v>0</v>
      </c>
      <c r="EM4" s="46"/>
      <c r="EN4" s="46">
        <f>IF(EN3=0,0,360*(AVERAGE(EM11:EM41)/EN3))</f>
        <v>1.5E-3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1374193.5483870967</v>
      </c>
      <c r="AI5" s="53" t="s">
        <v>93</v>
      </c>
      <c r="EB5" s="54" t="s">
        <v>105</v>
      </c>
      <c r="EC5" s="54"/>
      <c r="ED5" s="38"/>
      <c r="EE5" s="38">
        <f>MAX(EB11:EB41)</f>
        <v>13575000</v>
      </c>
      <c r="EI5" s="38">
        <f>MAX(EG11:EG40)</f>
        <v>0</v>
      </c>
      <c r="EM5" s="38"/>
      <c r="EN5" s="38">
        <f>MAX(EK11:EK41)</f>
        <v>13575000</v>
      </c>
    </row>
    <row r="6" spans="1:147" x14ac:dyDescent="0.25">
      <c r="D6" s="24"/>
      <c r="E6" s="48" t="s">
        <v>103</v>
      </c>
      <c r="F6" s="38"/>
      <c r="G6" s="55">
        <f>EE4</f>
        <v>1.5E-3</v>
      </c>
    </row>
    <row r="7" spans="1:147" ht="16.5" thickBot="1" x14ac:dyDescent="0.3">
      <c r="D7" s="24"/>
      <c r="E7" s="56" t="s">
        <v>105</v>
      </c>
      <c r="F7" s="57"/>
      <c r="G7" s="58">
        <f>EE5</f>
        <v>13575000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44470</v>
      </c>
      <c r="B11" s="40">
        <v>0</v>
      </c>
      <c r="D11" s="40">
        <f t="shared" ref="D11:D41" si="0">(B11*C11)/360</f>
        <v>0</v>
      </c>
      <c r="G11" s="40">
        <f t="shared" ref="G11:G41" si="1">(E11*F11)/360</f>
        <v>0</v>
      </c>
      <c r="J11" s="40">
        <f t="shared" ref="J11:J41" si="2">(H11*I11)/360</f>
        <v>0</v>
      </c>
      <c r="M11" s="40">
        <f t="shared" ref="M11:M41" si="3">(K11*L11)/360</f>
        <v>0</v>
      </c>
      <c r="P11" s="40">
        <f t="shared" ref="P11:P41" si="4">(N11*O11)/360</f>
        <v>0</v>
      </c>
      <c r="S11" s="40">
        <f t="shared" ref="S11:S41" si="5">(Q11*R11)/360</f>
        <v>0</v>
      </c>
      <c r="V11" s="40">
        <f t="shared" ref="V11:V41" si="6">(T11*U11)/360</f>
        <v>0</v>
      </c>
      <c r="Y11" s="40">
        <f t="shared" ref="Y11:Y41" si="7">(W11*X11)/360</f>
        <v>0</v>
      </c>
      <c r="AB11" s="40">
        <f t="shared" ref="AB11:AB41" si="8">(Z11*AA11)/360</f>
        <v>0</v>
      </c>
      <c r="AE11" s="40">
        <v>0</v>
      </c>
      <c r="AH11" s="40">
        <v>0</v>
      </c>
      <c r="AI11" s="73">
        <f>1775000</f>
        <v>1775000</v>
      </c>
      <c r="AJ11" s="74">
        <v>1.5E-3</v>
      </c>
      <c r="AK11" s="40">
        <f t="shared" ref="AK11:AK41" si="9">(AI11*AJ11)/360</f>
        <v>7.395833333333333</v>
      </c>
      <c r="AL11" s="73"/>
      <c r="AM11" s="74"/>
      <c r="AN11" s="40">
        <f t="shared" ref="AN11:AN41" si="10">(AL11*AM11)/360</f>
        <v>0</v>
      </c>
      <c r="AO11" s="73"/>
      <c r="AP11" s="74"/>
      <c r="AQ11" s="40">
        <f t="shared" ref="AQ11:AQ41" si="11">(AO11*AP11)/360</f>
        <v>0</v>
      </c>
      <c r="AR11" s="73"/>
      <c r="AS11" s="74"/>
      <c r="AT11" s="40">
        <f t="shared" ref="AT11:AT41" si="12">(AR11*AS11)/360</f>
        <v>0</v>
      </c>
      <c r="AW11" s="40">
        <f t="shared" ref="AW11:AW41" si="13">(AU11*AV11)/360</f>
        <v>0</v>
      </c>
      <c r="AZ11" s="40">
        <f t="shared" ref="AZ11:AZ41" si="14">(AX11*AY11)/360</f>
        <v>0</v>
      </c>
      <c r="BC11" s="40">
        <f t="shared" ref="BC11:BC41" si="15">(BA11*BB11)/360</f>
        <v>0</v>
      </c>
      <c r="BF11" s="40">
        <f t="shared" ref="BF11:BF41" si="16">(BD11*BE11)/360</f>
        <v>0</v>
      </c>
      <c r="BI11" s="40">
        <f t="shared" ref="BI11:BI41" si="17">(BG11*BH11)/360</f>
        <v>0</v>
      </c>
      <c r="BL11" s="40">
        <f t="shared" ref="BL11:BL41" si="18">(BJ11*BK11)/360</f>
        <v>0</v>
      </c>
      <c r="BO11" s="40">
        <f t="shared" ref="BO11:BO41" si="19">(BM11*BN11)/360</f>
        <v>0</v>
      </c>
      <c r="BR11" s="40">
        <f t="shared" ref="BR11:BR41" si="20">(BP11*BQ11)/360</f>
        <v>0</v>
      </c>
      <c r="BU11" s="40">
        <f t="shared" ref="BU11:BU41" si="21">(BS11*BT11)/360</f>
        <v>0</v>
      </c>
      <c r="BX11" s="40">
        <f t="shared" ref="BX11:BX41" si="22">(BV11*BW11)/360</f>
        <v>0</v>
      </c>
      <c r="CA11" s="40">
        <f t="shared" ref="CA11:CA41" si="23">(BY11*BZ11)/360</f>
        <v>0</v>
      </c>
      <c r="CD11" s="40">
        <f t="shared" ref="CD11:CD41" si="24">(CB11*CC11)/360</f>
        <v>0</v>
      </c>
      <c r="CG11" s="40">
        <f t="shared" ref="CG11:CG41" si="25">(CE11*CF11)/360</f>
        <v>0</v>
      </c>
      <c r="CJ11" s="40">
        <f t="shared" ref="CJ11:CJ41" si="26">(CH11*CI11)/360</f>
        <v>0</v>
      </c>
      <c r="CM11" s="40">
        <f t="shared" ref="CM11:CM41" si="27">(CK11*CL11)/360</f>
        <v>0</v>
      </c>
      <c r="CP11" s="40">
        <f t="shared" ref="CP11:CP41" si="28">(CN11*CO11)/360</f>
        <v>0</v>
      </c>
      <c r="CS11" s="40">
        <f t="shared" ref="CS11:CS41" si="29">(CQ11*CR11)/360</f>
        <v>0</v>
      </c>
      <c r="CV11" s="40">
        <f t="shared" ref="CV11:CV41" si="30">(CT11*CU11)/360</f>
        <v>0</v>
      </c>
      <c r="CY11" s="40">
        <f t="shared" ref="CY11:CY41" si="31">(CW11*CX11)/360</f>
        <v>0</v>
      </c>
      <c r="DB11" s="40">
        <f t="shared" ref="DB11:DB41" si="32">(CZ11*DA11)/360</f>
        <v>0</v>
      </c>
      <c r="DE11" s="40">
        <f t="shared" ref="DE11:DE41" si="33">(DC11*DD11)/360</f>
        <v>0</v>
      </c>
      <c r="DH11" s="40">
        <f t="shared" ref="DH11:DH41" si="34">(DF11*DG11)/360</f>
        <v>0</v>
      </c>
      <c r="DK11" s="40">
        <f t="shared" ref="DK11:DK41" si="35">(DI11*DJ11)/360</f>
        <v>0</v>
      </c>
      <c r="DN11" s="40">
        <f t="shared" ref="DN11:DN41" si="36">(DL11*DM11)/360</f>
        <v>0</v>
      </c>
      <c r="DQ11" s="40">
        <f t="shared" ref="DQ11:DQ41" si="37">(DO11*DP11)/360</f>
        <v>0</v>
      </c>
      <c r="DT11" s="40">
        <f t="shared" ref="DT11:DT41" si="38">(DR11*DS11)/360</f>
        <v>0</v>
      </c>
      <c r="DW11" s="40">
        <f t="shared" ref="DW11:DW41" si="39">(DU11*DV11)/360</f>
        <v>0</v>
      </c>
      <c r="DZ11" s="40"/>
      <c r="EA11" s="40"/>
      <c r="EB11" s="75">
        <f t="shared" ref="EB11:EB41" si="40">B11+E11+H11+K11+N11+Q11+T11+W11+Z11+AC11+AF11+AL11+AO11+AR11+AU11+AX11+BA11+BD11+BG11+DU11+AI11+DR11+DO11+DL11+DI11+DF11+DC11+CZ11+CW11+CT11+CQ11+CN11+CK11+CH11+CE11+CB11+BY11+BV11+BS11+BP11+BM11+BJ11</f>
        <v>1775000</v>
      </c>
      <c r="EC11" s="75">
        <f t="shared" ref="EC11:EC41" si="41">EB11-EK11+EL11</f>
        <v>0</v>
      </c>
      <c r="ED11" s="40">
        <f t="shared" ref="ED11:ED41" si="42">D11+G11+J11+M11+P11+S11+V11+Y11+AB11+AE11+AH11+AK11+AN11+AQ11+AT11+AW11+AZ11+BC11+BF11+BI11+DW11+DT11+DQ11+DN11+DK11+DH11+DE11+DB11+CY11+CV11+CS11+CP11+CM11+CJ11+CG11+CD11+CA11+BX11+BU11+BR11+BO11+BL11</f>
        <v>7.395833333333333</v>
      </c>
      <c r="EE11" s="41">
        <f t="shared" ref="EE11:EE41" si="43">IF(EB11&lt;&gt;0,((ED11/EB11)*360),0)</f>
        <v>1.5E-3</v>
      </c>
      <c r="EG11" s="75">
        <f t="shared" ref="EG11:EG41" si="44">Q11+T11+W11+Z11+AC11+AF11</f>
        <v>0</v>
      </c>
      <c r="EH11" s="40">
        <f t="shared" ref="EH11:EH41" si="45">S11+V11+Y11+AB11+AE11+AH11</f>
        <v>0</v>
      </c>
      <c r="EI11" s="41">
        <f t="shared" ref="EI11:EI41" si="46">IF(EG11&lt;&gt;0,((EH11/EG11)*360),0)</f>
        <v>0</v>
      </c>
      <c r="EJ11" s="41"/>
      <c r="EK11" s="75">
        <f t="shared" ref="EK11:EK41" si="47">DR11+DL11+DI11+DF11+DC11+CZ11+CW11+CT11+CQ11+CN11+CK11+CH11+CE11+CB11+BY11+BV11+BS11+BP11+BM11+BJ11+BG11+BD11+BA11+AX11+AU11+AR11+AO11+AL11+AI11+DO11</f>
        <v>1775000</v>
      </c>
      <c r="EL11" s="75">
        <f t="shared" ref="EL11:EL41" si="48">DX11</f>
        <v>0</v>
      </c>
      <c r="EM11" s="75">
        <f t="shared" ref="EM11:EM41" si="49">DT11+DQ11+DN11+DK11+DH11+DE11+DB11+CY11+CV11+CS11+CP11+CM11+CJ11+CG11+CD11+CA11+BX11+BU11+BR11+BO11+BL11+BI11+BF11+BC11+AZ11+AW11+AT11+AQ11+AN11+AK11</f>
        <v>7.395833333333333</v>
      </c>
      <c r="EN11" s="41">
        <f t="shared" ref="EN11:EN41" si="50">IF(EK11&lt;&gt;0,((EM11/EK11)*360),0)</f>
        <v>1.5E-3</v>
      </c>
      <c r="EP11" s="40"/>
    </row>
    <row r="12" spans="1:147" x14ac:dyDescent="0.25">
      <c r="A12" s="25">
        <f t="shared" ref="A12:A41" si="51">1+A11</f>
        <v>44471</v>
      </c>
      <c r="B12" s="40">
        <v>0</v>
      </c>
      <c r="D12" s="40">
        <f t="shared" si="0"/>
        <v>0</v>
      </c>
      <c r="G12" s="40">
        <f t="shared" si="1"/>
        <v>0</v>
      </c>
      <c r="J12" s="40">
        <f t="shared" si="2"/>
        <v>0</v>
      </c>
      <c r="M12" s="40">
        <f t="shared" si="3"/>
        <v>0</v>
      </c>
      <c r="P12" s="40">
        <f t="shared" si="4"/>
        <v>0</v>
      </c>
      <c r="S12" s="40">
        <f t="shared" si="5"/>
        <v>0</v>
      </c>
      <c r="V12" s="40">
        <f t="shared" si="6"/>
        <v>0</v>
      </c>
      <c r="Y12" s="40">
        <f t="shared" si="7"/>
        <v>0</v>
      </c>
      <c r="AB12" s="40">
        <f t="shared" si="8"/>
        <v>0</v>
      </c>
      <c r="AE12" s="40">
        <v>0</v>
      </c>
      <c r="AH12" s="40">
        <v>0</v>
      </c>
      <c r="AI12" s="73">
        <f>1775000</f>
        <v>1775000</v>
      </c>
      <c r="AJ12" s="74">
        <v>1.5E-3</v>
      </c>
      <c r="AK12" s="40">
        <f t="shared" si="9"/>
        <v>7.395833333333333</v>
      </c>
      <c r="AL12" s="73"/>
      <c r="AM12" s="74"/>
      <c r="AN12" s="40">
        <f t="shared" si="10"/>
        <v>0</v>
      </c>
      <c r="AO12" s="73"/>
      <c r="AP12" s="74"/>
      <c r="AQ12" s="40">
        <f t="shared" si="11"/>
        <v>0</v>
      </c>
      <c r="AR12" s="73"/>
      <c r="AS12" s="74"/>
      <c r="AT12" s="40">
        <f t="shared" si="12"/>
        <v>0</v>
      </c>
      <c r="AW12" s="40">
        <f t="shared" si="13"/>
        <v>0</v>
      </c>
      <c r="AZ12" s="40">
        <f t="shared" si="14"/>
        <v>0</v>
      </c>
      <c r="BC12" s="40">
        <f t="shared" si="15"/>
        <v>0</v>
      </c>
      <c r="BF12" s="40">
        <f t="shared" si="16"/>
        <v>0</v>
      </c>
      <c r="BI12" s="40">
        <f t="shared" si="17"/>
        <v>0</v>
      </c>
      <c r="BL12" s="40">
        <f t="shared" si="18"/>
        <v>0</v>
      </c>
      <c r="BO12" s="40">
        <f t="shared" si="19"/>
        <v>0</v>
      </c>
      <c r="BR12" s="40">
        <f t="shared" si="20"/>
        <v>0</v>
      </c>
      <c r="BU12" s="40">
        <f t="shared" si="21"/>
        <v>0</v>
      </c>
      <c r="BX12" s="40">
        <f t="shared" si="22"/>
        <v>0</v>
      </c>
      <c r="CA12" s="40">
        <f t="shared" si="23"/>
        <v>0</v>
      </c>
      <c r="CD12" s="40">
        <f t="shared" si="24"/>
        <v>0</v>
      </c>
      <c r="CG12" s="40">
        <f t="shared" si="25"/>
        <v>0</v>
      </c>
      <c r="CJ12" s="40">
        <f t="shared" si="26"/>
        <v>0</v>
      </c>
      <c r="CM12" s="40">
        <f t="shared" si="27"/>
        <v>0</v>
      </c>
      <c r="CP12" s="40">
        <f t="shared" si="28"/>
        <v>0</v>
      </c>
      <c r="CS12" s="40">
        <f t="shared" si="29"/>
        <v>0</v>
      </c>
      <c r="CV12" s="40">
        <f t="shared" si="30"/>
        <v>0</v>
      </c>
      <c r="CY12" s="40">
        <f t="shared" si="31"/>
        <v>0</v>
      </c>
      <c r="DB12" s="40">
        <f t="shared" si="32"/>
        <v>0</v>
      </c>
      <c r="DE12" s="40">
        <f t="shared" si="33"/>
        <v>0</v>
      </c>
      <c r="DH12" s="40">
        <f t="shared" si="34"/>
        <v>0</v>
      </c>
      <c r="DK12" s="40">
        <f t="shared" si="35"/>
        <v>0</v>
      </c>
      <c r="DN12" s="40">
        <f t="shared" si="36"/>
        <v>0</v>
      </c>
      <c r="DQ12" s="40">
        <f t="shared" si="37"/>
        <v>0</v>
      </c>
      <c r="DT12" s="40">
        <f t="shared" si="38"/>
        <v>0</v>
      </c>
      <c r="DW12" s="40">
        <f t="shared" si="39"/>
        <v>0</v>
      </c>
      <c r="DZ12" s="40"/>
      <c r="EA12" s="40"/>
      <c r="EB12" s="75">
        <f t="shared" si="40"/>
        <v>1775000</v>
      </c>
      <c r="EC12" s="75">
        <f t="shared" si="41"/>
        <v>0</v>
      </c>
      <c r="ED12" s="40">
        <f t="shared" si="42"/>
        <v>7.395833333333333</v>
      </c>
      <c r="EE12" s="41">
        <f t="shared" si="43"/>
        <v>1.5E-3</v>
      </c>
      <c r="EG12" s="75">
        <f t="shared" si="44"/>
        <v>0</v>
      </c>
      <c r="EH12" s="40">
        <f t="shared" si="45"/>
        <v>0</v>
      </c>
      <c r="EI12" s="41">
        <f t="shared" si="46"/>
        <v>0</v>
      </c>
      <c r="EJ12" s="41"/>
      <c r="EK12" s="75">
        <f t="shared" si="47"/>
        <v>1775000</v>
      </c>
      <c r="EL12" s="75">
        <f t="shared" si="48"/>
        <v>0</v>
      </c>
      <c r="EM12" s="75">
        <f t="shared" si="49"/>
        <v>7.395833333333333</v>
      </c>
      <c r="EN12" s="41">
        <f t="shared" si="50"/>
        <v>1.5E-3</v>
      </c>
      <c r="EP12" s="40"/>
    </row>
    <row r="13" spans="1:147" x14ac:dyDescent="0.25">
      <c r="A13" s="25">
        <f t="shared" si="51"/>
        <v>44472</v>
      </c>
      <c r="B13" s="40">
        <v>0</v>
      </c>
      <c r="D13" s="40">
        <f t="shared" si="0"/>
        <v>0</v>
      </c>
      <c r="G13" s="40">
        <f t="shared" si="1"/>
        <v>0</v>
      </c>
      <c r="J13" s="40">
        <f t="shared" si="2"/>
        <v>0</v>
      </c>
      <c r="M13" s="40">
        <f t="shared" si="3"/>
        <v>0</v>
      </c>
      <c r="P13" s="40">
        <f t="shared" si="4"/>
        <v>0</v>
      </c>
      <c r="S13" s="40">
        <f t="shared" si="5"/>
        <v>0</v>
      </c>
      <c r="V13" s="40">
        <f t="shared" si="6"/>
        <v>0</v>
      </c>
      <c r="Y13" s="40">
        <f t="shared" si="7"/>
        <v>0</v>
      </c>
      <c r="AB13" s="40">
        <f t="shared" si="8"/>
        <v>0</v>
      </c>
      <c r="AE13" s="40">
        <v>0</v>
      </c>
      <c r="AH13" s="40">
        <v>0</v>
      </c>
      <c r="AI13" s="73">
        <f>1775000</f>
        <v>1775000</v>
      </c>
      <c r="AJ13" s="74">
        <v>1.5E-3</v>
      </c>
      <c r="AK13" s="40">
        <f t="shared" si="9"/>
        <v>7.395833333333333</v>
      </c>
      <c r="AL13" s="73"/>
      <c r="AM13" s="74"/>
      <c r="AN13" s="40">
        <f t="shared" si="10"/>
        <v>0</v>
      </c>
      <c r="AO13" s="73"/>
      <c r="AP13" s="74"/>
      <c r="AQ13" s="40">
        <f t="shared" si="11"/>
        <v>0</v>
      </c>
      <c r="AR13" s="73"/>
      <c r="AS13" s="74"/>
      <c r="AT13" s="40">
        <f t="shared" si="12"/>
        <v>0</v>
      </c>
      <c r="AW13" s="40">
        <f t="shared" si="13"/>
        <v>0</v>
      </c>
      <c r="AZ13" s="40">
        <f t="shared" si="14"/>
        <v>0</v>
      </c>
      <c r="BC13" s="40">
        <f t="shared" si="15"/>
        <v>0</v>
      </c>
      <c r="BF13" s="40">
        <f t="shared" si="16"/>
        <v>0</v>
      </c>
      <c r="BI13" s="40">
        <f t="shared" si="17"/>
        <v>0</v>
      </c>
      <c r="BL13" s="40">
        <f t="shared" si="18"/>
        <v>0</v>
      </c>
      <c r="BO13" s="40">
        <f t="shared" si="19"/>
        <v>0</v>
      </c>
      <c r="BR13" s="40">
        <f t="shared" si="20"/>
        <v>0</v>
      </c>
      <c r="BU13" s="40">
        <f t="shared" si="21"/>
        <v>0</v>
      </c>
      <c r="BX13" s="40">
        <f t="shared" si="22"/>
        <v>0</v>
      </c>
      <c r="CA13" s="40">
        <f t="shared" si="23"/>
        <v>0</v>
      </c>
      <c r="CD13" s="40">
        <f t="shared" si="24"/>
        <v>0</v>
      </c>
      <c r="CG13" s="40">
        <f t="shared" si="25"/>
        <v>0</v>
      </c>
      <c r="CJ13" s="40">
        <f t="shared" si="26"/>
        <v>0</v>
      </c>
      <c r="CM13" s="40">
        <f t="shared" si="27"/>
        <v>0</v>
      </c>
      <c r="CP13" s="40">
        <f t="shared" si="28"/>
        <v>0</v>
      </c>
      <c r="CS13" s="40">
        <f t="shared" si="29"/>
        <v>0</v>
      </c>
      <c r="CV13" s="40">
        <f t="shared" si="30"/>
        <v>0</v>
      </c>
      <c r="CY13" s="40">
        <f t="shared" si="31"/>
        <v>0</v>
      </c>
      <c r="DB13" s="40">
        <f t="shared" si="32"/>
        <v>0</v>
      </c>
      <c r="DE13" s="40">
        <f t="shared" si="33"/>
        <v>0</v>
      </c>
      <c r="DH13" s="40">
        <f t="shared" si="34"/>
        <v>0</v>
      </c>
      <c r="DK13" s="40">
        <f t="shared" si="35"/>
        <v>0</v>
      </c>
      <c r="DN13" s="40">
        <f t="shared" si="36"/>
        <v>0</v>
      </c>
      <c r="DQ13" s="40">
        <f t="shared" si="37"/>
        <v>0</v>
      </c>
      <c r="DT13" s="40">
        <f t="shared" si="38"/>
        <v>0</v>
      </c>
      <c r="DW13" s="40">
        <f t="shared" si="39"/>
        <v>0</v>
      </c>
      <c r="DZ13" s="40"/>
      <c r="EA13" s="40"/>
      <c r="EB13" s="75">
        <f t="shared" si="40"/>
        <v>1775000</v>
      </c>
      <c r="EC13" s="75">
        <f t="shared" si="41"/>
        <v>0</v>
      </c>
      <c r="ED13" s="40">
        <f t="shared" si="42"/>
        <v>7.395833333333333</v>
      </c>
      <c r="EE13" s="41">
        <f t="shared" si="43"/>
        <v>1.5E-3</v>
      </c>
      <c r="EG13" s="75">
        <f t="shared" si="44"/>
        <v>0</v>
      </c>
      <c r="EH13" s="40">
        <f t="shared" si="45"/>
        <v>0</v>
      </c>
      <c r="EI13" s="41">
        <f t="shared" si="46"/>
        <v>0</v>
      </c>
      <c r="EJ13" s="41"/>
      <c r="EK13" s="75">
        <f t="shared" si="47"/>
        <v>1775000</v>
      </c>
      <c r="EL13" s="75">
        <f t="shared" si="48"/>
        <v>0</v>
      </c>
      <c r="EM13" s="75">
        <f t="shared" si="49"/>
        <v>7.395833333333333</v>
      </c>
      <c r="EN13" s="41">
        <f t="shared" si="50"/>
        <v>1.5E-3</v>
      </c>
      <c r="EP13" s="40"/>
    </row>
    <row r="14" spans="1:147" x14ac:dyDescent="0.25">
      <c r="A14" s="25">
        <f t="shared" si="51"/>
        <v>44473</v>
      </c>
      <c r="B14" s="40">
        <v>0</v>
      </c>
      <c r="D14" s="40">
        <f t="shared" si="0"/>
        <v>0</v>
      </c>
      <c r="G14" s="40">
        <f t="shared" si="1"/>
        <v>0</v>
      </c>
      <c r="J14" s="40">
        <f t="shared" si="2"/>
        <v>0</v>
      </c>
      <c r="M14" s="40">
        <f t="shared" si="3"/>
        <v>0</v>
      </c>
      <c r="P14" s="40">
        <f t="shared" si="4"/>
        <v>0</v>
      </c>
      <c r="S14" s="40">
        <f t="shared" si="5"/>
        <v>0</v>
      </c>
      <c r="V14" s="40">
        <f t="shared" si="6"/>
        <v>0</v>
      </c>
      <c r="Y14" s="40">
        <f t="shared" si="7"/>
        <v>0</v>
      </c>
      <c r="AB14" s="40">
        <f t="shared" si="8"/>
        <v>0</v>
      </c>
      <c r="AE14" s="40">
        <v>0</v>
      </c>
      <c r="AH14" s="40">
        <v>0</v>
      </c>
      <c r="AI14" s="73"/>
      <c r="AJ14" s="74"/>
      <c r="AK14" s="40">
        <f t="shared" si="9"/>
        <v>0</v>
      </c>
      <c r="AL14" s="73"/>
      <c r="AM14" s="74"/>
      <c r="AN14" s="40">
        <f t="shared" si="10"/>
        <v>0</v>
      </c>
      <c r="AO14" s="73"/>
      <c r="AP14" s="74"/>
      <c r="AQ14" s="40">
        <f t="shared" si="11"/>
        <v>0</v>
      </c>
      <c r="AR14" s="73"/>
      <c r="AS14" s="74"/>
      <c r="AT14" s="40">
        <f t="shared" si="12"/>
        <v>0</v>
      </c>
      <c r="AW14" s="40">
        <f t="shared" si="13"/>
        <v>0</v>
      </c>
      <c r="AZ14" s="40">
        <f t="shared" si="14"/>
        <v>0</v>
      </c>
      <c r="BC14" s="40">
        <f t="shared" si="15"/>
        <v>0</v>
      </c>
      <c r="BF14" s="40">
        <f t="shared" si="16"/>
        <v>0</v>
      </c>
      <c r="BI14" s="40">
        <f t="shared" si="17"/>
        <v>0</v>
      </c>
      <c r="BL14" s="40">
        <f t="shared" si="18"/>
        <v>0</v>
      </c>
      <c r="BO14" s="40">
        <f t="shared" si="19"/>
        <v>0</v>
      </c>
      <c r="BR14" s="40">
        <f t="shared" si="20"/>
        <v>0</v>
      </c>
      <c r="BU14" s="40">
        <f t="shared" si="21"/>
        <v>0</v>
      </c>
      <c r="BX14" s="40">
        <f t="shared" si="22"/>
        <v>0</v>
      </c>
      <c r="CA14" s="40">
        <f t="shared" si="23"/>
        <v>0</v>
      </c>
      <c r="CD14" s="40">
        <f t="shared" si="24"/>
        <v>0</v>
      </c>
      <c r="CG14" s="40">
        <f t="shared" si="25"/>
        <v>0</v>
      </c>
      <c r="CJ14" s="40">
        <f t="shared" si="26"/>
        <v>0</v>
      </c>
      <c r="CM14" s="40">
        <f t="shared" si="27"/>
        <v>0</v>
      </c>
      <c r="CP14" s="40">
        <f t="shared" si="28"/>
        <v>0</v>
      </c>
      <c r="CS14" s="40">
        <f t="shared" si="29"/>
        <v>0</v>
      </c>
      <c r="CV14" s="40">
        <f t="shared" si="30"/>
        <v>0</v>
      </c>
      <c r="CY14" s="40">
        <f t="shared" si="31"/>
        <v>0</v>
      </c>
      <c r="DB14" s="40">
        <f t="shared" si="32"/>
        <v>0</v>
      </c>
      <c r="DE14" s="40">
        <f t="shared" si="33"/>
        <v>0</v>
      </c>
      <c r="DH14" s="40">
        <f t="shared" si="34"/>
        <v>0</v>
      </c>
      <c r="DK14" s="40">
        <f t="shared" si="35"/>
        <v>0</v>
      </c>
      <c r="DN14" s="40">
        <f t="shared" si="36"/>
        <v>0</v>
      </c>
      <c r="DQ14" s="40">
        <f t="shared" si="37"/>
        <v>0</v>
      </c>
      <c r="DT14" s="40">
        <f t="shared" si="38"/>
        <v>0</v>
      </c>
      <c r="DW14" s="40">
        <f t="shared" si="39"/>
        <v>0</v>
      </c>
      <c r="DZ14" s="40"/>
      <c r="EA14" s="40"/>
      <c r="EB14" s="75">
        <f t="shared" si="40"/>
        <v>0</v>
      </c>
      <c r="EC14" s="75">
        <f t="shared" si="41"/>
        <v>0</v>
      </c>
      <c r="ED14" s="40">
        <f t="shared" si="42"/>
        <v>0</v>
      </c>
      <c r="EE14" s="41">
        <f t="shared" si="43"/>
        <v>0</v>
      </c>
      <c r="EG14" s="75">
        <f t="shared" si="44"/>
        <v>0</v>
      </c>
      <c r="EH14" s="40">
        <f t="shared" si="45"/>
        <v>0</v>
      </c>
      <c r="EI14" s="41">
        <f t="shared" si="46"/>
        <v>0</v>
      </c>
      <c r="EJ14" s="41"/>
      <c r="EK14" s="75">
        <f t="shared" si="47"/>
        <v>0</v>
      </c>
      <c r="EL14" s="75">
        <f t="shared" si="48"/>
        <v>0</v>
      </c>
      <c r="EM14" s="75">
        <f t="shared" si="49"/>
        <v>0</v>
      </c>
      <c r="EN14" s="41">
        <f t="shared" si="50"/>
        <v>0</v>
      </c>
      <c r="EP14" s="40"/>
    </row>
    <row r="15" spans="1:147" x14ac:dyDescent="0.25">
      <c r="A15" s="25">
        <f t="shared" si="51"/>
        <v>44474</v>
      </c>
      <c r="B15" s="40">
        <v>0</v>
      </c>
      <c r="D15" s="40">
        <f t="shared" si="0"/>
        <v>0</v>
      </c>
      <c r="G15" s="40">
        <f t="shared" si="1"/>
        <v>0</v>
      </c>
      <c r="J15" s="40">
        <f t="shared" si="2"/>
        <v>0</v>
      </c>
      <c r="M15" s="40">
        <f t="shared" si="3"/>
        <v>0</v>
      </c>
      <c r="P15" s="40">
        <f t="shared" si="4"/>
        <v>0</v>
      </c>
      <c r="S15" s="40">
        <f t="shared" si="5"/>
        <v>0</v>
      </c>
      <c r="V15" s="40">
        <f t="shared" si="6"/>
        <v>0</v>
      </c>
      <c r="Y15" s="40">
        <f t="shared" si="7"/>
        <v>0</v>
      </c>
      <c r="AB15" s="40">
        <f t="shared" si="8"/>
        <v>0</v>
      </c>
      <c r="AE15" s="40">
        <v>0</v>
      </c>
      <c r="AH15" s="40">
        <v>0</v>
      </c>
      <c r="AI15" s="73"/>
      <c r="AJ15" s="74"/>
      <c r="AK15" s="40">
        <f t="shared" si="9"/>
        <v>0</v>
      </c>
      <c r="AL15" s="73"/>
      <c r="AM15" s="74"/>
      <c r="AN15" s="40">
        <f t="shared" si="10"/>
        <v>0</v>
      </c>
      <c r="AO15" s="73"/>
      <c r="AP15" s="74"/>
      <c r="AQ15" s="40">
        <f t="shared" si="11"/>
        <v>0</v>
      </c>
      <c r="AR15" s="73"/>
      <c r="AS15" s="74"/>
      <c r="AT15" s="40">
        <f t="shared" si="12"/>
        <v>0</v>
      </c>
      <c r="AW15" s="40">
        <f t="shared" si="13"/>
        <v>0</v>
      </c>
      <c r="AZ15" s="40">
        <f t="shared" si="14"/>
        <v>0</v>
      </c>
      <c r="BC15" s="40">
        <f t="shared" si="15"/>
        <v>0</v>
      </c>
      <c r="BF15" s="40">
        <f t="shared" si="16"/>
        <v>0</v>
      </c>
      <c r="BI15" s="40">
        <f t="shared" si="17"/>
        <v>0</v>
      </c>
      <c r="BL15" s="40">
        <f t="shared" si="18"/>
        <v>0</v>
      </c>
      <c r="BO15" s="40">
        <f t="shared" si="19"/>
        <v>0</v>
      </c>
      <c r="BR15" s="40">
        <f t="shared" si="20"/>
        <v>0</v>
      </c>
      <c r="BU15" s="40">
        <f t="shared" si="21"/>
        <v>0</v>
      </c>
      <c r="BX15" s="40">
        <f t="shared" si="22"/>
        <v>0</v>
      </c>
      <c r="CA15" s="40">
        <f t="shared" si="23"/>
        <v>0</v>
      </c>
      <c r="CD15" s="40">
        <f t="shared" si="24"/>
        <v>0</v>
      </c>
      <c r="CG15" s="40">
        <f t="shared" si="25"/>
        <v>0</v>
      </c>
      <c r="CJ15" s="40">
        <f t="shared" si="26"/>
        <v>0</v>
      </c>
      <c r="CM15" s="40">
        <f t="shared" si="27"/>
        <v>0</v>
      </c>
      <c r="CP15" s="40">
        <f t="shared" si="28"/>
        <v>0</v>
      </c>
      <c r="CS15" s="40">
        <f t="shared" si="29"/>
        <v>0</v>
      </c>
      <c r="CV15" s="40">
        <f t="shared" si="30"/>
        <v>0</v>
      </c>
      <c r="CY15" s="40">
        <f t="shared" si="31"/>
        <v>0</v>
      </c>
      <c r="DB15" s="40">
        <f t="shared" si="32"/>
        <v>0</v>
      </c>
      <c r="DE15" s="40">
        <f t="shared" si="33"/>
        <v>0</v>
      </c>
      <c r="DH15" s="40">
        <f t="shared" si="34"/>
        <v>0</v>
      </c>
      <c r="DK15" s="40">
        <f t="shared" si="35"/>
        <v>0</v>
      </c>
      <c r="DN15" s="40">
        <f t="shared" si="36"/>
        <v>0</v>
      </c>
      <c r="DQ15" s="40">
        <f t="shared" si="37"/>
        <v>0</v>
      </c>
      <c r="DT15" s="40">
        <f t="shared" si="38"/>
        <v>0</v>
      </c>
      <c r="DW15" s="40">
        <f t="shared" si="39"/>
        <v>0</v>
      </c>
      <c r="DZ15" s="40"/>
      <c r="EA15" s="40"/>
      <c r="EB15" s="75">
        <f t="shared" si="40"/>
        <v>0</v>
      </c>
      <c r="EC15" s="75">
        <f t="shared" si="41"/>
        <v>0</v>
      </c>
      <c r="ED15" s="40">
        <f t="shared" si="42"/>
        <v>0</v>
      </c>
      <c r="EE15" s="41">
        <f t="shared" si="43"/>
        <v>0</v>
      </c>
      <c r="EG15" s="75">
        <f t="shared" si="44"/>
        <v>0</v>
      </c>
      <c r="EH15" s="40">
        <f t="shared" si="45"/>
        <v>0</v>
      </c>
      <c r="EI15" s="41">
        <f t="shared" si="46"/>
        <v>0</v>
      </c>
      <c r="EJ15" s="41"/>
      <c r="EK15" s="75">
        <f t="shared" si="47"/>
        <v>0</v>
      </c>
      <c r="EL15" s="75">
        <f t="shared" si="48"/>
        <v>0</v>
      </c>
      <c r="EM15" s="75">
        <f t="shared" si="49"/>
        <v>0</v>
      </c>
      <c r="EN15" s="41">
        <f t="shared" si="50"/>
        <v>0</v>
      </c>
      <c r="EP15" s="40"/>
    </row>
    <row r="16" spans="1:147" x14ac:dyDescent="0.25">
      <c r="A16" s="25">
        <f t="shared" si="51"/>
        <v>44475</v>
      </c>
      <c r="B16" s="40">
        <v>0</v>
      </c>
      <c r="D16" s="40">
        <f t="shared" si="0"/>
        <v>0</v>
      </c>
      <c r="G16" s="40">
        <f t="shared" si="1"/>
        <v>0</v>
      </c>
      <c r="J16" s="40">
        <f t="shared" si="2"/>
        <v>0</v>
      </c>
      <c r="M16" s="40">
        <f t="shared" si="3"/>
        <v>0</v>
      </c>
      <c r="P16" s="40">
        <f t="shared" si="4"/>
        <v>0</v>
      </c>
      <c r="S16" s="40">
        <f t="shared" si="5"/>
        <v>0</v>
      </c>
      <c r="V16" s="40">
        <f t="shared" si="6"/>
        <v>0</v>
      </c>
      <c r="Y16" s="40">
        <f t="shared" si="7"/>
        <v>0</v>
      </c>
      <c r="AB16" s="40">
        <f t="shared" si="8"/>
        <v>0</v>
      </c>
      <c r="AE16" s="40">
        <v>0</v>
      </c>
      <c r="AH16" s="40">
        <v>0</v>
      </c>
      <c r="AI16" s="73">
        <f>2250000</f>
        <v>2250000</v>
      </c>
      <c r="AJ16" s="74">
        <v>1.5E-3</v>
      </c>
      <c r="AK16" s="40">
        <f t="shared" si="9"/>
        <v>9.375</v>
      </c>
      <c r="AL16" s="73"/>
      <c r="AM16" s="74"/>
      <c r="AN16" s="40">
        <f t="shared" si="10"/>
        <v>0</v>
      </c>
      <c r="AO16" s="73"/>
      <c r="AP16" s="74"/>
      <c r="AQ16" s="40">
        <f t="shared" si="11"/>
        <v>0</v>
      </c>
      <c r="AR16" s="73"/>
      <c r="AS16" s="74"/>
      <c r="AT16" s="40">
        <f t="shared" si="12"/>
        <v>0</v>
      </c>
      <c r="AW16" s="40">
        <f t="shared" si="13"/>
        <v>0</v>
      </c>
      <c r="AZ16" s="40">
        <f t="shared" si="14"/>
        <v>0</v>
      </c>
      <c r="BC16" s="40">
        <f t="shared" si="15"/>
        <v>0</v>
      </c>
      <c r="BF16" s="40">
        <f t="shared" si="16"/>
        <v>0</v>
      </c>
      <c r="BI16" s="40">
        <f t="shared" si="17"/>
        <v>0</v>
      </c>
      <c r="BL16" s="40">
        <f t="shared" si="18"/>
        <v>0</v>
      </c>
      <c r="BO16" s="40">
        <f t="shared" si="19"/>
        <v>0</v>
      </c>
      <c r="BR16" s="40">
        <f t="shared" si="20"/>
        <v>0</v>
      </c>
      <c r="BU16" s="40">
        <f t="shared" si="21"/>
        <v>0</v>
      </c>
      <c r="BX16" s="40">
        <f t="shared" si="22"/>
        <v>0</v>
      </c>
      <c r="CA16" s="40">
        <f t="shared" si="23"/>
        <v>0</v>
      </c>
      <c r="CD16" s="40">
        <f t="shared" si="24"/>
        <v>0</v>
      </c>
      <c r="CG16" s="40">
        <f t="shared" si="25"/>
        <v>0</v>
      </c>
      <c r="CJ16" s="40">
        <f t="shared" si="26"/>
        <v>0</v>
      </c>
      <c r="CM16" s="40">
        <f t="shared" si="27"/>
        <v>0</v>
      </c>
      <c r="CP16" s="40">
        <f t="shared" si="28"/>
        <v>0</v>
      </c>
      <c r="CS16" s="40">
        <f t="shared" si="29"/>
        <v>0</v>
      </c>
      <c r="CV16" s="40">
        <f t="shared" si="30"/>
        <v>0</v>
      </c>
      <c r="CY16" s="40">
        <f t="shared" si="31"/>
        <v>0</v>
      </c>
      <c r="DB16" s="40">
        <f t="shared" si="32"/>
        <v>0</v>
      </c>
      <c r="DE16" s="40">
        <f t="shared" si="33"/>
        <v>0</v>
      </c>
      <c r="DH16" s="40">
        <f t="shared" si="34"/>
        <v>0</v>
      </c>
      <c r="DK16" s="40">
        <f t="shared" si="35"/>
        <v>0</v>
      </c>
      <c r="DN16" s="40">
        <f t="shared" si="36"/>
        <v>0</v>
      </c>
      <c r="DQ16" s="40">
        <f t="shared" si="37"/>
        <v>0</v>
      </c>
      <c r="DT16" s="40">
        <f t="shared" si="38"/>
        <v>0</v>
      </c>
      <c r="DW16" s="40">
        <f t="shared" si="39"/>
        <v>0</v>
      </c>
      <c r="DZ16" s="40"/>
      <c r="EA16" s="40"/>
      <c r="EB16" s="75">
        <f t="shared" si="40"/>
        <v>2250000</v>
      </c>
      <c r="EC16" s="75">
        <f t="shared" si="41"/>
        <v>0</v>
      </c>
      <c r="ED16" s="40">
        <f t="shared" si="42"/>
        <v>9.375</v>
      </c>
      <c r="EE16" s="41">
        <f t="shared" si="43"/>
        <v>1.5E-3</v>
      </c>
      <c r="EG16" s="75">
        <f t="shared" si="44"/>
        <v>0</v>
      </c>
      <c r="EH16" s="40">
        <f t="shared" si="45"/>
        <v>0</v>
      </c>
      <c r="EI16" s="41">
        <f t="shared" si="46"/>
        <v>0</v>
      </c>
      <c r="EJ16" s="41"/>
      <c r="EK16" s="75">
        <f t="shared" si="47"/>
        <v>2250000</v>
      </c>
      <c r="EL16" s="75">
        <f t="shared" si="48"/>
        <v>0</v>
      </c>
      <c r="EM16" s="75">
        <f t="shared" si="49"/>
        <v>9.375</v>
      </c>
      <c r="EN16" s="41">
        <f t="shared" si="50"/>
        <v>1.5E-3</v>
      </c>
      <c r="EP16" s="40"/>
    </row>
    <row r="17" spans="1:146" x14ac:dyDescent="0.25">
      <c r="A17" s="25">
        <f t="shared" si="51"/>
        <v>44476</v>
      </c>
      <c r="B17" s="40">
        <v>0</v>
      </c>
      <c r="D17" s="40">
        <f t="shared" si="0"/>
        <v>0</v>
      </c>
      <c r="G17" s="40">
        <f t="shared" si="1"/>
        <v>0</v>
      </c>
      <c r="J17" s="40">
        <f t="shared" si="2"/>
        <v>0</v>
      </c>
      <c r="M17" s="40">
        <f t="shared" si="3"/>
        <v>0</v>
      </c>
      <c r="P17" s="40">
        <f t="shared" si="4"/>
        <v>0</v>
      </c>
      <c r="S17" s="40">
        <f t="shared" si="5"/>
        <v>0</v>
      </c>
      <c r="V17" s="40">
        <f t="shared" si="6"/>
        <v>0</v>
      </c>
      <c r="Y17" s="40">
        <f t="shared" si="7"/>
        <v>0</v>
      </c>
      <c r="AB17" s="40">
        <f t="shared" si="8"/>
        <v>0</v>
      </c>
      <c r="AE17" s="40">
        <v>0</v>
      </c>
      <c r="AH17" s="40">
        <v>0</v>
      </c>
      <c r="AI17" s="73"/>
      <c r="AJ17" s="74"/>
      <c r="AK17" s="40">
        <f t="shared" si="9"/>
        <v>0</v>
      </c>
      <c r="AL17" s="73"/>
      <c r="AM17" s="74"/>
      <c r="AN17" s="40">
        <f t="shared" si="10"/>
        <v>0</v>
      </c>
      <c r="AO17" s="73"/>
      <c r="AP17" s="74"/>
      <c r="AQ17" s="40">
        <f t="shared" si="11"/>
        <v>0</v>
      </c>
      <c r="AR17" s="73"/>
      <c r="AS17" s="74"/>
      <c r="AT17" s="40">
        <f t="shared" si="12"/>
        <v>0</v>
      </c>
      <c r="AW17" s="40">
        <f t="shared" si="13"/>
        <v>0</v>
      </c>
      <c r="AZ17" s="40">
        <f t="shared" si="14"/>
        <v>0</v>
      </c>
      <c r="BC17" s="40">
        <f t="shared" si="15"/>
        <v>0</v>
      </c>
      <c r="BF17" s="40">
        <f t="shared" si="16"/>
        <v>0</v>
      </c>
      <c r="BI17" s="40">
        <f t="shared" si="17"/>
        <v>0</v>
      </c>
      <c r="BL17" s="40">
        <f t="shared" si="18"/>
        <v>0</v>
      </c>
      <c r="BO17" s="40">
        <f t="shared" si="19"/>
        <v>0</v>
      </c>
      <c r="BR17" s="40">
        <f t="shared" si="20"/>
        <v>0</v>
      </c>
      <c r="BU17" s="40">
        <f t="shared" si="21"/>
        <v>0</v>
      </c>
      <c r="BX17" s="40">
        <f t="shared" si="22"/>
        <v>0</v>
      </c>
      <c r="CA17" s="40">
        <f t="shared" si="23"/>
        <v>0</v>
      </c>
      <c r="CD17" s="40">
        <f t="shared" si="24"/>
        <v>0</v>
      </c>
      <c r="CG17" s="40">
        <f t="shared" si="25"/>
        <v>0</v>
      </c>
      <c r="CJ17" s="40">
        <f t="shared" si="26"/>
        <v>0</v>
      </c>
      <c r="CM17" s="40">
        <f t="shared" si="27"/>
        <v>0</v>
      </c>
      <c r="CP17" s="40">
        <f t="shared" si="28"/>
        <v>0</v>
      </c>
      <c r="CS17" s="40">
        <f t="shared" si="29"/>
        <v>0</v>
      </c>
      <c r="CV17" s="40">
        <f t="shared" si="30"/>
        <v>0</v>
      </c>
      <c r="CY17" s="40">
        <f t="shared" si="31"/>
        <v>0</v>
      </c>
      <c r="DB17" s="40">
        <f t="shared" si="32"/>
        <v>0</v>
      </c>
      <c r="DE17" s="40">
        <f t="shared" si="33"/>
        <v>0</v>
      </c>
      <c r="DH17" s="40">
        <f t="shared" si="34"/>
        <v>0</v>
      </c>
      <c r="DK17" s="40">
        <f t="shared" si="35"/>
        <v>0</v>
      </c>
      <c r="DN17" s="40">
        <f t="shared" si="36"/>
        <v>0</v>
      </c>
      <c r="DQ17" s="40">
        <f t="shared" si="37"/>
        <v>0</v>
      </c>
      <c r="DT17" s="40">
        <f t="shared" si="38"/>
        <v>0</v>
      </c>
      <c r="DW17" s="40">
        <f t="shared" si="39"/>
        <v>0</v>
      </c>
      <c r="DZ17" s="40"/>
      <c r="EA17" s="40"/>
      <c r="EB17" s="75">
        <f t="shared" si="40"/>
        <v>0</v>
      </c>
      <c r="EC17" s="75">
        <f t="shared" si="41"/>
        <v>0</v>
      </c>
      <c r="ED17" s="40">
        <f t="shared" si="42"/>
        <v>0</v>
      </c>
      <c r="EE17" s="41">
        <f t="shared" si="43"/>
        <v>0</v>
      </c>
      <c r="EG17" s="75">
        <f t="shared" si="44"/>
        <v>0</v>
      </c>
      <c r="EH17" s="40">
        <f t="shared" si="45"/>
        <v>0</v>
      </c>
      <c r="EI17" s="41">
        <f t="shared" si="46"/>
        <v>0</v>
      </c>
      <c r="EJ17" s="41"/>
      <c r="EK17" s="75">
        <f t="shared" si="47"/>
        <v>0</v>
      </c>
      <c r="EL17" s="75">
        <f t="shared" si="48"/>
        <v>0</v>
      </c>
      <c r="EM17" s="75">
        <f t="shared" si="49"/>
        <v>0</v>
      </c>
      <c r="EN17" s="41">
        <f t="shared" si="50"/>
        <v>0</v>
      </c>
      <c r="EP17" s="40"/>
    </row>
    <row r="18" spans="1:146" x14ac:dyDescent="0.25">
      <c r="A18" s="25">
        <f t="shared" si="51"/>
        <v>44477</v>
      </c>
      <c r="B18" s="40">
        <v>0</v>
      </c>
      <c r="D18" s="40">
        <f t="shared" si="0"/>
        <v>0</v>
      </c>
      <c r="G18" s="40">
        <f t="shared" si="1"/>
        <v>0</v>
      </c>
      <c r="J18" s="40">
        <f t="shared" si="2"/>
        <v>0</v>
      </c>
      <c r="M18" s="40">
        <f t="shared" si="3"/>
        <v>0</v>
      </c>
      <c r="P18" s="40">
        <f t="shared" si="4"/>
        <v>0</v>
      </c>
      <c r="S18" s="40">
        <f t="shared" si="5"/>
        <v>0</v>
      </c>
      <c r="V18" s="40">
        <f t="shared" si="6"/>
        <v>0</v>
      </c>
      <c r="Y18" s="40">
        <f t="shared" si="7"/>
        <v>0</v>
      </c>
      <c r="AB18" s="40">
        <f t="shared" si="8"/>
        <v>0</v>
      </c>
      <c r="AE18" s="40">
        <v>0</v>
      </c>
      <c r="AH18" s="40">
        <v>0</v>
      </c>
      <c r="AI18" s="73"/>
      <c r="AJ18" s="74"/>
      <c r="AK18" s="40">
        <f t="shared" si="9"/>
        <v>0</v>
      </c>
      <c r="AL18" s="73"/>
      <c r="AM18" s="74"/>
      <c r="AN18" s="40">
        <f t="shared" si="10"/>
        <v>0</v>
      </c>
      <c r="AO18" s="73"/>
      <c r="AP18" s="74"/>
      <c r="AQ18" s="40">
        <f t="shared" si="11"/>
        <v>0</v>
      </c>
      <c r="AR18" s="73"/>
      <c r="AS18" s="74"/>
      <c r="AT18" s="40">
        <f t="shared" si="12"/>
        <v>0</v>
      </c>
      <c r="AW18" s="40">
        <f t="shared" si="13"/>
        <v>0</v>
      </c>
      <c r="AZ18" s="40">
        <f t="shared" si="14"/>
        <v>0</v>
      </c>
      <c r="BC18" s="40">
        <f t="shared" si="15"/>
        <v>0</v>
      </c>
      <c r="BF18" s="40">
        <f t="shared" si="16"/>
        <v>0</v>
      </c>
      <c r="BI18" s="40">
        <f t="shared" si="17"/>
        <v>0</v>
      </c>
      <c r="BL18" s="40">
        <f t="shared" si="18"/>
        <v>0</v>
      </c>
      <c r="BO18" s="40">
        <f t="shared" si="19"/>
        <v>0</v>
      </c>
      <c r="BR18" s="40">
        <f t="shared" si="20"/>
        <v>0</v>
      </c>
      <c r="BU18" s="40">
        <f t="shared" si="21"/>
        <v>0</v>
      </c>
      <c r="BX18" s="40">
        <f t="shared" si="22"/>
        <v>0</v>
      </c>
      <c r="CA18" s="40">
        <f t="shared" si="23"/>
        <v>0</v>
      </c>
      <c r="CD18" s="40">
        <f t="shared" si="24"/>
        <v>0</v>
      </c>
      <c r="CG18" s="40">
        <f t="shared" si="25"/>
        <v>0</v>
      </c>
      <c r="CJ18" s="40">
        <f t="shared" si="26"/>
        <v>0</v>
      </c>
      <c r="CM18" s="40">
        <f t="shared" si="27"/>
        <v>0</v>
      </c>
      <c r="CP18" s="40">
        <f t="shared" si="28"/>
        <v>0</v>
      </c>
      <c r="CS18" s="40">
        <f t="shared" si="29"/>
        <v>0</v>
      </c>
      <c r="CV18" s="40">
        <f t="shared" si="30"/>
        <v>0</v>
      </c>
      <c r="CY18" s="40">
        <f t="shared" si="31"/>
        <v>0</v>
      </c>
      <c r="DB18" s="40">
        <f t="shared" si="32"/>
        <v>0</v>
      </c>
      <c r="DE18" s="40">
        <f t="shared" si="33"/>
        <v>0</v>
      </c>
      <c r="DH18" s="40">
        <f t="shared" si="34"/>
        <v>0</v>
      </c>
      <c r="DK18" s="40">
        <f t="shared" si="35"/>
        <v>0</v>
      </c>
      <c r="DN18" s="40">
        <f t="shared" si="36"/>
        <v>0</v>
      </c>
      <c r="DQ18" s="40">
        <f t="shared" si="37"/>
        <v>0</v>
      </c>
      <c r="DT18" s="40">
        <f t="shared" si="38"/>
        <v>0</v>
      </c>
      <c r="DW18" s="40">
        <f t="shared" si="39"/>
        <v>0</v>
      </c>
      <c r="DZ18" s="40"/>
      <c r="EA18" s="40"/>
      <c r="EB18" s="75">
        <f t="shared" si="40"/>
        <v>0</v>
      </c>
      <c r="EC18" s="75">
        <f t="shared" si="41"/>
        <v>0</v>
      </c>
      <c r="ED18" s="40">
        <f t="shared" si="42"/>
        <v>0</v>
      </c>
      <c r="EE18" s="41">
        <f t="shared" si="43"/>
        <v>0</v>
      </c>
      <c r="EG18" s="75">
        <f t="shared" si="44"/>
        <v>0</v>
      </c>
      <c r="EH18" s="40">
        <f t="shared" si="45"/>
        <v>0</v>
      </c>
      <c r="EI18" s="41">
        <f t="shared" si="46"/>
        <v>0</v>
      </c>
      <c r="EJ18" s="41"/>
      <c r="EK18" s="75">
        <f t="shared" si="47"/>
        <v>0</v>
      </c>
      <c r="EL18" s="75">
        <f t="shared" si="48"/>
        <v>0</v>
      </c>
      <c r="EM18" s="75">
        <f t="shared" si="49"/>
        <v>0</v>
      </c>
      <c r="EN18" s="41">
        <f t="shared" si="50"/>
        <v>0</v>
      </c>
      <c r="EP18" s="40"/>
    </row>
    <row r="19" spans="1:146" x14ac:dyDescent="0.25">
      <c r="A19" s="25">
        <f t="shared" si="51"/>
        <v>44478</v>
      </c>
      <c r="B19" s="40">
        <v>0</v>
      </c>
      <c r="D19" s="40">
        <f t="shared" si="0"/>
        <v>0</v>
      </c>
      <c r="G19" s="40">
        <f t="shared" si="1"/>
        <v>0</v>
      </c>
      <c r="J19" s="40">
        <f t="shared" si="2"/>
        <v>0</v>
      </c>
      <c r="M19" s="40">
        <f t="shared" si="3"/>
        <v>0</v>
      </c>
      <c r="P19" s="40">
        <f t="shared" si="4"/>
        <v>0</v>
      </c>
      <c r="S19" s="40">
        <f t="shared" si="5"/>
        <v>0</v>
      </c>
      <c r="V19" s="40">
        <f t="shared" si="6"/>
        <v>0</v>
      </c>
      <c r="Y19" s="40">
        <f t="shared" si="7"/>
        <v>0</v>
      </c>
      <c r="AB19" s="40">
        <f t="shared" si="8"/>
        <v>0</v>
      </c>
      <c r="AE19" s="40">
        <v>0</v>
      </c>
      <c r="AH19" s="40">
        <v>0</v>
      </c>
      <c r="AI19" s="73"/>
      <c r="AJ19" s="74"/>
      <c r="AK19" s="40">
        <f t="shared" si="9"/>
        <v>0</v>
      </c>
      <c r="AL19" s="73"/>
      <c r="AM19" s="74"/>
      <c r="AN19" s="40">
        <f t="shared" si="10"/>
        <v>0</v>
      </c>
      <c r="AO19" s="73"/>
      <c r="AP19" s="74"/>
      <c r="AQ19" s="40">
        <f t="shared" si="11"/>
        <v>0</v>
      </c>
      <c r="AR19" s="73"/>
      <c r="AS19" s="74"/>
      <c r="AT19" s="40">
        <f t="shared" si="12"/>
        <v>0</v>
      </c>
      <c r="AW19" s="40">
        <f t="shared" si="13"/>
        <v>0</v>
      </c>
      <c r="AZ19" s="40">
        <f t="shared" si="14"/>
        <v>0</v>
      </c>
      <c r="BC19" s="40">
        <f t="shared" si="15"/>
        <v>0</v>
      </c>
      <c r="BF19" s="40">
        <f t="shared" si="16"/>
        <v>0</v>
      </c>
      <c r="BI19" s="40">
        <f t="shared" si="17"/>
        <v>0</v>
      </c>
      <c r="BL19" s="40">
        <f t="shared" si="18"/>
        <v>0</v>
      </c>
      <c r="BO19" s="40">
        <f t="shared" si="19"/>
        <v>0</v>
      </c>
      <c r="BR19" s="40">
        <f t="shared" si="20"/>
        <v>0</v>
      </c>
      <c r="BU19" s="40">
        <f t="shared" si="21"/>
        <v>0</v>
      </c>
      <c r="BX19" s="40">
        <f t="shared" si="22"/>
        <v>0</v>
      </c>
      <c r="CA19" s="40">
        <f t="shared" si="23"/>
        <v>0</v>
      </c>
      <c r="CD19" s="40">
        <f t="shared" si="24"/>
        <v>0</v>
      </c>
      <c r="CG19" s="40">
        <f t="shared" si="25"/>
        <v>0</v>
      </c>
      <c r="CJ19" s="40">
        <f t="shared" si="26"/>
        <v>0</v>
      </c>
      <c r="CM19" s="40">
        <f t="shared" si="27"/>
        <v>0</v>
      </c>
      <c r="CP19" s="40">
        <f t="shared" si="28"/>
        <v>0</v>
      </c>
      <c r="CS19" s="40">
        <f t="shared" si="29"/>
        <v>0</v>
      </c>
      <c r="CV19" s="40">
        <f t="shared" si="30"/>
        <v>0</v>
      </c>
      <c r="CY19" s="40">
        <f t="shared" si="31"/>
        <v>0</v>
      </c>
      <c r="DB19" s="40">
        <f t="shared" si="32"/>
        <v>0</v>
      </c>
      <c r="DE19" s="40">
        <f t="shared" si="33"/>
        <v>0</v>
      </c>
      <c r="DH19" s="40">
        <f t="shared" si="34"/>
        <v>0</v>
      </c>
      <c r="DK19" s="40">
        <f t="shared" si="35"/>
        <v>0</v>
      </c>
      <c r="DN19" s="40">
        <f t="shared" si="36"/>
        <v>0</v>
      </c>
      <c r="DQ19" s="40">
        <f t="shared" si="37"/>
        <v>0</v>
      </c>
      <c r="DT19" s="40">
        <f t="shared" si="38"/>
        <v>0</v>
      </c>
      <c r="DW19" s="40">
        <f t="shared" si="39"/>
        <v>0</v>
      </c>
      <c r="DZ19" s="40"/>
      <c r="EA19" s="40"/>
      <c r="EB19" s="75">
        <f t="shared" si="40"/>
        <v>0</v>
      </c>
      <c r="EC19" s="75">
        <f t="shared" si="41"/>
        <v>0</v>
      </c>
      <c r="ED19" s="40">
        <f t="shared" si="42"/>
        <v>0</v>
      </c>
      <c r="EE19" s="41">
        <f t="shared" si="43"/>
        <v>0</v>
      </c>
      <c r="EG19" s="75">
        <f t="shared" si="44"/>
        <v>0</v>
      </c>
      <c r="EH19" s="40">
        <f t="shared" si="45"/>
        <v>0</v>
      </c>
      <c r="EI19" s="41">
        <f t="shared" si="46"/>
        <v>0</v>
      </c>
      <c r="EJ19" s="41"/>
      <c r="EK19" s="75">
        <f t="shared" si="47"/>
        <v>0</v>
      </c>
      <c r="EL19" s="75">
        <f t="shared" si="48"/>
        <v>0</v>
      </c>
      <c r="EM19" s="75">
        <f t="shared" si="49"/>
        <v>0</v>
      </c>
      <c r="EN19" s="41">
        <f t="shared" si="50"/>
        <v>0</v>
      </c>
      <c r="EP19" s="40"/>
    </row>
    <row r="20" spans="1:146" x14ac:dyDescent="0.25">
      <c r="A20" s="25">
        <f t="shared" si="51"/>
        <v>44479</v>
      </c>
      <c r="B20" s="40">
        <v>0</v>
      </c>
      <c r="D20" s="40">
        <f t="shared" si="0"/>
        <v>0</v>
      </c>
      <c r="G20" s="40">
        <f t="shared" si="1"/>
        <v>0</v>
      </c>
      <c r="J20" s="40">
        <f t="shared" si="2"/>
        <v>0</v>
      </c>
      <c r="M20" s="40">
        <f t="shared" si="3"/>
        <v>0</v>
      </c>
      <c r="P20" s="40">
        <f t="shared" si="4"/>
        <v>0</v>
      </c>
      <c r="S20" s="40">
        <f t="shared" si="5"/>
        <v>0</v>
      </c>
      <c r="V20" s="40">
        <f t="shared" si="6"/>
        <v>0</v>
      </c>
      <c r="Y20" s="40">
        <f t="shared" si="7"/>
        <v>0</v>
      </c>
      <c r="AB20" s="40">
        <f t="shared" si="8"/>
        <v>0</v>
      </c>
      <c r="AE20" s="40">
        <v>0</v>
      </c>
      <c r="AH20" s="40">
        <v>0</v>
      </c>
      <c r="AI20" s="73"/>
      <c r="AJ20" s="74"/>
      <c r="AK20" s="40">
        <f t="shared" si="9"/>
        <v>0</v>
      </c>
      <c r="AL20" s="73"/>
      <c r="AM20" s="74"/>
      <c r="AN20" s="40">
        <f t="shared" si="10"/>
        <v>0</v>
      </c>
      <c r="AO20" s="73"/>
      <c r="AP20" s="74"/>
      <c r="AQ20" s="40">
        <f t="shared" si="11"/>
        <v>0</v>
      </c>
      <c r="AR20" s="73"/>
      <c r="AS20" s="74"/>
      <c r="AT20" s="40">
        <f t="shared" si="12"/>
        <v>0</v>
      </c>
      <c r="AW20" s="40">
        <f t="shared" si="13"/>
        <v>0</v>
      </c>
      <c r="AZ20" s="40">
        <f t="shared" si="14"/>
        <v>0</v>
      </c>
      <c r="BC20" s="40">
        <f t="shared" si="15"/>
        <v>0</v>
      </c>
      <c r="BF20" s="40">
        <f t="shared" si="16"/>
        <v>0</v>
      </c>
      <c r="BI20" s="40">
        <f t="shared" si="17"/>
        <v>0</v>
      </c>
      <c r="BL20" s="40">
        <f t="shared" si="18"/>
        <v>0</v>
      </c>
      <c r="BO20" s="40">
        <f t="shared" si="19"/>
        <v>0</v>
      </c>
      <c r="BR20" s="40">
        <f t="shared" si="20"/>
        <v>0</v>
      </c>
      <c r="BU20" s="40">
        <f t="shared" si="21"/>
        <v>0</v>
      </c>
      <c r="BX20" s="40">
        <f t="shared" si="22"/>
        <v>0</v>
      </c>
      <c r="CA20" s="40">
        <f t="shared" si="23"/>
        <v>0</v>
      </c>
      <c r="CD20" s="40">
        <f t="shared" si="24"/>
        <v>0</v>
      </c>
      <c r="CG20" s="40">
        <f t="shared" si="25"/>
        <v>0</v>
      </c>
      <c r="CJ20" s="40">
        <f t="shared" si="26"/>
        <v>0</v>
      </c>
      <c r="CM20" s="40">
        <f t="shared" si="27"/>
        <v>0</v>
      </c>
      <c r="CP20" s="40">
        <f t="shared" si="28"/>
        <v>0</v>
      </c>
      <c r="CS20" s="40">
        <f t="shared" si="29"/>
        <v>0</v>
      </c>
      <c r="CV20" s="40">
        <f t="shared" si="30"/>
        <v>0</v>
      </c>
      <c r="CY20" s="40">
        <f t="shared" si="31"/>
        <v>0</v>
      </c>
      <c r="DB20" s="40">
        <f t="shared" si="32"/>
        <v>0</v>
      </c>
      <c r="DE20" s="40">
        <f t="shared" si="33"/>
        <v>0</v>
      </c>
      <c r="DH20" s="40">
        <f t="shared" si="34"/>
        <v>0</v>
      </c>
      <c r="DK20" s="40">
        <f t="shared" si="35"/>
        <v>0</v>
      </c>
      <c r="DN20" s="40">
        <f t="shared" si="36"/>
        <v>0</v>
      </c>
      <c r="DQ20" s="40">
        <f t="shared" si="37"/>
        <v>0</v>
      </c>
      <c r="DT20" s="40">
        <f t="shared" si="38"/>
        <v>0</v>
      </c>
      <c r="DW20" s="40">
        <f t="shared" si="39"/>
        <v>0</v>
      </c>
      <c r="DZ20" s="40"/>
      <c r="EA20" s="40"/>
      <c r="EB20" s="75">
        <f t="shared" si="40"/>
        <v>0</v>
      </c>
      <c r="EC20" s="75">
        <f t="shared" si="41"/>
        <v>0</v>
      </c>
      <c r="ED20" s="40">
        <f t="shared" si="42"/>
        <v>0</v>
      </c>
      <c r="EE20" s="41">
        <f t="shared" si="43"/>
        <v>0</v>
      </c>
      <c r="EG20" s="75">
        <f t="shared" si="44"/>
        <v>0</v>
      </c>
      <c r="EH20" s="40">
        <f t="shared" si="45"/>
        <v>0</v>
      </c>
      <c r="EI20" s="41">
        <f t="shared" si="46"/>
        <v>0</v>
      </c>
      <c r="EJ20" s="41"/>
      <c r="EK20" s="75">
        <f t="shared" si="47"/>
        <v>0</v>
      </c>
      <c r="EL20" s="75">
        <f t="shared" si="48"/>
        <v>0</v>
      </c>
      <c r="EM20" s="75">
        <f t="shared" si="49"/>
        <v>0</v>
      </c>
      <c r="EN20" s="41">
        <f t="shared" si="50"/>
        <v>0</v>
      </c>
      <c r="EP20" s="40"/>
    </row>
    <row r="21" spans="1:146" x14ac:dyDescent="0.25">
      <c r="A21" s="25">
        <f t="shared" si="51"/>
        <v>44480</v>
      </c>
      <c r="B21" s="40">
        <v>0</v>
      </c>
      <c r="D21" s="40">
        <f t="shared" si="0"/>
        <v>0</v>
      </c>
      <c r="G21" s="40">
        <f t="shared" si="1"/>
        <v>0</v>
      </c>
      <c r="J21" s="40">
        <f t="shared" si="2"/>
        <v>0</v>
      </c>
      <c r="M21" s="40">
        <f t="shared" si="3"/>
        <v>0</v>
      </c>
      <c r="P21" s="40">
        <f t="shared" si="4"/>
        <v>0</v>
      </c>
      <c r="S21" s="40">
        <f t="shared" si="5"/>
        <v>0</v>
      </c>
      <c r="V21" s="40">
        <f t="shared" si="6"/>
        <v>0</v>
      </c>
      <c r="Y21" s="40">
        <f t="shared" si="7"/>
        <v>0</v>
      </c>
      <c r="AB21" s="40">
        <f t="shared" si="8"/>
        <v>0</v>
      </c>
      <c r="AE21" s="40">
        <v>0</v>
      </c>
      <c r="AH21" s="40">
        <v>0</v>
      </c>
      <c r="AI21" s="73"/>
      <c r="AJ21" s="74"/>
      <c r="AK21" s="40">
        <f t="shared" si="9"/>
        <v>0</v>
      </c>
      <c r="AL21" s="73"/>
      <c r="AM21" s="74"/>
      <c r="AN21" s="40">
        <f t="shared" si="10"/>
        <v>0</v>
      </c>
      <c r="AO21" s="73"/>
      <c r="AP21" s="74"/>
      <c r="AQ21" s="40">
        <f t="shared" si="11"/>
        <v>0</v>
      </c>
      <c r="AR21" s="73"/>
      <c r="AS21" s="74"/>
      <c r="AT21" s="40">
        <f t="shared" si="12"/>
        <v>0</v>
      </c>
      <c r="AW21" s="40">
        <f t="shared" si="13"/>
        <v>0</v>
      </c>
      <c r="AZ21" s="40">
        <f t="shared" si="14"/>
        <v>0</v>
      </c>
      <c r="BC21" s="40">
        <f t="shared" si="15"/>
        <v>0</v>
      </c>
      <c r="BF21" s="40">
        <f t="shared" si="16"/>
        <v>0</v>
      </c>
      <c r="BI21" s="40">
        <f t="shared" si="17"/>
        <v>0</v>
      </c>
      <c r="BL21" s="40">
        <f t="shared" si="18"/>
        <v>0</v>
      </c>
      <c r="BO21" s="40">
        <f t="shared" si="19"/>
        <v>0</v>
      </c>
      <c r="BR21" s="40">
        <f t="shared" si="20"/>
        <v>0</v>
      </c>
      <c r="BU21" s="40">
        <f t="shared" si="21"/>
        <v>0</v>
      </c>
      <c r="BX21" s="40">
        <f t="shared" si="22"/>
        <v>0</v>
      </c>
      <c r="CA21" s="40">
        <f t="shared" si="23"/>
        <v>0</v>
      </c>
      <c r="CD21" s="40">
        <f t="shared" si="24"/>
        <v>0</v>
      </c>
      <c r="CG21" s="40">
        <f t="shared" si="25"/>
        <v>0</v>
      </c>
      <c r="CJ21" s="40">
        <f t="shared" si="26"/>
        <v>0</v>
      </c>
      <c r="CM21" s="40">
        <f t="shared" si="27"/>
        <v>0</v>
      </c>
      <c r="CP21" s="40">
        <f t="shared" si="28"/>
        <v>0</v>
      </c>
      <c r="CS21" s="40">
        <f t="shared" si="29"/>
        <v>0</v>
      </c>
      <c r="CV21" s="40">
        <f t="shared" si="30"/>
        <v>0</v>
      </c>
      <c r="CY21" s="40">
        <f t="shared" si="31"/>
        <v>0</v>
      </c>
      <c r="DB21" s="40">
        <f t="shared" si="32"/>
        <v>0</v>
      </c>
      <c r="DE21" s="40">
        <f t="shared" si="33"/>
        <v>0</v>
      </c>
      <c r="DH21" s="40">
        <f t="shared" si="34"/>
        <v>0</v>
      </c>
      <c r="DK21" s="40">
        <f t="shared" si="35"/>
        <v>0</v>
      </c>
      <c r="DN21" s="40">
        <f t="shared" si="36"/>
        <v>0</v>
      </c>
      <c r="DQ21" s="40">
        <f t="shared" si="37"/>
        <v>0</v>
      </c>
      <c r="DT21" s="40">
        <f t="shared" si="38"/>
        <v>0</v>
      </c>
      <c r="DW21" s="40">
        <f t="shared" si="39"/>
        <v>0</v>
      </c>
      <c r="DZ21" s="40"/>
      <c r="EA21" s="40"/>
      <c r="EB21" s="75">
        <f t="shared" si="40"/>
        <v>0</v>
      </c>
      <c r="EC21" s="75">
        <f t="shared" si="41"/>
        <v>0</v>
      </c>
      <c r="ED21" s="40">
        <f t="shared" si="42"/>
        <v>0</v>
      </c>
      <c r="EE21" s="41">
        <f t="shared" si="43"/>
        <v>0</v>
      </c>
      <c r="EG21" s="75">
        <f t="shared" si="44"/>
        <v>0</v>
      </c>
      <c r="EH21" s="40">
        <f t="shared" si="45"/>
        <v>0</v>
      </c>
      <c r="EI21" s="41">
        <f t="shared" si="46"/>
        <v>0</v>
      </c>
      <c r="EJ21" s="41"/>
      <c r="EK21" s="75">
        <f t="shared" si="47"/>
        <v>0</v>
      </c>
      <c r="EL21" s="75">
        <f t="shared" si="48"/>
        <v>0</v>
      </c>
      <c r="EM21" s="75">
        <f t="shared" si="49"/>
        <v>0</v>
      </c>
      <c r="EN21" s="41">
        <f t="shared" si="50"/>
        <v>0</v>
      </c>
      <c r="EP21" s="40"/>
    </row>
    <row r="22" spans="1:146" x14ac:dyDescent="0.25">
      <c r="A22" s="25">
        <f t="shared" si="51"/>
        <v>44481</v>
      </c>
      <c r="B22" s="40">
        <v>0</v>
      </c>
      <c r="D22" s="40">
        <f t="shared" si="0"/>
        <v>0</v>
      </c>
      <c r="G22" s="40">
        <f t="shared" si="1"/>
        <v>0</v>
      </c>
      <c r="J22" s="40">
        <f t="shared" si="2"/>
        <v>0</v>
      </c>
      <c r="M22" s="40">
        <f t="shared" si="3"/>
        <v>0</v>
      </c>
      <c r="P22" s="40">
        <f t="shared" si="4"/>
        <v>0</v>
      </c>
      <c r="S22" s="40">
        <f t="shared" si="5"/>
        <v>0</v>
      </c>
      <c r="V22" s="40">
        <f t="shared" si="6"/>
        <v>0</v>
      </c>
      <c r="Y22" s="40">
        <f t="shared" si="7"/>
        <v>0</v>
      </c>
      <c r="AB22" s="40">
        <f t="shared" si="8"/>
        <v>0</v>
      </c>
      <c r="AE22" s="40">
        <v>0</v>
      </c>
      <c r="AH22" s="40">
        <v>0</v>
      </c>
      <c r="AI22" s="73"/>
      <c r="AJ22" s="74"/>
      <c r="AK22" s="40">
        <f t="shared" si="9"/>
        <v>0</v>
      </c>
      <c r="AL22" s="73"/>
      <c r="AM22" s="74"/>
      <c r="AN22" s="40">
        <f t="shared" si="10"/>
        <v>0</v>
      </c>
      <c r="AO22" s="73"/>
      <c r="AP22" s="74"/>
      <c r="AQ22" s="40">
        <f t="shared" si="11"/>
        <v>0</v>
      </c>
      <c r="AR22" s="73"/>
      <c r="AS22" s="74"/>
      <c r="AT22" s="40">
        <f t="shared" si="12"/>
        <v>0</v>
      </c>
      <c r="AW22" s="40">
        <f t="shared" si="13"/>
        <v>0</v>
      </c>
      <c r="AZ22" s="40">
        <f t="shared" si="14"/>
        <v>0</v>
      </c>
      <c r="BC22" s="40">
        <f t="shared" si="15"/>
        <v>0</v>
      </c>
      <c r="BF22" s="40">
        <f t="shared" si="16"/>
        <v>0</v>
      </c>
      <c r="BI22" s="40">
        <f t="shared" si="17"/>
        <v>0</v>
      </c>
      <c r="BL22" s="40">
        <f t="shared" si="18"/>
        <v>0</v>
      </c>
      <c r="BO22" s="40">
        <f t="shared" si="19"/>
        <v>0</v>
      </c>
      <c r="BR22" s="40">
        <f t="shared" si="20"/>
        <v>0</v>
      </c>
      <c r="BU22" s="40">
        <f t="shared" si="21"/>
        <v>0</v>
      </c>
      <c r="BX22" s="40">
        <f t="shared" si="22"/>
        <v>0</v>
      </c>
      <c r="CA22" s="40">
        <f t="shared" si="23"/>
        <v>0</v>
      </c>
      <c r="CD22" s="40">
        <f t="shared" si="24"/>
        <v>0</v>
      </c>
      <c r="CG22" s="40">
        <f t="shared" si="25"/>
        <v>0</v>
      </c>
      <c r="CJ22" s="40">
        <f t="shared" si="26"/>
        <v>0</v>
      </c>
      <c r="CM22" s="40">
        <f t="shared" si="27"/>
        <v>0</v>
      </c>
      <c r="CP22" s="40">
        <f t="shared" si="28"/>
        <v>0</v>
      </c>
      <c r="CS22" s="40">
        <f t="shared" si="29"/>
        <v>0</v>
      </c>
      <c r="CV22" s="40">
        <f t="shared" si="30"/>
        <v>0</v>
      </c>
      <c r="CY22" s="40">
        <f t="shared" si="31"/>
        <v>0</v>
      </c>
      <c r="DB22" s="40">
        <f t="shared" si="32"/>
        <v>0</v>
      </c>
      <c r="DE22" s="40">
        <f t="shared" si="33"/>
        <v>0</v>
      </c>
      <c r="DH22" s="40">
        <f t="shared" si="34"/>
        <v>0</v>
      </c>
      <c r="DK22" s="40">
        <f t="shared" si="35"/>
        <v>0</v>
      </c>
      <c r="DN22" s="40">
        <f t="shared" si="36"/>
        <v>0</v>
      </c>
      <c r="DQ22" s="40">
        <f t="shared" si="37"/>
        <v>0</v>
      </c>
      <c r="DT22" s="40">
        <f t="shared" si="38"/>
        <v>0</v>
      </c>
      <c r="DW22" s="40">
        <f t="shared" si="39"/>
        <v>0</v>
      </c>
      <c r="DZ22" s="40"/>
      <c r="EA22" s="40"/>
      <c r="EB22" s="75">
        <f t="shared" si="40"/>
        <v>0</v>
      </c>
      <c r="EC22" s="75">
        <f t="shared" si="41"/>
        <v>0</v>
      </c>
      <c r="ED22" s="40">
        <f t="shared" si="42"/>
        <v>0</v>
      </c>
      <c r="EE22" s="41">
        <f t="shared" si="43"/>
        <v>0</v>
      </c>
      <c r="EG22" s="75">
        <f t="shared" si="44"/>
        <v>0</v>
      </c>
      <c r="EH22" s="40">
        <f t="shared" si="45"/>
        <v>0</v>
      </c>
      <c r="EI22" s="41">
        <f t="shared" si="46"/>
        <v>0</v>
      </c>
      <c r="EJ22" s="41"/>
      <c r="EK22" s="75">
        <f t="shared" si="47"/>
        <v>0</v>
      </c>
      <c r="EL22" s="75">
        <f t="shared" si="48"/>
        <v>0</v>
      </c>
      <c r="EM22" s="75">
        <f t="shared" si="49"/>
        <v>0</v>
      </c>
      <c r="EN22" s="41">
        <f t="shared" si="50"/>
        <v>0</v>
      </c>
      <c r="EP22" s="40"/>
    </row>
    <row r="23" spans="1:146" x14ac:dyDescent="0.25">
      <c r="A23" s="25">
        <f t="shared" si="51"/>
        <v>44482</v>
      </c>
      <c r="B23" s="40">
        <v>0</v>
      </c>
      <c r="D23" s="40">
        <f t="shared" si="0"/>
        <v>0</v>
      </c>
      <c r="G23" s="40">
        <f t="shared" si="1"/>
        <v>0</v>
      </c>
      <c r="J23" s="40">
        <f t="shared" si="2"/>
        <v>0</v>
      </c>
      <c r="M23" s="40">
        <f t="shared" si="3"/>
        <v>0</v>
      </c>
      <c r="P23" s="40">
        <f t="shared" si="4"/>
        <v>0</v>
      </c>
      <c r="S23" s="40">
        <f t="shared" si="5"/>
        <v>0</v>
      </c>
      <c r="V23" s="40">
        <f t="shared" si="6"/>
        <v>0</v>
      </c>
      <c r="Y23" s="40">
        <f t="shared" si="7"/>
        <v>0</v>
      </c>
      <c r="AB23" s="40">
        <f t="shared" si="8"/>
        <v>0</v>
      </c>
      <c r="AE23" s="40">
        <v>0</v>
      </c>
      <c r="AH23" s="40">
        <v>0</v>
      </c>
      <c r="AI23" s="73"/>
      <c r="AJ23" s="74"/>
      <c r="AK23" s="40">
        <f t="shared" si="9"/>
        <v>0</v>
      </c>
      <c r="AL23" s="73"/>
      <c r="AM23" s="74"/>
      <c r="AN23" s="40">
        <f t="shared" si="10"/>
        <v>0</v>
      </c>
      <c r="AO23" s="73"/>
      <c r="AP23" s="74"/>
      <c r="AQ23" s="40">
        <f t="shared" si="11"/>
        <v>0</v>
      </c>
      <c r="AR23" s="73"/>
      <c r="AS23" s="74"/>
      <c r="AT23" s="40">
        <f t="shared" si="12"/>
        <v>0</v>
      </c>
      <c r="AW23" s="40">
        <f t="shared" si="13"/>
        <v>0</v>
      </c>
      <c r="AZ23" s="40">
        <f t="shared" si="14"/>
        <v>0</v>
      </c>
      <c r="BC23" s="40">
        <f t="shared" si="15"/>
        <v>0</v>
      </c>
      <c r="BF23" s="40">
        <f t="shared" si="16"/>
        <v>0</v>
      </c>
      <c r="BI23" s="40">
        <f t="shared" si="17"/>
        <v>0</v>
      </c>
      <c r="BL23" s="40">
        <f t="shared" si="18"/>
        <v>0</v>
      </c>
      <c r="BO23" s="40">
        <f t="shared" si="19"/>
        <v>0</v>
      </c>
      <c r="BR23" s="40">
        <f t="shared" si="20"/>
        <v>0</v>
      </c>
      <c r="BU23" s="40">
        <f t="shared" si="21"/>
        <v>0</v>
      </c>
      <c r="BX23" s="40">
        <f t="shared" si="22"/>
        <v>0</v>
      </c>
      <c r="CA23" s="40">
        <f t="shared" si="23"/>
        <v>0</v>
      </c>
      <c r="CD23" s="40">
        <f t="shared" si="24"/>
        <v>0</v>
      </c>
      <c r="CG23" s="40">
        <f t="shared" si="25"/>
        <v>0</v>
      </c>
      <c r="CJ23" s="40">
        <f t="shared" si="26"/>
        <v>0</v>
      </c>
      <c r="CM23" s="40">
        <f t="shared" si="27"/>
        <v>0</v>
      </c>
      <c r="CP23" s="40">
        <f t="shared" si="28"/>
        <v>0</v>
      </c>
      <c r="CS23" s="40">
        <f t="shared" si="29"/>
        <v>0</v>
      </c>
      <c r="CV23" s="40">
        <f t="shared" si="30"/>
        <v>0</v>
      </c>
      <c r="CY23" s="40">
        <f t="shared" si="31"/>
        <v>0</v>
      </c>
      <c r="DB23" s="40">
        <f t="shared" si="32"/>
        <v>0</v>
      </c>
      <c r="DE23" s="40">
        <f t="shared" si="33"/>
        <v>0</v>
      </c>
      <c r="DH23" s="40">
        <f t="shared" si="34"/>
        <v>0</v>
      </c>
      <c r="DK23" s="40">
        <f t="shared" si="35"/>
        <v>0</v>
      </c>
      <c r="DN23" s="40">
        <f t="shared" si="36"/>
        <v>0</v>
      </c>
      <c r="DQ23" s="40">
        <f t="shared" si="37"/>
        <v>0</v>
      </c>
      <c r="DT23" s="40">
        <f t="shared" si="38"/>
        <v>0</v>
      </c>
      <c r="DW23" s="40">
        <f t="shared" si="39"/>
        <v>0</v>
      </c>
      <c r="DZ23" s="40"/>
      <c r="EA23" s="40"/>
      <c r="EB23" s="75">
        <f t="shared" si="40"/>
        <v>0</v>
      </c>
      <c r="EC23" s="75">
        <f t="shared" si="41"/>
        <v>0</v>
      </c>
      <c r="ED23" s="40">
        <f t="shared" si="42"/>
        <v>0</v>
      </c>
      <c r="EE23" s="41">
        <f t="shared" si="43"/>
        <v>0</v>
      </c>
      <c r="EG23" s="75">
        <f t="shared" si="44"/>
        <v>0</v>
      </c>
      <c r="EH23" s="40">
        <f t="shared" si="45"/>
        <v>0</v>
      </c>
      <c r="EI23" s="41">
        <f t="shared" si="46"/>
        <v>0</v>
      </c>
      <c r="EJ23" s="41"/>
      <c r="EK23" s="75">
        <f t="shared" si="47"/>
        <v>0</v>
      </c>
      <c r="EL23" s="75">
        <f t="shared" si="48"/>
        <v>0</v>
      </c>
      <c r="EM23" s="75">
        <f t="shared" si="49"/>
        <v>0</v>
      </c>
      <c r="EN23" s="41">
        <f t="shared" si="50"/>
        <v>0</v>
      </c>
      <c r="EP23" s="40"/>
    </row>
    <row r="24" spans="1:146" x14ac:dyDescent="0.25">
      <c r="A24" s="25">
        <f t="shared" si="51"/>
        <v>44483</v>
      </c>
      <c r="B24" s="40">
        <v>0</v>
      </c>
      <c r="D24" s="40">
        <f t="shared" si="0"/>
        <v>0</v>
      </c>
      <c r="G24" s="40">
        <f t="shared" si="1"/>
        <v>0</v>
      </c>
      <c r="J24" s="40">
        <f t="shared" si="2"/>
        <v>0</v>
      </c>
      <c r="M24" s="40">
        <f t="shared" si="3"/>
        <v>0</v>
      </c>
      <c r="P24" s="40">
        <f t="shared" si="4"/>
        <v>0</v>
      </c>
      <c r="S24" s="40">
        <f t="shared" si="5"/>
        <v>0</v>
      </c>
      <c r="V24" s="40">
        <f t="shared" si="6"/>
        <v>0</v>
      </c>
      <c r="Y24" s="40">
        <f t="shared" si="7"/>
        <v>0</v>
      </c>
      <c r="AB24" s="40">
        <f t="shared" si="8"/>
        <v>0</v>
      </c>
      <c r="AE24" s="40">
        <v>0</v>
      </c>
      <c r="AH24" s="40">
        <v>0</v>
      </c>
      <c r="AI24" s="73"/>
      <c r="AJ24" s="74"/>
      <c r="AK24" s="40">
        <f t="shared" si="9"/>
        <v>0</v>
      </c>
      <c r="AL24" s="73"/>
      <c r="AM24" s="74"/>
      <c r="AN24" s="40">
        <f t="shared" si="10"/>
        <v>0</v>
      </c>
      <c r="AO24" s="73"/>
      <c r="AP24" s="74"/>
      <c r="AQ24" s="40">
        <f t="shared" si="11"/>
        <v>0</v>
      </c>
      <c r="AR24" s="73"/>
      <c r="AS24" s="74"/>
      <c r="AT24" s="40">
        <f t="shared" si="12"/>
        <v>0</v>
      </c>
      <c r="AW24" s="40">
        <f t="shared" si="13"/>
        <v>0</v>
      </c>
      <c r="AZ24" s="40">
        <f t="shared" si="14"/>
        <v>0</v>
      </c>
      <c r="BC24" s="40">
        <f t="shared" si="15"/>
        <v>0</v>
      </c>
      <c r="BF24" s="40">
        <f t="shared" si="16"/>
        <v>0</v>
      </c>
      <c r="BI24" s="40">
        <f t="shared" si="17"/>
        <v>0</v>
      </c>
      <c r="BL24" s="40">
        <f t="shared" si="18"/>
        <v>0</v>
      </c>
      <c r="BO24" s="40">
        <f t="shared" si="19"/>
        <v>0</v>
      </c>
      <c r="BR24" s="40">
        <f t="shared" si="20"/>
        <v>0</v>
      </c>
      <c r="BU24" s="40">
        <f t="shared" si="21"/>
        <v>0</v>
      </c>
      <c r="BX24" s="40">
        <f t="shared" si="22"/>
        <v>0</v>
      </c>
      <c r="CA24" s="40">
        <f t="shared" si="23"/>
        <v>0</v>
      </c>
      <c r="CD24" s="40">
        <f t="shared" si="24"/>
        <v>0</v>
      </c>
      <c r="CG24" s="40">
        <f t="shared" si="25"/>
        <v>0</v>
      </c>
      <c r="CJ24" s="40">
        <f t="shared" si="26"/>
        <v>0</v>
      </c>
      <c r="CM24" s="40">
        <f t="shared" si="27"/>
        <v>0</v>
      </c>
      <c r="CP24" s="40">
        <f t="shared" si="28"/>
        <v>0</v>
      </c>
      <c r="CS24" s="40">
        <f t="shared" si="29"/>
        <v>0</v>
      </c>
      <c r="CV24" s="40">
        <f t="shared" si="30"/>
        <v>0</v>
      </c>
      <c r="CY24" s="40">
        <f t="shared" si="31"/>
        <v>0</v>
      </c>
      <c r="DB24" s="40">
        <f t="shared" si="32"/>
        <v>0</v>
      </c>
      <c r="DE24" s="40">
        <f t="shared" si="33"/>
        <v>0</v>
      </c>
      <c r="DH24" s="40">
        <f t="shared" si="34"/>
        <v>0</v>
      </c>
      <c r="DK24" s="40">
        <f t="shared" si="35"/>
        <v>0</v>
      </c>
      <c r="DN24" s="40">
        <f t="shared" si="36"/>
        <v>0</v>
      </c>
      <c r="DQ24" s="40">
        <f t="shared" si="37"/>
        <v>0</v>
      </c>
      <c r="DT24" s="40">
        <f t="shared" si="38"/>
        <v>0</v>
      </c>
      <c r="DW24" s="40">
        <f t="shared" si="39"/>
        <v>0</v>
      </c>
      <c r="DZ24" s="40"/>
      <c r="EA24" s="40"/>
      <c r="EB24" s="75">
        <f t="shared" si="40"/>
        <v>0</v>
      </c>
      <c r="EC24" s="75">
        <f t="shared" si="41"/>
        <v>0</v>
      </c>
      <c r="ED24" s="40">
        <f t="shared" si="42"/>
        <v>0</v>
      </c>
      <c r="EE24" s="41">
        <f t="shared" si="43"/>
        <v>0</v>
      </c>
      <c r="EG24" s="75">
        <f t="shared" si="44"/>
        <v>0</v>
      </c>
      <c r="EH24" s="40">
        <f t="shared" si="45"/>
        <v>0</v>
      </c>
      <c r="EI24" s="41">
        <f t="shared" si="46"/>
        <v>0</v>
      </c>
      <c r="EJ24" s="41"/>
      <c r="EK24" s="75">
        <f t="shared" si="47"/>
        <v>0</v>
      </c>
      <c r="EL24" s="75">
        <f t="shared" si="48"/>
        <v>0</v>
      </c>
      <c r="EM24" s="75">
        <f t="shared" si="49"/>
        <v>0</v>
      </c>
      <c r="EN24" s="41">
        <f t="shared" si="50"/>
        <v>0</v>
      </c>
      <c r="EP24" s="40"/>
    </row>
    <row r="25" spans="1:146" x14ac:dyDescent="0.25">
      <c r="A25" s="25">
        <f t="shared" si="51"/>
        <v>44484</v>
      </c>
      <c r="B25" s="40">
        <v>0</v>
      </c>
      <c r="D25" s="40">
        <f t="shared" si="0"/>
        <v>0</v>
      </c>
      <c r="G25" s="40">
        <f t="shared" si="1"/>
        <v>0</v>
      </c>
      <c r="J25" s="40">
        <f t="shared" si="2"/>
        <v>0</v>
      </c>
      <c r="M25" s="40">
        <f t="shared" si="3"/>
        <v>0</v>
      </c>
      <c r="P25" s="40">
        <f t="shared" si="4"/>
        <v>0</v>
      </c>
      <c r="S25" s="40">
        <f t="shared" si="5"/>
        <v>0</v>
      </c>
      <c r="V25" s="40">
        <f t="shared" si="6"/>
        <v>0</v>
      </c>
      <c r="Y25" s="40">
        <f t="shared" si="7"/>
        <v>0</v>
      </c>
      <c r="AB25" s="40">
        <f t="shared" si="8"/>
        <v>0</v>
      </c>
      <c r="AE25" s="40">
        <v>0</v>
      </c>
      <c r="AH25" s="40">
        <v>0</v>
      </c>
      <c r="AI25" s="73"/>
      <c r="AJ25" s="74"/>
      <c r="AK25" s="40">
        <f t="shared" si="9"/>
        <v>0</v>
      </c>
      <c r="AL25" s="73"/>
      <c r="AM25" s="74"/>
      <c r="AN25" s="40">
        <f t="shared" si="10"/>
        <v>0</v>
      </c>
      <c r="AO25" s="73"/>
      <c r="AP25" s="74"/>
      <c r="AQ25" s="40">
        <f t="shared" si="11"/>
        <v>0</v>
      </c>
      <c r="AR25" s="73"/>
      <c r="AS25" s="74"/>
      <c r="AT25" s="40">
        <f t="shared" si="12"/>
        <v>0</v>
      </c>
      <c r="AW25" s="40">
        <f t="shared" si="13"/>
        <v>0</v>
      </c>
      <c r="AZ25" s="40">
        <f t="shared" si="14"/>
        <v>0</v>
      </c>
      <c r="BC25" s="40">
        <f t="shared" si="15"/>
        <v>0</v>
      </c>
      <c r="BF25" s="40">
        <f t="shared" si="16"/>
        <v>0</v>
      </c>
      <c r="BI25" s="40">
        <f t="shared" si="17"/>
        <v>0</v>
      </c>
      <c r="BL25" s="40">
        <f t="shared" si="18"/>
        <v>0</v>
      </c>
      <c r="BO25" s="40">
        <f t="shared" si="19"/>
        <v>0</v>
      </c>
      <c r="BR25" s="40">
        <f t="shared" si="20"/>
        <v>0</v>
      </c>
      <c r="BU25" s="40">
        <f t="shared" si="21"/>
        <v>0</v>
      </c>
      <c r="BX25" s="40">
        <f t="shared" si="22"/>
        <v>0</v>
      </c>
      <c r="CA25" s="40">
        <f t="shared" si="23"/>
        <v>0</v>
      </c>
      <c r="CD25" s="40">
        <f t="shared" si="24"/>
        <v>0</v>
      </c>
      <c r="CG25" s="40">
        <f t="shared" si="25"/>
        <v>0</v>
      </c>
      <c r="CJ25" s="40">
        <f t="shared" si="26"/>
        <v>0</v>
      </c>
      <c r="CM25" s="40">
        <f t="shared" si="27"/>
        <v>0</v>
      </c>
      <c r="CP25" s="40">
        <f t="shared" si="28"/>
        <v>0</v>
      </c>
      <c r="CS25" s="40">
        <f t="shared" si="29"/>
        <v>0</v>
      </c>
      <c r="CV25" s="40">
        <f t="shared" si="30"/>
        <v>0</v>
      </c>
      <c r="CY25" s="40">
        <f t="shared" si="31"/>
        <v>0</v>
      </c>
      <c r="DB25" s="40">
        <f t="shared" si="32"/>
        <v>0</v>
      </c>
      <c r="DE25" s="40">
        <f t="shared" si="33"/>
        <v>0</v>
      </c>
      <c r="DH25" s="40">
        <f t="shared" si="34"/>
        <v>0</v>
      </c>
      <c r="DK25" s="40">
        <f t="shared" si="35"/>
        <v>0</v>
      </c>
      <c r="DN25" s="40">
        <f t="shared" si="36"/>
        <v>0</v>
      </c>
      <c r="DQ25" s="40">
        <f t="shared" si="37"/>
        <v>0</v>
      </c>
      <c r="DT25" s="40">
        <f t="shared" si="38"/>
        <v>0</v>
      </c>
      <c r="DW25" s="40">
        <f t="shared" si="39"/>
        <v>0</v>
      </c>
      <c r="DZ25" s="40"/>
      <c r="EA25" s="40"/>
      <c r="EB25" s="75">
        <f t="shared" si="40"/>
        <v>0</v>
      </c>
      <c r="EC25" s="75">
        <f t="shared" si="41"/>
        <v>0</v>
      </c>
      <c r="ED25" s="40">
        <f t="shared" si="42"/>
        <v>0</v>
      </c>
      <c r="EE25" s="41">
        <f t="shared" si="43"/>
        <v>0</v>
      </c>
      <c r="EG25" s="75">
        <f t="shared" si="44"/>
        <v>0</v>
      </c>
      <c r="EH25" s="40">
        <f t="shared" si="45"/>
        <v>0</v>
      </c>
      <c r="EI25" s="41">
        <f t="shared" si="46"/>
        <v>0</v>
      </c>
      <c r="EJ25" s="41"/>
      <c r="EK25" s="75">
        <f t="shared" si="47"/>
        <v>0</v>
      </c>
      <c r="EL25" s="75">
        <f t="shared" si="48"/>
        <v>0</v>
      </c>
      <c r="EM25" s="75">
        <f t="shared" si="49"/>
        <v>0</v>
      </c>
      <c r="EN25" s="41">
        <f t="shared" si="50"/>
        <v>0</v>
      </c>
      <c r="EP25" s="40"/>
    </row>
    <row r="26" spans="1:146" x14ac:dyDescent="0.25">
      <c r="A26" s="25">
        <f t="shared" si="51"/>
        <v>44485</v>
      </c>
      <c r="B26" s="40">
        <v>0</v>
      </c>
      <c r="D26" s="40">
        <f t="shared" si="0"/>
        <v>0</v>
      </c>
      <c r="G26" s="40">
        <f t="shared" si="1"/>
        <v>0</v>
      </c>
      <c r="J26" s="40">
        <f t="shared" si="2"/>
        <v>0</v>
      </c>
      <c r="M26" s="40">
        <f t="shared" si="3"/>
        <v>0</v>
      </c>
      <c r="P26" s="40">
        <f t="shared" si="4"/>
        <v>0</v>
      </c>
      <c r="S26" s="40">
        <f t="shared" si="5"/>
        <v>0</v>
      </c>
      <c r="V26" s="40">
        <f t="shared" si="6"/>
        <v>0</v>
      </c>
      <c r="Y26" s="40">
        <f t="shared" si="7"/>
        <v>0</v>
      </c>
      <c r="AB26" s="40">
        <f t="shared" si="8"/>
        <v>0</v>
      </c>
      <c r="AE26" s="40">
        <v>0</v>
      </c>
      <c r="AH26" s="40">
        <v>0</v>
      </c>
      <c r="AI26" s="73"/>
      <c r="AJ26" s="74"/>
      <c r="AK26" s="40">
        <f t="shared" si="9"/>
        <v>0</v>
      </c>
      <c r="AL26" s="73"/>
      <c r="AM26" s="74"/>
      <c r="AN26" s="40">
        <f t="shared" si="10"/>
        <v>0</v>
      </c>
      <c r="AO26" s="73"/>
      <c r="AP26" s="74"/>
      <c r="AQ26" s="40">
        <f t="shared" si="11"/>
        <v>0</v>
      </c>
      <c r="AR26" s="73"/>
      <c r="AS26" s="74"/>
      <c r="AT26" s="40">
        <f t="shared" si="12"/>
        <v>0</v>
      </c>
      <c r="AW26" s="40">
        <f t="shared" si="13"/>
        <v>0</v>
      </c>
      <c r="AZ26" s="40">
        <f t="shared" si="14"/>
        <v>0</v>
      </c>
      <c r="BC26" s="40">
        <f t="shared" si="15"/>
        <v>0</v>
      </c>
      <c r="BF26" s="40">
        <f t="shared" si="16"/>
        <v>0</v>
      </c>
      <c r="BI26" s="40">
        <f t="shared" si="17"/>
        <v>0</v>
      </c>
      <c r="BL26" s="40">
        <f t="shared" si="18"/>
        <v>0</v>
      </c>
      <c r="BO26" s="40">
        <f t="shared" si="19"/>
        <v>0</v>
      </c>
      <c r="BR26" s="40">
        <f t="shared" si="20"/>
        <v>0</v>
      </c>
      <c r="BU26" s="40">
        <f t="shared" si="21"/>
        <v>0</v>
      </c>
      <c r="BX26" s="40">
        <f t="shared" si="22"/>
        <v>0</v>
      </c>
      <c r="CA26" s="40">
        <f t="shared" si="23"/>
        <v>0</v>
      </c>
      <c r="CD26" s="40">
        <f t="shared" si="24"/>
        <v>0</v>
      </c>
      <c r="CG26" s="40">
        <f t="shared" si="25"/>
        <v>0</v>
      </c>
      <c r="CJ26" s="40">
        <f t="shared" si="26"/>
        <v>0</v>
      </c>
      <c r="CM26" s="40">
        <f t="shared" si="27"/>
        <v>0</v>
      </c>
      <c r="CP26" s="40">
        <f t="shared" si="28"/>
        <v>0</v>
      </c>
      <c r="CS26" s="40">
        <f t="shared" si="29"/>
        <v>0</v>
      </c>
      <c r="CV26" s="40">
        <f t="shared" si="30"/>
        <v>0</v>
      </c>
      <c r="CY26" s="40">
        <f t="shared" si="31"/>
        <v>0</v>
      </c>
      <c r="DB26" s="40">
        <f t="shared" si="32"/>
        <v>0</v>
      </c>
      <c r="DE26" s="40">
        <f t="shared" si="33"/>
        <v>0</v>
      </c>
      <c r="DH26" s="40">
        <f t="shared" si="34"/>
        <v>0</v>
      </c>
      <c r="DK26" s="40">
        <f t="shared" si="35"/>
        <v>0</v>
      </c>
      <c r="DN26" s="40">
        <f t="shared" si="36"/>
        <v>0</v>
      </c>
      <c r="DQ26" s="40">
        <f t="shared" si="37"/>
        <v>0</v>
      </c>
      <c r="DT26" s="40">
        <f t="shared" si="38"/>
        <v>0</v>
      </c>
      <c r="DW26" s="40">
        <f t="shared" si="39"/>
        <v>0</v>
      </c>
      <c r="DZ26" s="40"/>
      <c r="EA26" s="40"/>
      <c r="EB26" s="75">
        <f t="shared" si="40"/>
        <v>0</v>
      </c>
      <c r="EC26" s="75">
        <f t="shared" si="41"/>
        <v>0</v>
      </c>
      <c r="ED26" s="40">
        <f t="shared" si="42"/>
        <v>0</v>
      </c>
      <c r="EE26" s="41">
        <f t="shared" si="43"/>
        <v>0</v>
      </c>
      <c r="EG26" s="75">
        <f t="shared" si="44"/>
        <v>0</v>
      </c>
      <c r="EH26" s="40">
        <f t="shared" si="45"/>
        <v>0</v>
      </c>
      <c r="EI26" s="41">
        <f t="shared" si="46"/>
        <v>0</v>
      </c>
      <c r="EJ26" s="41"/>
      <c r="EK26" s="75">
        <f t="shared" si="47"/>
        <v>0</v>
      </c>
      <c r="EL26" s="75">
        <f t="shared" si="48"/>
        <v>0</v>
      </c>
      <c r="EM26" s="75">
        <f t="shared" si="49"/>
        <v>0</v>
      </c>
      <c r="EN26" s="41">
        <f t="shared" si="50"/>
        <v>0</v>
      </c>
      <c r="EP26" s="40"/>
    </row>
    <row r="27" spans="1:146" x14ac:dyDescent="0.25">
      <c r="A27" s="25">
        <f t="shared" si="51"/>
        <v>44486</v>
      </c>
      <c r="B27" s="40">
        <v>0</v>
      </c>
      <c r="D27" s="40">
        <f t="shared" si="0"/>
        <v>0</v>
      </c>
      <c r="G27" s="40">
        <f t="shared" si="1"/>
        <v>0</v>
      </c>
      <c r="J27" s="40">
        <f t="shared" si="2"/>
        <v>0</v>
      </c>
      <c r="M27" s="40">
        <f t="shared" si="3"/>
        <v>0</v>
      </c>
      <c r="P27" s="40">
        <f t="shared" si="4"/>
        <v>0</v>
      </c>
      <c r="S27" s="40">
        <f t="shared" si="5"/>
        <v>0</v>
      </c>
      <c r="V27" s="40">
        <f t="shared" si="6"/>
        <v>0</v>
      </c>
      <c r="Y27" s="40">
        <f t="shared" si="7"/>
        <v>0</v>
      </c>
      <c r="AB27" s="40">
        <f t="shared" si="8"/>
        <v>0</v>
      </c>
      <c r="AE27" s="40">
        <v>0</v>
      </c>
      <c r="AH27" s="40">
        <v>0</v>
      </c>
      <c r="AI27" s="73"/>
      <c r="AJ27" s="74"/>
      <c r="AK27" s="40">
        <f t="shared" si="9"/>
        <v>0</v>
      </c>
      <c r="AL27" s="73"/>
      <c r="AM27" s="74"/>
      <c r="AN27" s="40">
        <f t="shared" si="10"/>
        <v>0</v>
      </c>
      <c r="AO27" s="73"/>
      <c r="AP27" s="74"/>
      <c r="AQ27" s="40">
        <f t="shared" si="11"/>
        <v>0</v>
      </c>
      <c r="AR27" s="73"/>
      <c r="AS27" s="74"/>
      <c r="AT27" s="40">
        <f t="shared" si="12"/>
        <v>0</v>
      </c>
      <c r="AW27" s="40">
        <f t="shared" si="13"/>
        <v>0</v>
      </c>
      <c r="AZ27" s="40">
        <f t="shared" si="14"/>
        <v>0</v>
      </c>
      <c r="BC27" s="40">
        <f t="shared" si="15"/>
        <v>0</v>
      </c>
      <c r="BF27" s="40">
        <f t="shared" si="16"/>
        <v>0</v>
      </c>
      <c r="BI27" s="40">
        <f t="shared" si="17"/>
        <v>0</v>
      </c>
      <c r="BL27" s="40">
        <f t="shared" si="18"/>
        <v>0</v>
      </c>
      <c r="BO27" s="40">
        <f t="shared" si="19"/>
        <v>0</v>
      </c>
      <c r="BR27" s="40">
        <f t="shared" si="20"/>
        <v>0</v>
      </c>
      <c r="BU27" s="40">
        <f t="shared" si="21"/>
        <v>0</v>
      </c>
      <c r="BX27" s="40">
        <f t="shared" si="22"/>
        <v>0</v>
      </c>
      <c r="CA27" s="40">
        <f t="shared" si="23"/>
        <v>0</v>
      </c>
      <c r="CD27" s="40">
        <f t="shared" si="24"/>
        <v>0</v>
      </c>
      <c r="CG27" s="40">
        <f t="shared" si="25"/>
        <v>0</v>
      </c>
      <c r="CJ27" s="40">
        <f t="shared" si="26"/>
        <v>0</v>
      </c>
      <c r="CM27" s="40">
        <f t="shared" si="27"/>
        <v>0</v>
      </c>
      <c r="CP27" s="40">
        <f t="shared" si="28"/>
        <v>0</v>
      </c>
      <c r="CS27" s="40">
        <f t="shared" si="29"/>
        <v>0</v>
      </c>
      <c r="CV27" s="40">
        <f t="shared" si="30"/>
        <v>0</v>
      </c>
      <c r="CY27" s="40">
        <f t="shared" si="31"/>
        <v>0</v>
      </c>
      <c r="DB27" s="40">
        <f t="shared" si="32"/>
        <v>0</v>
      </c>
      <c r="DE27" s="40">
        <f t="shared" si="33"/>
        <v>0</v>
      </c>
      <c r="DH27" s="40">
        <f t="shared" si="34"/>
        <v>0</v>
      </c>
      <c r="DK27" s="40">
        <f t="shared" si="35"/>
        <v>0</v>
      </c>
      <c r="DN27" s="40">
        <f t="shared" si="36"/>
        <v>0</v>
      </c>
      <c r="DQ27" s="40">
        <f t="shared" si="37"/>
        <v>0</v>
      </c>
      <c r="DT27" s="40">
        <f t="shared" si="38"/>
        <v>0</v>
      </c>
      <c r="DW27" s="40">
        <f t="shared" si="39"/>
        <v>0</v>
      </c>
      <c r="DZ27" s="40"/>
      <c r="EA27" s="40"/>
      <c r="EB27" s="75">
        <f t="shared" si="40"/>
        <v>0</v>
      </c>
      <c r="EC27" s="75">
        <f t="shared" si="41"/>
        <v>0</v>
      </c>
      <c r="ED27" s="40">
        <f t="shared" si="42"/>
        <v>0</v>
      </c>
      <c r="EE27" s="41">
        <f t="shared" si="43"/>
        <v>0</v>
      </c>
      <c r="EG27" s="75">
        <f t="shared" si="44"/>
        <v>0</v>
      </c>
      <c r="EH27" s="40">
        <f t="shared" si="45"/>
        <v>0</v>
      </c>
      <c r="EI27" s="41">
        <f t="shared" si="46"/>
        <v>0</v>
      </c>
      <c r="EJ27" s="41"/>
      <c r="EK27" s="75">
        <f t="shared" si="47"/>
        <v>0</v>
      </c>
      <c r="EL27" s="75">
        <f t="shared" si="48"/>
        <v>0</v>
      </c>
      <c r="EM27" s="75">
        <f t="shared" si="49"/>
        <v>0</v>
      </c>
      <c r="EN27" s="41">
        <f t="shared" si="50"/>
        <v>0</v>
      </c>
      <c r="EP27" s="40"/>
    </row>
    <row r="28" spans="1:146" x14ac:dyDescent="0.25">
      <c r="A28" s="25">
        <f t="shared" si="51"/>
        <v>44487</v>
      </c>
      <c r="B28" s="40">
        <v>0</v>
      </c>
      <c r="D28" s="40">
        <f t="shared" si="0"/>
        <v>0</v>
      </c>
      <c r="G28" s="40">
        <f t="shared" si="1"/>
        <v>0</v>
      </c>
      <c r="J28" s="40">
        <f t="shared" si="2"/>
        <v>0</v>
      </c>
      <c r="M28" s="40">
        <f t="shared" si="3"/>
        <v>0</v>
      </c>
      <c r="P28" s="40">
        <f t="shared" si="4"/>
        <v>0</v>
      </c>
      <c r="S28" s="40">
        <f t="shared" si="5"/>
        <v>0</v>
      </c>
      <c r="V28" s="40">
        <f t="shared" si="6"/>
        <v>0</v>
      </c>
      <c r="Y28" s="40">
        <f t="shared" si="7"/>
        <v>0</v>
      </c>
      <c r="AB28" s="40">
        <f t="shared" si="8"/>
        <v>0</v>
      </c>
      <c r="AE28" s="40">
        <v>0</v>
      </c>
      <c r="AH28" s="40">
        <v>0</v>
      </c>
      <c r="AI28" s="73">
        <v>13575000</v>
      </c>
      <c r="AJ28" s="74">
        <v>1.5E-3</v>
      </c>
      <c r="AK28" s="40">
        <f t="shared" si="9"/>
        <v>56.5625</v>
      </c>
      <c r="AL28" s="73"/>
      <c r="AM28" s="74"/>
      <c r="AN28" s="40">
        <f t="shared" si="10"/>
        <v>0</v>
      </c>
      <c r="AO28" s="73"/>
      <c r="AP28" s="74"/>
      <c r="AQ28" s="40">
        <f t="shared" si="11"/>
        <v>0</v>
      </c>
      <c r="AR28" s="73"/>
      <c r="AS28" s="74"/>
      <c r="AT28" s="40">
        <f t="shared" si="12"/>
        <v>0</v>
      </c>
      <c r="AW28" s="40">
        <f t="shared" si="13"/>
        <v>0</v>
      </c>
      <c r="AZ28" s="40">
        <f t="shared" si="14"/>
        <v>0</v>
      </c>
      <c r="BC28" s="40">
        <f t="shared" si="15"/>
        <v>0</v>
      </c>
      <c r="BF28" s="40">
        <f t="shared" si="16"/>
        <v>0</v>
      </c>
      <c r="BI28" s="40">
        <f t="shared" si="17"/>
        <v>0</v>
      </c>
      <c r="BL28" s="40">
        <f t="shared" si="18"/>
        <v>0</v>
      </c>
      <c r="BO28" s="40">
        <f t="shared" si="19"/>
        <v>0</v>
      </c>
      <c r="BR28" s="40">
        <f t="shared" si="20"/>
        <v>0</v>
      </c>
      <c r="BU28" s="40">
        <f t="shared" si="21"/>
        <v>0</v>
      </c>
      <c r="BX28" s="40">
        <f t="shared" si="22"/>
        <v>0</v>
      </c>
      <c r="CA28" s="40">
        <f t="shared" si="23"/>
        <v>0</v>
      </c>
      <c r="CD28" s="40">
        <f t="shared" si="24"/>
        <v>0</v>
      </c>
      <c r="CG28" s="40">
        <f t="shared" si="25"/>
        <v>0</v>
      </c>
      <c r="CJ28" s="40">
        <f t="shared" si="26"/>
        <v>0</v>
      </c>
      <c r="CM28" s="40">
        <f t="shared" si="27"/>
        <v>0</v>
      </c>
      <c r="CP28" s="40">
        <f t="shared" si="28"/>
        <v>0</v>
      </c>
      <c r="CS28" s="40">
        <f t="shared" si="29"/>
        <v>0</v>
      </c>
      <c r="CV28" s="40">
        <f t="shared" si="30"/>
        <v>0</v>
      </c>
      <c r="CY28" s="40">
        <f t="shared" si="31"/>
        <v>0</v>
      </c>
      <c r="DB28" s="40">
        <f t="shared" si="32"/>
        <v>0</v>
      </c>
      <c r="DE28" s="40">
        <f t="shared" si="33"/>
        <v>0</v>
      </c>
      <c r="DH28" s="40">
        <f t="shared" si="34"/>
        <v>0</v>
      </c>
      <c r="DK28" s="40">
        <f t="shared" si="35"/>
        <v>0</v>
      </c>
      <c r="DN28" s="40">
        <f t="shared" si="36"/>
        <v>0</v>
      </c>
      <c r="DQ28" s="40">
        <f t="shared" si="37"/>
        <v>0</v>
      </c>
      <c r="DT28" s="40">
        <f t="shared" si="38"/>
        <v>0</v>
      </c>
      <c r="DW28" s="40">
        <f t="shared" si="39"/>
        <v>0</v>
      </c>
      <c r="DZ28" s="40"/>
      <c r="EA28" s="40"/>
      <c r="EB28" s="75">
        <f t="shared" si="40"/>
        <v>13575000</v>
      </c>
      <c r="EC28" s="75">
        <f t="shared" si="41"/>
        <v>0</v>
      </c>
      <c r="ED28" s="40">
        <f t="shared" si="42"/>
        <v>56.5625</v>
      </c>
      <c r="EE28" s="41">
        <f t="shared" si="43"/>
        <v>1.5E-3</v>
      </c>
      <c r="EG28" s="75">
        <f t="shared" si="44"/>
        <v>0</v>
      </c>
      <c r="EH28" s="40">
        <f t="shared" si="45"/>
        <v>0</v>
      </c>
      <c r="EI28" s="41">
        <f t="shared" si="46"/>
        <v>0</v>
      </c>
      <c r="EJ28" s="41"/>
      <c r="EK28" s="75">
        <f t="shared" si="47"/>
        <v>13575000</v>
      </c>
      <c r="EL28" s="75">
        <f t="shared" si="48"/>
        <v>0</v>
      </c>
      <c r="EM28" s="75">
        <f t="shared" si="49"/>
        <v>56.5625</v>
      </c>
      <c r="EN28" s="41">
        <f t="shared" si="50"/>
        <v>1.5E-3</v>
      </c>
      <c r="EP28" s="40"/>
    </row>
    <row r="29" spans="1:146" x14ac:dyDescent="0.25">
      <c r="A29" s="25">
        <f t="shared" si="51"/>
        <v>44488</v>
      </c>
      <c r="B29" s="40">
        <v>0</v>
      </c>
      <c r="D29" s="40">
        <f t="shared" si="0"/>
        <v>0</v>
      </c>
      <c r="G29" s="40">
        <f t="shared" si="1"/>
        <v>0</v>
      </c>
      <c r="J29" s="40">
        <f t="shared" si="2"/>
        <v>0</v>
      </c>
      <c r="M29" s="40">
        <f t="shared" si="3"/>
        <v>0</v>
      </c>
      <c r="P29" s="40">
        <f t="shared" si="4"/>
        <v>0</v>
      </c>
      <c r="S29" s="40">
        <f t="shared" si="5"/>
        <v>0</v>
      </c>
      <c r="V29" s="40">
        <f t="shared" si="6"/>
        <v>0</v>
      </c>
      <c r="Y29" s="40">
        <f t="shared" si="7"/>
        <v>0</v>
      </c>
      <c r="AB29" s="40">
        <f t="shared" si="8"/>
        <v>0</v>
      </c>
      <c r="AE29" s="40">
        <v>0</v>
      </c>
      <c r="AH29" s="40">
        <v>0</v>
      </c>
      <c r="AI29" s="73"/>
      <c r="AJ29" s="74"/>
      <c r="AK29" s="40">
        <f t="shared" si="9"/>
        <v>0</v>
      </c>
      <c r="AL29" s="73"/>
      <c r="AM29" s="74"/>
      <c r="AN29" s="40">
        <f t="shared" si="10"/>
        <v>0</v>
      </c>
      <c r="AO29" s="73"/>
      <c r="AP29" s="74"/>
      <c r="AQ29" s="40">
        <f t="shared" si="11"/>
        <v>0</v>
      </c>
      <c r="AR29" s="73"/>
      <c r="AS29" s="74"/>
      <c r="AT29" s="40">
        <f t="shared" si="12"/>
        <v>0</v>
      </c>
      <c r="AW29" s="40">
        <f t="shared" si="13"/>
        <v>0</v>
      </c>
      <c r="AZ29" s="40">
        <f t="shared" si="14"/>
        <v>0</v>
      </c>
      <c r="BC29" s="40">
        <f t="shared" si="15"/>
        <v>0</v>
      </c>
      <c r="BF29" s="40">
        <f t="shared" si="16"/>
        <v>0</v>
      </c>
      <c r="BI29" s="40">
        <f t="shared" si="17"/>
        <v>0</v>
      </c>
      <c r="BL29" s="40">
        <f t="shared" si="18"/>
        <v>0</v>
      </c>
      <c r="BO29" s="40">
        <f t="shared" si="19"/>
        <v>0</v>
      </c>
      <c r="BR29" s="40">
        <f t="shared" si="20"/>
        <v>0</v>
      </c>
      <c r="BU29" s="40">
        <f t="shared" si="21"/>
        <v>0</v>
      </c>
      <c r="BX29" s="40">
        <f t="shared" si="22"/>
        <v>0</v>
      </c>
      <c r="CA29" s="40">
        <f t="shared" si="23"/>
        <v>0</v>
      </c>
      <c r="CD29" s="40">
        <f t="shared" si="24"/>
        <v>0</v>
      </c>
      <c r="CG29" s="40">
        <f t="shared" si="25"/>
        <v>0</v>
      </c>
      <c r="CJ29" s="40">
        <f t="shared" si="26"/>
        <v>0</v>
      </c>
      <c r="CM29" s="40">
        <f t="shared" si="27"/>
        <v>0</v>
      </c>
      <c r="CP29" s="40">
        <f t="shared" si="28"/>
        <v>0</v>
      </c>
      <c r="CS29" s="40">
        <f t="shared" si="29"/>
        <v>0</v>
      </c>
      <c r="CV29" s="40">
        <f t="shared" si="30"/>
        <v>0</v>
      </c>
      <c r="CY29" s="40">
        <f t="shared" si="31"/>
        <v>0</v>
      </c>
      <c r="DB29" s="40">
        <f t="shared" si="32"/>
        <v>0</v>
      </c>
      <c r="DE29" s="40">
        <f t="shared" si="33"/>
        <v>0</v>
      </c>
      <c r="DH29" s="40">
        <f t="shared" si="34"/>
        <v>0</v>
      </c>
      <c r="DK29" s="40">
        <f t="shared" si="35"/>
        <v>0</v>
      </c>
      <c r="DN29" s="40">
        <f t="shared" si="36"/>
        <v>0</v>
      </c>
      <c r="DQ29" s="40">
        <f t="shared" si="37"/>
        <v>0</v>
      </c>
      <c r="DT29" s="40">
        <f t="shared" si="38"/>
        <v>0</v>
      </c>
      <c r="DW29" s="40">
        <f t="shared" si="39"/>
        <v>0</v>
      </c>
      <c r="DZ29" s="40"/>
      <c r="EA29" s="40"/>
      <c r="EB29" s="75">
        <f t="shared" si="40"/>
        <v>0</v>
      </c>
      <c r="EC29" s="75">
        <f t="shared" si="41"/>
        <v>0</v>
      </c>
      <c r="ED29" s="40">
        <f t="shared" si="42"/>
        <v>0</v>
      </c>
      <c r="EE29" s="41">
        <f t="shared" si="43"/>
        <v>0</v>
      </c>
      <c r="EG29" s="75">
        <f t="shared" si="44"/>
        <v>0</v>
      </c>
      <c r="EH29" s="40">
        <f t="shared" si="45"/>
        <v>0</v>
      </c>
      <c r="EI29" s="41">
        <f t="shared" si="46"/>
        <v>0</v>
      </c>
      <c r="EJ29" s="41"/>
      <c r="EK29" s="75">
        <f t="shared" si="47"/>
        <v>0</v>
      </c>
      <c r="EL29" s="75">
        <f t="shared" si="48"/>
        <v>0</v>
      </c>
      <c r="EM29" s="75">
        <f t="shared" si="49"/>
        <v>0</v>
      </c>
      <c r="EN29" s="41">
        <f t="shared" si="50"/>
        <v>0</v>
      </c>
      <c r="EP29" s="40"/>
    </row>
    <row r="30" spans="1:146" x14ac:dyDescent="0.25">
      <c r="A30" s="25">
        <f t="shared" si="51"/>
        <v>44489</v>
      </c>
      <c r="B30" s="40">
        <v>0</v>
      </c>
      <c r="D30" s="40">
        <f t="shared" si="0"/>
        <v>0</v>
      </c>
      <c r="G30" s="40">
        <f t="shared" si="1"/>
        <v>0</v>
      </c>
      <c r="J30" s="40">
        <f t="shared" si="2"/>
        <v>0</v>
      </c>
      <c r="M30" s="40">
        <f t="shared" si="3"/>
        <v>0</v>
      </c>
      <c r="P30" s="40">
        <f t="shared" si="4"/>
        <v>0</v>
      </c>
      <c r="S30" s="40">
        <f t="shared" si="5"/>
        <v>0</v>
      </c>
      <c r="V30" s="40">
        <f t="shared" si="6"/>
        <v>0</v>
      </c>
      <c r="Y30" s="40">
        <f t="shared" si="7"/>
        <v>0</v>
      </c>
      <c r="AB30" s="40">
        <f t="shared" si="8"/>
        <v>0</v>
      </c>
      <c r="AE30" s="40">
        <v>0</v>
      </c>
      <c r="AH30" s="40">
        <v>0</v>
      </c>
      <c r="AI30" s="73">
        <f>2175000</f>
        <v>2175000</v>
      </c>
      <c r="AJ30" s="74">
        <v>1.5E-3</v>
      </c>
      <c r="AK30" s="40">
        <f t="shared" si="9"/>
        <v>9.0625</v>
      </c>
      <c r="AL30" s="73"/>
      <c r="AM30" s="74"/>
      <c r="AN30" s="40">
        <f t="shared" si="10"/>
        <v>0</v>
      </c>
      <c r="AO30" s="73"/>
      <c r="AP30" s="74"/>
      <c r="AQ30" s="40">
        <f t="shared" si="11"/>
        <v>0</v>
      </c>
      <c r="AR30" s="73"/>
      <c r="AS30" s="74"/>
      <c r="AT30" s="40">
        <f t="shared" si="12"/>
        <v>0</v>
      </c>
      <c r="AW30" s="40">
        <f t="shared" si="13"/>
        <v>0</v>
      </c>
      <c r="AZ30" s="40">
        <f t="shared" si="14"/>
        <v>0</v>
      </c>
      <c r="BC30" s="40">
        <f t="shared" si="15"/>
        <v>0</v>
      </c>
      <c r="BF30" s="40">
        <f t="shared" si="16"/>
        <v>0</v>
      </c>
      <c r="BI30" s="40">
        <f t="shared" si="17"/>
        <v>0</v>
      </c>
      <c r="BL30" s="40">
        <f t="shared" si="18"/>
        <v>0</v>
      </c>
      <c r="BO30" s="40">
        <f t="shared" si="19"/>
        <v>0</v>
      </c>
      <c r="BR30" s="40">
        <f t="shared" si="20"/>
        <v>0</v>
      </c>
      <c r="BU30" s="40">
        <f t="shared" si="21"/>
        <v>0</v>
      </c>
      <c r="BX30" s="40">
        <f t="shared" si="22"/>
        <v>0</v>
      </c>
      <c r="CA30" s="40">
        <f t="shared" si="23"/>
        <v>0</v>
      </c>
      <c r="CD30" s="40">
        <f t="shared" si="24"/>
        <v>0</v>
      </c>
      <c r="CG30" s="40">
        <f t="shared" si="25"/>
        <v>0</v>
      </c>
      <c r="CJ30" s="40">
        <f t="shared" si="26"/>
        <v>0</v>
      </c>
      <c r="CM30" s="40">
        <f t="shared" si="27"/>
        <v>0</v>
      </c>
      <c r="CP30" s="40">
        <f t="shared" si="28"/>
        <v>0</v>
      </c>
      <c r="CS30" s="40">
        <f t="shared" si="29"/>
        <v>0</v>
      </c>
      <c r="CV30" s="40">
        <f t="shared" si="30"/>
        <v>0</v>
      </c>
      <c r="CY30" s="40">
        <f t="shared" si="31"/>
        <v>0</v>
      </c>
      <c r="DB30" s="40">
        <f t="shared" si="32"/>
        <v>0</v>
      </c>
      <c r="DE30" s="40">
        <f t="shared" si="33"/>
        <v>0</v>
      </c>
      <c r="DH30" s="40">
        <f t="shared" si="34"/>
        <v>0</v>
      </c>
      <c r="DK30" s="40">
        <f t="shared" si="35"/>
        <v>0</v>
      </c>
      <c r="DN30" s="40">
        <f t="shared" si="36"/>
        <v>0</v>
      </c>
      <c r="DQ30" s="40">
        <f t="shared" si="37"/>
        <v>0</v>
      </c>
      <c r="DT30" s="40">
        <f t="shared" si="38"/>
        <v>0</v>
      </c>
      <c r="DW30" s="40">
        <f t="shared" si="39"/>
        <v>0</v>
      </c>
      <c r="DZ30" s="40"/>
      <c r="EA30" s="40"/>
      <c r="EB30" s="75">
        <f t="shared" si="40"/>
        <v>2175000</v>
      </c>
      <c r="EC30" s="75">
        <f t="shared" si="41"/>
        <v>0</v>
      </c>
      <c r="ED30" s="40">
        <f t="shared" si="42"/>
        <v>9.0625</v>
      </c>
      <c r="EE30" s="41">
        <f t="shared" si="43"/>
        <v>1.5E-3</v>
      </c>
      <c r="EG30" s="75">
        <f t="shared" si="44"/>
        <v>0</v>
      </c>
      <c r="EH30" s="40">
        <f t="shared" si="45"/>
        <v>0</v>
      </c>
      <c r="EI30" s="41">
        <f t="shared" si="46"/>
        <v>0</v>
      </c>
      <c r="EJ30" s="41"/>
      <c r="EK30" s="75">
        <f t="shared" si="47"/>
        <v>2175000</v>
      </c>
      <c r="EL30" s="75">
        <f t="shared" si="48"/>
        <v>0</v>
      </c>
      <c r="EM30" s="75">
        <f t="shared" si="49"/>
        <v>9.0625</v>
      </c>
      <c r="EN30" s="41">
        <f t="shared" si="50"/>
        <v>1.5E-3</v>
      </c>
      <c r="EP30" s="40"/>
    </row>
    <row r="31" spans="1:146" x14ac:dyDescent="0.25">
      <c r="A31" s="25">
        <f t="shared" si="51"/>
        <v>44490</v>
      </c>
      <c r="B31" s="40">
        <v>0</v>
      </c>
      <c r="D31" s="40">
        <f t="shared" si="0"/>
        <v>0</v>
      </c>
      <c r="G31" s="40">
        <f t="shared" si="1"/>
        <v>0</v>
      </c>
      <c r="J31" s="40">
        <f t="shared" si="2"/>
        <v>0</v>
      </c>
      <c r="M31" s="40">
        <f t="shared" si="3"/>
        <v>0</v>
      </c>
      <c r="P31" s="40">
        <f t="shared" si="4"/>
        <v>0</v>
      </c>
      <c r="S31" s="40">
        <f t="shared" si="5"/>
        <v>0</v>
      </c>
      <c r="V31" s="40">
        <f t="shared" si="6"/>
        <v>0</v>
      </c>
      <c r="Y31" s="40">
        <f t="shared" si="7"/>
        <v>0</v>
      </c>
      <c r="AB31" s="40">
        <f t="shared" si="8"/>
        <v>0</v>
      </c>
      <c r="AE31" s="40">
        <v>0</v>
      </c>
      <c r="AH31" s="40">
        <v>0</v>
      </c>
      <c r="AI31" s="73"/>
      <c r="AJ31" s="74"/>
      <c r="AK31" s="40">
        <f t="shared" si="9"/>
        <v>0</v>
      </c>
      <c r="AL31" s="73"/>
      <c r="AM31" s="74"/>
      <c r="AN31" s="40">
        <f t="shared" si="10"/>
        <v>0</v>
      </c>
      <c r="AO31" s="73"/>
      <c r="AP31" s="74"/>
      <c r="AQ31" s="40">
        <f t="shared" si="11"/>
        <v>0</v>
      </c>
      <c r="AR31" s="73"/>
      <c r="AS31" s="74"/>
      <c r="AT31" s="40">
        <f t="shared" si="12"/>
        <v>0</v>
      </c>
      <c r="AW31" s="40">
        <f t="shared" si="13"/>
        <v>0</v>
      </c>
      <c r="AZ31" s="40">
        <f t="shared" si="14"/>
        <v>0</v>
      </c>
      <c r="BC31" s="40">
        <f t="shared" si="15"/>
        <v>0</v>
      </c>
      <c r="BF31" s="40">
        <f t="shared" si="16"/>
        <v>0</v>
      </c>
      <c r="BI31" s="40">
        <f t="shared" si="17"/>
        <v>0</v>
      </c>
      <c r="BL31" s="40">
        <f t="shared" si="18"/>
        <v>0</v>
      </c>
      <c r="BO31" s="40">
        <f t="shared" si="19"/>
        <v>0</v>
      </c>
      <c r="BR31" s="40">
        <f t="shared" si="20"/>
        <v>0</v>
      </c>
      <c r="BU31" s="40">
        <f t="shared" si="21"/>
        <v>0</v>
      </c>
      <c r="BX31" s="40">
        <f t="shared" si="22"/>
        <v>0</v>
      </c>
      <c r="CA31" s="40">
        <f t="shared" si="23"/>
        <v>0</v>
      </c>
      <c r="CD31" s="40">
        <f t="shared" si="24"/>
        <v>0</v>
      </c>
      <c r="CG31" s="40">
        <f t="shared" si="25"/>
        <v>0</v>
      </c>
      <c r="CJ31" s="40">
        <f t="shared" si="26"/>
        <v>0</v>
      </c>
      <c r="CM31" s="40">
        <f t="shared" si="27"/>
        <v>0</v>
      </c>
      <c r="CP31" s="40">
        <f t="shared" si="28"/>
        <v>0</v>
      </c>
      <c r="CS31" s="40">
        <f t="shared" si="29"/>
        <v>0</v>
      </c>
      <c r="CV31" s="40">
        <f t="shared" si="30"/>
        <v>0</v>
      </c>
      <c r="CY31" s="40">
        <f t="shared" si="31"/>
        <v>0</v>
      </c>
      <c r="DB31" s="40">
        <f t="shared" si="32"/>
        <v>0</v>
      </c>
      <c r="DE31" s="40">
        <f t="shared" si="33"/>
        <v>0</v>
      </c>
      <c r="DH31" s="40">
        <f t="shared" si="34"/>
        <v>0</v>
      </c>
      <c r="DK31" s="40">
        <f t="shared" si="35"/>
        <v>0</v>
      </c>
      <c r="DN31" s="40">
        <f t="shared" si="36"/>
        <v>0</v>
      </c>
      <c r="DQ31" s="40">
        <f t="shared" si="37"/>
        <v>0</v>
      </c>
      <c r="DT31" s="40">
        <f t="shared" si="38"/>
        <v>0</v>
      </c>
      <c r="DW31" s="40">
        <f t="shared" si="39"/>
        <v>0</v>
      </c>
      <c r="DZ31" s="40"/>
      <c r="EA31" s="40"/>
      <c r="EB31" s="75">
        <f t="shared" si="40"/>
        <v>0</v>
      </c>
      <c r="EC31" s="75">
        <f t="shared" si="41"/>
        <v>0</v>
      </c>
      <c r="ED31" s="40">
        <f t="shared" si="42"/>
        <v>0</v>
      </c>
      <c r="EE31" s="41">
        <f t="shared" si="43"/>
        <v>0</v>
      </c>
      <c r="EG31" s="75">
        <f t="shared" si="44"/>
        <v>0</v>
      </c>
      <c r="EH31" s="40">
        <f t="shared" si="45"/>
        <v>0</v>
      </c>
      <c r="EI31" s="41">
        <f t="shared" si="46"/>
        <v>0</v>
      </c>
      <c r="EJ31" s="41"/>
      <c r="EK31" s="75">
        <f t="shared" si="47"/>
        <v>0</v>
      </c>
      <c r="EL31" s="75">
        <f t="shared" si="48"/>
        <v>0</v>
      </c>
      <c r="EM31" s="75">
        <f t="shared" si="49"/>
        <v>0</v>
      </c>
      <c r="EN31" s="41">
        <f t="shared" si="50"/>
        <v>0</v>
      </c>
      <c r="EP31" s="40"/>
    </row>
    <row r="32" spans="1:146" x14ac:dyDescent="0.25">
      <c r="A32" s="25">
        <f t="shared" si="51"/>
        <v>44491</v>
      </c>
      <c r="B32" s="40">
        <v>0</v>
      </c>
      <c r="D32" s="40">
        <f t="shared" si="0"/>
        <v>0</v>
      </c>
      <c r="G32" s="40">
        <f t="shared" si="1"/>
        <v>0</v>
      </c>
      <c r="J32" s="40">
        <f t="shared" si="2"/>
        <v>0</v>
      </c>
      <c r="M32" s="40">
        <f t="shared" si="3"/>
        <v>0</v>
      </c>
      <c r="P32" s="40">
        <f t="shared" si="4"/>
        <v>0</v>
      </c>
      <c r="S32" s="40">
        <f t="shared" si="5"/>
        <v>0</v>
      </c>
      <c r="V32" s="40">
        <f t="shared" si="6"/>
        <v>0</v>
      </c>
      <c r="Y32" s="40">
        <f t="shared" si="7"/>
        <v>0</v>
      </c>
      <c r="AB32" s="40">
        <f t="shared" si="8"/>
        <v>0</v>
      </c>
      <c r="AE32" s="40">
        <v>0</v>
      </c>
      <c r="AH32" s="40">
        <v>0</v>
      </c>
      <c r="AI32" s="73"/>
      <c r="AJ32" s="74"/>
      <c r="AK32" s="40">
        <f t="shared" si="9"/>
        <v>0</v>
      </c>
      <c r="AL32" s="73"/>
      <c r="AM32" s="74"/>
      <c r="AN32" s="40">
        <f t="shared" si="10"/>
        <v>0</v>
      </c>
      <c r="AO32" s="73"/>
      <c r="AP32" s="74"/>
      <c r="AQ32" s="40">
        <f t="shared" si="11"/>
        <v>0</v>
      </c>
      <c r="AR32" s="73"/>
      <c r="AS32" s="74"/>
      <c r="AT32" s="40">
        <f t="shared" si="12"/>
        <v>0</v>
      </c>
      <c r="AW32" s="40">
        <f t="shared" si="13"/>
        <v>0</v>
      </c>
      <c r="AZ32" s="40">
        <f t="shared" si="14"/>
        <v>0</v>
      </c>
      <c r="BC32" s="40">
        <f t="shared" si="15"/>
        <v>0</v>
      </c>
      <c r="BF32" s="40">
        <f t="shared" si="16"/>
        <v>0</v>
      </c>
      <c r="BI32" s="40">
        <f t="shared" si="17"/>
        <v>0</v>
      </c>
      <c r="BL32" s="40">
        <f t="shared" si="18"/>
        <v>0</v>
      </c>
      <c r="BO32" s="40">
        <f t="shared" si="19"/>
        <v>0</v>
      </c>
      <c r="BR32" s="40">
        <f t="shared" si="20"/>
        <v>0</v>
      </c>
      <c r="BU32" s="40">
        <f t="shared" si="21"/>
        <v>0</v>
      </c>
      <c r="BX32" s="40">
        <f t="shared" si="22"/>
        <v>0</v>
      </c>
      <c r="CA32" s="40">
        <f t="shared" si="23"/>
        <v>0</v>
      </c>
      <c r="CD32" s="40">
        <f t="shared" si="24"/>
        <v>0</v>
      </c>
      <c r="CG32" s="40">
        <f t="shared" si="25"/>
        <v>0</v>
      </c>
      <c r="CJ32" s="40">
        <f t="shared" si="26"/>
        <v>0</v>
      </c>
      <c r="CM32" s="40">
        <f t="shared" si="27"/>
        <v>0</v>
      </c>
      <c r="CP32" s="40">
        <f t="shared" si="28"/>
        <v>0</v>
      </c>
      <c r="CS32" s="40">
        <f t="shared" si="29"/>
        <v>0</v>
      </c>
      <c r="CV32" s="40">
        <f t="shared" si="30"/>
        <v>0</v>
      </c>
      <c r="CY32" s="40">
        <f t="shared" si="31"/>
        <v>0</v>
      </c>
      <c r="DB32" s="40">
        <f t="shared" si="32"/>
        <v>0</v>
      </c>
      <c r="DE32" s="40">
        <f t="shared" si="33"/>
        <v>0</v>
      </c>
      <c r="DH32" s="40">
        <f t="shared" si="34"/>
        <v>0</v>
      </c>
      <c r="DK32" s="40">
        <f t="shared" si="35"/>
        <v>0</v>
      </c>
      <c r="DN32" s="40">
        <f t="shared" si="36"/>
        <v>0</v>
      </c>
      <c r="DQ32" s="40">
        <f t="shared" si="37"/>
        <v>0</v>
      </c>
      <c r="DT32" s="40">
        <f t="shared" si="38"/>
        <v>0</v>
      </c>
      <c r="DW32" s="40">
        <f t="shared" si="39"/>
        <v>0</v>
      </c>
      <c r="DZ32" s="40"/>
      <c r="EA32" s="40"/>
      <c r="EB32" s="75">
        <f t="shared" si="40"/>
        <v>0</v>
      </c>
      <c r="EC32" s="75">
        <f t="shared" si="41"/>
        <v>0</v>
      </c>
      <c r="ED32" s="40">
        <f t="shared" si="42"/>
        <v>0</v>
      </c>
      <c r="EE32" s="41">
        <f t="shared" si="43"/>
        <v>0</v>
      </c>
      <c r="EG32" s="75">
        <f t="shared" si="44"/>
        <v>0</v>
      </c>
      <c r="EH32" s="40">
        <f t="shared" si="45"/>
        <v>0</v>
      </c>
      <c r="EI32" s="41">
        <f t="shared" si="46"/>
        <v>0</v>
      </c>
      <c r="EJ32" s="41"/>
      <c r="EK32" s="75">
        <f t="shared" si="47"/>
        <v>0</v>
      </c>
      <c r="EL32" s="75">
        <f t="shared" si="48"/>
        <v>0</v>
      </c>
      <c r="EM32" s="75">
        <f t="shared" si="49"/>
        <v>0</v>
      </c>
      <c r="EN32" s="41">
        <f t="shared" si="50"/>
        <v>0</v>
      </c>
      <c r="EP32" s="40"/>
    </row>
    <row r="33" spans="1:146" x14ac:dyDescent="0.25">
      <c r="A33" s="25">
        <f t="shared" si="51"/>
        <v>44492</v>
      </c>
      <c r="B33" s="40">
        <v>0</v>
      </c>
      <c r="D33" s="40">
        <f t="shared" si="0"/>
        <v>0</v>
      </c>
      <c r="G33" s="40">
        <f t="shared" si="1"/>
        <v>0</v>
      </c>
      <c r="J33" s="40">
        <f t="shared" si="2"/>
        <v>0</v>
      </c>
      <c r="M33" s="40">
        <f t="shared" si="3"/>
        <v>0</v>
      </c>
      <c r="P33" s="40">
        <f t="shared" si="4"/>
        <v>0</v>
      </c>
      <c r="S33" s="40">
        <f t="shared" si="5"/>
        <v>0</v>
      </c>
      <c r="V33" s="40">
        <f t="shared" si="6"/>
        <v>0</v>
      </c>
      <c r="Y33" s="40">
        <f t="shared" si="7"/>
        <v>0</v>
      </c>
      <c r="AB33" s="40">
        <f t="shared" si="8"/>
        <v>0</v>
      </c>
      <c r="AE33" s="40">
        <v>0</v>
      </c>
      <c r="AH33" s="40">
        <v>0</v>
      </c>
      <c r="AI33" s="73"/>
      <c r="AJ33" s="74"/>
      <c r="AK33" s="40">
        <f t="shared" si="9"/>
        <v>0</v>
      </c>
      <c r="AL33" s="73"/>
      <c r="AM33" s="74"/>
      <c r="AN33" s="40">
        <f t="shared" si="10"/>
        <v>0</v>
      </c>
      <c r="AO33" s="73"/>
      <c r="AP33" s="74"/>
      <c r="AQ33" s="40">
        <f t="shared" si="11"/>
        <v>0</v>
      </c>
      <c r="AR33" s="73"/>
      <c r="AS33" s="74"/>
      <c r="AT33" s="40">
        <f t="shared" si="12"/>
        <v>0</v>
      </c>
      <c r="AW33" s="40">
        <f t="shared" si="13"/>
        <v>0</v>
      </c>
      <c r="AZ33" s="40">
        <f t="shared" si="14"/>
        <v>0</v>
      </c>
      <c r="BC33" s="40">
        <f t="shared" si="15"/>
        <v>0</v>
      </c>
      <c r="BF33" s="40">
        <f t="shared" si="16"/>
        <v>0</v>
      </c>
      <c r="BI33" s="40">
        <f t="shared" si="17"/>
        <v>0</v>
      </c>
      <c r="BL33" s="40">
        <f t="shared" si="18"/>
        <v>0</v>
      </c>
      <c r="BO33" s="40">
        <f t="shared" si="19"/>
        <v>0</v>
      </c>
      <c r="BR33" s="40">
        <f t="shared" si="20"/>
        <v>0</v>
      </c>
      <c r="BU33" s="40">
        <f t="shared" si="21"/>
        <v>0</v>
      </c>
      <c r="BX33" s="40">
        <f t="shared" si="22"/>
        <v>0</v>
      </c>
      <c r="CA33" s="40">
        <f t="shared" si="23"/>
        <v>0</v>
      </c>
      <c r="CD33" s="40">
        <f t="shared" si="24"/>
        <v>0</v>
      </c>
      <c r="CG33" s="40">
        <f t="shared" si="25"/>
        <v>0</v>
      </c>
      <c r="CJ33" s="40">
        <f t="shared" si="26"/>
        <v>0</v>
      </c>
      <c r="CM33" s="40">
        <f t="shared" si="27"/>
        <v>0</v>
      </c>
      <c r="CP33" s="40">
        <f t="shared" si="28"/>
        <v>0</v>
      </c>
      <c r="CS33" s="40">
        <f t="shared" si="29"/>
        <v>0</v>
      </c>
      <c r="CV33" s="40">
        <f t="shared" si="30"/>
        <v>0</v>
      </c>
      <c r="CY33" s="40">
        <f t="shared" si="31"/>
        <v>0</v>
      </c>
      <c r="DB33" s="40">
        <f t="shared" si="32"/>
        <v>0</v>
      </c>
      <c r="DE33" s="40">
        <f t="shared" si="33"/>
        <v>0</v>
      </c>
      <c r="DH33" s="40">
        <f t="shared" si="34"/>
        <v>0</v>
      </c>
      <c r="DK33" s="40">
        <f t="shared" si="35"/>
        <v>0</v>
      </c>
      <c r="DN33" s="40">
        <f t="shared" si="36"/>
        <v>0</v>
      </c>
      <c r="DQ33" s="40">
        <f t="shared" si="37"/>
        <v>0</v>
      </c>
      <c r="DT33" s="40">
        <f t="shared" si="38"/>
        <v>0</v>
      </c>
      <c r="DW33" s="40">
        <f t="shared" si="39"/>
        <v>0</v>
      </c>
      <c r="DZ33" s="40"/>
      <c r="EA33" s="40"/>
      <c r="EB33" s="75">
        <f t="shared" si="40"/>
        <v>0</v>
      </c>
      <c r="EC33" s="75">
        <f t="shared" si="41"/>
        <v>0</v>
      </c>
      <c r="ED33" s="40">
        <f t="shared" si="42"/>
        <v>0</v>
      </c>
      <c r="EE33" s="41">
        <f t="shared" si="43"/>
        <v>0</v>
      </c>
      <c r="EG33" s="75">
        <f t="shared" si="44"/>
        <v>0</v>
      </c>
      <c r="EH33" s="40">
        <f t="shared" si="45"/>
        <v>0</v>
      </c>
      <c r="EI33" s="41">
        <f t="shared" si="46"/>
        <v>0</v>
      </c>
      <c r="EJ33" s="41"/>
      <c r="EK33" s="75">
        <f t="shared" si="47"/>
        <v>0</v>
      </c>
      <c r="EL33" s="75">
        <f t="shared" si="48"/>
        <v>0</v>
      </c>
      <c r="EM33" s="75">
        <f t="shared" si="49"/>
        <v>0</v>
      </c>
      <c r="EN33" s="41">
        <f t="shared" si="50"/>
        <v>0</v>
      </c>
      <c r="EP33" s="40"/>
    </row>
    <row r="34" spans="1:146" x14ac:dyDescent="0.25">
      <c r="A34" s="25">
        <f t="shared" si="51"/>
        <v>44493</v>
      </c>
      <c r="B34" s="40">
        <v>0</v>
      </c>
      <c r="D34" s="40">
        <f t="shared" si="0"/>
        <v>0</v>
      </c>
      <c r="G34" s="40">
        <f t="shared" si="1"/>
        <v>0</v>
      </c>
      <c r="J34" s="40">
        <f t="shared" si="2"/>
        <v>0</v>
      </c>
      <c r="M34" s="40">
        <f t="shared" si="3"/>
        <v>0</v>
      </c>
      <c r="P34" s="40">
        <f t="shared" si="4"/>
        <v>0</v>
      </c>
      <c r="S34" s="40">
        <f t="shared" si="5"/>
        <v>0</v>
      </c>
      <c r="V34" s="40">
        <f t="shared" si="6"/>
        <v>0</v>
      </c>
      <c r="Y34" s="40">
        <f t="shared" si="7"/>
        <v>0</v>
      </c>
      <c r="AB34" s="40">
        <f t="shared" si="8"/>
        <v>0</v>
      </c>
      <c r="AE34" s="40">
        <v>0</v>
      </c>
      <c r="AH34" s="40">
        <v>0</v>
      </c>
      <c r="AI34" s="73"/>
      <c r="AJ34" s="74"/>
      <c r="AK34" s="40">
        <f t="shared" si="9"/>
        <v>0</v>
      </c>
      <c r="AL34" s="73"/>
      <c r="AM34" s="74"/>
      <c r="AN34" s="40">
        <f t="shared" si="10"/>
        <v>0</v>
      </c>
      <c r="AO34" s="73"/>
      <c r="AP34" s="74"/>
      <c r="AQ34" s="40">
        <f t="shared" si="11"/>
        <v>0</v>
      </c>
      <c r="AR34" s="73"/>
      <c r="AS34" s="74"/>
      <c r="AT34" s="40">
        <f t="shared" si="12"/>
        <v>0</v>
      </c>
      <c r="AW34" s="40">
        <f t="shared" si="13"/>
        <v>0</v>
      </c>
      <c r="AZ34" s="40">
        <f t="shared" si="14"/>
        <v>0</v>
      </c>
      <c r="BC34" s="40">
        <f t="shared" si="15"/>
        <v>0</v>
      </c>
      <c r="BF34" s="40">
        <f t="shared" si="16"/>
        <v>0</v>
      </c>
      <c r="BI34" s="40">
        <f t="shared" si="17"/>
        <v>0</v>
      </c>
      <c r="BL34" s="40">
        <f t="shared" si="18"/>
        <v>0</v>
      </c>
      <c r="BO34" s="40">
        <f t="shared" si="19"/>
        <v>0</v>
      </c>
      <c r="BR34" s="40">
        <f t="shared" si="20"/>
        <v>0</v>
      </c>
      <c r="BU34" s="40">
        <f t="shared" si="21"/>
        <v>0</v>
      </c>
      <c r="BX34" s="40">
        <f t="shared" si="22"/>
        <v>0</v>
      </c>
      <c r="CA34" s="40">
        <f t="shared" si="23"/>
        <v>0</v>
      </c>
      <c r="CD34" s="40">
        <f t="shared" si="24"/>
        <v>0</v>
      </c>
      <c r="CG34" s="40">
        <f t="shared" si="25"/>
        <v>0</v>
      </c>
      <c r="CJ34" s="40">
        <f t="shared" si="26"/>
        <v>0</v>
      </c>
      <c r="CM34" s="40">
        <f t="shared" si="27"/>
        <v>0</v>
      </c>
      <c r="CP34" s="40">
        <f t="shared" si="28"/>
        <v>0</v>
      </c>
      <c r="CS34" s="40">
        <f t="shared" si="29"/>
        <v>0</v>
      </c>
      <c r="CV34" s="40">
        <f t="shared" si="30"/>
        <v>0</v>
      </c>
      <c r="CY34" s="40">
        <f t="shared" si="31"/>
        <v>0</v>
      </c>
      <c r="DB34" s="40">
        <f t="shared" si="32"/>
        <v>0</v>
      </c>
      <c r="DE34" s="40">
        <f t="shared" si="33"/>
        <v>0</v>
      </c>
      <c r="DH34" s="40">
        <f t="shared" si="34"/>
        <v>0</v>
      </c>
      <c r="DK34" s="40">
        <f t="shared" si="35"/>
        <v>0</v>
      </c>
      <c r="DN34" s="40">
        <f t="shared" si="36"/>
        <v>0</v>
      </c>
      <c r="DQ34" s="40">
        <f t="shared" si="37"/>
        <v>0</v>
      </c>
      <c r="DT34" s="40">
        <f t="shared" si="38"/>
        <v>0</v>
      </c>
      <c r="DW34" s="40">
        <f t="shared" si="39"/>
        <v>0</v>
      </c>
      <c r="DZ34" s="40"/>
      <c r="EA34" s="40"/>
      <c r="EB34" s="75">
        <f t="shared" si="40"/>
        <v>0</v>
      </c>
      <c r="EC34" s="75">
        <f t="shared" si="41"/>
        <v>0</v>
      </c>
      <c r="ED34" s="40">
        <f t="shared" si="42"/>
        <v>0</v>
      </c>
      <c r="EE34" s="41">
        <f t="shared" si="43"/>
        <v>0</v>
      </c>
      <c r="EG34" s="75">
        <f t="shared" si="44"/>
        <v>0</v>
      </c>
      <c r="EH34" s="40">
        <f t="shared" si="45"/>
        <v>0</v>
      </c>
      <c r="EI34" s="41">
        <f t="shared" si="46"/>
        <v>0</v>
      </c>
      <c r="EJ34" s="41"/>
      <c r="EK34" s="75">
        <f t="shared" si="47"/>
        <v>0</v>
      </c>
      <c r="EL34" s="75">
        <f t="shared" si="48"/>
        <v>0</v>
      </c>
      <c r="EM34" s="75">
        <f t="shared" si="49"/>
        <v>0</v>
      </c>
      <c r="EN34" s="41">
        <f t="shared" si="50"/>
        <v>0</v>
      </c>
      <c r="EP34" s="40"/>
    </row>
    <row r="35" spans="1:146" x14ac:dyDescent="0.25">
      <c r="A35" s="25">
        <f t="shared" si="51"/>
        <v>44494</v>
      </c>
      <c r="B35" s="40">
        <v>0</v>
      </c>
      <c r="D35" s="40">
        <f t="shared" si="0"/>
        <v>0</v>
      </c>
      <c r="G35" s="40">
        <f t="shared" si="1"/>
        <v>0</v>
      </c>
      <c r="J35" s="40">
        <f t="shared" si="2"/>
        <v>0</v>
      </c>
      <c r="M35" s="40">
        <f t="shared" si="3"/>
        <v>0</v>
      </c>
      <c r="P35" s="40">
        <f t="shared" si="4"/>
        <v>0</v>
      </c>
      <c r="S35" s="40">
        <f t="shared" si="5"/>
        <v>0</v>
      </c>
      <c r="V35" s="40">
        <f t="shared" si="6"/>
        <v>0</v>
      </c>
      <c r="Y35" s="40">
        <f t="shared" si="7"/>
        <v>0</v>
      </c>
      <c r="AB35" s="40">
        <f t="shared" si="8"/>
        <v>0</v>
      </c>
      <c r="AE35" s="40">
        <v>0</v>
      </c>
      <c r="AH35" s="40">
        <v>0</v>
      </c>
      <c r="AI35" s="73"/>
      <c r="AJ35" s="74"/>
      <c r="AK35" s="40">
        <f t="shared" si="9"/>
        <v>0</v>
      </c>
      <c r="AL35" s="73"/>
      <c r="AM35" s="74"/>
      <c r="AN35" s="40">
        <f t="shared" si="10"/>
        <v>0</v>
      </c>
      <c r="AO35" s="73"/>
      <c r="AP35" s="74"/>
      <c r="AQ35" s="40">
        <f t="shared" si="11"/>
        <v>0</v>
      </c>
      <c r="AR35" s="73"/>
      <c r="AS35" s="74"/>
      <c r="AT35" s="40">
        <f t="shared" si="12"/>
        <v>0</v>
      </c>
      <c r="AW35" s="40">
        <f t="shared" si="13"/>
        <v>0</v>
      </c>
      <c r="AZ35" s="40">
        <f t="shared" si="14"/>
        <v>0</v>
      </c>
      <c r="BC35" s="40">
        <f t="shared" si="15"/>
        <v>0</v>
      </c>
      <c r="BF35" s="40">
        <f t="shared" si="16"/>
        <v>0</v>
      </c>
      <c r="BI35" s="40">
        <f t="shared" si="17"/>
        <v>0</v>
      </c>
      <c r="BL35" s="40">
        <f t="shared" si="18"/>
        <v>0</v>
      </c>
      <c r="BO35" s="40">
        <f t="shared" si="19"/>
        <v>0</v>
      </c>
      <c r="BR35" s="40">
        <f t="shared" si="20"/>
        <v>0</v>
      </c>
      <c r="BU35" s="40">
        <f t="shared" si="21"/>
        <v>0</v>
      </c>
      <c r="BX35" s="40">
        <f t="shared" si="22"/>
        <v>0</v>
      </c>
      <c r="CA35" s="40">
        <f t="shared" si="23"/>
        <v>0</v>
      </c>
      <c r="CD35" s="40">
        <f t="shared" si="24"/>
        <v>0</v>
      </c>
      <c r="CG35" s="40">
        <f t="shared" si="25"/>
        <v>0</v>
      </c>
      <c r="CJ35" s="40">
        <f t="shared" si="26"/>
        <v>0</v>
      </c>
      <c r="CM35" s="40">
        <f t="shared" si="27"/>
        <v>0</v>
      </c>
      <c r="CP35" s="40">
        <f t="shared" si="28"/>
        <v>0</v>
      </c>
      <c r="CS35" s="40">
        <f t="shared" si="29"/>
        <v>0</v>
      </c>
      <c r="CV35" s="40">
        <f t="shared" si="30"/>
        <v>0</v>
      </c>
      <c r="CY35" s="40">
        <f t="shared" si="31"/>
        <v>0</v>
      </c>
      <c r="DB35" s="40">
        <f t="shared" si="32"/>
        <v>0</v>
      </c>
      <c r="DE35" s="40">
        <f t="shared" si="33"/>
        <v>0</v>
      </c>
      <c r="DH35" s="40">
        <f t="shared" si="34"/>
        <v>0</v>
      </c>
      <c r="DK35" s="40">
        <f t="shared" si="35"/>
        <v>0</v>
      </c>
      <c r="DN35" s="40">
        <f t="shared" si="36"/>
        <v>0</v>
      </c>
      <c r="DQ35" s="40">
        <f t="shared" si="37"/>
        <v>0</v>
      </c>
      <c r="DT35" s="40">
        <f t="shared" si="38"/>
        <v>0</v>
      </c>
      <c r="DW35" s="40">
        <f t="shared" si="39"/>
        <v>0</v>
      </c>
      <c r="DZ35" s="40"/>
      <c r="EA35" s="40"/>
      <c r="EB35" s="75">
        <f t="shared" si="40"/>
        <v>0</v>
      </c>
      <c r="EC35" s="75">
        <f t="shared" si="41"/>
        <v>0</v>
      </c>
      <c r="ED35" s="40">
        <f t="shared" si="42"/>
        <v>0</v>
      </c>
      <c r="EE35" s="41">
        <f t="shared" si="43"/>
        <v>0</v>
      </c>
      <c r="EG35" s="75">
        <f t="shared" si="44"/>
        <v>0</v>
      </c>
      <c r="EH35" s="40">
        <f t="shared" si="45"/>
        <v>0</v>
      </c>
      <c r="EI35" s="41">
        <f t="shared" si="46"/>
        <v>0</v>
      </c>
      <c r="EJ35" s="41"/>
      <c r="EK35" s="75">
        <f t="shared" si="47"/>
        <v>0</v>
      </c>
      <c r="EL35" s="75">
        <f t="shared" si="48"/>
        <v>0</v>
      </c>
      <c r="EM35" s="75">
        <f t="shared" si="49"/>
        <v>0</v>
      </c>
      <c r="EN35" s="41">
        <f t="shared" si="50"/>
        <v>0</v>
      </c>
      <c r="EP35" s="40"/>
    </row>
    <row r="36" spans="1:146" x14ac:dyDescent="0.25">
      <c r="A36" s="25">
        <f t="shared" si="51"/>
        <v>44495</v>
      </c>
      <c r="B36" s="40">
        <v>0</v>
      </c>
      <c r="D36" s="40">
        <f t="shared" si="0"/>
        <v>0</v>
      </c>
      <c r="G36" s="40">
        <f t="shared" si="1"/>
        <v>0</v>
      </c>
      <c r="J36" s="40">
        <f t="shared" si="2"/>
        <v>0</v>
      </c>
      <c r="M36" s="40">
        <f t="shared" si="3"/>
        <v>0</v>
      </c>
      <c r="P36" s="40">
        <f t="shared" si="4"/>
        <v>0</v>
      </c>
      <c r="S36" s="40">
        <f t="shared" si="5"/>
        <v>0</v>
      </c>
      <c r="V36" s="40">
        <f t="shared" si="6"/>
        <v>0</v>
      </c>
      <c r="Y36" s="40">
        <f t="shared" si="7"/>
        <v>0</v>
      </c>
      <c r="AB36" s="40">
        <f t="shared" si="8"/>
        <v>0</v>
      </c>
      <c r="AE36" s="40">
        <v>0</v>
      </c>
      <c r="AH36" s="40">
        <v>0</v>
      </c>
      <c r="AI36" s="73"/>
      <c r="AJ36" s="74"/>
      <c r="AK36" s="40">
        <f t="shared" si="9"/>
        <v>0</v>
      </c>
      <c r="AL36" s="73"/>
      <c r="AM36" s="74"/>
      <c r="AN36" s="40">
        <f t="shared" si="10"/>
        <v>0</v>
      </c>
      <c r="AO36" s="73"/>
      <c r="AP36" s="74"/>
      <c r="AQ36" s="40">
        <f t="shared" si="11"/>
        <v>0</v>
      </c>
      <c r="AR36" s="73"/>
      <c r="AS36" s="74"/>
      <c r="AT36" s="40">
        <f t="shared" si="12"/>
        <v>0</v>
      </c>
      <c r="AW36" s="40">
        <f t="shared" si="13"/>
        <v>0</v>
      </c>
      <c r="AZ36" s="40">
        <f t="shared" si="14"/>
        <v>0</v>
      </c>
      <c r="BC36" s="40">
        <f t="shared" si="15"/>
        <v>0</v>
      </c>
      <c r="BF36" s="40">
        <f t="shared" si="16"/>
        <v>0</v>
      </c>
      <c r="BI36" s="40">
        <f t="shared" si="17"/>
        <v>0</v>
      </c>
      <c r="BL36" s="40">
        <f t="shared" si="18"/>
        <v>0</v>
      </c>
      <c r="BO36" s="40">
        <f t="shared" si="19"/>
        <v>0</v>
      </c>
      <c r="BR36" s="40">
        <f t="shared" si="20"/>
        <v>0</v>
      </c>
      <c r="BU36" s="40">
        <f t="shared" si="21"/>
        <v>0</v>
      </c>
      <c r="BX36" s="40">
        <f t="shared" si="22"/>
        <v>0</v>
      </c>
      <c r="CA36" s="40">
        <f t="shared" si="23"/>
        <v>0</v>
      </c>
      <c r="CD36" s="40">
        <f t="shared" si="24"/>
        <v>0</v>
      </c>
      <c r="CG36" s="40">
        <f t="shared" si="25"/>
        <v>0</v>
      </c>
      <c r="CJ36" s="40">
        <f t="shared" si="26"/>
        <v>0</v>
      </c>
      <c r="CM36" s="40">
        <f t="shared" si="27"/>
        <v>0</v>
      </c>
      <c r="CP36" s="40">
        <f t="shared" si="28"/>
        <v>0</v>
      </c>
      <c r="CS36" s="40">
        <f t="shared" si="29"/>
        <v>0</v>
      </c>
      <c r="CV36" s="40">
        <f t="shared" si="30"/>
        <v>0</v>
      </c>
      <c r="CY36" s="40">
        <f t="shared" si="31"/>
        <v>0</v>
      </c>
      <c r="DB36" s="40">
        <f t="shared" si="32"/>
        <v>0</v>
      </c>
      <c r="DE36" s="40">
        <f t="shared" si="33"/>
        <v>0</v>
      </c>
      <c r="DH36" s="40">
        <f t="shared" si="34"/>
        <v>0</v>
      </c>
      <c r="DK36" s="40">
        <f t="shared" si="35"/>
        <v>0</v>
      </c>
      <c r="DN36" s="40">
        <f t="shared" si="36"/>
        <v>0</v>
      </c>
      <c r="DQ36" s="40">
        <f t="shared" si="37"/>
        <v>0</v>
      </c>
      <c r="DT36" s="40">
        <f t="shared" si="38"/>
        <v>0</v>
      </c>
      <c r="DW36" s="40">
        <f t="shared" si="39"/>
        <v>0</v>
      </c>
      <c r="DZ36" s="40"/>
      <c r="EA36" s="40"/>
      <c r="EB36" s="75">
        <f t="shared" si="40"/>
        <v>0</v>
      </c>
      <c r="EC36" s="75">
        <f t="shared" si="41"/>
        <v>0</v>
      </c>
      <c r="ED36" s="40">
        <f t="shared" si="42"/>
        <v>0</v>
      </c>
      <c r="EE36" s="41">
        <f t="shared" si="43"/>
        <v>0</v>
      </c>
      <c r="EG36" s="75">
        <f t="shared" si="44"/>
        <v>0</v>
      </c>
      <c r="EH36" s="40">
        <f t="shared" si="45"/>
        <v>0</v>
      </c>
      <c r="EI36" s="41">
        <f t="shared" si="46"/>
        <v>0</v>
      </c>
      <c r="EJ36" s="41"/>
      <c r="EK36" s="75">
        <f t="shared" si="47"/>
        <v>0</v>
      </c>
      <c r="EL36" s="75">
        <f t="shared" si="48"/>
        <v>0</v>
      </c>
      <c r="EM36" s="75">
        <f t="shared" si="49"/>
        <v>0</v>
      </c>
      <c r="EN36" s="41">
        <f t="shared" si="50"/>
        <v>0</v>
      </c>
      <c r="EP36" s="40"/>
    </row>
    <row r="37" spans="1:146" x14ac:dyDescent="0.25">
      <c r="A37" s="25">
        <f t="shared" si="51"/>
        <v>44496</v>
      </c>
      <c r="B37" s="40">
        <v>0</v>
      </c>
      <c r="D37" s="40">
        <f t="shared" si="0"/>
        <v>0</v>
      </c>
      <c r="G37" s="40">
        <f t="shared" si="1"/>
        <v>0</v>
      </c>
      <c r="J37" s="40">
        <f t="shared" si="2"/>
        <v>0</v>
      </c>
      <c r="M37" s="40">
        <f t="shared" si="3"/>
        <v>0</v>
      </c>
      <c r="P37" s="40">
        <f t="shared" si="4"/>
        <v>0</v>
      </c>
      <c r="S37" s="40">
        <f t="shared" si="5"/>
        <v>0</v>
      </c>
      <c r="V37" s="40">
        <f t="shared" si="6"/>
        <v>0</v>
      </c>
      <c r="Y37" s="40">
        <f t="shared" si="7"/>
        <v>0</v>
      </c>
      <c r="AB37" s="40">
        <f t="shared" si="8"/>
        <v>0</v>
      </c>
      <c r="AE37" s="40">
        <v>0</v>
      </c>
      <c r="AH37" s="40">
        <v>0</v>
      </c>
      <c r="AI37" s="73"/>
      <c r="AJ37" s="74"/>
      <c r="AK37" s="40">
        <f t="shared" si="9"/>
        <v>0</v>
      </c>
      <c r="AL37" s="73"/>
      <c r="AM37" s="74"/>
      <c r="AN37" s="40">
        <f t="shared" si="10"/>
        <v>0</v>
      </c>
      <c r="AO37" s="73"/>
      <c r="AP37" s="74"/>
      <c r="AQ37" s="40">
        <f t="shared" si="11"/>
        <v>0</v>
      </c>
      <c r="AR37" s="73"/>
      <c r="AS37" s="74"/>
      <c r="AT37" s="40">
        <f t="shared" si="12"/>
        <v>0</v>
      </c>
      <c r="AW37" s="40">
        <f t="shared" si="13"/>
        <v>0</v>
      </c>
      <c r="AZ37" s="40">
        <f t="shared" si="14"/>
        <v>0</v>
      </c>
      <c r="BC37" s="40">
        <f t="shared" si="15"/>
        <v>0</v>
      </c>
      <c r="BF37" s="40">
        <f t="shared" si="16"/>
        <v>0</v>
      </c>
      <c r="BI37" s="40">
        <f t="shared" si="17"/>
        <v>0</v>
      </c>
      <c r="BL37" s="40">
        <f t="shared" si="18"/>
        <v>0</v>
      </c>
      <c r="BO37" s="40">
        <f t="shared" si="19"/>
        <v>0</v>
      </c>
      <c r="BR37" s="40">
        <f t="shared" si="20"/>
        <v>0</v>
      </c>
      <c r="BU37" s="40">
        <f t="shared" si="21"/>
        <v>0</v>
      </c>
      <c r="BX37" s="40">
        <f t="shared" si="22"/>
        <v>0</v>
      </c>
      <c r="CA37" s="40">
        <f t="shared" si="23"/>
        <v>0</v>
      </c>
      <c r="CD37" s="40">
        <f t="shared" si="24"/>
        <v>0</v>
      </c>
      <c r="CG37" s="40">
        <f t="shared" si="25"/>
        <v>0</v>
      </c>
      <c r="CJ37" s="40">
        <f t="shared" si="26"/>
        <v>0</v>
      </c>
      <c r="CM37" s="40">
        <f t="shared" si="27"/>
        <v>0</v>
      </c>
      <c r="CP37" s="40">
        <f t="shared" si="28"/>
        <v>0</v>
      </c>
      <c r="CS37" s="40">
        <f t="shared" si="29"/>
        <v>0</v>
      </c>
      <c r="CV37" s="40">
        <f t="shared" si="30"/>
        <v>0</v>
      </c>
      <c r="CY37" s="40">
        <f t="shared" si="31"/>
        <v>0</v>
      </c>
      <c r="DB37" s="40">
        <f t="shared" si="32"/>
        <v>0</v>
      </c>
      <c r="DE37" s="40">
        <f t="shared" si="33"/>
        <v>0</v>
      </c>
      <c r="DH37" s="40">
        <f t="shared" si="34"/>
        <v>0</v>
      </c>
      <c r="DK37" s="40">
        <f t="shared" si="35"/>
        <v>0</v>
      </c>
      <c r="DN37" s="40">
        <f t="shared" si="36"/>
        <v>0</v>
      </c>
      <c r="DQ37" s="40">
        <f t="shared" si="37"/>
        <v>0</v>
      </c>
      <c r="DT37" s="40">
        <f t="shared" si="38"/>
        <v>0</v>
      </c>
      <c r="DW37" s="40">
        <f t="shared" si="39"/>
        <v>0</v>
      </c>
      <c r="DZ37" s="40"/>
      <c r="EA37" s="40"/>
      <c r="EB37" s="75">
        <f t="shared" si="40"/>
        <v>0</v>
      </c>
      <c r="EC37" s="75">
        <f t="shared" si="41"/>
        <v>0</v>
      </c>
      <c r="ED37" s="40">
        <f t="shared" si="42"/>
        <v>0</v>
      </c>
      <c r="EE37" s="41">
        <f t="shared" si="43"/>
        <v>0</v>
      </c>
      <c r="EG37" s="75">
        <f t="shared" si="44"/>
        <v>0</v>
      </c>
      <c r="EH37" s="40">
        <f t="shared" si="45"/>
        <v>0</v>
      </c>
      <c r="EI37" s="41">
        <f t="shared" si="46"/>
        <v>0</v>
      </c>
      <c r="EJ37" s="41"/>
      <c r="EK37" s="75">
        <f t="shared" si="47"/>
        <v>0</v>
      </c>
      <c r="EL37" s="75">
        <f t="shared" si="48"/>
        <v>0</v>
      </c>
      <c r="EM37" s="75">
        <f t="shared" si="49"/>
        <v>0</v>
      </c>
      <c r="EN37" s="41">
        <f t="shared" si="50"/>
        <v>0</v>
      </c>
      <c r="EP37" s="40"/>
    </row>
    <row r="38" spans="1:146" x14ac:dyDescent="0.25">
      <c r="A38" s="25">
        <f t="shared" si="51"/>
        <v>44497</v>
      </c>
      <c r="B38" s="40">
        <v>0</v>
      </c>
      <c r="D38" s="40">
        <f t="shared" si="0"/>
        <v>0</v>
      </c>
      <c r="G38" s="40">
        <f t="shared" si="1"/>
        <v>0</v>
      </c>
      <c r="J38" s="40">
        <f t="shared" si="2"/>
        <v>0</v>
      </c>
      <c r="M38" s="40">
        <f t="shared" si="3"/>
        <v>0</v>
      </c>
      <c r="P38" s="40">
        <f t="shared" si="4"/>
        <v>0</v>
      </c>
      <c r="S38" s="40">
        <f t="shared" si="5"/>
        <v>0</v>
      </c>
      <c r="V38" s="40">
        <f t="shared" si="6"/>
        <v>0</v>
      </c>
      <c r="Y38" s="40">
        <f t="shared" si="7"/>
        <v>0</v>
      </c>
      <c r="AB38" s="40">
        <f t="shared" si="8"/>
        <v>0</v>
      </c>
      <c r="AE38" s="40">
        <v>0</v>
      </c>
      <c r="AH38" s="40">
        <v>0</v>
      </c>
      <c r="AI38" s="73"/>
      <c r="AJ38" s="74"/>
      <c r="AK38" s="40">
        <f t="shared" si="9"/>
        <v>0</v>
      </c>
      <c r="AL38" s="73"/>
      <c r="AM38" s="74"/>
      <c r="AN38" s="40">
        <f t="shared" si="10"/>
        <v>0</v>
      </c>
      <c r="AO38" s="73"/>
      <c r="AP38" s="74"/>
      <c r="AQ38" s="40">
        <f t="shared" si="11"/>
        <v>0</v>
      </c>
      <c r="AR38" s="73"/>
      <c r="AS38" s="74"/>
      <c r="AT38" s="40">
        <f t="shared" si="12"/>
        <v>0</v>
      </c>
      <c r="AW38" s="40">
        <f t="shared" si="13"/>
        <v>0</v>
      </c>
      <c r="AZ38" s="40">
        <f t="shared" si="14"/>
        <v>0</v>
      </c>
      <c r="BC38" s="40">
        <f t="shared" si="15"/>
        <v>0</v>
      </c>
      <c r="BF38" s="40">
        <f t="shared" si="16"/>
        <v>0</v>
      </c>
      <c r="BI38" s="40">
        <f t="shared" si="17"/>
        <v>0</v>
      </c>
      <c r="BL38" s="40">
        <f t="shared" si="18"/>
        <v>0</v>
      </c>
      <c r="BO38" s="40">
        <f t="shared" si="19"/>
        <v>0</v>
      </c>
      <c r="BR38" s="40">
        <f t="shared" si="20"/>
        <v>0</v>
      </c>
      <c r="BU38" s="40">
        <f t="shared" si="21"/>
        <v>0</v>
      </c>
      <c r="BX38" s="40">
        <f t="shared" si="22"/>
        <v>0</v>
      </c>
      <c r="CA38" s="40">
        <f t="shared" si="23"/>
        <v>0</v>
      </c>
      <c r="CD38" s="40">
        <f t="shared" si="24"/>
        <v>0</v>
      </c>
      <c r="CG38" s="40">
        <f t="shared" si="25"/>
        <v>0</v>
      </c>
      <c r="CJ38" s="40">
        <f t="shared" si="26"/>
        <v>0</v>
      </c>
      <c r="CM38" s="40">
        <f t="shared" si="27"/>
        <v>0</v>
      </c>
      <c r="CP38" s="40">
        <f t="shared" si="28"/>
        <v>0</v>
      </c>
      <c r="CS38" s="40">
        <f t="shared" si="29"/>
        <v>0</v>
      </c>
      <c r="CV38" s="40">
        <f t="shared" si="30"/>
        <v>0</v>
      </c>
      <c r="CY38" s="40">
        <f t="shared" si="31"/>
        <v>0</v>
      </c>
      <c r="DB38" s="40">
        <f t="shared" si="32"/>
        <v>0</v>
      </c>
      <c r="DE38" s="40">
        <f t="shared" si="33"/>
        <v>0</v>
      </c>
      <c r="DH38" s="40">
        <f t="shared" si="34"/>
        <v>0</v>
      </c>
      <c r="DK38" s="40">
        <f t="shared" si="35"/>
        <v>0</v>
      </c>
      <c r="DN38" s="40">
        <f t="shared" si="36"/>
        <v>0</v>
      </c>
      <c r="DQ38" s="40">
        <f t="shared" si="37"/>
        <v>0</v>
      </c>
      <c r="DT38" s="40">
        <f t="shared" si="38"/>
        <v>0</v>
      </c>
      <c r="DW38" s="40">
        <f t="shared" si="39"/>
        <v>0</v>
      </c>
      <c r="DZ38" s="40"/>
      <c r="EA38" s="40"/>
      <c r="EB38" s="75">
        <f t="shared" si="40"/>
        <v>0</v>
      </c>
      <c r="EC38" s="75">
        <f t="shared" si="41"/>
        <v>0</v>
      </c>
      <c r="ED38" s="40">
        <f t="shared" si="42"/>
        <v>0</v>
      </c>
      <c r="EE38" s="41">
        <f t="shared" si="43"/>
        <v>0</v>
      </c>
      <c r="EG38" s="75">
        <f t="shared" si="44"/>
        <v>0</v>
      </c>
      <c r="EH38" s="40">
        <f t="shared" si="45"/>
        <v>0</v>
      </c>
      <c r="EI38" s="41">
        <f t="shared" si="46"/>
        <v>0</v>
      </c>
      <c r="EJ38" s="41"/>
      <c r="EK38" s="75">
        <f t="shared" si="47"/>
        <v>0</v>
      </c>
      <c r="EL38" s="75">
        <f t="shared" si="48"/>
        <v>0</v>
      </c>
      <c r="EM38" s="75">
        <f t="shared" si="49"/>
        <v>0</v>
      </c>
      <c r="EN38" s="41">
        <f t="shared" si="50"/>
        <v>0</v>
      </c>
      <c r="EP38" s="40"/>
    </row>
    <row r="39" spans="1:146" x14ac:dyDescent="0.25">
      <c r="A39" s="25">
        <f t="shared" si="51"/>
        <v>44498</v>
      </c>
      <c r="B39" s="40">
        <v>0</v>
      </c>
      <c r="D39" s="40">
        <f t="shared" si="0"/>
        <v>0</v>
      </c>
      <c r="G39" s="40">
        <f t="shared" si="1"/>
        <v>0</v>
      </c>
      <c r="J39" s="40">
        <f t="shared" si="2"/>
        <v>0</v>
      </c>
      <c r="M39" s="40">
        <f t="shared" si="3"/>
        <v>0</v>
      </c>
      <c r="P39" s="40">
        <f t="shared" si="4"/>
        <v>0</v>
      </c>
      <c r="S39" s="40">
        <f t="shared" si="5"/>
        <v>0</v>
      </c>
      <c r="V39" s="40">
        <f t="shared" si="6"/>
        <v>0</v>
      </c>
      <c r="Y39" s="40">
        <f t="shared" si="7"/>
        <v>0</v>
      </c>
      <c r="AB39" s="40">
        <f t="shared" si="8"/>
        <v>0</v>
      </c>
      <c r="AE39" s="40">
        <v>0</v>
      </c>
      <c r="AH39" s="40">
        <v>0</v>
      </c>
      <c r="AI39" s="73">
        <v>6425000</v>
      </c>
      <c r="AJ39" s="74">
        <v>1.5E-3</v>
      </c>
      <c r="AK39" s="40">
        <f t="shared" si="9"/>
        <v>26.770833333333332</v>
      </c>
      <c r="AL39" s="73"/>
      <c r="AM39" s="74"/>
      <c r="AN39" s="40">
        <f t="shared" si="10"/>
        <v>0</v>
      </c>
      <c r="AO39" s="73"/>
      <c r="AP39" s="74"/>
      <c r="AQ39" s="40">
        <f t="shared" si="11"/>
        <v>0</v>
      </c>
      <c r="AR39" s="73"/>
      <c r="AS39" s="74"/>
      <c r="AT39" s="40">
        <f t="shared" si="12"/>
        <v>0</v>
      </c>
      <c r="AW39" s="40">
        <f t="shared" si="13"/>
        <v>0</v>
      </c>
      <c r="AZ39" s="40">
        <f t="shared" si="14"/>
        <v>0</v>
      </c>
      <c r="BC39" s="40">
        <f t="shared" si="15"/>
        <v>0</v>
      </c>
      <c r="BF39" s="40">
        <f t="shared" si="16"/>
        <v>0</v>
      </c>
      <c r="BI39" s="40">
        <f t="shared" si="17"/>
        <v>0</v>
      </c>
      <c r="BL39" s="40">
        <f t="shared" si="18"/>
        <v>0</v>
      </c>
      <c r="BO39" s="40">
        <f t="shared" si="19"/>
        <v>0</v>
      </c>
      <c r="BR39" s="40">
        <f t="shared" si="20"/>
        <v>0</v>
      </c>
      <c r="BU39" s="40">
        <f t="shared" si="21"/>
        <v>0</v>
      </c>
      <c r="BX39" s="40">
        <f t="shared" si="22"/>
        <v>0</v>
      </c>
      <c r="CA39" s="40">
        <f t="shared" si="23"/>
        <v>0</v>
      </c>
      <c r="CD39" s="40">
        <f t="shared" si="24"/>
        <v>0</v>
      </c>
      <c r="CG39" s="40">
        <f t="shared" si="25"/>
        <v>0</v>
      </c>
      <c r="CJ39" s="40">
        <f t="shared" si="26"/>
        <v>0</v>
      </c>
      <c r="CM39" s="40">
        <f t="shared" si="27"/>
        <v>0</v>
      </c>
      <c r="CP39" s="40">
        <f t="shared" si="28"/>
        <v>0</v>
      </c>
      <c r="CS39" s="40">
        <f t="shared" si="29"/>
        <v>0</v>
      </c>
      <c r="CV39" s="40">
        <f t="shared" si="30"/>
        <v>0</v>
      </c>
      <c r="CY39" s="40">
        <f t="shared" si="31"/>
        <v>0</v>
      </c>
      <c r="DB39" s="40">
        <f t="shared" si="32"/>
        <v>0</v>
      </c>
      <c r="DE39" s="40">
        <f t="shared" si="33"/>
        <v>0</v>
      </c>
      <c r="DH39" s="40">
        <f t="shared" si="34"/>
        <v>0</v>
      </c>
      <c r="DK39" s="40">
        <f t="shared" si="35"/>
        <v>0</v>
      </c>
      <c r="DN39" s="40">
        <f t="shared" si="36"/>
        <v>0</v>
      </c>
      <c r="DQ39" s="40">
        <f t="shared" si="37"/>
        <v>0</v>
      </c>
      <c r="DT39" s="40">
        <f t="shared" si="38"/>
        <v>0</v>
      </c>
      <c r="DW39" s="40">
        <f t="shared" si="39"/>
        <v>0</v>
      </c>
      <c r="DZ39" s="40"/>
      <c r="EA39" s="40"/>
      <c r="EB39" s="75">
        <f t="shared" si="40"/>
        <v>6425000</v>
      </c>
      <c r="EC39" s="75">
        <f t="shared" si="41"/>
        <v>0</v>
      </c>
      <c r="ED39" s="40">
        <f t="shared" si="42"/>
        <v>26.770833333333332</v>
      </c>
      <c r="EE39" s="41">
        <f t="shared" si="43"/>
        <v>1.5E-3</v>
      </c>
      <c r="EG39" s="75">
        <f t="shared" si="44"/>
        <v>0</v>
      </c>
      <c r="EH39" s="40">
        <f t="shared" si="45"/>
        <v>0</v>
      </c>
      <c r="EI39" s="41">
        <f t="shared" si="46"/>
        <v>0</v>
      </c>
      <c r="EJ39" s="41"/>
      <c r="EK39" s="75">
        <f t="shared" si="47"/>
        <v>6425000</v>
      </c>
      <c r="EL39" s="75">
        <f t="shared" si="48"/>
        <v>0</v>
      </c>
      <c r="EM39" s="75">
        <f t="shared" si="49"/>
        <v>26.770833333333332</v>
      </c>
      <c r="EN39" s="41">
        <f t="shared" si="50"/>
        <v>1.5E-3</v>
      </c>
      <c r="EP39" s="40"/>
    </row>
    <row r="40" spans="1:146" x14ac:dyDescent="0.25">
      <c r="A40" s="25">
        <f t="shared" si="51"/>
        <v>44499</v>
      </c>
      <c r="B40" s="40">
        <v>0</v>
      </c>
      <c r="D40" s="40">
        <f t="shared" si="0"/>
        <v>0</v>
      </c>
      <c r="G40" s="40">
        <f t="shared" si="1"/>
        <v>0</v>
      </c>
      <c r="J40" s="40">
        <f t="shared" si="2"/>
        <v>0</v>
      </c>
      <c r="M40" s="40">
        <f t="shared" si="3"/>
        <v>0</v>
      </c>
      <c r="P40" s="40">
        <f t="shared" si="4"/>
        <v>0</v>
      </c>
      <c r="S40" s="40">
        <f t="shared" si="5"/>
        <v>0</v>
      </c>
      <c r="V40" s="40">
        <f t="shared" si="6"/>
        <v>0</v>
      </c>
      <c r="Y40" s="40">
        <f t="shared" si="7"/>
        <v>0</v>
      </c>
      <c r="AB40" s="40">
        <f t="shared" si="8"/>
        <v>0</v>
      </c>
      <c r="AE40" s="40">
        <v>0</v>
      </c>
      <c r="AH40" s="40">
        <v>0</v>
      </c>
      <c r="AI40" s="73">
        <v>6425000</v>
      </c>
      <c r="AJ40" s="74">
        <v>1.5E-3</v>
      </c>
      <c r="AK40" s="40">
        <f t="shared" si="9"/>
        <v>26.770833333333332</v>
      </c>
      <c r="AL40" s="73"/>
      <c r="AM40" s="74"/>
      <c r="AN40" s="40">
        <f t="shared" si="10"/>
        <v>0</v>
      </c>
      <c r="AO40" s="73"/>
      <c r="AP40" s="74"/>
      <c r="AQ40" s="40">
        <f t="shared" si="11"/>
        <v>0</v>
      </c>
      <c r="AR40" s="73"/>
      <c r="AS40" s="74"/>
      <c r="AT40" s="40">
        <f t="shared" si="12"/>
        <v>0</v>
      </c>
      <c r="AW40" s="40">
        <f t="shared" si="13"/>
        <v>0</v>
      </c>
      <c r="AZ40" s="40">
        <f t="shared" si="14"/>
        <v>0</v>
      </c>
      <c r="BC40" s="40">
        <f t="shared" si="15"/>
        <v>0</v>
      </c>
      <c r="BF40" s="40">
        <f t="shared" si="16"/>
        <v>0</v>
      </c>
      <c r="BI40" s="40">
        <f t="shared" si="17"/>
        <v>0</v>
      </c>
      <c r="BL40" s="40">
        <f t="shared" si="18"/>
        <v>0</v>
      </c>
      <c r="BO40" s="40">
        <f t="shared" si="19"/>
        <v>0</v>
      </c>
      <c r="BR40" s="40">
        <f t="shared" si="20"/>
        <v>0</v>
      </c>
      <c r="BU40" s="40">
        <f t="shared" si="21"/>
        <v>0</v>
      </c>
      <c r="BX40" s="40">
        <f t="shared" si="22"/>
        <v>0</v>
      </c>
      <c r="CA40" s="40">
        <f t="shared" si="23"/>
        <v>0</v>
      </c>
      <c r="CD40" s="40">
        <f t="shared" si="24"/>
        <v>0</v>
      </c>
      <c r="CG40" s="40">
        <f t="shared" si="25"/>
        <v>0</v>
      </c>
      <c r="CJ40" s="40">
        <f t="shared" si="26"/>
        <v>0</v>
      </c>
      <c r="CM40" s="40">
        <f t="shared" si="27"/>
        <v>0</v>
      </c>
      <c r="CP40" s="40">
        <f t="shared" si="28"/>
        <v>0</v>
      </c>
      <c r="CS40" s="40">
        <f t="shared" si="29"/>
        <v>0</v>
      </c>
      <c r="CV40" s="40">
        <f t="shared" si="30"/>
        <v>0</v>
      </c>
      <c r="CY40" s="40">
        <f t="shared" si="31"/>
        <v>0</v>
      </c>
      <c r="DB40" s="40">
        <f t="shared" si="32"/>
        <v>0</v>
      </c>
      <c r="DE40" s="40">
        <f t="shared" si="33"/>
        <v>0</v>
      </c>
      <c r="DH40" s="40">
        <f t="shared" si="34"/>
        <v>0</v>
      </c>
      <c r="DK40" s="40">
        <f t="shared" si="35"/>
        <v>0</v>
      </c>
      <c r="DN40" s="40">
        <f t="shared" si="36"/>
        <v>0</v>
      </c>
      <c r="DQ40" s="40">
        <f t="shared" si="37"/>
        <v>0</v>
      </c>
      <c r="DT40" s="40">
        <f t="shared" si="38"/>
        <v>0</v>
      </c>
      <c r="DW40" s="40">
        <f t="shared" si="39"/>
        <v>0</v>
      </c>
      <c r="DZ40" s="38"/>
      <c r="EA40" s="40"/>
      <c r="EB40" s="75">
        <f t="shared" si="40"/>
        <v>6425000</v>
      </c>
      <c r="EC40" s="75">
        <f t="shared" si="41"/>
        <v>0</v>
      </c>
      <c r="ED40" s="40">
        <f t="shared" si="42"/>
        <v>26.770833333333332</v>
      </c>
      <c r="EE40" s="41">
        <f t="shared" si="43"/>
        <v>1.5E-3</v>
      </c>
      <c r="EG40" s="75">
        <f t="shared" si="44"/>
        <v>0</v>
      </c>
      <c r="EH40" s="40">
        <f t="shared" si="45"/>
        <v>0</v>
      </c>
      <c r="EI40" s="41">
        <f t="shared" si="46"/>
        <v>0</v>
      </c>
      <c r="EJ40" s="41"/>
      <c r="EK40" s="75">
        <f t="shared" si="47"/>
        <v>6425000</v>
      </c>
      <c r="EL40" s="75">
        <f t="shared" si="48"/>
        <v>0</v>
      </c>
      <c r="EM40" s="75">
        <f t="shared" si="49"/>
        <v>26.770833333333332</v>
      </c>
      <c r="EN40" s="41">
        <f t="shared" si="50"/>
        <v>1.5E-3</v>
      </c>
      <c r="EP40" s="40"/>
    </row>
    <row r="41" spans="1:146" x14ac:dyDescent="0.25">
      <c r="A41" s="25">
        <f t="shared" si="51"/>
        <v>44500</v>
      </c>
      <c r="B41" s="40">
        <v>0</v>
      </c>
      <c r="D41" s="40">
        <f t="shared" si="0"/>
        <v>0</v>
      </c>
      <c r="G41" s="40">
        <f t="shared" si="1"/>
        <v>0</v>
      </c>
      <c r="J41" s="40">
        <f t="shared" si="2"/>
        <v>0</v>
      </c>
      <c r="M41" s="40">
        <f t="shared" si="3"/>
        <v>0</v>
      </c>
      <c r="P41" s="40">
        <f t="shared" si="4"/>
        <v>0</v>
      </c>
      <c r="S41" s="40">
        <f t="shared" si="5"/>
        <v>0</v>
      </c>
      <c r="V41" s="40">
        <f t="shared" si="6"/>
        <v>0</v>
      </c>
      <c r="Y41" s="40">
        <f t="shared" si="7"/>
        <v>0</v>
      </c>
      <c r="AB41" s="40">
        <f t="shared" si="8"/>
        <v>0</v>
      </c>
      <c r="AE41" s="40">
        <v>0</v>
      </c>
      <c r="AH41" s="40">
        <v>0</v>
      </c>
      <c r="AI41" s="73">
        <v>6425000</v>
      </c>
      <c r="AJ41" s="74">
        <v>1.5E-3</v>
      </c>
      <c r="AK41" s="40">
        <f t="shared" si="9"/>
        <v>26.770833333333332</v>
      </c>
      <c r="AL41" s="73"/>
      <c r="AM41" s="74"/>
      <c r="AN41" s="40">
        <f t="shared" si="10"/>
        <v>0</v>
      </c>
      <c r="AO41" s="73"/>
      <c r="AP41" s="74"/>
      <c r="AQ41" s="40">
        <f t="shared" si="11"/>
        <v>0</v>
      </c>
      <c r="AR41" s="73"/>
      <c r="AS41" s="74"/>
      <c r="AT41" s="40">
        <f t="shared" si="12"/>
        <v>0</v>
      </c>
      <c r="AW41" s="40">
        <f t="shared" si="13"/>
        <v>0</v>
      </c>
      <c r="AZ41" s="40">
        <f t="shared" si="14"/>
        <v>0</v>
      </c>
      <c r="BC41" s="40">
        <f t="shared" si="15"/>
        <v>0</v>
      </c>
      <c r="BF41" s="40">
        <f t="shared" si="16"/>
        <v>0</v>
      </c>
      <c r="BI41" s="40">
        <f t="shared" si="17"/>
        <v>0</v>
      </c>
      <c r="BL41" s="40">
        <f t="shared" si="18"/>
        <v>0</v>
      </c>
      <c r="BO41" s="40">
        <f t="shared" si="19"/>
        <v>0</v>
      </c>
      <c r="BR41" s="40">
        <f t="shared" si="20"/>
        <v>0</v>
      </c>
      <c r="BU41" s="40">
        <f t="shared" si="21"/>
        <v>0</v>
      </c>
      <c r="BX41" s="40">
        <f t="shared" si="22"/>
        <v>0</v>
      </c>
      <c r="CA41" s="40">
        <f t="shared" si="23"/>
        <v>0</v>
      </c>
      <c r="CD41" s="40">
        <f t="shared" si="24"/>
        <v>0</v>
      </c>
      <c r="CG41" s="40">
        <f t="shared" si="25"/>
        <v>0</v>
      </c>
      <c r="CJ41" s="40">
        <f t="shared" si="26"/>
        <v>0</v>
      </c>
      <c r="CM41" s="40">
        <f t="shared" si="27"/>
        <v>0</v>
      </c>
      <c r="CP41" s="40">
        <f t="shared" si="28"/>
        <v>0</v>
      </c>
      <c r="CS41" s="40">
        <f t="shared" si="29"/>
        <v>0</v>
      </c>
      <c r="CV41" s="40">
        <f t="shared" si="30"/>
        <v>0</v>
      </c>
      <c r="CY41" s="40">
        <f t="shared" si="31"/>
        <v>0</v>
      </c>
      <c r="DB41" s="40">
        <f t="shared" si="32"/>
        <v>0</v>
      </c>
      <c r="DE41" s="40">
        <f t="shared" si="33"/>
        <v>0</v>
      </c>
      <c r="DH41" s="40">
        <f t="shared" si="34"/>
        <v>0</v>
      </c>
      <c r="DK41" s="40">
        <f t="shared" si="35"/>
        <v>0</v>
      </c>
      <c r="DN41" s="40">
        <f t="shared" si="36"/>
        <v>0</v>
      </c>
      <c r="DQ41" s="40">
        <f t="shared" si="37"/>
        <v>0</v>
      </c>
      <c r="DT41" s="40">
        <f t="shared" si="38"/>
        <v>0</v>
      </c>
      <c r="DW41" s="40">
        <f t="shared" si="39"/>
        <v>0</v>
      </c>
      <c r="DZ41" s="38"/>
      <c r="EA41" s="40"/>
      <c r="EB41" s="75">
        <f t="shared" si="40"/>
        <v>6425000</v>
      </c>
      <c r="EC41" s="75">
        <f t="shared" si="41"/>
        <v>0</v>
      </c>
      <c r="ED41" s="40">
        <f t="shared" si="42"/>
        <v>26.770833333333332</v>
      </c>
      <c r="EE41" s="41">
        <f t="shared" si="43"/>
        <v>1.5E-3</v>
      </c>
      <c r="EG41" s="75">
        <f t="shared" si="44"/>
        <v>0</v>
      </c>
      <c r="EH41" s="40">
        <f t="shared" si="45"/>
        <v>0</v>
      </c>
      <c r="EI41" s="41">
        <f t="shared" si="46"/>
        <v>0</v>
      </c>
      <c r="EJ41" s="41"/>
      <c r="EK41" s="75">
        <f t="shared" si="47"/>
        <v>6425000</v>
      </c>
      <c r="EL41" s="75">
        <f t="shared" si="48"/>
        <v>0</v>
      </c>
      <c r="EM41" s="75">
        <f t="shared" si="49"/>
        <v>26.770833333333332</v>
      </c>
      <c r="EN41" s="41">
        <f t="shared" si="50"/>
        <v>1.5E-3</v>
      </c>
      <c r="EP41" s="40"/>
    </row>
    <row r="42" spans="1:146" x14ac:dyDescent="0.25">
      <c r="A42" s="76" t="s">
        <v>75</v>
      </c>
      <c r="D42" s="77">
        <f>SUM(D11:D41)</f>
        <v>0</v>
      </c>
      <c r="G42" s="77">
        <f>SUM(G11:G41)</f>
        <v>0</v>
      </c>
      <c r="J42" s="77">
        <f>SUM(J11:J41)</f>
        <v>0</v>
      </c>
      <c r="M42" s="77">
        <f>SUM(M11:M41)</f>
        <v>0</v>
      </c>
      <c r="P42" s="77">
        <f>SUM(P11:P41)</f>
        <v>0</v>
      </c>
      <c r="S42" s="77">
        <f>SUM(S11:S41)</f>
        <v>0</v>
      </c>
      <c r="V42" s="77">
        <f>SUM(V11:V41)</f>
        <v>0</v>
      </c>
      <c r="Y42" s="77">
        <f>SUM(Y11:Y41)</f>
        <v>0</v>
      </c>
      <c r="AB42" s="77">
        <f>SUM(AB11:AB41)</f>
        <v>0</v>
      </c>
      <c r="AE42" s="77">
        <f>SUM(AE11:AE41)</f>
        <v>0</v>
      </c>
      <c r="AH42" s="77">
        <f>SUM(AH11:AH41)</f>
        <v>0</v>
      </c>
      <c r="AK42" s="77">
        <f>SUM(AK11:AK41)</f>
        <v>177.5</v>
      </c>
      <c r="AN42" s="77">
        <f>SUM(AN11:AN41)</f>
        <v>0</v>
      </c>
      <c r="AQ42" s="77">
        <f>SUM(AQ11:AQ41)</f>
        <v>0</v>
      </c>
      <c r="AT42" s="77">
        <f>SUM(AT11:AT41)</f>
        <v>0</v>
      </c>
      <c r="AW42" s="77">
        <f>SUM(AW11:AW41)</f>
        <v>0</v>
      </c>
      <c r="AZ42" s="77">
        <f>SUM(AZ11:AZ41)</f>
        <v>0</v>
      </c>
      <c r="BC42" s="77">
        <f>SUM(BC11:BC41)</f>
        <v>0</v>
      </c>
      <c r="BF42" s="77">
        <f>SUM(BF11:BF41)</f>
        <v>0</v>
      </c>
      <c r="BI42" s="77">
        <f>SUM(BI11:BI41)</f>
        <v>0</v>
      </c>
      <c r="BL42" s="77">
        <f>SUM(BL11:BL41)</f>
        <v>0</v>
      </c>
      <c r="BO42" s="77">
        <f>SUM(BO11:BO41)</f>
        <v>0</v>
      </c>
      <c r="BR42" s="77">
        <f>SUM(BR11:BR41)</f>
        <v>0</v>
      </c>
      <c r="BU42" s="77">
        <f>SUM(BU11:BU41)</f>
        <v>0</v>
      </c>
      <c r="BX42" s="77">
        <f>SUM(BX11:BX41)</f>
        <v>0</v>
      </c>
      <c r="CA42" s="77">
        <f>SUM(CA11:CA41)</f>
        <v>0</v>
      </c>
      <c r="CD42" s="77">
        <f>SUM(CD11:CD41)</f>
        <v>0</v>
      </c>
      <c r="CG42" s="77">
        <f>SUM(CG11:CG41)</f>
        <v>0</v>
      </c>
      <c r="CJ42" s="77">
        <f>SUM(CJ11:CJ41)</f>
        <v>0</v>
      </c>
      <c r="CM42" s="77">
        <f>SUM(CM11:CM41)</f>
        <v>0</v>
      </c>
      <c r="CP42" s="77">
        <f>SUM(CP11:CP41)</f>
        <v>0</v>
      </c>
      <c r="CS42" s="77">
        <f>SUM(CS11:CS41)</f>
        <v>0</v>
      </c>
      <c r="CV42" s="77">
        <f>SUM(CV11:CV41)</f>
        <v>0</v>
      </c>
      <c r="CY42" s="77">
        <f>SUM(CY11:CY41)</f>
        <v>0</v>
      </c>
      <c r="DB42" s="77">
        <f>SUM(DB11:DB41)</f>
        <v>0</v>
      </c>
      <c r="DE42" s="77">
        <f>SUM(DE11:DE41)</f>
        <v>0</v>
      </c>
      <c r="DH42" s="77">
        <f>SUM(DH11:DH41)</f>
        <v>0</v>
      </c>
      <c r="DK42" s="77">
        <f>SUM(DK11:DK41)</f>
        <v>0</v>
      </c>
      <c r="DN42" s="77">
        <f>SUM(DN11:DN41)</f>
        <v>0</v>
      </c>
      <c r="DQ42" s="77">
        <f>SUM(DQ11:DQ41)</f>
        <v>0</v>
      </c>
      <c r="DT42" s="77">
        <f>SUM(DT11:DT41)</f>
        <v>0</v>
      </c>
      <c r="DW42" s="77">
        <f>SUM(DW11:DW41)</f>
        <v>0</v>
      </c>
      <c r="DZ42" s="38"/>
      <c r="EA42" s="38"/>
      <c r="EB42" s="40"/>
      <c r="EC42" s="40"/>
      <c r="ED42" s="77">
        <f>SUM(ED11:ED41)</f>
        <v>177.5</v>
      </c>
      <c r="EE42" s="41"/>
      <c r="EG42" s="40"/>
      <c r="EH42" s="77">
        <f>SUM(EH11:EH41)</f>
        <v>0</v>
      </c>
      <c r="EI42" s="41"/>
      <c r="EJ42" s="41"/>
      <c r="EK42" s="40"/>
      <c r="EL42" s="40"/>
      <c r="EM42" s="77">
        <f>SUM(EM11:EM41)</f>
        <v>177.5</v>
      </c>
      <c r="EN42" s="41"/>
    </row>
    <row r="44" spans="1:146" x14ac:dyDescent="0.25">
      <c r="EM44" s="78"/>
    </row>
    <row r="46" spans="1:146" x14ac:dyDescent="0.25">
      <c r="EM46" s="40"/>
    </row>
    <row r="48" spans="1:146" x14ac:dyDescent="0.25">
      <c r="EM48" s="4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3"/>
  <dimension ref="A1:EQ47"/>
  <sheetViews>
    <sheetView workbookViewId="0"/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7.1406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34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s="24" t="s">
        <v>98</v>
      </c>
      <c r="EC2" s="24"/>
      <c r="ED2" s="38"/>
      <c r="EE2" s="38">
        <f>EB40</f>
        <v>56325000</v>
      </c>
      <c r="EI2" s="38">
        <f>EG40</f>
        <v>0</v>
      </c>
      <c r="EM2" s="38"/>
      <c r="EN2" s="38">
        <f>EK40</f>
        <v>56325000</v>
      </c>
      <c r="EO2" s="31">
        <v>0</v>
      </c>
      <c r="EP2" s="31">
        <f>EN2+EO2</f>
        <v>56325000</v>
      </c>
      <c r="EQ2" s="31">
        <f>EE2+EO2</f>
        <v>56325000</v>
      </c>
    </row>
    <row r="3" spans="1:147" ht="16.5" thickTop="1" x14ac:dyDescent="0.25">
      <c r="A3" s="39" t="s">
        <v>232</v>
      </c>
      <c r="E3" s="42" t="s">
        <v>100</v>
      </c>
      <c r="F3" s="43"/>
      <c r="G3" s="44"/>
      <c r="EB3" s="24" t="s">
        <v>101</v>
      </c>
      <c r="EC3" s="24"/>
      <c r="ED3" s="38"/>
      <c r="EE3" s="38">
        <f>AVERAGE(EB11:EB40)</f>
        <v>19772500</v>
      </c>
      <c r="EI3" s="38">
        <f>AVERAGE(EG11:EG40)</f>
        <v>0</v>
      </c>
      <c r="EM3" s="38"/>
      <c r="EN3" s="38">
        <f>AVERAGE(EK11:EK40)</f>
        <v>19772500</v>
      </c>
    </row>
    <row r="4" spans="1:147" x14ac:dyDescent="0.25">
      <c r="D4" s="24"/>
      <c r="E4" s="48" t="s">
        <v>98</v>
      </c>
      <c r="F4" s="38"/>
      <c r="G4" s="49">
        <f>EQ2</f>
        <v>56325000</v>
      </c>
      <c r="AI4" s="50" t="s">
        <v>102</v>
      </c>
      <c r="EB4" s="24" t="s">
        <v>103</v>
      </c>
      <c r="EC4" s="24"/>
      <c r="ED4" s="46"/>
      <c r="EE4" s="46">
        <f>IF(EE3=0,0,360*(AVERAGE(ED11:ED40)/EE3))</f>
        <v>1.5320942386310953E-3</v>
      </c>
      <c r="EI4" s="46">
        <f>IF(EI3=0,0,360*(AVERAGE(EH11:EH40)/EI3))</f>
        <v>0</v>
      </c>
      <c r="EM4" s="46"/>
      <c r="EN4" s="46">
        <f>IF(EN3=0,0,360*(AVERAGE(EM11:EM40)/EN3))</f>
        <v>1.5320942386310953E-3</v>
      </c>
      <c r="EO4" s="51" t="s">
        <v>104</v>
      </c>
      <c r="EQ4" s="52" t="s">
        <v>102</v>
      </c>
    </row>
    <row r="5" spans="1:147" ht="15.75" x14ac:dyDescent="0.25">
      <c r="D5" s="24"/>
      <c r="E5" s="48" t="s">
        <v>101</v>
      </c>
      <c r="F5" s="38"/>
      <c r="G5" s="49">
        <f>EE3</f>
        <v>19772500</v>
      </c>
      <c r="AI5" s="53" t="s">
        <v>93</v>
      </c>
      <c r="EB5" s="54" t="s">
        <v>105</v>
      </c>
      <c r="EC5" s="54"/>
      <c r="ED5" s="38"/>
      <c r="EE5" s="38">
        <f>MAX(EB11:EB40)</f>
        <v>56325000</v>
      </c>
      <c r="EI5" s="38">
        <f>MAX(EG11:EG40)</f>
        <v>0</v>
      </c>
      <c r="EM5" s="38"/>
      <c r="EN5" s="38">
        <f>MAX(EK11:EK40)</f>
        <v>56325000</v>
      </c>
    </row>
    <row r="6" spans="1:147" x14ac:dyDescent="0.25">
      <c r="D6" s="24"/>
      <c r="E6" s="48" t="s">
        <v>103</v>
      </c>
      <c r="F6" s="38"/>
      <c r="G6" s="55">
        <f>EE4</f>
        <v>1.5320942386310953E-3</v>
      </c>
    </row>
    <row r="7" spans="1:147" ht="16.5" thickBot="1" x14ac:dyDescent="0.3">
      <c r="D7" s="24"/>
      <c r="E7" s="56" t="s">
        <v>105</v>
      </c>
      <c r="F7" s="57"/>
      <c r="G7" s="58">
        <f>EE5</f>
        <v>56325000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61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61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2" t="s">
        <v>164</v>
      </c>
      <c r="EG10" s="71" t="s">
        <v>165</v>
      </c>
      <c r="EH10" s="71" t="s">
        <v>19</v>
      </c>
      <c r="EI10" s="72" t="s">
        <v>164</v>
      </c>
      <c r="EJ10" s="72"/>
      <c r="EK10" s="71" t="s">
        <v>165</v>
      </c>
      <c r="EL10" s="71" t="s">
        <v>165</v>
      </c>
      <c r="EM10" s="71" t="s">
        <v>19</v>
      </c>
      <c r="EN10" s="72" t="s">
        <v>164</v>
      </c>
    </row>
    <row r="11" spans="1:147" x14ac:dyDescent="0.25">
      <c r="A11" s="25">
        <v>44501</v>
      </c>
      <c r="B11" s="40">
        <v>0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73">
        <v>15300000</v>
      </c>
      <c r="AJ11" s="74">
        <v>1.5E-3</v>
      </c>
      <c r="AK11" s="40">
        <f>(AI11*AJ11)/360</f>
        <v>63.75</v>
      </c>
      <c r="AL11" s="73"/>
      <c r="AM11" s="74"/>
      <c r="AN11" s="40">
        <f>(AL11*AM11)/360</f>
        <v>0</v>
      </c>
      <c r="AO11" s="73"/>
      <c r="AP11" s="74"/>
      <c r="AQ11" s="40">
        <f>(AO11*AP11)/360</f>
        <v>0</v>
      </c>
      <c r="AR11" s="73"/>
      <c r="AS11" s="74"/>
      <c r="AT11" s="40">
        <f>(AR11*AS11)/360</f>
        <v>0</v>
      </c>
      <c r="AW11" s="40">
        <f>(AU11*AV11)/360</f>
        <v>0</v>
      </c>
      <c r="AZ11" s="40">
        <f>(AX11*AY11)/360</f>
        <v>0</v>
      </c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15300000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63.75</v>
      </c>
      <c r="EE11" s="41">
        <f>IF(EB11&lt;&gt;0,((ED11/EB11)*360),0)</f>
        <v>1.5E-3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15300000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63.75</v>
      </c>
      <c r="EN11" s="41">
        <f>IF(EK11&lt;&gt;0,((EM11/EK11)*360),0)</f>
        <v>1.5E-3</v>
      </c>
      <c r="EP11" s="40"/>
    </row>
    <row r="12" spans="1:147" x14ac:dyDescent="0.25">
      <c r="A12" s="25">
        <f>1+A11</f>
        <v>44502</v>
      </c>
      <c r="B12" s="40">
        <v>0</v>
      </c>
      <c r="D12" s="40">
        <f t="shared" ref="D12:D40" si="0">(B12*C12)/360</f>
        <v>0</v>
      </c>
      <c r="G12" s="40">
        <f t="shared" ref="G12:G40" si="1">(E12*F12)/360</f>
        <v>0</v>
      </c>
      <c r="J12" s="40">
        <f t="shared" ref="J12:J40" si="2">(H12*I12)/360</f>
        <v>0</v>
      </c>
      <c r="M12" s="40">
        <f t="shared" ref="M12:M40" si="3">(K12*L12)/360</f>
        <v>0</v>
      </c>
      <c r="P12" s="40">
        <f t="shared" ref="P12:P40" si="4">(N12*O12)/360</f>
        <v>0</v>
      </c>
      <c r="S12" s="40">
        <f t="shared" ref="S12:S40" si="5">(Q12*R12)/360</f>
        <v>0</v>
      </c>
      <c r="V12" s="40">
        <f t="shared" ref="V12:V40" si="6">(T12*U12)/360</f>
        <v>0</v>
      </c>
      <c r="Y12" s="40">
        <f t="shared" ref="Y12:Y40" si="7">(W12*X12)/360</f>
        <v>0</v>
      </c>
      <c r="AB12" s="40">
        <f t="shared" ref="AB12:AB40" si="8">(Z12*AA12)/360</f>
        <v>0</v>
      </c>
      <c r="AE12" s="40">
        <v>0</v>
      </c>
      <c r="AH12" s="40">
        <v>0</v>
      </c>
      <c r="AI12" s="73">
        <v>4625000</v>
      </c>
      <c r="AJ12" s="74">
        <v>1.5E-3</v>
      </c>
      <c r="AK12" s="40">
        <f t="shared" ref="AK12:AK40" si="9">(AI12*AJ12)/360</f>
        <v>19.270833333333332</v>
      </c>
      <c r="AL12" s="73"/>
      <c r="AM12" s="74"/>
      <c r="AN12" s="40">
        <f t="shared" ref="AN12:AN40" si="10">(AL12*AM12)/360</f>
        <v>0</v>
      </c>
      <c r="AO12" s="73"/>
      <c r="AP12" s="74"/>
      <c r="AQ12" s="40">
        <f t="shared" ref="AQ12:AQ40" si="11">(AO12*AP12)/360</f>
        <v>0</v>
      </c>
      <c r="AR12" s="73"/>
      <c r="AS12" s="74"/>
      <c r="AT12" s="40">
        <f t="shared" ref="AT12:AT40" si="12">(AR12*AS12)/360</f>
        <v>0</v>
      </c>
      <c r="AW12" s="40">
        <f t="shared" ref="AW12:AW40" si="13">(AU12*AV12)/360</f>
        <v>0</v>
      </c>
      <c r="AZ12" s="40">
        <f t="shared" ref="AZ12:AZ40" si="14">(AX12*AY12)/360</f>
        <v>0</v>
      </c>
      <c r="BC12" s="40">
        <f t="shared" ref="BC12:BC40" si="15">(BA12*BB12)/360</f>
        <v>0</v>
      </c>
      <c r="BF12" s="40">
        <f t="shared" ref="BF12:BF40" si="16">(BD12*BE12)/360</f>
        <v>0</v>
      </c>
      <c r="BI12" s="40">
        <f t="shared" ref="BI12:BI40" si="17">(BG12*BH12)/360</f>
        <v>0</v>
      </c>
      <c r="BL12" s="40">
        <f t="shared" ref="BL12:BL40" si="18">(BJ12*BK12)/360</f>
        <v>0</v>
      </c>
      <c r="BO12" s="40">
        <f t="shared" ref="BO12:BO40" si="19">(BM12*BN12)/360</f>
        <v>0</v>
      </c>
      <c r="BR12" s="40">
        <f t="shared" ref="BR12:BR40" si="20">(BP12*BQ12)/360</f>
        <v>0</v>
      </c>
      <c r="BU12" s="40">
        <f t="shared" ref="BU12:BU40" si="21">(BS12*BT12)/360</f>
        <v>0</v>
      </c>
      <c r="BX12" s="40">
        <f t="shared" ref="BX12:BX40" si="22">(BV12*BW12)/360</f>
        <v>0</v>
      </c>
      <c r="CA12" s="40">
        <f t="shared" ref="CA12:CA40" si="23">(BY12*BZ12)/360</f>
        <v>0</v>
      </c>
      <c r="CD12" s="40">
        <f t="shared" ref="CD12:CD40" si="24">(CB12*CC12)/360</f>
        <v>0</v>
      </c>
      <c r="CG12" s="40">
        <f t="shared" ref="CG12:CG40" si="25">(CE12*CF12)/360</f>
        <v>0</v>
      </c>
      <c r="CJ12" s="40">
        <f t="shared" ref="CJ12:CJ40" si="26">(CH12*CI12)/360</f>
        <v>0</v>
      </c>
      <c r="CM12" s="40">
        <f t="shared" ref="CM12:CM40" si="27">(CK12*CL12)/360</f>
        <v>0</v>
      </c>
      <c r="CP12" s="40">
        <f t="shared" ref="CP12:CP40" si="28">(CN12*CO12)/360</f>
        <v>0</v>
      </c>
      <c r="CS12" s="40">
        <f t="shared" ref="CS12:CS40" si="29">(CQ12*CR12)/360</f>
        <v>0</v>
      </c>
      <c r="CV12" s="40">
        <f t="shared" ref="CV12:CV40" si="30">(CT12*CU12)/360</f>
        <v>0</v>
      </c>
      <c r="CY12" s="40">
        <f t="shared" ref="CY12:CY40" si="31">(CW12*CX12)/360</f>
        <v>0</v>
      </c>
      <c r="DB12" s="40">
        <f t="shared" ref="DB12:DB40" si="32">(CZ12*DA12)/360</f>
        <v>0</v>
      </c>
      <c r="DE12" s="40">
        <f t="shared" ref="DE12:DE40" si="33">(DC12*DD12)/360</f>
        <v>0</v>
      </c>
      <c r="DH12" s="40">
        <f t="shared" ref="DH12:DH40" si="34">(DF12*DG12)/360</f>
        <v>0</v>
      </c>
      <c r="DK12" s="40">
        <f t="shared" ref="DK12:DK40" si="35">(DI12*DJ12)/360</f>
        <v>0</v>
      </c>
      <c r="DN12" s="40">
        <f t="shared" ref="DN12:DN40" si="36">(DL12*DM12)/360</f>
        <v>0</v>
      </c>
      <c r="DQ12" s="40">
        <f t="shared" ref="DQ12:DQ40" si="37">(DO12*DP12)/360</f>
        <v>0</v>
      </c>
      <c r="DT12" s="40">
        <f t="shared" ref="DT12:DT40" si="38">(DR12*DS12)/360</f>
        <v>0</v>
      </c>
      <c r="DW12" s="40">
        <f t="shared" ref="DW12:DW40" si="39">(DU12*DV12)/360</f>
        <v>0</v>
      </c>
      <c r="DZ12" s="40"/>
      <c r="EA12" s="40"/>
      <c r="EB12" s="75">
        <f t="shared" ref="EB12:EB40" si="40">B12+E12+H12+K12+N12+Q12+T12+W12+Z12+AC12+AF12+AL12+AO12+AR12+AU12+AX12+BA12+BD12+BG12+DU12+AI12+DR12+DO12+DL12+DI12+DF12+DC12+CZ12+CW12+CT12+CQ12+CN12+CK12+CH12+CE12+CB12+BY12+BV12+BS12+BP12+BM12+BJ12</f>
        <v>4625000</v>
      </c>
      <c r="EC12" s="75">
        <f t="shared" ref="EC12:EC40" si="41">EB12-EK12+EL12</f>
        <v>0</v>
      </c>
      <c r="ED12" s="40">
        <f t="shared" ref="ED12:ED40" si="42">D12+G12+J12+M12+P12+S12+V12+Y12+AB12+AE12+AH12+AK12+AN12+AQ12+AT12+AW12+AZ12+BC12+BF12+BI12+DW12+DT12+DQ12+DN12+DK12+DH12+DE12+DB12+CY12+CV12+CS12+CP12+CM12+CJ12+CG12+CD12+CA12+BX12+BU12+BR12+BO12+BL12</f>
        <v>19.270833333333332</v>
      </c>
      <c r="EE12" s="41">
        <f t="shared" ref="EE12:EE40" si="43">IF(EB12&lt;&gt;0,((ED12/EB12)*360),0)</f>
        <v>1.4999999999999998E-3</v>
      </c>
      <c r="EG12" s="75">
        <f t="shared" ref="EG12:EG40" si="44">Q12+T12+W12+Z12+AC12+AF12</f>
        <v>0</v>
      </c>
      <c r="EH12" s="40">
        <f t="shared" ref="EH12:EH40" si="45">S12+V12+Y12+AB12+AE12+AH12</f>
        <v>0</v>
      </c>
      <c r="EI12" s="41">
        <f t="shared" ref="EI12:EI40" si="46">IF(EG12&lt;&gt;0,((EH12/EG12)*360),0)</f>
        <v>0</v>
      </c>
      <c r="EJ12" s="41"/>
      <c r="EK12" s="75">
        <f t="shared" ref="EK12:EK40" si="47">DR12+DL12+DI12+DF12+DC12+CZ12+CW12+CT12+CQ12+CN12+CK12+CH12+CE12+CB12+BY12+BV12+BS12+BP12+BM12+BJ12+BG12+BD12+BA12+AX12+AU12+AR12+AO12+AL12+AI12+DO12</f>
        <v>4625000</v>
      </c>
      <c r="EL12" s="75">
        <f t="shared" ref="EL12:EL40" si="48">DX12</f>
        <v>0</v>
      </c>
      <c r="EM12" s="75">
        <f t="shared" ref="EM12:EM40" si="49">DT12+DQ12+DN12+DK12+DH12+DE12+DB12+CY12+CV12+CS12+CP12+CM12+CJ12+CG12+CD12+CA12+BX12+BU12+BR12+BO12+BL12+BI12+BF12+BC12+AZ12+AW12+AT12+AQ12+AN12+AK12</f>
        <v>19.270833333333332</v>
      </c>
      <c r="EN12" s="41">
        <f t="shared" ref="EN12:EN40" si="50">IF(EK12&lt;&gt;0,((EM12/EK12)*360),0)</f>
        <v>1.4999999999999998E-3</v>
      </c>
      <c r="EP12" s="40"/>
    </row>
    <row r="13" spans="1:147" x14ac:dyDescent="0.25">
      <c r="A13" s="25">
        <f t="shared" ref="A13:A40" si="51">1+A12</f>
        <v>44503</v>
      </c>
      <c r="B13" s="40">
        <v>0</v>
      </c>
      <c r="D13" s="40">
        <f t="shared" si="0"/>
        <v>0</v>
      </c>
      <c r="G13" s="40">
        <f t="shared" si="1"/>
        <v>0</v>
      </c>
      <c r="J13" s="40">
        <f t="shared" si="2"/>
        <v>0</v>
      </c>
      <c r="M13" s="40">
        <f t="shared" si="3"/>
        <v>0</v>
      </c>
      <c r="P13" s="40">
        <f t="shared" si="4"/>
        <v>0</v>
      </c>
      <c r="S13" s="40">
        <f t="shared" si="5"/>
        <v>0</v>
      </c>
      <c r="V13" s="40">
        <f t="shared" si="6"/>
        <v>0</v>
      </c>
      <c r="Y13" s="40">
        <f t="shared" si="7"/>
        <v>0</v>
      </c>
      <c r="AB13" s="40">
        <f t="shared" si="8"/>
        <v>0</v>
      </c>
      <c r="AE13" s="40">
        <v>0</v>
      </c>
      <c r="AH13" s="40">
        <v>0</v>
      </c>
      <c r="AI13" s="73">
        <v>1250000</v>
      </c>
      <c r="AJ13" s="74">
        <v>1.5E-3</v>
      </c>
      <c r="AK13" s="40">
        <f t="shared" si="9"/>
        <v>5.208333333333333</v>
      </c>
      <c r="AL13" s="73"/>
      <c r="AM13" s="74"/>
      <c r="AN13" s="40">
        <f t="shared" si="10"/>
        <v>0</v>
      </c>
      <c r="AO13" s="73"/>
      <c r="AP13" s="74"/>
      <c r="AQ13" s="40">
        <f t="shared" si="11"/>
        <v>0</v>
      </c>
      <c r="AR13" s="73"/>
      <c r="AS13" s="74"/>
      <c r="AT13" s="40">
        <f t="shared" si="12"/>
        <v>0</v>
      </c>
      <c r="AW13" s="40">
        <f t="shared" si="13"/>
        <v>0</v>
      </c>
      <c r="AZ13" s="40">
        <f t="shared" si="14"/>
        <v>0</v>
      </c>
      <c r="BC13" s="40">
        <f t="shared" si="15"/>
        <v>0</v>
      </c>
      <c r="BF13" s="40">
        <f t="shared" si="16"/>
        <v>0</v>
      </c>
      <c r="BI13" s="40">
        <f t="shared" si="17"/>
        <v>0</v>
      </c>
      <c r="BL13" s="40">
        <f t="shared" si="18"/>
        <v>0</v>
      </c>
      <c r="BO13" s="40">
        <f t="shared" si="19"/>
        <v>0</v>
      </c>
      <c r="BR13" s="40">
        <f t="shared" si="20"/>
        <v>0</v>
      </c>
      <c r="BU13" s="40">
        <f t="shared" si="21"/>
        <v>0</v>
      </c>
      <c r="BX13" s="40">
        <f t="shared" si="22"/>
        <v>0</v>
      </c>
      <c r="CA13" s="40">
        <f t="shared" si="23"/>
        <v>0</v>
      </c>
      <c r="CD13" s="40">
        <f t="shared" si="24"/>
        <v>0</v>
      </c>
      <c r="CG13" s="40">
        <f t="shared" si="25"/>
        <v>0</v>
      </c>
      <c r="CJ13" s="40">
        <f t="shared" si="26"/>
        <v>0</v>
      </c>
      <c r="CM13" s="40">
        <f t="shared" si="27"/>
        <v>0</v>
      </c>
      <c r="CP13" s="40">
        <f t="shared" si="28"/>
        <v>0</v>
      </c>
      <c r="CS13" s="40">
        <f t="shared" si="29"/>
        <v>0</v>
      </c>
      <c r="CV13" s="40">
        <f t="shared" si="30"/>
        <v>0</v>
      </c>
      <c r="CY13" s="40">
        <f t="shared" si="31"/>
        <v>0</v>
      </c>
      <c r="DB13" s="40">
        <f t="shared" si="32"/>
        <v>0</v>
      </c>
      <c r="DE13" s="40">
        <f t="shared" si="33"/>
        <v>0</v>
      </c>
      <c r="DH13" s="40">
        <f t="shared" si="34"/>
        <v>0</v>
      </c>
      <c r="DK13" s="40">
        <f t="shared" si="35"/>
        <v>0</v>
      </c>
      <c r="DN13" s="40">
        <f t="shared" si="36"/>
        <v>0</v>
      </c>
      <c r="DQ13" s="40">
        <f t="shared" si="37"/>
        <v>0</v>
      </c>
      <c r="DT13" s="40">
        <f t="shared" si="38"/>
        <v>0</v>
      </c>
      <c r="DW13" s="40">
        <f t="shared" si="39"/>
        <v>0</v>
      </c>
      <c r="DZ13" s="40"/>
      <c r="EA13" s="40"/>
      <c r="EB13" s="75">
        <f t="shared" si="40"/>
        <v>1250000</v>
      </c>
      <c r="EC13" s="75">
        <f t="shared" si="41"/>
        <v>0</v>
      </c>
      <c r="ED13" s="40">
        <f t="shared" si="42"/>
        <v>5.208333333333333</v>
      </c>
      <c r="EE13" s="41">
        <f t="shared" si="43"/>
        <v>1.4999999999999998E-3</v>
      </c>
      <c r="EG13" s="75">
        <f t="shared" si="44"/>
        <v>0</v>
      </c>
      <c r="EH13" s="40">
        <f t="shared" si="45"/>
        <v>0</v>
      </c>
      <c r="EI13" s="41">
        <f t="shared" si="46"/>
        <v>0</v>
      </c>
      <c r="EJ13" s="41"/>
      <c r="EK13" s="75">
        <f t="shared" si="47"/>
        <v>1250000</v>
      </c>
      <c r="EL13" s="75">
        <f t="shared" si="48"/>
        <v>0</v>
      </c>
      <c r="EM13" s="75">
        <f t="shared" si="49"/>
        <v>5.208333333333333</v>
      </c>
      <c r="EN13" s="41">
        <f t="shared" si="50"/>
        <v>1.4999999999999998E-3</v>
      </c>
      <c r="EP13" s="40"/>
    </row>
    <row r="14" spans="1:147" x14ac:dyDescent="0.25">
      <c r="A14" s="25">
        <f t="shared" si="51"/>
        <v>44504</v>
      </c>
      <c r="B14" s="40">
        <v>0</v>
      </c>
      <c r="D14" s="40">
        <f t="shared" si="0"/>
        <v>0</v>
      </c>
      <c r="G14" s="40">
        <f t="shared" si="1"/>
        <v>0</v>
      </c>
      <c r="J14" s="40">
        <f t="shared" si="2"/>
        <v>0</v>
      </c>
      <c r="M14" s="40">
        <f t="shared" si="3"/>
        <v>0</v>
      </c>
      <c r="P14" s="40">
        <f t="shared" si="4"/>
        <v>0</v>
      </c>
      <c r="S14" s="40">
        <f t="shared" si="5"/>
        <v>0</v>
      </c>
      <c r="V14" s="40">
        <f t="shared" si="6"/>
        <v>0</v>
      </c>
      <c r="Y14" s="40">
        <f t="shared" si="7"/>
        <v>0</v>
      </c>
      <c r="AB14" s="40">
        <f t="shared" si="8"/>
        <v>0</v>
      </c>
      <c r="AE14" s="40">
        <v>0</v>
      </c>
      <c r="AH14" s="40">
        <v>0</v>
      </c>
      <c r="AI14" s="73"/>
      <c r="AJ14" s="74"/>
      <c r="AK14" s="40">
        <f t="shared" si="9"/>
        <v>0</v>
      </c>
      <c r="AL14" s="73"/>
      <c r="AM14" s="74"/>
      <c r="AN14" s="40">
        <f t="shared" si="10"/>
        <v>0</v>
      </c>
      <c r="AO14" s="73"/>
      <c r="AP14" s="74"/>
      <c r="AQ14" s="40">
        <f t="shared" si="11"/>
        <v>0</v>
      </c>
      <c r="AR14" s="73"/>
      <c r="AS14" s="74"/>
      <c r="AT14" s="40">
        <f t="shared" si="12"/>
        <v>0</v>
      </c>
      <c r="AW14" s="40">
        <f t="shared" si="13"/>
        <v>0</v>
      </c>
      <c r="AZ14" s="40">
        <f t="shared" si="14"/>
        <v>0</v>
      </c>
      <c r="BC14" s="40">
        <f t="shared" si="15"/>
        <v>0</v>
      </c>
      <c r="BF14" s="40">
        <f t="shared" si="16"/>
        <v>0</v>
      </c>
      <c r="BI14" s="40">
        <f t="shared" si="17"/>
        <v>0</v>
      </c>
      <c r="BL14" s="40">
        <f t="shared" si="18"/>
        <v>0</v>
      </c>
      <c r="BO14" s="40">
        <f t="shared" si="19"/>
        <v>0</v>
      </c>
      <c r="BR14" s="40">
        <f t="shared" si="20"/>
        <v>0</v>
      </c>
      <c r="BU14" s="40">
        <f t="shared" si="21"/>
        <v>0</v>
      </c>
      <c r="BX14" s="40">
        <f t="shared" si="22"/>
        <v>0</v>
      </c>
      <c r="CA14" s="40">
        <f t="shared" si="23"/>
        <v>0</v>
      </c>
      <c r="CD14" s="40">
        <f t="shared" si="24"/>
        <v>0</v>
      </c>
      <c r="CG14" s="40">
        <f t="shared" si="25"/>
        <v>0</v>
      </c>
      <c r="CJ14" s="40">
        <f t="shared" si="26"/>
        <v>0</v>
      </c>
      <c r="CM14" s="40">
        <f t="shared" si="27"/>
        <v>0</v>
      </c>
      <c r="CP14" s="40">
        <f t="shared" si="28"/>
        <v>0</v>
      </c>
      <c r="CS14" s="40">
        <f t="shared" si="29"/>
        <v>0</v>
      </c>
      <c r="CV14" s="40">
        <f t="shared" si="30"/>
        <v>0</v>
      </c>
      <c r="CY14" s="40">
        <f t="shared" si="31"/>
        <v>0</v>
      </c>
      <c r="DB14" s="40">
        <f t="shared" si="32"/>
        <v>0</v>
      </c>
      <c r="DE14" s="40">
        <f t="shared" si="33"/>
        <v>0</v>
      </c>
      <c r="DH14" s="40">
        <f t="shared" si="34"/>
        <v>0</v>
      </c>
      <c r="DK14" s="40">
        <f t="shared" si="35"/>
        <v>0</v>
      </c>
      <c r="DN14" s="40">
        <f t="shared" si="36"/>
        <v>0</v>
      </c>
      <c r="DQ14" s="40">
        <f t="shared" si="37"/>
        <v>0</v>
      </c>
      <c r="DT14" s="40">
        <f t="shared" si="38"/>
        <v>0</v>
      </c>
      <c r="DW14" s="40">
        <f t="shared" si="39"/>
        <v>0</v>
      </c>
      <c r="DZ14" s="40"/>
      <c r="EA14" s="40"/>
      <c r="EB14" s="75">
        <f t="shared" si="40"/>
        <v>0</v>
      </c>
      <c r="EC14" s="75">
        <f t="shared" si="41"/>
        <v>0</v>
      </c>
      <c r="ED14" s="40">
        <f t="shared" si="42"/>
        <v>0</v>
      </c>
      <c r="EE14" s="41">
        <f t="shared" si="43"/>
        <v>0</v>
      </c>
      <c r="EG14" s="75">
        <f t="shared" si="44"/>
        <v>0</v>
      </c>
      <c r="EH14" s="40">
        <f t="shared" si="45"/>
        <v>0</v>
      </c>
      <c r="EI14" s="41">
        <f t="shared" si="46"/>
        <v>0</v>
      </c>
      <c r="EJ14" s="41"/>
      <c r="EK14" s="75">
        <f t="shared" si="47"/>
        <v>0</v>
      </c>
      <c r="EL14" s="75">
        <f t="shared" si="48"/>
        <v>0</v>
      </c>
      <c r="EM14" s="75">
        <f t="shared" si="49"/>
        <v>0</v>
      </c>
      <c r="EN14" s="41">
        <f t="shared" si="50"/>
        <v>0</v>
      </c>
      <c r="EP14" s="40"/>
    </row>
    <row r="15" spans="1:147" x14ac:dyDescent="0.25">
      <c r="A15" s="25">
        <f t="shared" si="51"/>
        <v>44505</v>
      </c>
      <c r="B15" s="40">
        <v>0</v>
      </c>
      <c r="D15" s="40">
        <f t="shared" si="0"/>
        <v>0</v>
      </c>
      <c r="G15" s="40">
        <f t="shared" si="1"/>
        <v>0</v>
      </c>
      <c r="J15" s="40">
        <f t="shared" si="2"/>
        <v>0</v>
      </c>
      <c r="M15" s="40">
        <f t="shared" si="3"/>
        <v>0</v>
      </c>
      <c r="P15" s="40">
        <f t="shared" si="4"/>
        <v>0</v>
      </c>
      <c r="S15" s="40">
        <f t="shared" si="5"/>
        <v>0</v>
      </c>
      <c r="V15" s="40">
        <f t="shared" si="6"/>
        <v>0</v>
      </c>
      <c r="Y15" s="40">
        <f t="shared" si="7"/>
        <v>0</v>
      </c>
      <c r="AB15" s="40">
        <f t="shared" si="8"/>
        <v>0</v>
      </c>
      <c r="AE15" s="40">
        <v>0</v>
      </c>
      <c r="AH15" s="40">
        <v>0</v>
      </c>
      <c r="AI15" s="73"/>
      <c r="AJ15" s="74"/>
      <c r="AK15" s="40">
        <f t="shared" si="9"/>
        <v>0</v>
      </c>
      <c r="AL15" s="73"/>
      <c r="AM15" s="74"/>
      <c r="AN15" s="40">
        <f t="shared" si="10"/>
        <v>0</v>
      </c>
      <c r="AO15" s="73"/>
      <c r="AP15" s="74"/>
      <c r="AQ15" s="40">
        <f t="shared" si="11"/>
        <v>0</v>
      </c>
      <c r="AR15" s="73"/>
      <c r="AS15" s="74"/>
      <c r="AT15" s="40">
        <f t="shared" si="12"/>
        <v>0</v>
      </c>
      <c r="AW15" s="40">
        <f t="shared" si="13"/>
        <v>0</v>
      </c>
      <c r="AZ15" s="40">
        <f t="shared" si="14"/>
        <v>0</v>
      </c>
      <c r="BC15" s="40">
        <f t="shared" si="15"/>
        <v>0</v>
      </c>
      <c r="BF15" s="40">
        <f t="shared" si="16"/>
        <v>0</v>
      </c>
      <c r="BI15" s="40">
        <f t="shared" si="17"/>
        <v>0</v>
      </c>
      <c r="BL15" s="40">
        <f t="shared" si="18"/>
        <v>0</v>
      </c>
      <c r="BO15" s="40">
        <f t="shared" si="19"/>
        <v>0</v>
      </c>
      <c r="BR15" s="40">
        <f t="shared" si="20"/>
        <v>0</v>
      </c>
      <c r="BU15" s="40">
        <f t="shared" si="21"/>
        <v>0</v>
      </c>
      <c r="BX15" s="40">
        <f t="shared" si="22"/>
        <v>0</v>
      </c>
      <c r="CA15" s="40">
        <f t="shared" si="23"/>
        <v>0</v>
      </c>
      <c r="CD15" s="40">
        <f t="shared" si="24"/>
        <v>0</v>
      </c>
      <c r="CG15" s="40">
        <f t="shared" si="25"/>
        <v>0</v>
      </c>
      <c r="CJ15" s="40">
        <f t="shared" si="26"/>
        <v>0</v>
      </c>
      <c r="CM15" s="40">
        <f t="shared" si="27"/>
        <v>0</v>
      </c>
      <c r="CP15" s="40">
        <f t="shared" si="28"/>
        <v>0</v>
      </c>
      <c r="CS15" s="40">
        <f t="shared" si="29"/>
        <v>0</v>
      </c>
      <c r="CV15" s="40">
        <f t="shared" si="30"/>
        <v>0</v>
      </c>
      <c r="CY15" s="40">
        <f t="shared" si="31"/>
        <v>0</v>
      </c>
      <c r="DB15" s="40">
        <f t="shared" si="32"/>
        <v>0</v>
      </c>
      <c r="DE15" s="40">
        <f t="shared" si="33"/>
        <v>0</v>
      </c>
      <c r="DH15" s="40">
        <f t="shared" si="34"/>
        <v>0</v>
      </c>
      <c r="DK15" s="40">
        <f t="shared" si="35"/>
        <v>0</v>
      </c>
      <c r="DN15" s="40">
        <f t="shared" si="36"/>
        <v>0</v>
      </c>
      <c r="DQ15" s="40">
        <f t="shared" si="37"/>
        <v>0</v>
      </c>
      <c r="DT15" s="40">
        <f t="shared" si="38"/>
        <v>0</v>
      </c>
      <c r="DW15" s="40">
        <f t="shared" si="39"/>
        <v>0</v>
      </c>
      <c r="DZ15" s="40"/>
      <c r="EA15" s="40"/>
      <c r="EB15" s="75">
        <f t="shared" si="40"/>
        <v>0</v>
      </c>
      <c r="EC15" s="75">
        <f t="shared" si="41"/>
        <v>0</v>
      </c>
      <c r="ED15" s="40">
        <f t="shared" si="42"/>
        <v>0</v>
      </c>
      <c r="EE15" s="41">
        <f t="shared" si="43"/>
        <v>0</v>
      </c>
      <c r="EG15" s="75">
        <f t="shared" si="44"/>
        <v>0</v>
      </c>
      <c r="EH15" s="40">
        <f t="shared" si="45"/>
        <v>0</v>
      </c>
      <c r="EI15" s="41">
        <f t="shared" si="46"/>
        <v>0</v>
      </c>
      <c r="EJ15" s="41"/>
      <c r="EK15" s="75">
        <f t="shared" si="47"/>
        <v>0</v>
      </c>
      <c r="EL15" s="75">
        <f t="shared" si="48"/>
        <v>0</v>
      </c>
      <c r="EM15" s="75">
        <f t="shared" si="49"/>
        <v>0</v>
      </c>
      <c r="EN15" s="41">
        <f t="shared" si="50"/>
        <v>0</v>
      </c>
      <c r="EP15" s="40"/>
    </row>
    <row r="16" spans="1:147" x14ac:dyDescent="0.25">
      <c r="A16" s="25">
        <f t="shared" si="51"/>
        <v>44506</v>
      </c>
      <c r="B16" s="40">
        <v>0</v>
      </c>
      <c r="D16" s="40">
        <f t="shared" si="0"/>
        <v>0</v>
      </c>
      <c r="G16" s="40">
        <f t="shared" si="1"/>
        <v>0</v>
      </c>
      <c r="J16" s="40">
        <f t="shared" si="2"/>
        <v>0</v>
      </c>
      <c r="M16" s="40">
        <f t="shared" si="3"/>
        <v>0</v>
      </c>
      <c r="P16" s="40">
        <f t="shared" si="4"/>
        <v>0</v>
      </c>
      <c r="S16" s="40">
        <f t="shared" si="5"/>
        <v>0</v>
      </c>
      <c r="V16" s="40">
        <f t="shared" si="6"/>
        <v>0</v>
      </c>
      <c r="Y16" s="40">
        <f t="shared" si="7"/>
        <v>0</v>
      </c>
      <c r="AB16" s="40">
        <f t="shared" si="8"/>
        <v>0</v>
      </c>
      <c r="AE16" s="40">
        <v>0</v>
      </c>
      <c r="AH16" s="40">
        <v>0</v>
      </c>
      <c r="AI16" s="73"/>
      <c r="AJ16" s="74"/>
      <c r="AK16" s="40">
        <f t="shared" si="9"/>
        <v>0</v>
      </c>
      <c r="AL16" s="73"/>
      <c r="AM16" s="74"/>
      <c r="AN16" s="40">
        <f t="shared" si="10"/>
        <v>0</v>
      </c>
      <c r="AO16" s="73"/>
      <c r="AP16" s="74"/>
      <c r="AQ16" s="40">
        <f t="shared" si="11"/>
        <v>0</v>
      </c>
      <c r="AR16" s="73"/>
      <c r="AS16" s="74"/>
      <c r="AT16" s="40">
        <f t="shared" si="12"/>
        <v>0</v>
      </c>
      <c r="AW16" s="40">
        <f t="shared" si="13"/>
        <v>0</v>
      </c>
      <c r="AZ16" s="40">
        <f t="shared" si="14"/>
        <v>0</v>
      </c>
      <c r="BC16" s="40">
        <f t="shared" si="15"/>
        <v>0</v>
      </c>
      <c r="BF16" s="40">
        <f t="shared" si="16"/>
        <v>0</v>
      </c>
      <c r="BI16" s="40">
        <f t="shared" si="17"/>
        <v>0</v>
      </c>
      <c r="BL16" s="40">
        <f t="shared" si="18"/>
        <v>0</v>
      </c>
      <c r="BO16" s="40">
        <f t="shared" si="19"/>
        <v>0</v>
      </c>
      <c r="BR16" s="40">
        <f t="shared" si="20"/>
        <v>0</v>
      </c>
      <c r="BU16" s="40">
        <f t="shared" si="21"/>
        <v>0</v>
      </c>
      <c r="BX16" s="40">
        <f t="shared" si="22"/>
        <v>0</v>
      </c>
      <c r="CA16" s="40">
        <f t="shared" si="23"/>
        <v>0</v>
      </c>
      <c r="CD16" s="40">
        <f t="shared" si="24"/>
        <v>0</v>
      </c>
      <c r="CG16" s="40">
        <f t="shared" si="25"/>
        <v>0</v>
      </c>
      <c r="CJ16" s="40">
        <f t="shared" si="26"/>
        <v>0</v>
      </c>
      <c r="CM16" s="40">
        <f t="shared" si="27"/>
        <v>0</v>
      </c>
      <c r="CP16" s="40">
        <f t="shared" si="28"/>
        <v>0</v>
      </c>
      <c r="CS16" s="40">
        <f t="shared" si="29"/>
        <v>0</v>
      </c>
      <c r="CV16" s="40">
        <f t="shared" si="30"/>
        <v>0</v>
      </c>
      <c r="CY16" s="40">
        <f t="shared" si="31"/>
        <v>0</v>
      </c>
      <c r="DB16" s="40">
        <f t="shared" si="32"/>
        <v>0</v>
      </c>
      <c r="DE16" s="40">
        <f t="shared" si="33"/>
        <v>0</v>
      </c>
      <c r="DH16" s="40">
        <f t="shared" si="34"/>
        <v>0</v>
      </c>
      <c r="DK16" s="40">
        <f t="shared" si="35"/>
        <v>0</v>
      </c>
      <c r="DN16" s="40">
        <f t="shared" si="36"/>
        <v>0</v>
      </c>
      <c r="DQ16" s="40">
        <f t="shared" si="37"/>
        <v>0</v>
      </c>
      <c r="DT16" s="40">
        <f t="shared" si="38"/>
        <v>0</v>
      </c>
      <c r="DW16" s="40">
        <f t="shared" si="39"/>
        <v>0</v>
      </c>
      <c r="DZ16" s="40"/>
      <c r="EA16" s="40"/>
      <c r="EB16" s="75">
        <f t="shared" si="40"/>
        <v>0</v>
      </c>
      <c r="EC16" s="75">
        <f t="shared" si="41"/>
        <v>0</v>
      </c>
      <c r="ED16" s="40">
        <f t="shared" si="42"/>
        <v>0</v>
      </c>
      <c r="EE16" s="41">
        <f t="shared" si="43"/>
        <v>0</v>
      </c>
      <c r="EG16" s="75">
        <f t="shared" si="44"/>
        <v>0</v>
      </c>
      <c r="EH16" s="40">
        <f t="shared" si="45"/>
        <v>0</v>
      </c>
      <c r="EI16" s="41">
        <f t="shared" si="46"/>
        <v>0</v>
      </c>
      <c r="EJ16" s="41"/>
      <c r="EK16" s="75">
        <f t="shared" si="47"/>
        <v>0</v>
      </c>
      <c r="EL16" s="75">
        <f t="shared" si="48"/>
        <v>0</v>
      </c>
      <c r="EM16" s="75">
        <f t="shared" si="49"/>
        <v>0</v>
      </c>
      <c r="EN16" s="41">
        <f t="shared" si="50"/>
        <v>0</v>
      </c>
      <c r="EP16" s="40"/>
    </row>
    <row r="17" spans="1:146" x14ac:dyDescent="0.25">
      <c r="A17" s="25">
        <f t="shared" si="51"/>
        <v>44507</v>
      </c>
      <c r="B17" s="40">
        <v>0</v>
      </c>
      <c r="D17" s="40">
        <f t="shared" si="0"/>
        <v>0</v>
      </c>
      <c r="G17" s="40">
        <f t="shared" si="1"/>
        <v>0</v>
      </c>
      <c r="J17" s="40">
        <f t="shared" si="2"/>
        <v>0</v>
      </c>
      <c r="M17" s="40">
        <f t="shared" si="3"/>
        <v>0</v>
      </c>
      <c r="P17" s="40">
        <f t="shared" si="4"/>
        <v>0</v>
      </c>
      <c r="S17" s="40">
        <f t="shared" si="5"/>
        <v>0</v>
      </c>
      <c r="V17" s="40">
        <f t="shared" si="6"/>
        <v>0</v>
      </c>
      <c r="Y17" s="40">
        <f t="shared" si="7"/>
        <v>0</v>
      </c>
      <c r="AB17" s="40">
        <f t="shared" si="8"/>
        <v>0</v>
      </c>
      <c r="AE17" s="40">
        <v>0</v>
      </c>
      <c r="AH17" s="40">
        <v>0</v>
      </c>
      <c r="AI17" s="73"/>
      <c r="AJ17" s="74"/>
      <c r="AK17" s="40">
        <f t="shared" si="9"/>
        <v>0</v>
      </c>
      <c r="AL17" s="73"/>
      <c r="AM17" s="74"/>
      <c r="AN17" s="40">
        <f t="shared" si="10"/>
        <v>0</v>
      </c>
      <c r="AO17" s="73"/>
      <c r="AP17" s="74"/>
      <c r="AQ17" s="40">
        <f t="shared" si="11"/>
        <v>0</v>
      </c>
      <c r="AR17" s="73"/>
      <c r="AS17" s="74"/>
      <c r="AT17" s="40">
        <f t="shared" si="12"/>
        <v>0</v>
      </c>
      <c r="AW17" s="40">
        <f t="shared" si="13"/>
        <v>0</v>
      </c>
      <c r="AZ17" s="40">
        <f t="shared" si="14"/>
        <v>0</v>
      </c>
      <c r="BC17" s="40">
        <f t="shared" si="15"/>
        <v>0</v>
      </c>
      <c r="BF17" s="40">
        <f t="shared" si="16"/>
        <v>0</v>
      </c>
      <c r="BI17" s="40">
        <f t="shared" si="17"/>
        <v>0</v>
      </c>
      <c r="BL17" s="40">
        <f t="shared" si="18"/>
        <v>0</v>
      </c>
      <c r="BO17" s="40">
        <f t="shared" si="19"/>
        <v>0</v>
      </c>
      <c r="BR17" s="40">
        <f t="shared" si="20"/>
        <v>0</v>
      </c>
      <c r="BU17" s="40">
        <f t="shared" si="21"/>
        <v>0</v>
      </c>
      <c r="BX17" s="40">
        <f t="shared" si="22"/>
        <v>0</v>
      </c>
      <c r="CA17" s="40">
        <f t="shared" si="23"/>
        <v>0</v>
      </c>
      <c r="CD17" s="40">
        <f t="shared" si="24"/>
        <v>0</v>
      </c>
      <c r="CG17" s="40">
        <f t="shared" si="25"/>
        <v>0</v>
      </c>
      <c r="CJ17" s="40">
        <f t="shared" si="26"/>
        <v>0</v>
      </c>
      <c r="CM17" s="40">
        <f t="shared" si="27"/>
        <v>0</v>
      </c>
      <c r="CP17" s="40">
        <f t="shared" si="28"/>
        <v>0</v>
      </c>
      <c r="CS17" s="40">
        <f t="shared" si="29"/>
        <v>0</v>
      </c>
      <c r="CV17" s="40">
        <f t="shared" si="30"/>
        <v>0</v>
      </c>
      <c r="CY17" s="40">
        <f t="shared" si="31"/>
        <v>0</v>
      </c>
      <c r="DB17" s="40">
        <f t="shared" si="32"/>
        <v>0</v>
      </c>
      <c r="DE17" s="40">
        <f t="shared" si="33"/>
        <v>0</v>
      </c>
      <c r="DH17" s="40">
        <f t="shared" si="34"/>
        <v>0</v>
      </c>
      <c r="DK17" s="40">
        <f t="shared" si="35"/>
        <v>0</v>
      </c>
      <c r="DN17" s="40">
        <f t="shared" si="36"/>
        <v>0</v>
      </c>
      <c r="DQ17" s="40">
        <f t="shared" si="37"/>
        <v>0</v>
      </c>
      <c r="DT17" s="40">
        <f t="shared" si="38"/>
        <v>0</v>
      </c>
      <c r="DW17" s="40">
        <f t="shared" si="39"/>
        <v>0</v>
      </c>
      <c r="DZ17" s="40"/>
      <c r="EA17" s="40"/>
      <c r="EB17" s="75">
        <f t="shared" si="40"/>
        <v>0</v>
      </c>
      <c r="EC17" s="75">
        <f t="shared" si="41"/>
        <v>0</v>
      </c>
      <c r="ED17" s="40">
        <f t="shared" si="42"/>
        <v>0</v>
      </c>
      <c r="EE17" s="41">
        <f t="shared" si="43"/>
        <v>0</v>
      </c>
      <c r="EG17" s="75">
        <f t="shared" si="44"/>
        <v>0</v>
      </c>
      <c r="EH17" s="40">
        <f t="shared" si="45"/>
        <v>0</v>
      </c>
      <c r="EI17" s="41">
        <f t="shared" si="46"/>
        <v>0</v>
      </c>
      <c r="EJ17" s="41"/>
      <c r="EK17" s="75">
        <f t="shared" si="47"/>
        <v>0</v>
      </c>
      <c r="EL17" s="75">
        <f t="shared" si="48"/>
        <v>0</v>
      </c>
      <c r="EM17" s="75">
        <f t="shared" si="49"/>
        <v>0</v>
      </c>
      <c r="EN17" s="41">
        <f t="shared" si="50"/>
        <v>0</v>
      </c>
      <c r="EP17" s="40"/>
    </row>
    <row r="18" spans="1:146" x14ac:dyDescent="0.25">
      <c r="A18" s="25">
        <f t="shared" si="51"/>
        <v>44508</v>
      </c>
      <c r="B18" s="40">
        <v>0</v>
      </c>
      <c r="D18" s="40">
        <f t="shared" si="0"/>
        <v>0</v>
      </c>
      <c r="G18" s="40">
        <f t="shared" si="1"/>
        <v>0</v>
      </c>
      <c r="J18" s="40">
        <f t="shared" si="2"/>
        <v>0</v>
      </c>
      <c r="M18" s="40">
        <f t="shared" si="3"/>
        <v>0</v>
      </c>
      <c r="P18" s="40">
        <f t="shared" si="4"/>
        <v>0</v>
      </c>
      <c r="S18" s="40">
        <f t="shared" si="5"/>
        <v>0</v>
      </c>
      <c r="V18" s="40">
        <f t="shared" si="6"/>
        <v>0</v>
      </c>
      <c r="Y18" s="40">
        <f t="shared" si="7"/>
        <v>0</v>
      </c>
      <c r="AB18" s="40">
        <f t="shared" si="8"/>
        <v>0</v>
      </c>
      <c r="AE18" s="40">
        <v>0</v>
      </c>
      <c r="AH18" s="40">
        <v>0</v>
      </c>
      <c r="AI18" s="73"/>
      <c r="AJ18" s="74"/>
      <c r="AK18" s="40">
        <f t="shared" si="9"/>
        <v>0</v>
      </c>
      <c r="AL18" s="73"/>
      <c r="AM18" s="74"/>
      <c r="AN18" s="40">
        <f t="shared" si="10"/>
        <v>0</v>
      </c>
      <c r="AO18" s="73"/>
      <c r="AP18" s="74"/>
      <c r="AQ18" s="40">
        <f t="shared" si="11"/>
        <v>0</v>
      </c>
      <c r="AR18" s="73"/>
      <c r="AS18" s="74"/>
      <c r="AT18" s="40">
        <f t="shared" si="12"/>
        <v>0</v>
      </c>
      <c r="AW18" s="40">
        <f t="shared" si="13"/>
        <v>0</v>
      </c>
      <c r="AZ18" s="40">
        <f t="shared" si="14"/>
        <v>0</v>
      </c>
      <c r="BC18" s="40">
        <f t="shared" si="15"/>
        <v>0</v>
      </c>
      <c r="BF18" s="40">
        <f t="shared" si="16"/>
        <v>0</v>
      </c>
      <c r="BI18" s="40">
        <f t="shared" si="17"/>
        <v>0</v>
      </c>
      <c r="BL18" s="40">
        <f t="shared" si="18"/>
        <v>0</v>
      </c>
      <c r="BO18" s="40">
        <f t="shared" si="19"/>
        <v>0</v>
      </c>
      <c r="BR18" s="40">
        <f t="shared" si="20"/>
        <v>0</v>
      </c>
      <c r="BU18" s="40">
        <f t="shared" si="21"/>
        <v>0</v>
      </c>
      <c r="BX18" s="40">
        <f t="shared" si="22"/>
        <v>0</v>
      </c>
      <c r="CA18" s="40">
        <f t="shared" si="23"/>
        <v>0</v>
      </c>
      <c r="CD18" s="40">
        <f t="shared" si="24"/>
        <v>0</v>
      </c>
      <c r="CG18" s="40">
        <f t="shared" si="25"/>
        <v>0</v>
      </c>
      <c r="CJ18" s="40">
        <f t="shared" si="26"/>
        <v>0</v>
      </c>
      <c r="CM18" s="40">
        <f t="shared" si="27"/>
        <v>0</v>
      </c>
      <c r="CP18" s="40">
        <f t="shared" si="28"/>
        <v>0</v>
      </c>
      <c r="CS18" s="40">
        <f t="shared" si="29"/>
        <v>0</v>
      </c>
      <c r="CV18" s="40">
        <f t="shared" si="30"/>
        <v>0</v>
      </c>
      <c r="CY18" s="40">
        <f t="shared" si="31"/>
        <v>0</v>
      </c>
      <c r="DB18" s="40">
        <f t="shared" si="32"/>
        <v>0</v>
      </c>
      <c r="DE18" s="40">
        <f t="shared" si="33"/>
        <v>0</v>
      </c>
      <c r="DH18" s="40">
        <f t="shared" si="34"/>
        <v>0</v>
      </c>
      <c r="DK18" s="40">
        <f t="shared" si="35"/>
        <v>0</v>
      </c>
      <c r="DN18" s="40">
        <f t="shared" si="36"/>
        <v>0</v>
      </c>
      <c r="DQ18" s="40">
        <f t="shared" si="37"/>
        <v>0</v>
      </c>
      <c r="DT18" s="40">
        <f t="shared" si="38"/>
        <v>0</v>
      </c>
      <c r="DW18" s="40">
        <f t="shared" si="39"/>
        <v>0</v>
      </c>
      <c r="DZ18" s="40"/>
      <c r="EA18" s="40"/>
      <c r="EB18" s="75">
        <f t="shared" si="40"/>
        <v>0</v>
      </c>
      <c r="EC18" s="75">
        <f t="shared" si="41"/>
        <v>0</v>
      </c>
      <c r="ED18" s="40">
        <f t="shared" si="42"/>
        <v>0</v>
      </c>
      <c r="EE18" s="41">
        <f t="shared" si="43"/>
        <v>0</v>
      </c>
      <c r="EG18" s="75">
        <f t="shared" si="44"/>
        <v>0</v>
      </c>
      <c r="EH18" s="40">
        <f t="shared" si="45"/>
        <v>0</v>
      </c>
      <c r="EI18" s="41">
        <f t="shared" si="46"/>
        <v>0</v>
      </c>
      <c r="EJ18" s="41"/>
      <c r="EK18" s="75">
        <f t="shared" si="47"/>
        <v>0</v>
      </c>
      <c r="EL18" s="75">
        <f t="shared" si="48"/>
        <v>0</v>
      </c>
      <c r="EM18" s="75">
        <f t="shared" si="49"/>
        <v>0</v>
      </c>
      <c r="EN18" s="41">
        <f t="shared" si="50"/>
        <v>0</v>
      </c>
      <c r="EP18" s="40"/>
    </row>
    <row r="19" spans="1:146" x14ac:dyDescent="0.25">
      <c r="A19" s="25">
        <f t="shared" si="51"/>
        <v>44509</v>
      </c>
      <c r="B19" s="40">
        <v>0</v>
      </c>
      <c r="D19" s="40">
        <f t="shared" si="0"/>
        <v>0</v>
      </c>
      <c r="G19" s="40">
        <f t="shared" si="1"/>
        <v>0</v>
      </c>
      <c r="J19" s="40">
        <f t="shared" si="2"/>
        <v>0</v>
      </c>
      <c r="M19" s="40">
        <f t="shared" si="3"/>
        <v>0</v>
      </c>
      <c r="P19" s="40">
        <f t="shared" si="4"/>
        <v>0</v>
      </c>
      <c r="S19" s="40">
        <f t="shared" si="5"/>
        <v>0</v>
      </c>
      <c r="V19" s="40">
        <f t="shared" si="6"/>
        <v>0</v>
      </c>
      <c r="Y19" s="40">
        <f t="shared" si="7"/>
        <v>0</v>
      </c>
      <c r="AB19" s="40">
        <f t="shared" si="8"/>
        <v>0</v>
      </c>
      <c r="AE19" s="40">
        <v>0</v>
      </c>
      <c r="AH19" s="40">
        <v>0</v>
      </c>
      <c r="AI19" s="73"/>
      <c r="AJ19" s="74"/>
      <c r="AK19" s="40">
        <f t="shared" si="9"/>
        <v>0</v>
      </c>
      <c r="AL19" s="73"/>
      <c r="AM19" s="74"/>
      <c r="AN19" s="40">
        <f t="shared" si="10"/>
        <v>0</v>
      </c>
      <c r="AO19" s="73"/>
      <c r="AP19" s="74"/>
      <c r="AQ19" s="40">
        <f t="shared" si="11"/>
        <v>0</v>
      </c>
      <c r="AR19" s="73"/>
      <c r="AS19" s="74"/>
      <c r="AT19" s="40">
        <f t="shared" si="12"/>
        <v>0</v>
      </c>
      <c r="AW19" s="40">
        <f t="shared" si="13"/>
        <v>0</v>
      </c>
      <c r="AZ19" s="40">
        <f t="shared" si="14"/>
        <v>0</v>
      </c>
      <c r="BC19" s="40">
        <f t="shared" si="15"/>
        <v>0</v>
      </c>
      <c r="BF19" s="40">
        <f t="shared" si="16"/>
        <v>0</v>
      </c>
      <c r="BI19" s="40">
        <f t="shared" si="17"/>
        <v>0</v>
      </c>
      <c r="BL19" s="40">
        <f t="shared" si="18"/>
        <v>0</v>
      </c>
      <c r="BO19" s="40">
        <f t="shared" si="19"/>
        <v>0</v>
      </c>
      <c r="BR19" s="40">
        <f t="shared" si="20"/>
        <v>0</v>
      </c>
      <c r="BU19" s="40">
        <f t="shared" si="21"/>
        <v>0</v>
      </c>
      <c r="BX19" s="40">
        <f t="shared" si="22"/>
        <v>0</v>
      </c>
      <c r="CA19" s="40">
        <f t="shared" si="23"/>
        <v>0</v>
      </c>
      <c r="CD19" s="40">
        <f t="shared" si="24"/>
        <v>0</v>
      </c>
      <c r="CG19" s="40">
        <f t="shared" si="25"/>
        <v>0</v>
      </c>
      <c r="CJ19" s="40">
        <f t="shared" si="26"/>
        <v>0</v>
      </c>
      <c r="CM19" s="40">
        <f t="shared" si="27"/>
        <v>0</v>
      </c>
      <c r="CP19" s="40">
        <f t="shared" si="28"/>
        <v>0</v>
      </c>
      <c r="CS19" s="40">
        <f t="shared" si="29"/>
        <v>0</v>
      </c>
      <c r="CV19" s="40">
        <f t="shared" si="30"/>
        <v>0</v>
      </c>
      <c r="CY19" s="40">
        <f t="shared" si="31"/>
        <v>0</v>
      </c>
      <c r="DB19" s="40">
        <f t="shared" si="32"/>
        <v>0</v>
      </c>
      <c r="DE19" s="40">
        <f t="shared" si="33"/>
        <v>0</v>
      </c>
      <c r="DH19" s="40">
        <f t="shared" si="34"/>
        <v>0</v>
      </c>
      <c r="DK19" s="40">
        <f t="shared" si="35"/>
        <v>0</v>
      </c>
      <c r="DN19" s="40">
        <f t="shared" si="36"/>
        <v>0</v>
      </c>
      <c r="DQ19" s="40">
        <f t="shared" si="37"/>
        <v>0</v>
      </c>
      <c r="DT19" s="40">
        <f t="shared" si="38"/>
        <v>0</v>
      </c>
      <c r="DW19" s="40">
        <f t="shared" si="39"/>
        <v>0</v>
      </c>
      <c r="DZ19" s="40"/>
      <c r="EA19" s="40"/>
      <c r="EB19" s="75">
        <f t="shared" si="40"/>
        <v>0</v>
      </c>
      <c r="EC19" s="75">
        <f t="shared" si="41"/>
        <v>0</v>
      </c>
      <c r="ED19" s="40">
        <f t="shared" si="42"/>
        <v>0</v>
      </c>
      <c r="EE19" s="41">
        <f t="shared" si="43"/>
        <v>0</v>
      </c>
      <c r="EG19" s="75">
        <f t="shared" si="44"/>
        <v>0</v>
      </c>
      <c r="EH19" s="40">
        <f t="shared" si="45"/>
        <v>0</v>
      </c>
      <c r="EI19" s="41">
        <f t="shared" si="46"/>
        <v>0</v>
      </c>
      <c r="EJ19" s="41"/>
      <c r="EK19" s="75">
        <f t="shared" si="47"/>
        <v>0</v>
      </c>
      <c r="EL19" s="75">
        <f t="shared" si="48"/>
        <v>0</v>
      </c>
      <c r="EM19" s="75">
        <f t="shared" si="49"/>
        <v>0</v>
      </c>
      <c r="EN19" s="41">
        <f t="shared" si="50"/>
        <v>0</v>
      </c>
      <c r="EP19" s="40"/>
    </row>
    <row r="20" spans="1:146" x14ac:dyDescent="0.25">
      <c r="A20" s="25">
        <f t="shared" si="51"/>
        <v>44510</v>
      </c>
      <c r="B20" s="40">
        <v>0</v>
      </c>
      <c r="D20" s="40">
        <f t="shared" si="0"/>
        <v>0</v>
      </c>
      <c r="G20" s="40">
        <f t="shared" si="1"/>
        <v>0</v>
      </c>
      <c r="J20" s="40">
        <f t="shared" si="2"/>
        <v>0</v>
      </c>
      <c r="M20" s="40">
        <f t="shared" si="3"/>
        <v>0</v>
      </c>
      <c r="P20" s="40">
        <f t="shared" si="4"/>
        <v>0</v>
      </c>
      <c r="S20" s="40">
        <f t="shared" si="5"/>
        <v>0</v>
      </c>
      <c r="V20" s="40">
        <f t="shared" si="6"/>
        <v>0</v>
      </c>
      <c r="Y20" s="40">
        <f t="shared" si="7"/>
        <v>0</v>
      </c>
      <c r="AB20" s="40">
        <f t="shared" si="8"/>
        <v>0</v>
      </c>
      <c r="AE20" s="40">
        <v>0</v>
      </c>
      <c r="AH20" s="40">
        <v>0</v>
      </c>
      <c r="AI20" s="73"/>
      <c r="AJ20" s="74"/>
      <c r="AK20" s="40">
        <f t="shared" si="9"/>
        <v>0</v>
      </c>
      <c r="AL20" s="73"/>
      <c r="AM20" s="74"/>
      <c r="AN20" s="40">
        <f t="shared" si="10"/>
        <v>0</v>
      </c>
      <c r="AO20" s="73"/>
      <c r="AP20" s="74"/>
      <c r="AQ20" s="40">
        <f t="shared" si="11"/>
        <v>0</v>
      </c>
      <c r="AR20" s="73"/>
      <c r="AS20" s="74"/>
      <c r="AT20" s="40">
        <f t="shared" si="12"/>
        <v>0</v>
      </c>
      <c r="AW20" s="40">
        <f t="shared" si="13"/>
        <v>0</v>
      </c>
      <c r="AZ20" s="40">
        <f t="shared" si="14"/>
        <v>0</v>
      </c>
      <c r="BC20" s="40">
        <f t="shared" si="15"/>
        <v>0</v>
      </c>
      <c r="BF20" s="40">
        <f t="shared" si="16"/>
        <v>0</v>
      </c>
      <c r="BI20" s="40">
        <f t="shared" si="17"/>
        <v>0</v>
      </c>
      <c r="BL20" s="40">
        <f t="shared" si="18"/>
        <v>0</v>
      </c>
      <c r="BO20" s="40">
        <f t="shared" si="19"/>
        <v>0</v>
      </c>
      <c r="BR20" s="40">
        <f t="shared" si="20"/>
        <v>0</v>
      </c>
      <c r="BU20" s="40">
        <f t="shared" si="21"/>
        <v>0</v>
      </c>
      <c r="BX20" s="40">
        <f t="shared" si="22"/>
        <v>0</v>
      </c>
      <c r="CA20" s="40">
        <f t="shared" si="23"/>
        <v>0</v>
      </c>
      <c r="CD20" s="40">
        <f t="shared" si="24"/>
        <v>0</v>
      </c>
      <c r="CG20" s="40">
        <f t="shared" si="25"/>
        <v>0</v>
      </c>
      <c r="CJ20" s="40">
        <f t="shared" si="26"/>
        <v>0</v>
      </c>
      <c r="CM20" s="40">
        <f t="shared" si="27"/>
        <v>0</v>
      </c>
      <c r="CP20" s="40">
        <f t="shared" si="28"/>
        <v>0</v>
      </c>
      <c r="CS20" s="40">
        <f t="shared" si="29"/>
        <v>0</v>
      </c>
      <c r="CV20" s="40">
        <f t="shared" si="30"/>
        <v>0</v>
      </c>
      <c r="CY20" s="40">
        <f t="shared" si="31"/>
        <v>0</v>
      </c>
      <c r="DB20" s="40">
        <f t="shared" si="32"/>
        <v>0</v>
      </c>
      <c r="DE20" s="40">
        <f t="shared" si="33"/>
        <v>0</v>
      </c>
      <c r="DH20" s="40">
        <f t="shared" si="34"/>
        <v>0</v>
      </c>
      <c r="DK20" s="40">
        <f t="shared" si="35"/>
        <v>0</v>
      </c>
      <c r="DN20" s="40">
        <f t="shared" si="36"/>
        <v>0</v>
      </c>
      <c r="DQ20" s="40">
        <f t="shared" si="37"/>
        <v>0</v>
      </c>
      <c r="DT20" s="40">
        <f t="shared" si="38"/>
        <v>0</v>
      </c>
      <c r="DW20" s="40">
        <f t="shared" si="39"/>
        <v>0</v>
      </c>
      <c r="DZ20" s="40"/>
      <c r="EA20" s="40"/>
      <c r="EB20" s="75">
        <f t="shared" si="40"/>
        <v>0</v>
      </c>
      <c r="EC20" s="75">
        <f t="shared" si="41"/>
        <v>0</v>
      </c>
      <c r="ED20" s="40">
        <f t="shared" si="42"/>
        <v>0</v>
      </c>
      <c r="EE20" s="41">
        <f t="shared" si="43"/>
        <v>0</v>
      </c>
      <c r="EG20" s="75">
        <f t="shared" si="44"/>
        <v>0</v>
      </c>
      <c r="EH20" s="40">
        <f t="shared" si="45"/>
        <v>0</v>
      </c>
      <c r="EI20" s="41">
        <f t="shared" si="46"/>
        <v>0</v>
      </c>
      <c r="EJ20" s="41"/>
      <c r="EK20" s="75">
        <f t="shared" si="47"/>
        <v>0</v>
      </c>
      <c r="EL20" s="75">
        <f t="shared" si="48"/>
        <v>0</v>
      </c>
      <c r="EM20" s="75">
        <f t="shared" si="49"/>
        <v>0</v>
      </c>
      <c r="EN20" s="41">
        <f t="shared" si="50"/>
        <v>0</v>
      </c>
      <c r="EP20" s="40"/>
    </row>
    <row r="21" spans="1:146" x14ac:dyDescent="0.25">
      <c r="A21" s="25">
        <f t="shared" si="51"/>
        <v>44511</v>
      </c>
      <c r="B21" s="40">
        <v>0</v>
      </c>
      <c r="D21" s="40">
        <f t="shared" si="0"/>
        <v>0</v>
      </c>
      <c r="G21" s="40">
        <f t="shared" si="1"/>
        <v>0</v>
      </c>
      <c r="J21" s="40">
        <f t="shared" si="2"/>
        <v>0</v>
      </c>
      <c r="M21" s="40">
        <f t="shared" si="3"/>
        <v>0</v>
      </c>
      <c r="P21" s="40">
        <f t="shared" si="4"/>
        <v>0</v>
      </c>
      <c r="S21" s="40">
        <f t="shared" si="5"/>
        <v>0</v>
      </c>
      <c r="V21" s="40">
        <f t="shared" si="6"/>
        <v>0</v>
      </c>
      <c r="Y21" s="40">
        <f t="shared" si="7"/>
        <v>0</v>
      </c>
      <c r="AB21" s="40">
        <f t="shared" si="8"/>
        <v>0</v>
      </c>
      <c r="AE21" s="40">
        <v>0</v>
      </c>
      <c r="AH21" s="40">
        <v>0</v>
      </c>
      <c r="AI21" s="73"/>
      <c r="AJ21" s="74"/>
      <c r="AK21" s="40">
        <f t="shared" si="9"/>
        <v>0</v>
      </c>
      <c r="AL21" s="73"/>
      <c r="AM21" s="74"/>
      <c r="AN21" s="40">
        <f t="shared" si="10"/>
        <v>0</v>
      </c>
      <c r="AO21" s="73"/>
      <c r="AP21" s="74"/>
      <c r="AQ21" s="40">
        <f t="shared" si="11"/>
        <v>0</v>
      </c>
      <c r="AR21" s="73"/>
      <c r="AS21" s="74"/>
      <c r="AT21" s="40">
        <f t="shared" si="12"/>
        <v>0</v>
      </c>
      <c r="AW21" s="40">
        <f t="shared" si="13"/>
        <v>0</v>
      </c>
      <c r="AZ21" s="40">
        <f t="shared" si="14"/>
        <v>0</v>
      </c>
      <c r="BC21" s="40">
        <f t="shared" si="15"/>
        <v>0</v>
      </c>
      <c r="BF21" s="40">
        <f t="shared" si="16"/>
        <v>0</v>
      </c>
      <c r="BI21" s="40">
        <f t="shared" si="17"/>
        <v>0</v>
      </c>
      <c r="BL21" s="40">
        <f t="shared" si="18"/>
        <v>0</v>
      </c>
      <c r="BO21" s="40">
        <f t="shared" si="19"/>
        <v>0</v>
      </c>
      <c r="BR21" s="40">
        <f t="shared" si="20"/>
        <v>0</v>
      </c>
      <c r="BU21" s="40">
        <f t="shared" si="21"/>
        <v>0</v>
      </c>
      <c r="BX21" s="40">
        <f t="shared" si="22"/>
        <v>0</v>
      </c>
      <c r="CA21" s="40">
        <f t="shared" si="23"/>
        <v>0</v>
      </c>
      <c r="CD21" s="40">
        <f t="shared" si="24"/>
        <v>0</v>
      </c>
      <c r="CG21" s="40">
        <f t="shared" si="25"/>
        <v>0</v>
      </c>
      <c r="CJ21" s="40">
        <f t="shared" si="26"/>
        <v>0</v>
      </c>
      <c r="CM21" s="40">
        <f t="shared" si="27"/>
        <v>0</v>
      </c>
      <c r="CP21" s="40">
        <f t="shared" si="28"/>
        <v>0</v>
      </c>
      <c r="CS21" s="40">
        <f t="shared" si="29"/>
        <v>0</v>
      </c>
      <c r="CV21" s="40">
        <f t="shared" si="30"/>
        <v>0</v>
      </c>
      <c r="CY21" s="40">
        <f t="shared" si="31"/>
        <v>0</v>
      </c>
      <c r="DB21" s="40">
        <f t="shared" si="32"/>
        <v>0</v>
      </c>
      <c r="DE21" s="40">
        <f t="shared" si="33"/>
        <v>0</v>
      </c>
      <c r="DH21" s="40">
        <f t="shared" si="34"/>
        <v>0</v>
      </c>
      <c r="DK21" s="40">
        <f t="shared" si="35"/>
        <v>0</v>
      </c>
      <c r="DN21" s="40">
        <f t="shared" si="36"/>
        <v>0</v>
      </c>
      <c r="DQ21" s="40">
        <f t="shared" si="37"/>
        <v>0</v>
      </c>
      <c r="DT21" s="40">
        <f t="shared" si="38"/>
        <v>0</v>
      </c>
      <c r="DW21" s="40">
        <f t="shared" si="39"/>
        <v>0</v>
      </c>
      <c r="DZ21" s="40"/>
      <c r="EA21" s="40"/>
      <c r="EB21" s="75">
        <f t="shared" si="40"/>
        <v>0</v>
      </c>
      <c r="EC21" s="75">
        <f t="shared" si="41"/>
        <v>0</v>
      </c>
      <c r="ED21" s="40">
        <f t="shared" si="42"/>
        <v>0</v>
      </c>
      <c r="EE21" s="41">
        <f t="shared" si="43"/>
        <v>0</v>
      </c>
      <c r="EG21" s="75">
        <f t="shared" si="44"/>
        <v>0</v>
      </c>
      <c r="EH21" s="40">
        <f t="shared" si="45"/>
        <v>0</v>
      </c>
      <c r="EI21" s="41">
        <f t="shared" si="46"/>
        <v>0</v>
      </c>
      <c r="EJ21" s="41"/>
      <c r="EK21" s="75">
        <f t="shared" si="47"/>
        <v>0</v>
      </c>
      <c r="EL21" s="75">
        <f t="shared" si="48"/>
        <v>0</v>
      </c>
      <c r="EM21" s="75">
        <f t="shared" si="49"/>
        <v>0</v>
      </c>
      <c r="EN21" s="41">
        <f t="shared" si="50"/>
        <v>0</v>
      </c>
      <c r="EP21" s="40"/>
    </row>
    <row r="22" spans="1:146" x14ac:dyDescent="0.25">
      <c r="A22" s="25">
        <f t="shared" si="51"/>
        <v>44512</v>
      </c>
      <c r="B22" s="40">
        <v>0</v>
      </c>
      <c r="D22" s="40">
        <f t="shared" si="0"/>
        <v>0</v>
      </c>
      <c r="G22" s="40">
        <f t="shared" si="1"/>
        <v>0</v>
      </c>
      <c r="J22" s="40">
        <f t="shared" si="2"/>
        <v>0</v>
      </c>
      <c r="M22" s="40">
        <f t="shared" si="3"/>
        <v>0</v>
      </c>
      <c r="P22" s="40">
        <f t="shared" si="4"/>
        <v>0</v>
      </c>
      <c r="S22" s="40">
        <f t="shared" si="5"/>
        <v>0</v>
      </c>
      <c r="V22" s="40">
        <f t="shared" si="6"/>
        <v>0</v>
      </c>
      <c r="Y22" s="40">
        <f t="shared" si="7"/>
        <v>0</v>
      </c>
      <c r="AB22" s="40">
        <f t="shared" si="8"/>
        <v>0</v>
      </c>
      <c r="AE22" s="40">
        <v>0</v>
      </c>
      <c r="AH22" s="40">
        <v>0</v>
      </c>
      <c r="AI22" s="73">
        <v>10875000</v>
      </c>
      <c r="AJ22" s="74">
        <v>1.5E-3</v>
      </c>
      <c r="AK22" s="40">
        <f t="shared" si="9"/>
        <v>45.3125</v>
      </c>
      <c r="AL22" s="73"/>
      <c r="AM22" s="74"/>
      <c r="AN22" s="40">
        <f t="shared" si="10"/>
        <v>0</v>
      </c>
      <c r="AO22" s="73"/>
      <c r="AP22" s="74"/>
      <c r="AQ22" s="40">
        <f t="shared" si="11"/>
        <v>0</v>
      </c>
      <c r="AR22" s="73"/>
      <c r="AS22" s="74"/>
      <c r="AT22" s="40">
        <f t="shared" si="12"/>
        <v>0</v>
      </c>
      <c r="AW22" s="40">
        <f t="shared" si="13"/>
        <v>0</v>
      </c>
      <c r="AZ22" s="40">
        <f t="shared" si="14"/>
        <v>0</v>
      </c>
      <c r="BC22" s="40">
        <f t="shared" si="15"/>
        <v>0</v>
      </c>
      <c r="BF22" s="40">
        <f t="shared" si="16"/>
        <v>0</v>
      </c>
      <c r="BI22" s="40">
        <f t="shared" si="17"/>
        <v>0</v>
      </c>
      <c r="BL22" s="40">
        <f t="shared" si="18"/>
        <v>0</v>
      </c>
      <c r="BO22" s="40">
        <f t="shared" si="19"/>
        <v>0</v>
      </c>
      <c r="BR22" s="40">
        <f t="shared" si="20"/>
        <v>0</v>
      </c>
      <c r="BU22" s="40">
        <f t="shared" si="21"/>
        <v>0</v>
      </c>
      <c r="BX22" s="40">
        <f t="shared" si="22"/>
        <v>0</v>
      </c>
      <c r="CA22" s="40">
        <f t="shared" si="23"/>
        <v>0</v>
      </c>
      <c r="CD22" s="40">
        <f t="shared" si="24"/>
        <v>0</v>
      </c>
      <c r="CG22" s="40">
        <f t="shared" si="25"/>
        <v>0</v>
      </c>
      <c r="CJ22" s="40">
        <f t="shared" si="26"/>
        <v>0</v>
      </c>
      <c r="CM22" s="40">
        <f t="shared" si="27"/>
        <v>0</v>
      </c>
      <c r="CP22" s="40">
        <f t="shared" si="28"/>
        <v>0</v>
      </c>
      <c r="CS22" s="40">
        <f t="shared" si="29"/>
        <v>0</v>
      </c>
      <c r="CV22" s="40">
        <f t="shared" si="30"/>
        <v>0</v>
      </c>
      <c r="CY22" s="40">
        <f t="shared" si="31"/>
        <v>0</v>
      </c>
      <c r="DB22" s="40">
        <f t="shared" si="32"/>
        <v>0</v>
      </c>
      <c r="DE22" s="40">
        <f t="shared" si="33"/>
        <v>0</v>
      </c>
      <c r="DH22" s="40">
        <f t="shared" si="34"/>
        <v>0</v>
      </c>
      <c r="DK22" s="40">
        <f t="shared" si="35"/>
        <v>0</v>
      </c>
      <c r="DN22" s="40">
        <f t="shared" si="36"/>
        <v>0</v>
      </c>
      <c r="DQ22" s="40">
        <f t="shared" si="37"/>
        <v>0</v>
      </c>
      <c r="DT22" s="40">
        <f t="shared" si="38"/>
        <v>0</v>
      </c>
      <c r="DW22" s="40">
        <f t="shared" si="39"/>
        <v>0</v>
      </c>
      <c r="DZ22" s="40"/>
      <c r="EA22" s="40"/>
      <c r="EB22" s="75">
        <f t="shared" si="40"/>
        <v>10875000</v>
      </c>
      <c r="EC22" s="75">
        <f t="shared" si="41"/>
        <v>0</v>
      </c>
      <c r="ED22" s="40">
        <f t="shared" si="42"/>
        <v>45.3125</v>
      </c>
      <c r="EE22" s="41">
        <f t="shared" si="43"/>
        <v>1.5E-3</v>
      </c>
      <c r="EG22" s="75">
        <f t="shared" si="44"/>
        <v>0</v>
      </c>
      <c r="EH22" s="40">
        <f t="shared" si="45"/>
        <v>0</v>
      </c>
      <c r="EI22" s="41">
        <f t="shared" si="46"/>
        <v>0</v>
      </c>
      <c r="EJ22" s="41"/>
      <c r="EK22" s="75">
        <f t="shared" si="47"/>
        <v>10875000</v>
      </c>
      <c r="EL22" s="75">
        <f t="shared" si="48"/>
        <v>0</v>
      </c>
      <c r="EM22" s="75">
        <f t="shared" si="49"/>
        <v>45.3125</v>
      </c>
      <c r="EN22" s="41">
        <f t="shared" si="50"/>
        <v>1.5E-3</v>
      </c>
      <c r="EP22" s="40"/>
    </row>
    <row r="23" spans="1:146" x14ac:dyDescent="0.25">
      <c r="A23" s="25">
        <f t="shared" si="51"/>
        <v>44513</v>
      </c>
      <c r="B23" s="40">
        <v>0</v>
      </c>
      <c r="D23" s="40">
        <f t="shared" si="0"/>
        <v>0</v>
      </c>
      <c r="G23" s="40">
        <f t="shared" si="1"/>
        <v>0</v>
      </c>
      <c r="J23" s="40">
        <f t="shared" si="2"/>
        <v>0</v>
      </c>
      <c r="M23" s="40">
        <f t="shared" si="3"/>
        <v>0</v>
      </c>
      <c r="P23" s="40">
        <f t="shared" si="4"/>
        <v>0</v>
      </c>
      <c r="S23" s="40">
        <f t="shared" si="5"/>
        <v>0</v>
      </c>
      <c r="V23" s="40">
        <f t="shared" si="6"/>
        <v>0</v>
      </c>
      <c r="Y23" s="40">
        <f t="shared" si="7"/>
        <v>0</v>
      </c>
      <c r="AB23" s="40">
        <f t="shared" si="8"/>
        <v>0</v>
      </c>
      <c r="AE23" s="40">
        <v>0</v>
      </c>
      <c r="AH23" s="40">
        <v>0</v>
      </c>
      <c r="AI23" s="73">
        <v>10875000</v>
      </c>
      <c r="AJ23" s="74">
        <v>1.5E-3</v>
      </c>
      <c r="AK23" s="40">
        <f t="shared" si="9"/>
        <v>45.3125</v>
      </c>
      <c r="AL23" s="73"/>
      <c r="AM23" s="74"/>
      <c r="AN23" s="40">
        <f t="shared" si="10"/>
        <v>0</v>
      </c>
      <c r="AO23" s="73"/>
      <c r="AP23" s="74"/>
      <c r="AQ23" s="40">
        <f t="shared" si="11"/>
        <v>0</v>
      </c>
      <c r="AR23" s="73"/>
      <c r="AS23" s="74"/>
      <c r="AT23" s="40">
        <f t="shared" si="12"/>
        <v>0</v>
      </c>
      <c r="AW23" s="40">
        <f t="shared" si="13"/>
        <v>0</v>
      </c>
      <c r="AZ23" s="40">
        <f t="shared" si="14"/>
        <v>0</v>
      </c>
      <c r="BC23" s="40">
        <f t="shared" si="15"/>
        <v>0</v>
      </c>
      <c r="BF23" s="40">
        <f t="shared" si="16"/>
        <v>0</v>
      </c>
      <c r="BI23" s="40">
        <f t="shared" si="17"/>
        <v>0</v>
      </c>
      <c r="BL23" s="40">
        <f t="shared" si="18"/>
        <v>0</v>
      </c>
      <c r="BO23" s="40">
        <f t="shared" si="19"/>
        <v>0</v>
      </c>
      <c r="BR23" s="40">
        <f t="shared" si="20"/>
        <v>0</v>
      </c>
      <c r="BU23" s="40">
        <f t="shared" si="21"/>
        <v>0</v>
      </c>
      <c r="BX23" s="40">
        <f t="shared" si="22"/>
        <v>0</v>
      </c>
      <c r="CA23" s="40">
        <f t="shared" si="23"/>
        <v>0</v>
      </c>
      <c r="CD23" s="40">
        <f t="shared" si="24"/>
        <v>0</v>
      </c>
      <c r="CG23" s="40">
        <f t="shared" si="25"/>
        <v>0</v>
      </c>
      <c r="CJ23" s="40">
        <f t="shared" si="26"/>
        <v>0</v>
      </c>
      <c r="CM23" s="40">
        <f t="shared" si="27"/>
        <v>0</v>
      </c>
      <c r="CP23" s="40">
        <f t="shared" si="28"/>
        <v>0</v>
      </c>
      <c r="CS23" s="40">
        <f t="shared" si="29"/>
        <v>0</v>
      </c>
      <c r="CV23" s="40">
        <f t="shared" si="30"/>
        <v>0</v>
      </c>
      <c r="CY23" s="40">
        <f t="shared" si="31"/>
        <v>0</v>
      </c>
      <c r="DB23" s="40">
        <f t="shared" si="32"/>
        <v>0</v>
      </c>
      <c r="DE23" s="40">
        <f t="shared" si="33"/>
        <v>0</v>
      </c>
      <c r="DH23" s="40">
        <f t="shared" si="34"/>
        <v>0</v>
      </c>
      <c r="DK23" s="40">
        <f t="shared" si="35"/>
        <v>0</v>
      </c>
      <c r="DN23" s="40">
        <f t="shared" si="36"/>
        <v>0</v>
      </c>
      <c r="DQ23" s="40">
        <f t="shared" si="37"/>
        <v>0</v>
      </c>
      <c r="DT23" s="40">
        <f t="shared" si="38"/>
        <v>0</v>
      </c>
      <c r="DW23" s="40">
        <f t="shared" si="39"/>
        <v>0</v>
      </c>
      <c r="DZ23" s="40"/>
      <c r="EA23" s="40"/>
      <c r="EB23" s="75">
        <f t="shared" si="40"/>
        <v>10875000</v>
      </c>
      <c r="EC23" s="75">
        <f t="shared" si="41"/>
        <v>0</v>
      </c>
      <c r="ED23" s="40">
        <f t="shared" si="42"/>
        <v>45.3125</v>
      </c>
      <c r="EE23" s="41">
        <f t="shared" si="43"/>
        <v>1.5E-3</v>
      </c>
      <c r="EG23" s="75">
        <f t="shared" si="44"/>
        <v>0</v>
      </c>
      <c r="EH23" s="40">
        <f t="shared" si="45"/>
        <v>0</v>
      </c>
      <c r="EI23" s="41">
        <f t="shared" si="46"/>
        <v>0</v>
      </c>
      <c r="EJ23" s="41"/>
      <c r="EK23" s="75">
        <f t="shared" si="47"/>
        <v>10875000</v>
      </c>
      <c r="EL23" s="75">
        <f t="shared" si="48"/>
        <v>0</v>
      </c>
      <c r="EM23" s="75">
        <f t="shared" si="49"/>
        <v>45.3125</v>
      </c>
      <c r="EN23" s="41">
        <f t="shared" si="50"/>
        <v>1.5E-3</v>
      </c>
      <c r="EP23" s="40"/>
    </row>
    <row r="24" spans="1:146" x14ac:dyDescent="0.25">
      <c r="A24" s="25">
        <f t="shared" si="51"/>
        <v>44514</v>
      </c>
      <c r="B24" s="40">
        <v>0</v>
      </c>
      <c r="D24" s="40">
        <f t="shared" si="0"/>
        <v>0</v>
      </c>
      <c r="G24" s="40">
        <f t="shared" si="1"/>
        <v>0</v>
      </c>
      <c r="J24" s="40">
        <f t="shared" si="2"/>
        <v>0</v>
      </c>
      <c r="M24" s="40">
        <f t="shared" si="3"/>
        <v>0</v>
      </c>
      <c r="P24" s="40">
        <f t="shared" si="4"/>
        <v>0</v>
      </c>
      <c r="S24" s="40">
        <f t="shared" si="5"/>
        <v>0</v>
      </c>
      <c r="V24" s="40">
        <f t="shared" si="6"/>
        <v>0</v>
      </c>
      <c r="Y24" s="40">
        <f t="shared" si="7"/>
        <v>0</v>
      </c>
      <c r="AB24" s="40">
        <f t="shared" si="8"/>
        <v>0</v>
      </c>
      <c r="AE24" s="40">
        <v>0</v>
      </c>
      <c r="AH24" s="40">
        <v>0</v>
      </c>
      <c r="AI24" s="73">
        <v>10875000</v>
      </c>
      <c r="AJ24" s="74">
        <v>1.5E-3</v>
      </c>
      <c r="AK24" s="40">
        <f t="shared" si="9"/>
        <v>45.3125</v>
      </c>
      <c r="AL24" s="73"/>
      <c r="AM24" s="74"/>
      <c r="AN24" s="40">
        <f t="shared" si="10"/>
        <v>0</v>
      </c>
      <c r="AO24" s="73"/>
      <c r="AP24" s="74"/>
      <c r="AQ24" s="40">
        <f t="shared" si="11"/>
        <v>0</v>
      </c>
      <c r="AR24" s="73"/>
      <c r="AS24" s="74"/>
      <c r="AT24" s="40">
        <f t="shared" si="12"/>
        <v>0</v>
      </c>
      <c r="AW24" s="40">
        <f t="shared" si="13"/>
        <v>0</v>
      </c>
      <c r="AZ24" s="40">
        <f t="shared" si="14"/>
        <v>0</v>
      </c>
      <c r="BC24" s="40">
        <f t="shared" si="15"/>
        <v>0</v>
      </c>
      <c r="BF24" s="40">
        <f t="shared" si="16"/>
        <v>0</v>
      </c>
      <c r="BI24" s="40">
        <f t="shared" si="17"/>
        <v>0</v>
      </c>
      <c r="BL24" s="40">
        <f t="shared" si="18"/>
        <v>0</v>
      </c>
      <c r="BO24" s="40">
        <f t="shared" si="19"/>
        <v>0</v>
      </c>
      <c r="BR24" s="40">
        <f t="shared" si="20"/>
        <v>0</v>
      </c>
      <c r="BU24" s="40">
        <f t="shared" si="21"/>
        <v>0</v>
      </c>
      <c r="BX24" s="40">
        <f t="shared" si="22"/>
        <v>0</v>
      </c>
      <c r="CA24" s="40">
        <f t="shared" si="23"/>
        <v>0</v>
      </c>
      <c r="CD24" s="40">
        <f t="shared" si="24"/>
        <v>0</v>
      </c>
      <c r="CG24" s="40">
        <f t="shared" si="25"/>
        <v>0</v>
      </c>
      <c r="CJ24" s="40">
        <f t="shared" si="26"/>
        <v>0</v>
      </c>
      <c r="CM24" s="40">
        <f t="shared" si="27"/>
        <v>0</v>
      </c>
      <c r="CP24" s="40">
        <f t="shared" si="28"/>
        <v>0</v>
      </c>
      <c r="CS24" s="40">
        <f t="shared" si="29"/>
        <v>0</v>
      </c>
      <c r="CV24" s="40">
        <f t="shared" si="30"/>
        <v>0</v>
      </c>
      <c r="CY24" s="40">
        <f t="shared" si="31"/>
        <v>0</v>
      </c>
      <c r="DB24" s="40">
        <f t="shared" si="32"/>
        <v>0</v>
      </c>
      <c r="DE24" s="40">
        <f t="shared" si="33"/>
        <v>0</v>
      </c>
      <c r="DH24" s="40">
        <f t="shared" si="34"/>
        <v>0</v>
      </c>
      <c r="DK24" s="40">
        <f t="shared" si="35"/>
        <v>0</v>
      </c>
      <c r="DN24" s="40">
        <f t="shared" si="36"/>
        <v>0</v>
      </c>
      <c r="DQ24" s="40">
        <f t="shared" si="37"/>
        <v>0</v>
      </c>
      <c r="DT24" s="40">
        <f t="shared" si="38"/>
        <v>0</v>
      </c>
      <c r="DW24" s="40">
        <f t="shared" si="39"/>
        <v>0</v>
      </c>
      <c r="DZ24" s="40"/>
      <c r="EA24" s="40"/>
      <c r="EB24" s="75">
        <f t="shared" si="40"/>
        <v>10875000</v>
      </c>
      <c r="EC24" s="75">
        <f t="shared" si="41"/>
        <v>0</v>
      </c>
      <c r="ED24" s="40">
        <f t="shared" si="42"/>
        <v>45.3125</v>
      </c>
      <c r="EE24" s="41">
        <f t="shared" si="43"/>
        <v>1.5E-3</v>
      </c>
      <c r="EG24" s="75">
        <f t="shared" si="44"/>
        <v>0</v>
      </c>
      <c r="EH24" s="40">
        <f t="shared" si="45"/>
        <v>0</v>
      </c>
      <c r="EI24" s="41">
        <f t="shared" si="46"/>
        <v>0</v>
      </c>
      <c r="EJ24" s="41"/>
      <c r="EK24" s="75">
        <f t="shared" si="47"/>
        <v>10875000</v>
      </c>
      <c r="EL24" s="75">
        <f t="shared" si="48"/>
        <v>0</v>
      </c>
      <c r="EM24" s="75">
        <f t="shared" si="49"/>
        <v>45.3125</v>
      </c>
      <c r="EN24" s="41">
        <f t="shared" si="50"/>
        <v>1.5E-3</v>
      </c>
      <c r="EP24" s="40"/>
    </row>
    <row r="25" spans="1:146" x14ac:dyDescent="0.25">
      <c r="A25" s="25">
        <f t="shared" si="51"/>
        <v>44515</v>
      </c>
      <c r="B25" s="40">
        <v>0</v>
      </c>
      <c r="D25" s="40">
        <f t="shared" si="0"/>
        <v>0</v>
      </c>
      <c r="G25" s="40">
        <f t="shared" si="1"/>
        <v>0</v>
      </c>
      <c r="J25" s="40">
        <f t="shared" si="2"/>
        <v>0</v>
      </c>
      <c r="M25" s="40">
        <f t="shared" si="3"/>
        <v>0</v>
      </c>
      <c r="P25" s="40">
        <f t="shared" si="4"/>
        <v>0</v>
      </c>
      <c r="S25" s="40">
        <f t="shared" si="5"/>
        <v>0</v>
      </c>
      <c r="V25" s="40">
        <f t="shared" si="6"/>
        <v>0</v>
      </c>
      <c r="Y25" s="40">
        <f t="shared" si="7"/>
        <v>0</v>
      </c>
      <c r="AB25" s="40">
        <f t="shared" si="8"/>
        <v>0</v>
      </c>
      <c r="AE25" s="40">
        <v>0</v>
      </c>
      <c r="AH25" s="40">
        <v>0</v>
      </c>
      <c r="AI25" s="73"/>
      <c r="AJ25" s="74"/>
      <c r="AK25" s="40">
        <f t="shared" si="9"/>
        <v>0</v>
      </c>
      <c r="AL25" s="73">
        <v>21500000</v>
      </c>
      <c r="AM25" s="74">
        <v>1.6000000000000001E-3</v>
      </c>
      <c r="AN25" s="40">
        <f t="shared" si="10"/>
        <v>95.555555555555557</v>
      </c>
      <c r="AO25" s="73"/>
      <c r="AP25" s="74"/>
      <c r="AQ25" s="40">
        <f t="shared" si="11"/>
        <v>0</v>
      </c>
      <c r="AR25" s="73"/>
      <c r="AS25" s="74"/>
      <c r="AT25" s="40">
        <f t="shared" si="12"/>
        <v>0</v>
      </c>
      <c r="AW25" s="40">
        <f t="shared" si="13"/>
        <v>0</v>
      </c>
      <c r="AZ25" s="40">
        <f t="shared" si="14"/>
        <v>0</v>
      </c>
      <c r="BC25" s="40">
        <f t="shared" si="15"/>
        <v>0</v>
      </c>
      <c r="BF25" s="40">
        <f t="shared" si="16"/>
        <v>0</v>
      </c>
      <c r="BI25" s="40">
        <f t="shared" si="17"/>
        <v>0</v>
      </c>
      <c r="BL25" s="40">
        <f t="shared" si="18"/>
        <v>0</v>
      </c>
      <c r="BO25" s="40">
        <f t="shared" si="19"/>
        <v>0</v>
      </c>
      <c r="BR25" s="40">
        <f t="shared" si="20"/>
        <v>0</v>
      </c>
      <c r="BU25" s="40">
        <f t="shared" si="21"/>
        <v>0</v>
      </c>
      <c r="BX25" s="40">
        <f t="shared" si="22"/>
        <v>0</v>
      </c>
      <c r="CA25" s="40">
        <f t="shared" si="23"/>
        <v>0</v>
      </c>
      <c r="CD25" s="40">
        <f t="shared" si="24"/>
        <v>0</v>
      </c>
      <c r="CG25" s="40">
        <f t="shared" si="25"/>
        <v>0</v>
      </c>
      <c r="CJ25" s="40">
        <f t="shared" si="26"/>
        <v>0</v>
      </c>
      <c r="CM25" s="40">
        <f t="shared" si="27"/>
        <v>0</v>
      </c>
      <c r="CP25" s="40">
        <f t="shared" si="28"/>
        <v>0</v>
      </c>
      <c r="CS25" s="40">
        <f t="shared" si="29"/>
        <v>0</v>
      </c>
      <c r="CV25" s="40">
        <f t="shared" si="30"/>
        <v>0</v>
      </c>
      <c r="CY25" s="40">
        <f t="shared" si="31"/>
        <v>0</v>
      </c>
      <c r="DB25" s="40">
        <f t="shared" si="32"/>
        <v>0</v>
      </c>
      <c r="DE25" s="40">
        <f t="shared" si="33"/>
        <v>0</v>
      </c>
      <c r="DH25" s="40">
        <f t="shared" si="34"/>
        <v>0</v>
      </c>
      <c r="DK25" s="40">
        <f t="shared" si="35"/>
        <v>0</v>
      </c>
      <c r="DN25" s="40">
        <f t="shared" si="36"/>
        <v>0</v>
      </c>
      <c r="DQ25" s="40">
        <f t="shared" si="37"/>
        <v>0</v>
      </c>
      <c r="DT25" s="40">
        <f t="shared" si="38"/>
        <v>0</v>
      </c>
      <c r="DW25" s="40">
        <f t="shared" si="39"/>
        <v>0</v>
      </c>
      <c r="DZ25" s="40"/>
      <c r="EA25" s="40"/>
      <c r="EB25" s="75">
        <f t="shared" si="40"/>
        <v>21500000</v>
      </c>
      <c r="EC25" s="75">
        <f t="shared" si="41"/>
        <v>0</v>
      </c>
      <c r="ED25" s="40">
        <f t="shared" si="42"/>
        <v>95.555555555555557</v>
      </c>
      <c r="EE25" s="41">
        <f t="shared" si="43"/>
        <v>1.5999999999999999E-3</v>
      </c>
      <c r="EG25" s="75">
        <f t="shared" si="44"/>
        <v>0</v>
      </c>
      <c r="EH25" s="40">
        <f t="shared" si="45"/>
        <v>0</v>
      </c>
      <c r="EI25" s="41">
        <f t="shared" si="46"/>
        <v>0</v>
      </c>
      <c r="EJ25" s="41"/>
      <c r="EK25" s="75">
        <f t="shared" si="47"/>
        <v>21500000</v>
      </c>
      <c r="EL25" s="75">
        <f t="shared" si="48"/>
        <v>0</v>
      </c>
      <c r="EM25" s="75">
        <f t="shared" si="49"/>
        <v>95.555555555555557</v>
      </c>
      <c r="EN25" s="41">
        <f t="shared" si="50"/>
        <v>1.5999999999999999E-3</v>
      </c>
      <c r="EP25" s="40"/>
    </row>
    <row r="26" spans="1:146" x14ac:dyDescent="0.25">
      <c r="A26" s="25">
        <f t="shared" si="51"/>
        <v>44516</v>
      </c>
      <c r="B26" s="40">
        <v>0</v>
      </c>
      <c r="D26" s="40">
        <f t="shared" si="0"/>
        <v>0</v>
      </c>
      <c r="G26" s="40">
        <f t="shared" si="1"/>
        <v>0</v>
      </c>
      <c r="J26" s="40">
        <f t="shared" si="2"/>
        <v>0</v>
      </c>
      <c r="M26" s="40">
        <f t="shared" si="3"/>
        <v>0</v>
      </c>
      <c r="P26" s="40">
        <f t="shared" si="4"/>
        <v>0</v>
      </c>
      <c r="S26" s="40">
        <f t="shared" si="5"/>
        <v>0</v>
      </c>
      <c r="V26" s="40">
        <f t="shared" si="6"/>
        <v>0</v>
      </c>
      <c r="Y26" s="40">
        <f t="shared" si="7"/>
        <v>0</v>
      </c>
      <c r="AB26" s="40">
        <f t="shared" si="8"/>
        <v>0</v>
      </c>
      <c r="AE26" s="40">
        <v>0</v>
      </c>
      <c r="AH26" s="40">
        <v>0</v>
      </c>
      <c r="AI26" s="73"/>
      <c r="AJ26" s="74"/>
      <c r="AK26" s="40">
        <f t="shared" si="9"/>
        <v>0</v>
      </c>
      <c r="AL26" s="73">
        <v>21500000</v>
      </c>
      <c r="AM26" s="74">
        <v>1.6000000000000001E-3</v>
      </c>
      <c r="AN26" s="40">
        <f t="shared" si="10"/>
        <v>95.555555555555557</v>
      </c>
      <c r="AO26" s="73"/>
      <c r="AP26" s="74"/>
      <c r="AQ26" s="40">
        <f t="shared" si="11"/>
        <v>0</v>
      </c>
      <c r="AR26" s="73"/>
      <c r="AS26" s="74"/>
      <c r="AT26" s="40">
        <f t="shared" si="12"/>
        <v>0</v>
      </c>
      <c r="AW26" s="40">
        <f t="shared" si="13"/>
        <v>0</v>
      </c>
      <c r="AZ26" s="40">
        <f t="shared" si="14"/>
        <v>0</v>
      </c>
      <c r="BC26" s="40">
        <f t="shared" si="15"/>
        <v>0</v>
      </c>
      <c r="BF26" s="40">
        <f t="shared" si="16"/>
        <v>0</v>
      </c>
      <c r="BI26" s="40">
        <f t="shared" si="17"/>
        <v>0</v>
      </c>
      <c r="BL26" s="40">
        <f t="shared" si="18"/>
        <v>0</v>
      </c>
      <c r="BO26" s="40">
        <f t="shared" si="19"/>
        <v>0</v>
      </c>
      <c r="BR26" s="40">
        <f t="shared" si="20"/>
        <v>0</v>
      </c>
      <c r="BU26" s="40">
        <f t="shared" si="21"/>
        <v>0</v>
      </c>
      <c r="BX26" s="40">
        <f t="shared" si="22"/>
        <v>0</v>
      </c>
      <c r="CA26" s="40">
        <f t="shared" si="23"/>
        <v>0</v>
      </c>
      <c r="CD26" s="40">
        <f t="shared" si="24"/>
        <v>0</v>
      </c>
      <c r="CG26" s="40">
        <f t="shared" si="25"/>
        <v>0</v>
      </c>
      <c r="CJ26" s="40">
        <f t="shared" si="26"/>
        <v>0</v>
      </c>
      <c r="CM26" s="40">
        <f t="shared" si="27"/>
        <v>0</v>
      </c>
      <c r="CP26" s="40">
        <f t="shared" si="28"/>
        <v>0</v>
      </c>
      <c r="CS26" s="40">
        <f t="shared" si="29"/>
        <v>0</v>
      </c>
      <c r="CV26" s="40">
        <f t="shared" si="30"/>
        <v>0</v>
      </c>
      <c r="CY26" s="40">
        <f t="shared" si="31"/>
        <v>0</v>
      </c>
      <c r="DB26" s="40">
        <f t="shared" si="32"/>
        <v>0</v>
      </c>
      <c r="DE26" s="40">
        <f t="shared" si="33"/>
        <v>0</v>
      </c>
      <c r="DH26" s="40">
        <f t="shared" si="34"/>
        <v>0</v>
      </c>
      <c r="DK26" s="40">
        <f t="shared" si="35"/>
        <v>0</v>
      </c>
      <c r="DN26" s="40">
        <f t="shared" si="36"/>
        <v>0</v>
      </c>
      <c r="DQ26" s="40">
        <f t="shared" si="37"/>
        <v>0</v>
      </c>
      <c r="DT26" s="40">
        <f t="shared" si="38"/>
        <v>0</v>
      </c>
      <c r="DW26" s="40">
        <f t="shared" si="39"/>
        <v>0</v>
      </c>
      <c r="DZ26" s="40"/>
      <c r="EA26" s="40"/>
      <c r="EB26" s="75">
        <f t="shared" si="40"/>
        <v>21500000</v>
      </c>
      <c r="EC26" s="75">
        <f t="shared" si="41"/>
        <v>0</v>
      </c>
      <c r="ED26" s="40">
        <f t="shared" si="42"/>
        <v>95.555555555555557</v>
      </c>
      <c r="EE26" s="41">
        <f t="shared" si="43"/>
        <v>1.5999999999999999E-3</v>
      </c>
      <c r="EG26" s="75">
        <f t="shared" si="44"/>
        <v>0</v>
      </c>
      <c r="EH26" s="40">
        <f t="shared" si="45"/>
        <v>0</v>
      </c>
      <c r="EI26" s="41">
        <f t="shared" si="46"/>
        <v>0</v>
      </c>
      <c r="EJ26" s="41"/>
      <c r="EK26" s="75">
        <f t="shared" si="47"/>
        <v>21500000</v>
      </c>
      <c r="EL26" s="75">
        <f t="shared" si="48"/>
        <v>0</v>
      </c>
      <c r="EM26" s="75">
        <f t="shared" si="49"/>
        <v>95.555555555555557</v>
      </c>
      <c r="EN26" s="41">
        <f t="shared" si="50"/>
        <v>1.5999999999999999E-3</v>
      </c>
      <c r="EP26" s="40"/>
    </row>
    <row r="27" spans="1:146" x14ac:dyDescent="0.25">
      <c r="A27" s="25">
        <f t="shared" si="51"/>
        <v>44517</v>
      </c>
      <c r="B27" s="40">
        <v>0</v>
      </c>
      <c r="D27" s="40">
        <f t="shared" si="0"/>
        <v>0</v>
      </c>
      <c r="G27" s="40">
        <f t="shared" si="1"/>
        <v>0</v>
      </c>
      <c r="J27" s="40">
        <f t="shared" si="2"/>
        <v>0</v>
      </c>
      <c r="M27" s="40">
        <f t="shared" si="3"/>
        <v>0</v>
      </c>
      <c r="P27" s="40">
        <f t="shared" si="4"/>
        <v>0</v>
      </c>
      <c r="S27" s="40">
        <f t="shared" si="5"/>
        <v>0</v>
      </c>
      <c r="V27" s="40">
        <f t="shared" si="6"/>
        <v>0</v>
      </c>
      <c r="Y27" s="40">
        <f t="shared" si="7"/>
        <v>0</v>
      </c>
      <c r="AB27" s="40">
        <f t="shared" si="8"/>
        <v>0</v>
      </c>
      <c r="AE27" s="40">
        <v>0</v>
      </c>
      <c r="AH27" s="40">
        <v>0</v>
      </c>
      <c r="AI27" s="73"/>
      <c r="AJ27" s="74"/>
      <c r="AK27" s="40">
        <f t="shared" si="9"/>
        <v>0</v>
      </c>
      <c r="AL27" s="73">
        <v>21500000</v>
      </c>
      <c r="AM27" s="74">
        <v>1.6000000000000001E-3</v>
      </c>
      <c r="AN27" s="40">
        <f t="shared" si="10"/>
        <v>95.555555555555557</v>
      </c>
      <c r="AO27" s="73"/>
      <c r="AP27" s="74"/>
      <c r="AQ27" s="40">
        <f t="shared" si="11"/>
        <v>0</v>
      </c>
      <c r="AR27" s="73"/>
      <c r="AS27" s="74"/>
      <c r="AT27" s="40">
        <f t="shared" si="12"/>
        <v>0</v>
      </c>
      <c r="AW27" s="40">
        <f t="shared" si="13"/>
        <v>0</v>
      </c>
      <c r="AZ27" s="40">
        <f t="shared" si="14"/>
        <v>0</v>
      </c>
      <c r="BC27" s="40">
        <f t="shared" si="15"/>
        <v>0</v>
      </c>
      <c r="BF27" s="40">
        <f t="shared" si="16"/>
        <v>0</v>
      </c>
      <c r="BI27" s="40">
        <f t="shared" si="17"/>
        <v>0</v>
      </c>
      <c r="BL27" s="40">
        <f t="shared" si="18"/>
        <v>0</v>
      </c>
      <c r="BO27" s="40">
        <f t="shared" si="19"/>
        <v>0</v>
      </c>
      <c r="BR27" s="40">
        <f t="shared" si="20"/>
        <v>0</v>
      </c>
      <c r="BU27" s="40">
        <f t="shared" si="21"/>
        <v>0</v>
      </c>
      <c r="BX27" s="40">
        <f t="shared" si="22"/>
        <v>0</v>
      </c>
      <c r="CA27" s="40">
        <f t="shared" si="23"/>
        <v>0</v>
      </c>
      <c r="CD27" s="40">
        <f t="shared" si="24"/>
        <v>0</v>
      </c>
      <c r="CG27" s="40">
        <f t="shared" si="25"/>
        <v>0</v>
      </c>
      <c r="CJ27" s="40">
        <f t="shared" si="26"/>
        <v>0</v>
      </c>
      <c r="CM27" s="40">
        <f t="shared" si="27"/>
        <v>0</v>
      </c>
      <c r="CP27" s="40">
        <f t="shared" si="28"/>
        <v>0</v>
      </c>
      <c r="CS27" s="40">
        <f t="shared" si="29"/>
        <v>0</v>
      </c>
      <c r="CV27" s="40">
        <f t="shared" si="30"/>
        <v>0</v>
      </c>
      <c r="CY27" s="40">
        <f t="shared" si="31"/>
        <v>0</v>
      </c>
      <c r="DB27" s="40">
        <f t="shared" si="32"/>
        <v>0</v>
      </c>
      <c r="DE27" s="40">
        <f t="shared" si="33"/>
        <v>0</v>
      </c>
      <c r="DH27" s="40">
        <f t="shared" si="34"/>
        <v>0</v>
      </c>
      <c r="DK27" s="40">
        <f t="shared" si="35"/>
        <v>0</v>
      </c>
      <c r="DN27" s="40">
        <f t="shared" si="36"/>
        <v>0</v>
      </c>
      <c r="DQ27" s="40">
        <f t="shared" si="37"/>
        <v>0</v>
      </c>
      <c r="DT27" s="40">
        <f t="shared" si="38"/>
        <v>0</v>
      </c>
      <c r="DW27" s="40">
        <f t="shared" si="39"/>
        <v>0</v>
      </c>
      <c r="DZ27" s="40"/>
      <c r="EA27" s="40"/>
      <c r="EB27" s="75">
        <f t="shared" si="40"/>
        <v>21500000</v>
      </c>
      <c r="EC27" s="75">
        <f t="shared" si="41"/>
        <v>0</v>
      </c>
      <c r="ED27" s="40">
        <f t="shared" si="42"/>
        <v>95.555555555555557</v>
      </c>
      <c r="EE27" s="41">
        <f t="shared" si="43"/>
        <v>1.5999999999999999E-3</v>
      </c>
      <c r="EG27" s="75">
        <f t="shared" si="44"/>
        <v>0</v>
      </c>
      <c r="EH27" s="40">
        <f t="shared" si="45"/>
        <v>0</v>
      </c>
      <c r="EI27" s="41">
        <f t="shared" si="46"/>
        <v>0</v>
      </c>
      <c r="EJ27" s="41"/>
      <c r="EK27" s="75">
        <f t="shared" si="47"/>
        <v>21500000</v>
      </c>
      <c r="EL27" s="75">
        <f t="shared" si="48"/>
        <v>0</v>
      </c>
      <c r="EM27" s="75">
        <f t="shared" si="49"/>
        <v>95.555555555555557</v>
      </c>
      <c r="EN27" s="41">
        <f t="shared" si="50"/>
        <v>1.5999999999999999E-3</v>
      </c>
      <c r="EP27" s="40"/>
    </row>
    <row r="28" spans="1:146" x14ac:dyDescent="0.25">
      <c r="A28" s="25">
        <f t="shared" si="51"/>
        <v>44518</v>
      </c>
      <c r="B28" s="40">
        <v>0</v>
      </c>
      <c r="D28" s="40">
        <f t="shared" si="0"/>
        <v>0</v>
      </c>
      <c r="G28" s="40">
        <f t="shared" si="1"/>
        <v>0</v>
      </c>
      <c r="J28" s="40">
        <f t="shared" si="2"/>
        <v>0</v>
      </c>
      <c r="M28" s="40">
        <f t="shared" si="3"/>
        <v>0</v>
      </c>
      <c r="P28" s="40">
        <f t="shared" si="4"/>
        <v>0</v>
      </c>
      <c r="S28" s="40">
        <f t="shared" si="5"/>
        <v>0</v>
      </c>
      <c r="V28" s="40">
        <f t="shared" si="6"/>
        <v>0</v>
      </c>
      <c r="Y28" s="40">
        <f t="shared" si="7"/>
        <v>0</v>
      </c>
      <c r="AB28" s="40">
        <f t="shared" si="8"/>
        <v>0</v>
      </c>
      <c r="AE28" s="40">
        <v>0</v>
      </c>
      <c r="AH28" s="40">
        <v>0</v>
      </c>
      <c r="AI28" s="73">
        <v>10250000</v>
      </c>
      <c r="AJ28" s="74">
        <v>1.5E-3</v>
      </c>
      <c r="AK28" s="40">
        <f t="shared" si="9"/>
        <v>42.708333333333336</v>
      </c>
      <c r="AL28" s="73"/>
      <c r="AM28" s="74"/>
      <c r="AN28" s="40">
        <f t="shared" si="10"/>
        <v>0</v>
      </c>
      <c r="AO28" s="73"/>
      <c r="AP28" s="74"/>
      <c r="AQ28" s="40">
        <f t="shared" si="11"/>
        <v>0</v>
      </c>
      <c r="AR28" s="73"/>
      <c r="AS28" s="74"/>
      <c r="AT28" s="40">
        <f t="shared" si="12"/>
        <v>0</v>
      </c>
      <c r="AW28" s="40">
        <f t="shared" si="13"/>
        <v>0</v>
      </c>
      <c r="AZ28" s="40">
        <f t="shared" si="14"/>
        <v>0</v>
      </c>
      <c r="BC28" s="40">
        <f t="shared" si="15"/>
        <v>0</v>
      </c>
      <c r="BF28" s="40">
        <f t="shared" si="16"/>
        <v>0</v>
      </c>
      <c r="BI28" s="40">
        <f t="shared" si="17"/>
        <v>0</v>
      </c>
      <c r="BL28" s="40">
        <f t="shared" si="18"/>
        <v>0</v>
      </c>
      <c r="BO28" s="40">
        <f t="shared" si="19"/>
        <v>0</v>
      </c>
      <c r="BR28" s="40">
        <f t="shared" si="20"/>
        <v>0</v>
      </c>
      <c r="BU28" s="40">
        <f t="shared" si="21"/>
        <v>0</v>
      </c>
      <c r="BX28" s="40">
        <f t="shared" si="22"/>
        <v>0</v>
      </c>
      <c r="CA28" s="40">
        <f t="shared" si="23"/>
        <v>0</v>
      </c>
      <c r="CD28" s="40">
        <f t="shared" si="24"/>
        <v>0</v>
      </c>
      <c r="CG28" s="40">
        <f t="shared" si="25"/>
        <v>0</v>
      </c>
      <c r="CJ28" s="40">
        <f t="shared" si="26"/>
        <v>0</v>
      </c>
      <c r="CM28" s="40">
        <f t="shared" si="27"/>
        <v>0</v>
      </c>
      <c r="CP28" s="40">
        <f t="shared" si="28"/>
        <v>0</v>
      </c>
      <c r="CS28" s="40">
        <f t="shared" si="29"/>
        <v>0</v>
      </c>
      <c r="CV28" s="40">
        <f t="shared" si="30"/>
        <v>0</v>
      </c>
      <c r="CY28" s="40">
        <f t="shared" si="31"/>
        <v>0</v>
      </c>
      <c r="DB28" s="40">
        <f t="shared" si="32"/>
        <v>0</v>
      </c>
      <c r="DE28" s="40">
        <f t="shared" si="33"/>
        <v>0</v>
      </c>
      <c r="DH28" s="40">
        <f t="shared" si="34"/>
        <v>0</v>
      </c>
      <c r="DK28" s="40">
        <f t="shared" si="35"/>
        <v>0</v>
      </c>
      <c r="DN28" s="40">
        <f t="shared" si="36"/>
        <v>0</v>
      </c>
      <c r="DQ28" s="40">
        <f t="shared" si="37"/>
        <v>0</v>
      </c>
      <c r="DT28" s="40">
        <f t="shared" si="38"/>
        <v>0</v>
      </c>
      <c r="DW28" s="40">
        <f t="shared" si="39"/>
        <v>0</v>
      </c>
      <c r="DZ28" s="40"/>
      <c r="EA28" s="40"/>
      <c r="EB28" s="75">
        <f t="shared" si="40"/>
        <v>10250000</v>
      </c>
      <c r="EC28" s="75">
        <f t="shared" si="41"/>
        <v>0</v>
      </c>
      <c r="ED28" s="40">
        <f t="shared" si="42"/>
        <v>42.708333333333336</v>
      </c>
      <c r="EE28" s="41">
        <f t="shared" si="43"/>
        <v>1.5E-3</v>
      </c>
      <c r="EG28" s="75">
        <f t="shared" si="44"/>
        <v>0</v>
      </c>
      <c r="EH28" s="40">
        <f t="shared" si="45"/>
        <v>0</v>
      </c>
      <c r="EI28" s="41">
        <f t="shared" si="46"/>
        <v>0</v>
      </c>
      <c r="EJ28" s="41"/>
      <c r="EK28" s="75">
        <f t="shared" si="47"/>
        <v>10250000</v>
      </c>
      <c r="EL28" s="75">
        <f t="shared" si="48"/>
        <v>0</v>
      </c>
      <c r="EM28" s="75">
        <f t="shared" si="49"/>
        <v>42.708333333333336</v>
      </c>
      <c r="EN28" s="41">
        <f t="shared" si="50"/>
        <v>1.5E-3</v>
      </c>
      <c r="EP28" s="40"/>
    </row>
    <row r="29" spans="1:146" x14ac:dyDescent="0.25">
      <c r="A29" s="25">
        <f t="shared" si="51"/>
        <v>44519</v>
      </c>
      <c r="B29" s="40">
        <v>0</v>
      </c>
      <c r="D29" s="40">
        <f t="shared" si="0"/>
        <v>0</v>
      </c>
      <c r="G29" s="40">
        <f t="shared" si="1"/>
        <v>0</v>
      </c>
      <c r="J29" s="40">
        <f t="shared" si="2"/>
        <v>0</v>
      </c>
      <c r="M29" s="40">
        <f t="shared" si="3"/>
        <v>0</v>
      </c>
      <c r="P29" s="40">
        <f t="shared" si="4"/>
        <v>0</v>
      </c>
      <c r="S29" s="40">
        <f t="shared" si="5"/>
        <v>0</v>
      </c>
      <c r="V29" s="40">
        <f t="shared" si="6"/>
        <v>0</v>
      </c>
      <c r="Y29" s="40">
        <f t="shared" si="7"/>
        <v>0</v>
      </c>
      <c r="AB29" s="40">
        <f t="shared" si="8"/>
        <v>0</v>
      </c>
      <c r="AE29" s="40">
        <v>0</v>
      </c>
      <c r="AH29" s="40">
        <v>0</v>
      </c>
      <c r="AI29" s="73">
        <v>31425000</v>
      </c>
      <c r="AJ29" s="74">
        <v>1.5E-3</v>
      </c>
      <c r="AK29" s="40">
        <f t="shared" si="9"/>
        <v>130.9375</v>
      </c>
      <c r="AL29" s="73"/>
      <c r="AM29" s="74"/>
      <c r="AN29" s="40">
        <f t="shared" si="10"/>
        <v>0</v>
      </c>
      <c r="AO29" s="73"/>
      <c r="AP29" s="74"/>
      <c r="AQ29" s="40">
        <f t="shared" si="11"/>
        <v>0</v>
      </c>
      <c r="AR29" s="73"/>
      <c r="AS29" s="74"/>
      <c r="AT29" s="40">
        <f t="shared" si="12"/>
        <v>0</v>
      </c>
      <c r="AW29" s="40">
        <f t="shared" si="13"/>
        <v>0</v>
      </c>
      <c r="AZ29" s="40">
        <f t="shared" si="14"/>
        <v>0</v>
      </c>
      <c r="BC29" s="40">
        <f t="shared" si="15"/>
        <v>0</v>
      </c>
      <c r="BF29" s="40">
        <f t="shared" si="16"/>
        <v>0</v>
      </c>
      <c r="BI29" s="40">
        <f t="shared" si="17"/>
        <v>0</v>
      </c>
      <c r="BL29" s="40">
        <f t="shared" si="18"/>
        <v>0</v>
      </c>
      <c r="BO29" s="40">
        <f t="shared" si="19"/>
        <v>0</v>
      </c>
      <c r="BR29" s="40">
        <f t="shared" si="20"/>
        <v>0</v>
      </c>
      <c r="BU29" s="40">
        <f t="shared" si="21"/>
        <v>0</v>
      </c>
      <c r="BX29" s="40">
        <f t="shared" si="22"/>
        <v>0</v>
      </c>
      <c r="CA29" s="40">
        <f t="shared" si="23"/>
        <v>0</v>
      </c>
      <c r="CD29" s="40">
        <f t="shared" si="24"/>
        <v>0</v>
      </c>
      <c r="CG29" s="40">
        <f t="shared" si="25"/>
        <v>0</v>
      </c>
      <c r="CJ29" s="40">
        <f t="shared" si="26"/>
        <v>0</v>
      </c>
      <c r="CM29" s="40">
        <f t="shared" si="27"/>
        <v>0</v>
      </c>
      <c r="CP29" s="40">
        <f t="shared" si="28"/>
        <v>0</v>
      </c>
      <c r="CS29" s="40">
        <f t="shared" si="29"/>
        <v>0</v>
      </c>
      <c r="CV29" s="40">
        <f t="shared" si="30"/>
        <v>0</v>
      </c>
      <c r="CY29" s="40">
        <f t="shared" si="31"/>
        <v>0</v>
      </c>
      <c r="DB29" s="40">
        <f t="shared" si="32"/>
        <v>0</v>
      </c>
      <c r="DE29" s="40">
        <f t="shared" si="33"/>
        <v>0</v>
      </c>
      <c r="DH29" s="40">
        <f t="shared" si="34"/>
        <v>0</v>
      </c>
      <c r="DK29" s="40">
        <f t="shared" si="35"/>
        <v>0</v>
      </c>
      <c r="DN29" s="40">
        <f t="shared" si="36"/>
        <v>0</v>
      </c>
      <c r="DQ29" s="40">
        <f t="shared" si="37"/>
        <v>0</v>
      </c>
      <c r="DT29" s="40">
        <f t="shared" si="38"/>
        <v>0</v>
      </c>
      <c r="DW29" s="40">
        <f t="shared" si="39"/>
        <v>0</v>
      </c>
      <c r="DZ29" s="40"/>
      <c r="EA29" s="40"/>
      <c r="EB29" s="75">
        <f t="shared" si="40"/>
        <v>31425000</v>
      </c>
      <c r="EC29" s="75">
        <f t="shared" si="41"/>
        <v>0</v>
      </c>
      <c r="ED29" s="40">
        <f t="shared" si="42"/>
        <v>130.9375</v>
      </c>
      <c r="EE29" s="41">
        <f t="shared" si="43"/>
        <v>1.5E-3</v>
      </c>
      <c r="EG29" s="75">
        <f t="shared" si="44"/>
        <v>0</v>
      </c>
      <c r="EH29" s="40">
        <f t="shared" si="45"/>
        <v>0</v>
      </c>
      <c r="EI29" s="41">
        <f t="shared" si="46"/>
        <v>0</v>
      </c>
      <c r="EJ29" s="41"/>
      <c r="EK29" s="75">
        <f t="shared" si="47"/>
        <v>31425000</v>
      </c>
      <c r="EL29" s="75">
        <f t="shared" si="48"/>
        <v>0</v>
      </c>
      <c r="EM29" s="75">
        <f t="shared" si="49"/>
        <v>130.9375</v>
      </c>
      <c r="EN29" s="41">
        <f t="shared" si="50"/>
        <v>1.5E-3</v>
      </c>
      <c r="EP29" s="40"/>
    </row>
    <row r="30" spans="1:146" x14ac:dyDescent="0.25">
      <c r="A30" s="25">
        <f t="shared" si="51"/>
        <v>44520</v>
      </c>
      <c r="B30" s="40">
        <v>0</v>
      </c>
      <c r="D30" s="40">
        <f t="shared" si="0"/>
        <v>0</v>
      </c>
      <c r="G30" s="40">
        <f t="shared" si="1"/>
        <v>0</v>
      </c>
      <c r="J30" s="40">
        <f t="shared" si="2"/>
        <v>0</v>
      </c>
      <c r="M30" s="40">
        <f t="shared" si="3"/>
        <v>0</v>
      </c>
      <c r="P30" s="40">
        <f t="shared" si="4"/>
        <v>0</v>
      </c>
      <c r="S30" s="40">
        <f t="shared" si="5"/>
        <v>0</v>
      </c>
      <c r="V30" s="40">
        <f t="shared" si="6"/>
        <v>0</v>
      </c>
      <c r="Y30" s="40">
        <f t="shared" si="7"/>
        <v>0</v>
      </c>
      <c r="AB30" s="40">
        <f t="shared" si="8"/>
        <v>0</v>
      </c>
      <c r="AE30" s="40">
        <v>0</v>
      </c>
      <c r="AH30" s="40">
        <v>0</v>
      </c>
      <c r="AI30" s="73">
        <v>31425000</v>
      </c>
      <c r="AJ30" s="74">
        <v>1.5E-3</v>
      </c>
      <c r="AK30" s="40">
        <f t="shared" si="9"/>
        <v>130.9375</v>
      </c>
      <c r="AL30" s="73"/>
      <c r="AM30" s="74"/>
      <c r="AN30" s="40">
        <f t="shared" si="10"/>
        <v>0</v>
      </c>
      <c r="AO30" s="73"/>
      <c r="AP30" s="74"/>
      <c r="AQ30" s="40">
        <f t="shared" si="11"/>
        <v>0</v>
      </c>
      <c r="AR30" s="73"/>
      <c r="AS30" s="74"/>
      <c r="AT30" s="40">
        <f t="shared" si="12"/>
        <v>0</v>
      </c>
      <c r="AW30" s="40">
        <f t="shared" si="13"/>
        <v>0</v>
      </c>
      <c r="AZ30" s="40">
        <f t="shared" si="14"/>
        <v>0</v>
      </c>
      <c r="BC30" s="40">
        <f t="shared" si="15"/>
        <v>0</v>
      </c>
      <c r="BF30" s="40">
        <f t="shared" si="16"/>
        <v>0</v>
      </c>
      <c r="BI30" s="40">
        <f t="shared" si="17"/>
        <v>0</v>
      </c>
      <c r="BL30" s="40">
        <f t="shared" si="18"/>
        <v>0</v>
      </c>
      <c r="BO30" s="40">
        <f t="shared" si="19"/>
        <v>0</v>
      </c>
      <c r="BR30" s="40">
        <f t="shared" si="20"/>
        <v>0</v>
      </c>
      <c r="BU30" s="40">
        <f t="shared" si="21"/>
        <v>0</v>
      </c>
      <c r="BX30" s="40">
        <f t="shared" si="22"/>
        <v>0</v>
      </c>
      <c r="CA30" s="40">
        <f t="shared" si="23"/>
        <v>0</v>
      </c>
      <c r="CD30" s="40">
        <f t="shared" si="24"/>
        <v>0</v>
      </c>
      <c r="CG30" s="40">
        <f t="shared" si="25"/>
        <v>0</v>
      </c>
      <c r="CJ30" s="40">
        <f t="shared" si="26"/>
        <v>0</v>
      </c>
      <c r="CM30" s="40">
        <f t="shared" si="27"/>
        <v>0</v>
      </c>
      <c r="CP30" s="40">
        <f t="shared" si="28"/>
        <v>0</v>
      </c>
      <c r="CS30" s="40">
        <f t="shared" si="29"/>
        <v>0</v>
      </c>
      <c r="CV30" s="40">
        <f t="shared" si="30"/>
        <v>0</v>
      </c>
      <c r="CY30" s="40">
        <f t="shared" si="31"/>
        <v>0</v>
      </c>
      <c r="DB30" s="40">
        <f t="shared" si="32"/>
        <v>0</v>
      </c>
      <c r="DE30" s="40">
        <f t="shared" si="33"/>
        <v>0</v>
      </c>
      <c r="DH30" s="40">
        <f t="shared" si="34"/>
        <v>0</v>
      </c>
      <c r="DK30" s="40">
        <f t="shared" si="35"/>
        <v>0</v>
      </c>
      <c r="DN30" s="40">
        <f t="shared" si="36"/>
        <v>0</v>
      </c>
      <c r="DQ30" s="40">
        <f t="shared" si="37"/>
        <v>0</v>
      </c>
      <c r="DT30" s="40">
        <f t="shared" si="38"/>
        <v>0</v>
      </c>
      <c r="DW30" s="40">
        <f t="shared" si="39"/>
        <v>0</v>
      </c>
      <c r="DZ30" s="40"/>
      <c r="EA30" s="40"/>
      <c r="EB30" s="75">
        <f t="shared" si="40"/>
        <v>31425000</v>
      </c>
      <c r="EC30" s="75">
        <f t="shared" si="41"/>
        <v>0</v>
      </c>
      <c r="ED30" s="40">
        <f t="shared" si="42"/>
        <v>130.9375</v>
      </c>
      <c r="EE30" s="41">
        <f t="shared" si="43"/>
        <v>1.5E-3</v>
      </c>
      <c r="EG30" s="75">
        <f t="shared" si="44"/>
        <v>0</v>
      </c>
      <c r="EH30" s="40">
        <f t="shared" si="45"/>
        <v>0</v>
      </c>
      <c r="EI30" s="41">
        <f t="shared" si="46"/>
        <v>0</v>
      </c>
      <c r="EJ30" s="41"/>
      <c r="EK30" s="75">
        <f t="shared" si="47"/>
        <v>31425000</v>
      </c>
      <c r="EL30" s="75">
        <f t="shared" si="48"/>
        <v>0</v>
      </c>
      <c r="EM30" s="75">
        <f t="shared" si="49"/>
        <v>130.9375</v>
      </c>
      <c r="EN30" s="41">
        <f t="shared" si="50"/>
        <v>1.5E-3</v>
      </c>
      <c r="EP30" s="40"/>
    </row>
    <row r="31" spans="1:146" x14ac:dyDescent="0.25">
      <c r="A31" s="25">
        <f t="shared" si="51"/>
        <v>44521</v>
      </c>
      <c r="B31" s="40">
        <v>0</v>
      </c>
      <c r="D31" s="40">
        <f t="shared" si="0"/>
        <v>0</v>
      </c>
      <c r="G31" s="40">
        <f t="shared" si="1"/>
        <v>0</v>
      </c>
      <c r="J31" s="40">
        <f t="shared" si="2"/>
        <v>0</v>
      </c>
      <c r="M31" s="40">
        <f t="shared" si="3"/>
        <v>0</v>
      </c>
      <c r="P31" s="40">
        <f t="shared" si="4"/>
        <v>0</v>
      </c>
      <c r="S31" s="40">
        <f t="shared" si="5"/>
        <v>0</v>
      </c>
      <c r="V31" s="40">
        <f t="shared" si="6"/>
        <v>0</v>
      </c>
      <c r="Y31" s="40">
        <f t="shared" si="7"/>
        <v>0</v>
      </c>
      <c r="AB31" s="40">
        <f t="shared" si="8"/>
        <v>0</v>
      </c>
      <c r="AE31" s="40">
        <v>0</v>
      </c>
      <c r="AH31" s="40">
        <v>0</v>
      </c>
      <c r="AI31" s="73">
        <v>31425000</v>
      </c>
      <c r="AJ31" s="74">
        <v>1.5E-3</v>
      </c>
      <c r="AK31" s="40">
        <f t="shared" si="9"/>
        <v>130.9375</v>
      </c>
      <c r="AL31" s="73"/>
      <c r="AM31" s="74"/>
      <c r="AN31" s="40">
        <f t="shared" si="10"/>
        <v>0</v>
      </c>
      <c r="AO31" s="73"/>
      <c r="AP31" s="74"/>
      <c r="AQ31" s="40">
        <f t="shared" si="11"/>
        <v>0</v>
      </c>
      <c r="AR31" s="73"/>
      <c r="AS31" s="74"/>
      <c r="AT31" s="40">
        <f t="shared" si="12"/>
        <v>0</v>
      </c>
      <c r="AW31" s="40">
        <f t="shared" si="13"/>
        <v>0</v>
      </c>
      <c r="AZ31" s="40">
        <f t="shared" si="14"/>
        <v>0</v>
      </c>
      <c r="BC31" s="40">
        <f t="shared" si="15"/>
        <v>0</v>
      </c>
      <c r="BF31" s="40">
        <f t="shared" si="16"/>
        <v>0</v>
      </c>
      <c r="BI31" s="40">
        <f t="shared" si="17"/>
        <v>0</v>
      </c>
      <c r="BL31" s="40">
        <f t="shared" si="18"/>
        <v>0</v>
      </c>
      <c r="BO31" s="40">
        <f t="shared" si="19"/>
        <v>0</v>
      </c>
      <c r="BR31" s="40">
        <f t="shared" si="20"/>
        <v>0</v>
      </c>
      <c r="BU31" s="40">
        <f t="shared" si="21"/>
        <v>0</v>
      </c>
      <c r="BX31" s="40">
        <f t="shared" si="22"/>
        <v>0</v>
      </c>
      <c r="CA31" s="40">
        <f t="shared" si="23"/>
        <v>0</v>
      </c>
      <c r="CD31" s="40">
        <f t="shared" si="24"/>
        <v>0</v>
      </c>
      <c r="CG31" s="40">
        <f t="shared" si="25"/>
        <v>0</v>
      </c>
      <c r="CJ31" s="40">
        <f t="shared" si="26"/>
        <v>0</v>
      </c>
      <c r="CM31" s="40">
        <f t="shared" si="27"/>
        <v>0</v>
      </c>
      <c r="CP31" s="40">
        <f t="shared" si="28"/>
        <v>0</v>
      </c>
      <c r="CS31" s="40">
        <f t="shared" si="29"/>
        <v>0</v>
      </c>
      <c r="CV31" s="40">
        <f t="shared" si="30"/>
        <v>0</v>
      </c>
      <c r="CY31" s="40">
        <f t="shared" si="31"/>
        <v>0</v>
      </c>
      <c r="DB31" s="40">
        <f t="shared" si="32"/>
        <v>0</v>
      </c>
      <c r="DE31" s="40">
        <f t="shared" si="33"/>
        <v>0</v>
      </c>
      <c r="DH31" s="40">
        <f t="shared" si="34"/>
        <v>0</v>
      </c>
      <c r="DK31" s="40">
        <f t="shared" si="35"/>
        <v>0</v>
      </c>
      <c r="DN31" s="40">
        <f t="shared" si="36"/>
        <v>0</v>
      </c>
      <c r="DQ31" s="40">
        <f t="shared" si="37"/>
        <v>0</v>
      </c>
      <c r="DT31" s="40">
        <f t="shared" si="38"/>
        <v>0</v>
      </c>
      <c r="DW31" s="40">
        <f t="shared" si="39"/>
        <v>0</v>
      </c>
      <c r="DZ31" s="40"/>
      <c r="EA31" s="40"/>
      <c r="EB31" s="75">
        <f t="shared" si="40"/>
        <v>31425000</v>
      </c>
      <c r="EC31" s="75">
        <f t="shared" si="41"/>
        <v>0</v>
      </c>
      <c r="ED31" s="40">
        <f t="shared" si="42"/>
        <v>130.9375</v>
      </c>
      <c r="EE31" s="41">
        <f t="shared" si="43"/>
        <v>1.5E-3</v>
      </c>
      <c r="EG31" s="75">
        <f t="shared" si="44"/>
        <v>0</v>
      </c>
      <c r="EH31" s="40">
        <f t="shared" si="45"/>
        <v>0</v>
      </c>
      <c r="EI31" s="41">
        <f t="shared" si="46"/>
        <v>0</v>
      </c>
      <c r="EJ31" s="41"/>
      <c r="EK31" s="75">
        <f t="shared" si="47"/>
        <v>31425000</v>
      </c>
      <c r="EL31" s="75">
        <f t="shared" si="48"/>
        <v>0</v>
      </c>
      <c r="EM31" s="75">
        <f t="shared" si="49"/>
        <v>130.9375</v>
      </c>
      <c r="EN31" s="41">
        <f t="shared" si="50"/>
        <v>1.5E-3</v>
      </c>
      <c r="EP31" s="40"/>
    </row>
    <row r="32" spans="1:146" x14ac:dyDescent="0.25">
      <c r="A32" s="25">
        <f t="shared" si="51"/>
        <v>44522</v>
      </c>
      <c r="B32" s="40">
        <v>0</v>
      </c>
      <c r="D32" s="40">
        <f t="shared" si="0"/>
        <v>0</v>
      </c>
      <c r="G32" s="40">
        <f t="shared" si="1"/>
        <v>0</v>
      </c>
      <c r="J32" s="40">
        <f t="shared" si="2"/>
        <v>0</v>
      </c>
      <c r="M32" s="40">
        <f t="shared" si="3"/>
        <v>0</v>
      </c>
      <c r="P32" s="40">
        <f t="shared" si="4"/>
        <v>0</v>
      </c>
      <c r="S32" s="40">
        <f t="shared" si="5"/>
        <v>0</v>
      </c>
      <c r="V32" s="40">
        <f t="shared" si="6"/>
        <v>0</v>
      </c>
      <c r="Y32" s="40">
        <f t="shared" si="7"/>
        <v>0</v>
      </c>
      <c r="AB32" s="40">
        <f t="shared" si="8"/>
        <v>0</v>
      </c>
      <c r="AE32" s="40">
        <v>0</v>
      </c>
      <c r="AH32" s="40">
        <v>0</v>
      </c>
      <c r="AI32" s="73">
        <v>40475000</v>
      </c>
      <c r="AJ32" s="74">
        <v>1.5E-3</v>
      </c>
      <c r="AK32" s="40">
        <f t="shared" si="9"/>
        <v>168.64583333333334</v>
      </c>
      <c r="AL32" s="73"/>
      <c r="AM32" s="74"/>
      <c r="AN32" s="40">
        <f t="shared" si="10"/>
        <v>0</v>
      </c>
      <c r="AO32" s="73"/>
      <c r="AP32" s="74"/>
      <c r="AQ32" s="40">
        <f t="shared" si="11"/>
        <v>0</v>
      </c>
      <c r="AR32" s="73"/>
      <c r="AS32" s="74"/>
      <c r="AT32" s="40">
        <f t="shared" si="12"/>
        <v>0</v>
      </c>
      <c r="AW32" s="40">
        <f t="shared" si="13"/>
        <v>0</v>
      </c>
      <c r="AZ32" s="40">
        <f t="shared" si="14"/>
        <v>0</v>
      </c>
      <c r="BC32" s="40">
        <f t="shared" si="15"/>
        <v>0</v>
      </c>
      <c r="BF32" s="40">
        <f t="shared" si="16"/>
        <v>0</v>
      </c>
      <c r="BI32" s="40">
        <f t="shared" si="17"/>
        <v>0</v>
      </c>
      <c r="BL32" s="40">
        <f t="shared" si="18"/>
        <v>0</v>
      </c>
      <c r="BO32" s="40">
        <f t="shared" si="19"/>
        <v>0</v>
      </c>
      <c r="BR32" s="40">
        <f t="shared" si="20"/>
        <v>0</v>
      </c>
      <c r="BU32" s="40">
        <f t="shared" si="21"/>
        <v>0</v>
      </c>
      <c r="BX32" s="40">
        <f t="shared" si="22"/>
        <v>0</v>
      </c>
      <c r="CA32" s="40">
        <f t="shared" si="23"/>
        <v>0</v>
      </c>
      <c r="CD32" s="40">
        <f t="shared" si="24"/>
        <v>0</v>
      </c>
      <c r="CG32" s="40">
        <f t="shared" si="25"/>
        <v>0</v>
      </c>
      <c r="CJ32" s="40">
        <f t="shared" si="26"/>
        <v>0</v>
      </c>
      <c r="CM32" s="40">
        <f t="shared" si="27"/>
        <v>0</v>
      </c>
      <c r="CP32" s="40">
        <f t="shared" si="28"/>
        <v>0</v>
      </c>
      <c r="CS32" s="40">
        <f t="shared" si="29"/>
        <v>0</v>
      </c>
      <c r="CV32" s="40">
        <f t="shared" si="30"/>
        <v>0</v>
      </c>
      <c r="CY32" s="40">
        <f t="shared" si="31"/>
        <v>0</v>
      </c>
      <c r="DB32" s="40">
        <f t="shared" si="32"/>
        <v>0</v>
      </c>
      <c r="DE32" s="40">
        <f t="shared" si="33"/>
        <v>0</v>
      </c>
      <c r="DH32" s="40">
        <f t="shared" si="34"/>
        <v>0</v>
      </c>
      <c r="DK32" s="40">
        <f t="shared" si="35"/>
        <v>0</v>
      </c>
      <c r="DN32" s="40">
        <f t="shared" si="36"/>
        <v>0</v>
      </c>
      <c r="DQ32" s="40">
        <f t="shared" si="37"/>
        <v>0</v>
      </c>
      <c r="DT32" s="40">
        <f t="shared" si="38"/>
        <v>0</v>
      </c>
      <c r="DW32" s="40">
        <f t="shared" si="39"/>
        <v>0</v>
      </c>
      <c r="DZ32" s="40"/>
      <c r="EA32" s="40"/>
      <c r="EB32" s="75">
        <f t="shared" si="40"/>
        <v>40475000</v>
      </c>
      <c r="EC32" s="75">
        <f t="shared" si="41"/>
        <v>0</v>
      </c>
      <c r="ED32" s="40">
        <f t="shared" si="42"/>
        <v>168.64583333333334</v>
      </c>
      <c r="EE32" s="41">
        <f t="shared" si="43"/>
        <v>1.5E-3</v>
      </c>
      <c r="EG32" s="75">
        <f t="shared" si="44"/>
        <v>0</v>
      </c>
      <c r="EH32" s="40">
        <f t="shared" si="45"/>
        <v>0</v>
      </c>
      <c r="EI32" s="41">
        <f t="shared" si="46"/>
        <v>0</v>
      </c>
      <c r="EJ32" s="41"/>
      <c r="EK32" s="75">
        <f t="shared" si="47"/>
        <v>40475000</v>
      </c>
      <c r="EL32" s="75">
        <f t="shared" si="48"/>
        <v>0</v>
      </c>
      <c r="EM32" s="75">
        <f t="shared" si="49"/>
        <v>168.64583333333334</v>
      </c>
      <c r="EN32" s="41">
        <f t="shared" si="50"/>
        <v>1.5E-3</v>
      </c>
      <c r="EP32" s="40"/>
    </row>
    <row r="33" spans="1:146" x14ac:dyDescent="0.25">
      <c r="A33" s="25">
        <f t="shared" si="51"/>
        <v>44523</v>
      </c>
      <c r="B33" s="40">
        <v>0</v>
      </c>
      <c r="D33" s="40">
        <f t="shared" si="0"/>
        <v>0</v>
      </c>
      <c r="G33" s="40">
        <f t="shared" si="1"/>
        <v>0</v>
      </c>
      <c r="J33" s="40">
        <f t="shared" si="2"/>
        <v>0</v>
      </c>
      <c r="M33" s="40">
        <f t="shared" si="3"/>
        <v>0</v>
      </c>
      <c r="P33" s="40">
        <f t="shared" si="4"/>
        <v>0</v>
      </c>
      <c r="S33" s="40">
        <f t="shared" si="5"/>
        <v>0</v>
      </c>
      <c r="V33" s="40">
        <f t="shared" si="6"/>
        <v>0</v>
      </c>
      <c r="Y33" s="40">
        <f t="shared" si="7"/>
        <v>0</v>
      </c>
      <c r="AB33" s="40">
        <f t="shared" si="8"/>
        <v>0</v>
      </c>
      <c r="AE33" s="40">
        <v>0</v>
      </c>
      <c r="AH33" s="40">
        <v>0</v>
      </c>
      <c r="AI33" s="73">
        <v>31725000</v>
      </c>
      <c r="AJ33" s="74">
        <v>1.5E-3</v>
      </c>
      <c r="AK33" s="40">
        <f t="shared" si="9"/>
        <v>132.1875</v>
      </c>
      <c r="AL33" s="73"/>
      <c r="AM33" s="74"/>
      <c r="AN33" s="40">
        <f t="shared" si="10"/>
        <v>0</v>
      </c>
      <c r="AO33" s="73"/>
      <c r="AP33" s="74"/>
      <c r="AQ33" s="40">
        <f t="shared" si="11"/>
        <v>0</v>
      </c>
      <c r="AR33" s="73"/>
      <c r="AS33" s="74"/>
      <c r="AT33" s="40">
        <f t="shared" si="12"/>
        <v>0</v>
      </c>
      <c r="AW33" s="40">
        <f t="shared" si="13"/>
        <v>0</v>
      </c>
      <c r="AZ33" s="40">
        <f t="shared" si="14"/>
        <v>0</v>
      </c>
      <c r="BC33" s="40">
        <f t="shared" si="15"/>
        <v>0</v>
      </c>
      <c r="BF33" s="40">
        <f t="shared" si="16"/>
        <v>0</v>
      </c>
      <c r="BI33" s="40">
        <f t="shared" si="17"/>
        <v>0</v>
      </c>
      <c r="BL33" s="40">
        <f t="shared" si="18"/>
        <v>0</v>
      </c>
      <c r="BO33" s="40">
        <f t="shared" si="19"/>
        <v>0</v>
      </c>
      <c r="BR33" s="40">
        <f t="shared" si="20"/>
        <v>0</v>
      </c>
      <c r="BU33" s="40">
        <f t="shared" si="21"/>
        <v>0</v>
      </c>
      <c r="BX33" s="40">
        <f t="shared" si="22"/>
        <v>0</v>
      </c>
      <c r="CA33" s="40">
        <f t="shared" si="23"/>
        <v>0</v>
      </c>
      <c r="CD33" s="40">
        <f t="shared" si="24"/>
        <v>0</v>
      </c>
      <c r="CG33" s="40">
        <f t="shared" si="25"/>
        <v>0</v>
      </c>
      <c r="CJ33" s="40">
        <f t="shared" si="26"/>
        <v>0</v>
      </c>
      <c r="CM33" s="40">
        <f t="shared" si="27"/>
        <v>0</v>
      </c>
      <c r="CP33" s="40">
        <f t="shared" si="28"/>
        <v>0</v>
      </c>
      <c r="CS33" s="40">
        <f t="shared" si="29"/>
        <v>0</v>
      </c>
      <c r="CV33" s="40">
        <f t="shared" si="30"/>
        <v>0</v>
      </c>
      <c r="CY33" s="40">
        <f t="shared" si="31"/>
        <v>0</v>
      </c>
      <c r="DB33" s="40">
        <f t="shared" si="32"/>
        <v>0</v>
      </c>
      <c r="DE33" s="40">
        <f t="shared" si="33"/>
        <v>0</v>
      </c>
      <c r="DH33" s="40">
        <f t="shared" si="34"/>
        <v>0</v>
      </c>
      <c r="DK33" s="40">
        <f t="shared" si="35"/>
        <v>0</v>
      </c>
      <c r="DN33" s="40">
        <f t="shared" si="36"/>
        <v>0</v>
      </c>
      <c r="DQ33" s="40">
        <f t="shared" si="37"/>
        <v>0</v>
      </c>
      <c r="DT33" s="40">
        <f t="shared" si="38"/>
        <v>0</v>
      </c>
      <c r="DW33" s="40">
        <f t="shared" si="39"/>
        <v>0</v>
      </c>
      <c r="DZ33" s="40"/>
      <c r="EA33" s="40"/>
      <c r="EB33" s="75">
        <f t="shared" si="40"/>
        <v>31725000</v>
      </c>
      <c r="EC33" s="75">
        <f t="shared" si="41"/>
        <v>0</v>
      </c>
      <c r="ED33" s="40">
        <f t="shared" si="42"/>
        <v>132.1875</v>
      </c>
      <c r="EE33" s="41">
        <f t="shared" si="43"/>
        <v>1.5E-3</v>
      </c>
      <c r="EG33" s="75">
        <f t="shared" si="44"/>
        <v>0</v>
      </c>
      <c r="EH33" s="40">
        <f t="shared" si="45"/>
        <v>0</v>
      </c>
      <c r="EI33" s="41">
        <f t="shared" si="46"/>
        <v>0</v>
      </c>
      <c r="EJ33" s="41"/>
      <c r="EK33" s="75">
        <f t="shared" si="47"/>
        <v>31725000</v>
      </c>
      <c r="EL33" s="75">
        <f t="shared" si="48"/>
        <v>0</v>
      </c>
      <c r="EM33" s="75">
        <f t="shared" si="49"/>
        <v>132.1875</v>
      </c>
      <c r="EN33" s="41">
        <f t="shared" si="50"/>
        <v>1.5E-3</v>
      </c>
      <c r="EP33" s="40"/>
    </row>
    <row r="34" spans="1:146" x14ac:dyDescent="0.25">
      <c r="A34" s="25">
        <f t="shared" si="51"/>
        <v>44524</v>
      </c>
      <c r="B34" s="40">
        <v>0</v>
      </c>
      <c r="D34" s="40">
        <f t="shared" si="0"/>
        <v>0</v>
      </c>
      <c r="G34" s="40">
        <f t="shared" si="1"/>
        <v>0</v>
      </c>
      <c r="J34" s="40">
        <f t="shared" si="2"/>
        <v>0</v>
      </c>
      <c r="M34" s="40">
        <f t="shared" si="3"/>
        <v>0</v>
      </c>
      <c r="P34" s="40">
        <f t="shared" si="4"/>
        <v>0</v>
      </c>
      <c r="S34" s="40">
        <f t="shared" si="5"/>
        <v>0</v>
      </c>
      <c r="V34" s="40">
        <f t="shared" si="6"/>
        <v>0</v>
      </c>
      <c r="Y34" s="40">
        <f t="shared" si="7"/>
        <v>0</v>
      </c>
      <c r="AB34" s="40">
        <f t="shared" si="8"/>
        <v>0</v>
      </c>
      <c r="AE34" s="40">
        <v>0</v>
      </c>
      <c r="AH34" s="40">
        <v>0</v>
      </c>
      <c r="AI34" s="73"/>
      <c r="AJ34" s="74"/>
      <c r="AK34" s="40">
        <f t="shared" si="9"/>
        <v>0</v>
      </c>
      <c r="AL34" s="73">
        <f>25175000</f>
        <v>25175000</v>
      </c>
      <c r="AM34" s="74">
        <v>1.6000000000000001E-3</v>
      </c>
      <c r="AN34" s="40">
        <f t="shared" si="10"/>
        <v>111.88888888888889</v>
      </c>
      <c r="AO34" s="73"/>
      <c r="AP34" s="74"/>
      <c r="AQ34" s="40">
        <f t="shared" si="11"/>
        <v>0</v>
      </c>
      <c r="AR34" s="73"/>
      <c r="AS34" s="74"/>
      <c r="AT34" s="40">
        <f t="shared" si="12"/>
        <v>0</v>
      </c>
      <c r="AW34" s="40">
        <f t="shared" si="13"/>
        <v>0</v>
      </c>
      <c r="AZ34" s="40">
        <f t="shared" si="14"/>
        <v>0</v>
      </c>
      <c r="BC34" s="40">
        <f t="shared" si="15"/>
        <v>0</v>
      </c>
      <c r="BF34" s="40">
        <f t="shared" si="16"/>
        <v>0</v>
      </c>
      <c r="BI34" s="40">
        <f t="shared" si="17"/>
        <v>0</v>
      </c>
      <c r="BL34" s="40">
        <f t="shared" si="18"/>
        <v>0</v>
      </c>
      <c r="BO34" s="40">
        <f t="shared" si="19"/>
        <v>0</v>
      </c>
      <c r="BR34" s="40">
        <f t="shared" si="20"/>
        <v>0</v>
      </c>
      <c r="BU34" s="40">
        <f t="shared" si="21"/>
        <v>0</v>
      </c>
      <c r="BX34" s="40">
        <f t="shared" si="22"/>
        <v>0</v>
      </c>
      <c r="CA34" s="40">
        <f t="shared" si="23"/>
        <v>0</v>
      </c>
      <c r="CD34" s="40">
        <f t="shared" si="24"/>
        <v>0</v>
      </c>
      <c r="CG34" s="40">
        <f t="shared" si="25"/>
        <v>0</v>
      </c>
      <c r="CJ34" s="40">
        <f t="shared" si="26"/>
        <v>0</v>
      </c>
      <c r="CM34" s="40">
        <f t="shared" si="27"/>
        <v>0</v>
      </c>
      <c r="CP34" s="40">
        <f t="shared" si="28"/>
        <v>0</v>
      </c>
      <c r="CS34" s="40">
        <f t="shared" si="29"/>
        <v>0</v>
      </c>
      <c r="CV34" s="40">
        <f t="shared" si="30"/>
        <v>0</v>
      </c>
      <c r="CY34" s="40">
        <f t="shared" si="31"/>
        <v>0</v>
      </c>
      <c r="DB34" s="40">
        <f t="shared" si="32"/>
        <v>0</v>
      </c>
      <c r="DE34" s="40">
        <f t="shared" si="33"/>
        <v>0</v>
      </c>
      <c r="DH34" s="40">
        <f t="shared" si="34"/>
        <v>0</v>
      </c>
      <c r="DK34" s="40">
        <f t="shared" si="35"/>
        <v>0</v>
      </c>
      <c r="DN34" s="40">
        <f t="shared" si="36"/>
        <v>0</v>
      </c>
      <c r="DQ34" s="40">
        <f t="shared" si="37"/>
        <v>0</v>
      </c>
      <c r="DT34" s="40">
        <f t="shared" si="38"/>
        <v>0</v>
      </c>
      <c r="DW34" s="40">
        <f t="shared" si="39"/>
        <v>0</v>
      </c>
      <c r="DZ34" s="40"/>
      <c r="EA34" s="40"/>
      <c r="EB34" s="75">
        <f t="shared" si="40"/>
        <v>25175000</v>
      </c>
      <c r="EC34" s="75">
        <f t="shared" si="41"/>
        <v>0</v>
      </c>
      <c r="ED34" s="40">
        <f t="shared" si="42"/>
        <v>111.88888888888889</v>
      </c>
      <c r="EE34" s="41">
        <f t="shared" si="43"/>
        <v>1.5999999999999999E-3</v>
      </c>
      <c r="EG34" s="75">
        <f t="shared" si="44"/>
        <v>0</v>
      </c>
      <c r="EH34" s="40">
        <f t="shared" si="45"/>
        <v>0</v>
      </c>
      <c r="EI34" s="41">
        <f t="shared" si="46"/>
        <v>0</v>
      </c>
      <c r="EJ34" s="41"/>
      <c r="EK34" s="75">
        <f t="shared" si="47"/>
        <v>25175000</v>
      </c>
      <c r="EL34" s="75">
        <f t="shared" si="48"/>
        <v>0</v>
      </c>
      <c r="EM34" s="75">
        <f t="shared" si="49"/>
        <v>111.88888888888889</v>
      </c>
      <c r="EN34" s="41">
        <f t="shared" si="50"/>
        <v>1.5999999999999999E-3</v>
      </c>
      <c r="EP34" s="40"/>
    </row>
    <row r="35" spans="1:146" x14ac:dyDescent="0.25">
      <c r="A35" s="25">
        <f t="shared" si="51"/>
        <v>44525</v>
      </c>
      <c r="B35" s="40">
        <v>0</v>
      </c>
      <c r="D35" s="40">
        <f t="shared" si="0"/>
        <v>0</v>
      </c>
      <c r="G35" s="40">
        <f t="shared" si="1"/>
        <v>0</v>
      </c>
      <c r="J35" s="40">
        <f t="shared" si="2"/>
        <v>0</v>
      </c>
      <c r="M35" s="40">
        <f t="shared" si="3"/>
        <v>0</v>
      </c>
      <c r="P35" s="40">
        <f t="shared" si="4"/>
        <v>0</v>
      </c>
      <c r="S35" s="40">
        <f t="shared" si="5"/>
        <v>0</v>
      </c>
      <c r="V35" s="40">
        <f t="shared" si="6"/>
        <v>0</v>
      </c>
      <c r="Y35" s="40">
        <f t="shared" si="7"/>
        <v>0</v>
      </c>
      <c r="AB35" s="40">
        <f t="shared" si="8"/>
        <v>0</v>
      </c>
      <c r="AE35" s="40">
        <v>0</v>
      </c>
      <c r="AH35" s="40">
        <v>0</v>
      </c>
      <c r="AI35" s="73"/>
      <c r="AJ35" s="74"/>
      <c r="AK35" s="40">
        <f t="shared" si="9"/>
        <v>0</v>
      </c>
      <c r="AL35" s="73">
        <f>25175000</f>
        <v>25175000</v>
      </c>
      <c r="AM35" s="74">
        <v>1.6000000000000001E-3</v>
      </c>
      <c r="AN35" s="40">
        <f t="shared" si="10"/>
        <v>111.88888888888889</v>
      </c>
      <c r="AO35" s="73"/>
      <c r="AP35" s="74"/>
      <c r="AQ35" s="40">
        <f t="shared" si="11"/>
        <v>0</v>
      </c>
      <c r="AR35" s="73"/>
      <c r="AS35" s="74"/>
      <c r="AT35" s="40">
        <f t="shared" si="12"/>
        <v>0</v>
      </c>
      <c r="AW35" s="40">
        <f t="shared" si="13"/>
        <v>0</v>
      </c>
      <c r="AZ35" s="40">
        <f t="shared" si="14"/>
        <v>0</v>
      </c>
      <c r="BC35" s="40">
        <f t="shared" si="15"/>
        <v>0</v>
      </c>
      <c r="BF35" s="40">
        <f t="shared" si="16"/>
        <v>0</v>
      </c>
      <c r="BI35" s="40">
        <f t="shared" si="17"/>
        <v>0</v>
      </c>
      <c r="BL35" s="40">
        <f t="shared" si="18"/>
        <v>0</v>
      </c>
      <c r="BO35" s="40">
        <f t="shared" si="19"/>
        <v>0</v>
      </c>
      <c r="BR35" s="40">
        <f t="shared" si="20"/>
        <v>0</v>
      </c>
      <c r="BU35" s="40">
        <f t="shared" si="21"/>
        <v>0</v>
      </c>
      <c r="BX35" s="40">
        <f t="shared" si="22"/>
        <v>0</v>
      </c>
      <c r="CA35" s="40">
        <f t="shared" si="23"/>
        <v>0</v>
      </c>
      <c r="CD35" s="40">
        <f t="shared" si="24"/>
        <v>0</v>
      </c>
      <c r="CG35" s="40">
        <f t="shared" si="25"/>
        <v>0</v>
      </c>
      <c r="CJ35" s="40">
        <f t="shared" si="26"/>
        <v>0</v>
      </c>
      <c r="CM35" s="40">
        <f t="shared" si="27"/>
        <v>0</v>
      </c>
      <c r="CP35" s="40">
        <f t="shared" si="28"/>
        <v>0</v>
      </c>
      <c r="CS35" s="40">
        <f t="shared" si="29"/>
        <v>0</v>
      </c>
      <c r="CV35" s="40">
        <f t="shared" si="30"/>
        <v>0</v>
      </c>
      <c r="CY35" s="40">
        <f t="shared" si="31"/>
        <v>0</v>
      </c>
      <c r="DB35" s="40">
        <f t="shared" si="32"/>
        <v>0</v>
      </c>
      <c r="DE35" s="40">
        <f t="shared" si="33"/>
        <v>0</v>
      </c>
      <c r="DH35" s="40">
        <f t="shared" si="34"/>
        <v>0</v>
      </c>
      <c r="DK35" s="40">
        <f t="shared" si="35"/>
        <v>0</v>
      </c>
      <c r="DN35" s="40">
        <f t="shared" si="36"/>
        <v>0</v>
      </c>
      <c r="DQ35" s="40">
        <f t="shared" si="37"/>
        <v>0</v>
      </c>
      <c r="DT35" s="40">
        <f t="shared" si="38"/>
        <v>0</v>
      </c>
      <c r="DW35" s="40">
        <f t="shared" si="39"/>
        <v>0</v>
      </c>
      <c r="DZ35" s="40"/>
      <c r="EA35" s="40"/>
      <c r="EB35" s="75">
        <f t="shared" si="40"/>
        <v>25175000</v>
      </c>
      <c r="EC35" s="75">
        <f t="shared" si="41"/>
        <v>0</v>
      </c>
      <c r="ED35" s="40">
        <f t="shared" si="42"/>
        <v>111.88888888888889</v>
      </c>
      <c r="EE35" s="41">
        <f t="shared" si="43"/>
        <v>1.5999999999999999E-3</v>
      </c>
      <c r="EG35" s="75">
        <f t="shared" si="44"/>
        <v>0</v>
      </c>
      <c r="EH35" s="40">
        <f t="shared" si="45"/>
        <v>0</v>
      </c>
      <c r="EI35" s="41">
        <f t="shared" si="46"/>
        <v>0</v>
      </c>
      <c r="EJ35" s="41"/>
      <c r="EK35" s="75">
        <f t="shared" si="47"/>
        <v>25175000</v>
      </c>
      <c r="EL35" s="75">
        <f t="shared" si="48"/>
        <v>0</v>
      </c>
      <c r="EM35" s="75">
        <f t="shared" si="49"/>
        <v>111.88888888888889</v>
      </c>
      <c r="EN35" s="41">
        <f t="shared" si="50"/>
        <v>1.5999999999999999E-3</v>
      </c>
      <c r="EP35" s="40"/>
    </row>
    <row r="36" spans="1:146" x14ac:dyDescent="0.25">
      <c r="A36" s="25">
        <f t="shared" si="51"/>
        <v>44526</v>
      </c>
      <c r="B36" s="40">
        <v>0</v>
      </c>
      <c r="D36" s="40">
        <f t="shared" si="0"/>
        <v>0</v>
      </c>
      <c r="G36" s="40">
        <f t="shared" si="1"/>
        <v>0</v>
      </c>
      <c r="J36" s="40">
        <f t="shared" si="2"/>
        <v>0</v>
      </c>
      <c r="M36" s="40">
        <f t="shared" si="3"/>
        <v>0</v>
      </c>
      <c r="P36" s="40">
        <f t="shared" si="4"/>
        <v>0</v>
      </c>
      <c r="S36" s="40">
        <f t="shared" si="5"/>
        <v>0</v>
      </c>
      <c r="V36" s="40">
        <f t="shared" si="6"/>
        <v>0</v>
      </c>
      <c r="Y36" s="40">
        <f t="shared" si="7"/>
        <v>0</v>
      </c>
      <c r="AB36" s="40">
        <f t="shared" si="8"/>
        <v>0</v>
      </c>
      <c r="AE36" s="40">
        <v>0</v>
      </c>
      <c r="AH36" s="40">
        <v>0</v>
      </c>
      <c r="AI36" s="73">
        <f>20100000</f>
        <v>20100000</v>
      </c>
      <c r="AJ36" s="74">
        <v>1.5E-3</v>
      </c>
      <c r="AK36" s="40">
        <f t="shared" si="9"/>
        <v>83.75</v>
      </c>
      <c r="AL36" s="73">
        <f>25175000</f>
        <v>25175000</v>
      </c>
      <c r="AM36" s="74">
        <v>1.6000000000000001E-3</v>
      </c>
      <c r="AN36" s="40">
        <f t="shared" si="10"/>
        <v>111.88888888888889</v>
      </c>
      <c r="AO36" s="73"/>
      <c r="AP36" s="74"/>
      <c r="AQ36" s="40">
        <f t="shared" si="11"/>
        <v>0</v>
      </c>
      <c r="AR36" s="73"/>
      <c r="AS36" s="74"/>
      <c r="AT36" s="40">
        <f t="shared" si="12"/>
        <v>0</v>
      </c>
      <c r="AW36" s="40">
        <f t="shared" si="13"/>
        <v>0</v>
      </c>
      <c r="AZ36" s="40">
        <f t="shared" si="14"/>
        <v>0</v>
      </c>
      <c r="BC36" s="40">
        <f t="shared" si="15"/>
        <v>0</v>
      </c>
      <c r="BF36" s="40">
        <f t="shared" si="16"/>
        <v>0</v>
      </c>
      <c r="BI36" s="40">
        <f t="shared" si="17"/>
        <v>0</v>
      </c>
      <c r="BL36" s="40">
        <f t="shared" si="18"/>
        <v>0</v>
      </c>
      <c r="BO36" s="40">
        <f t="shared" si="19"/>
        <v>0</v>
      </c>
      <c r="BR36" s="40">
        <f t="shared" si="20"/>
        <v>0</v>
      </c>
      <c r="BU36" s="40">
        <f t="shared" si="21"/>
        <v>0</v>
      </c>
      <c r="BX36" s="40">
        <f t="shared" si="22"/>
        <v>0</v>
      </c>
      <c r="CA36" s="40">
        <f t="shared" si="23"/>
        <v>0</v>
      </c>
      <c r="CD36" s="40">
        <f t="shared" si="24"/>
        <v>0</v>
      </c>
      <c r="CG36" s="40">
        <f t="shared" si="25"/>
        <v>0</v>
      </c>
      <c r="CJ36" s="40">
        <f t="shared" si="26"/>
        <v>0</v>
      </c>
      <c r="CM36" s="40">
        <f t="shared" si="27"/>
        <v>0</v>
      </c>
      <c r="CP36" s="40">
        <f t="shared" si="28"/>
        <v>0</v>
      </c>
      <c r="CS36" s="40">
        <f t="shared" si="29"/>
        <v>0</v>
      </c>
      <c r="CV36" s="40">
        <f t="shared" si="30"/>
        <v>0</v>
      </c>
      <c r="CY36" s="40">
        <f t="shared" si="31"/>
        <v>0</v>
      </c>
      <c r="DB36" s="40">
        <f t="shared" si="32"/>
        <v>0</v>
      </c>
      <c r="DE36" s="40">
        <f t="shared" si="33"/>
        <v>0</v>
      </c>
      <c r="DH36" s="40">
        <f t="shared" si="34"/>
        <v>0</v>
      </c>
      <c r="DK36" s="40">
        <f t="shared" si="35"/>
        <v>0</v>
      </c>
      <c r="DN36" s="40">
        <f t="shared" si="36"/>
        <v>0</v>
      </c>
      <c r="DQ36" s="40">
        <f t="shared" si="37"/>
        <v>0</v>
      </c>
      <c r="DT36" s="40">
        <f t="shared" si="38"/>
        <v>0</v>
      </c>
      <c r="DW36" s="40">
        <f t="shared" si="39"/>
        <v>0</v>
      </c>
      <c r="DZ36" s="40"/>
      <c r="EA36" s="40"/>
      <c r="EB36" s="75">
        <f t="shared" si="40"/>
        <v>45275000</v>
      </c>
      <c r="EC36" s="75">
        <f t="shared" si="41"/>
        <v>0</v>
      </c>
      <c r="ED36" s="40">
        <f t="shared" si="42"/>
        <v>195.63888888888889</v>
      </c>
      <c r="EE36" s="41">
        <f t="shared" si="43"/>
        <v>1.5556046383213692E-3</v>
      </c>
      <c r="EG36" s="75">
        <f t="shared" si="44"/>
        <v>0</v>
      </c>
      <c r="EH36" s="40">
        <f t="shared" si="45"/>
        <v>0</v>
      </c>
      <c r="EI36" s="41">
        <f t="shared" si="46"/>
        <v>0</v>
      </c>
      <c r="EJ36" s="41"/>
      <c r="EK36" s="75">
        <f t="shared" si="47"/>
        <v>45275000</v>
      </c>
      <c r="EL36" s="75">
        <f t="shared" si="48"/>
        <v>0</v>
      </c>
      <c r="EM36" s="75">
        <f t="shared" si="49"/>
        <v>195.63888888888889</v>
      </c>
      <c r="EN36" s="41">
        <f t="shared" si="50"/>
        <v>1.5556046383213692E-3</v>
      </c>
      <c r="EP36" s="40"/>
    </row>
    <row r="37" spans="1:146" x14ac:dyDescent="0.25">
      <c r="A37" s="25">
        <f t="shared" si="51"/>
        <v>44527</v>
      </c>
      <c r="B37" s="40">
        <v>0</v>
      </c>
      <c r="D37" s="40">
        <f t="shared" si="0"/>
        <v>0</v>
      </c>
      <c r="G37" s="40">
        <f t="shared" si="1"/>
        <v>0</v>
      </c>
      <c r="J37" s="40">
        <f t="shared" si="2"/>
        <v>0</v>
      </c>
      <c r="M37" s="40">
        <f t="shared" si="3"/>
        <v>0</v>
      </c>
      <c r="P37" s="40">
        <f t="shared" si="4"/>
        <v>0</v>
      </c>
      <c r="S37" s="40">
        <f t="shared" si="5"/>
        <v>0</v>
      </c>
      <c r="V37" s="40">
        <f t="shared" si="6"/>
        <v>0</v>
      </c>
      <c r="Y37" s="40">
        <f t="shared" si="7"/>
        <v>0</v>
      </c>
      <c r="AB37" s="40">
        <f t="shared" si="8"/>
        <v>0</v>
      </c>
      <c r="AE37" s="40">
        <v>0</v>
      </c>
      <c r="AH37" s="40">
        <v>0</v>
      </c>
      <c r="AI37" s="73">
        <f>20100000</f>
        <v>20100000</v>
      </c>
      <c r="AJ37" s="74">
        <v>1.5E-3</v>
      </c>
      <c r="AK37" s="40">
        <f t="shared" si="9"/>
        <v>83.75</v>
      </c>
      <c r="AL37" s="73">
        <f>25175000</f>
        <v>25175000</v>
      </c>
      <c r="AM37" s="74">
        <v>1.6000000000000001E-3</v>
      </c>
      <c r="AN37" s="40">
        <f t="shared" si="10"/>
        <v>111.88888888888889</v>
      </c>
      <c r="AO37" s="73"/>
      <c r="AP37" s="74"/>
      <c r="AQ37" s="40">
        <f t="shared" si="11"/>
        <v>0</v>
      </c>
      <c r="AR37" s="73"/>
      <c r="AS37" s="74"/>
      <c r="AT37" s="40">
        <f t="shared" si="12"/>
        <v>0</v>
      </c>
      <c r="AW37" s="40">
        <f t="shared" si="13"/>
        <v>0</v>
      </c>
      <c r="AZ37" s="40">
        <f t="shared" si="14"/>
        <v>0</v>
      </c>
      <c r="BC37" s="40">
        <f t="shared" si="15"/>
        <v>0</v>
      </c>
      <c r="BF37" s="40">
        <f t="shared" si="16"/>
        <v>0</v>
      </c>
      <c r="BI37" s="40">
        <f t="shared" si="17"/>
        <v>0</v>
      </c>
      <c r="BL37" s="40">
        <f t="shared" si="18"/>
        <v>0</v>
      </c>
      <c r="BO37" s="40">
        <f t="shared" si="19"/>
        <v>0</v>
      </c>
      <c r="BR37" s="40">
        <f t="shared" si="20"/>
        <v>0</v>
      </c>
      <c r="BU37" s="40">
        <f t="shared" si="21"/>
        <v>0</v>
      </c>
      <c r="BX37" s="40">
        <f t="shared" si="22"/>
        <v>0</v>
      </c>
      <c r="CA37" s="40">
        <f t="shared" si="23"/>
        <v>0</v>
      </c>
      <c r="CD37" s="40">
        <f t="shared" si="24"/>
        <v>0</v>
      </c>
      <c r="CG37" s="40">
        <f t="shared" si="25"/>
        <v>0</v>
      </c>
      <c r="CJ37" s="40">
        <f t="shared" si="26"/>
        <v>0</v>
      </c>
      <c r="CM37" s="40">
        <f t="shared" si="27"/>
        <v>0</v>
      </c>
      <c r="CP37" s="40">
        <f t="shared" si="28"/>
        <v>0</v>
      </c>
      <c r="CS37" s="40">
        <f t="shared" si="29"/>
        <v>0</v>
      </c>
      <c r="CV37" s="40">
        <f t="shared" si="30"/>
        <v>0</v>
      </c>
      <c r="CY37" s="40">
        <f t="shared" si="31"/>
        <v>0</v>
      </c>
      <c r="DB37" s="40">
        <f t="shared" si="32"/>
        <v>0</v>
      </c>
      <c r="DE37" s="40">
        <f t="shared" si="33"/>
        <v>0</v>
      </c>
      <c r="DH37" s="40">
        <f t="shared" si="34"/>
        <v>0</v>
      </c>
      <c r="DK37" s="40">
        <f t="shared" si="35"/>
        <v>0</v>
      </c>
      <c r="DN37" s="40">
        <f t="shared" si="36"/>
        <v>0</v>
      </c>
      <c r="DQ37" s="40">
        <f t="shared" si="37"/>
        <v>0</v>
      </c>
      <c r="DT37" s="40">
        <f t="shared" si="38"/>
        <v>0</v>
      </c>
      <c r="DW37" s="40">
        <f t="shared" si="39"/>
        <v>0</v>
      </c>
      <c r="DZ37" s="40"/>
      <c r="EA37" s="40"/>
      <c r="EB37" s="75">
        <f t="shared" si="40"/>
        <v>45275000</v>
      </c>
      <c r="EC37" s="75">
        <f t="shared" si="41"/>
        <v>0</v>
      </c>
      <c r="ED37" s="40">
        <f t="shared" si="42"/>
        <v>195.63888888888889</v>
      </c>
      <c r="EE37" s="41">
        <f t="shared" si="43"/>
        <v>1.5556046383213692E-3</v>
      </c>
      <c r="EG37" s="75">
        <f t="shared" si="44"/>
        <v>0</v>
      </c>
      <c r="EH37" s="40">
        <f t="shared" si="45"/>
        <v>0</v>
      </c>
      <c r="EI37" s="41">
        <f t="shared" si="46"/>
        <v>0</v>
      </c>
      <c r="EJ37" s="41"/>
      <c r="EK37" s="75">
        <f t="shared" si="47"/>
        <v>45275000</v>
      </c>
      <c r="EL37" s="75">
        <f t="shared" si="48"/>
        <v>0</v>
      </c>
      <c r="EM37" s="75">
        <f t="shared" si="49"/>
        <v>195.63888888888889</v>
      </c>
      <c r="EN37" s="41">
        <f t="shared" si="50"/>
        <v>1.5556046383213692E-3</v>
      </c>
      <c r="EP37" s="40"/>
    </row>
    <row r="38" spans="1:146" x14ac:dyDescent="0.25">
      <c r="A38" s="25">
        <f t="shared" si="51"/>
        <v>44528</v>
      </c>
      <c r="B38" s="40">
        <v>0</v>
      </c>
      <c r="D38" s="40">
        <f t="shared" si="0"/>
        <v>0</v>
      </c>
      <c r="G38" s="40">
        <f t="shared" si="1"/>
        <v>0</v>
      </c>
      <c r="J38" s="40">
        <f t="shared" si="2"/>
        <v>0</v>
      </c>
      <c r="M38" s="40">
        <f t="shared" si="3"/>
        <v>0</v>
      </c>
      <c r="P38" s="40">
        <f t="shared" si="4"/>
        <v>0</v>
      </c>
      <c r="S38" s="40">
        <f t="shared" si="5"/>
        <v>0</v>
      </c>
      <c r="V38" s="40">
        <f t="shared" si="6"/>
        <v>0</v>
      </c>
      <c r="Y38" s="40">
        <f t="shared" si="7"/>
        <v>0</v>
      </c>
      <c r="AB38" s="40">
        <f t="shared" si="8"/>
        <v>0</v>
      </c>
      <c r="AE38" s="40">
        <v>0</v>
      </c>
      <c r="AH38" s="40">
        <v>0</v>
      </c>
      <c r="AI38" s="73">
        <f>20100000</f>
        <v>20100000</v>
      </c>
      <c r="AJ38" s="74">
        <v>1.5E-3</v>
      </c>
      <c r="AK38" s="40">
        <f t="shared" si="9"/>
        <v>83.75</v>
      </c>
      <c r="AL38" s="73">
        <f>25175000</f>
        <v>25175000</v>
      </c>
      <c r="AM38" s="74">
        <v>1.6000000000000001E-3</v>
      </c>
      <c r="AN38" s="40">
        <f t="shared" si="10"/>
        <v>111.88888888888889</v>
      </c>
      <c r="AO38" s="73"/>
      <c r="AP38" s="74"/>
      <c r="AQ38" s="40">
        <f t="shared" si="11"/>
        <v>0</v>
      </c>
      <c r="AR38" s="73"/>
      <c r="AS38" s="74"/>
      <c r="AT38" s="40">
        <f t="shared" si="12"/>
        <v>0</v>
      </c>
      <c r="AW38" s="40">
        <f t="shared" si="13"/>
        <v>0</v>
      </c>
      <c r="AZ38" s="40">
        <f t="shared" si="14"/>
        <v>0</v>
      </c>
      <c r="BC38" s="40">
        <f t="shared" si="15"/>
        <v>0</v>
      </c>
      <c r="BF38" s="40">
        <f t="shared" si="16"/>
        <v>0</v>
      </c>
      <c r="BI38" s="40">
        <f t="shared" si="17"/>
        <v>0</v>
      </c>
      <c r="BL38" s="40">
        <f t="shared" si="18"/>
        <v>0</v>
      </c>
      <c r="BO38" s="40">
        <f t="shared" si="19"/>
        <v>0</v>
      </c>
      <c r="BR38" s="40">
        <f t="shared" si="20"/>
        <v>0</v>
      </c>
      <c r="BU38" s="40">
        <f t="shared" si="21"/>
        <v>0</v>
      </c>
      <c r="BX38" s="40">
        <f t="shared" si="22"/>
        <v>0</v>
      </c>
      <c r="CA38" s="40">
        <f t="shared" si="23"/>
        <v>0</v>
      </c>
      <c r="CD38" s="40">
        <f t="shared" si="24"/>
        <v>0</v>
      </c>
      <c r="CG38" s="40">
        <f t="shared" si="25"/>
        <v>0</v>
      </c>
      <c r="CJ38" s="40">
        <f t="shared" si="26"/>
        <v>0</v>
      </c>
      <c r="CM38" s="40">
        <f t="shared" si="27"/>
        <v>0</v>
      </c>
      <c r="CP38" s="40">
        <f t="shared" si="28"/>
        <v>0</v>
      </c>
      <c r="CS38" s="40">
        <f t="shared" si="29"/>
        <v>0</v>
      </c>
      <c r="CV38" s="40">
        <f t="shared" si="30"/>
        <v>0</v>
      </c>
      <c r="CY38" s="40">
        <f t="shared" si="31"/>
        <v>0</v>
      </c>
      <c r="DB38" s="40">
        <f t="shared" si="32"/>
        <v>0</v>
      </c>
      <c r="DE38" s="40">
        <f t="shared" si="33"/>
        <v>0</v>
      </c>
      <c r="DH38" s="40">
        <f t="shared" si="34"/>
        <v>0</v>
      </c>
      <c r="DK38" s="40">
        <f t="shared" si="35"/>
        <v>0</v>
      </c>
      <c r="DN38" s="40">
        <f t="shared" si="36"/>
        <v>0</v>
      </c>
      <c r="DQ38" s="40">
        <f t="shared" si="37"/>
        <v>0</v>
      </c>
      <c r="DT38" s="40">
        <f t="shared" si="38"/>
        <v>0</v>
      </c>
      <c r="DW38" s="40">
        <f t="shared" si="39"/>
        <v>0</v>
      </c>
      <c r="DZ38" s="40"/>
      <c r="EA38" s="40"/>
      <c r="EB38" s="75">
        <f t="shared" si="40"/>
        <v>45275000</v>
      </c>
      <c r="EC38" s="75">
        <f t="shared" si="41"/>
        <v>0</v>
      </c>
      <c r="ED38" s="40">
        <f t="shared" si="42"/>
        <v>195.63888888888889</v>
      </c>
      <c r="EE38" s="41">
        <f t="shared" si="43"/>
        <v>1.5556046383213692E-3</v>
      </c>
      <c r="EG38" s="75">
        <f t="shared" si="44"/>
        <v>0</v>
      </c>
      <c r="EH38" s="40">
        <f t="shared" si="45"/>
        <v>0</v>
      </c>
      <c r="EI38" s="41">
        <f t="shared" si="46"/>
        <v>0</v>
      </c>
      <c r="EJ38" s="41"/>
      <c r="EK38" s="75">
        <f t="shared" si="47"/>
        <v>45275000</v>
      </c>
      <c r="EL38" s="75">
        <f t="shared" si="48"/>
        <v>0</v>
      </c>
      <c r="EM38" s="75">
        <f t="shared" si="49"/>
        <v>195.63888888888889</v>
      </c>
      <c r="EN38" s="41">
        <f t="shared" si="50"/>
        <v>1.5556046383213692E-3</v>
      </c>
      <c r="EP38" s="40"/>
    </row>
    <row r="39" spans="1:146" x14ac:dyDescent="0.25">
      <c r="A39" s="25">
        <f t="shared" si="51"/>
        <v>44529</v>
      </c>
      <c r="B39" s="40">
        <v>0</v>
      </c>
      <c r="D39" s="40">
        <f t="shared" si="0"/>
        <v>0</v>
      </c>
      <c r="G39" s="40">
        <f t="shared" si="1"/>
        <v>0</v>
      </c>
      <c r="J39" s="40">
        <f t="shared" si="2"/>
        <v>0</v>
      </c>
      <c r="M39" s="40">
        <f t="shared" si="3"/>
        <v>0</v>
      </c>
      <c r="P39" s="40">
        <f t="shared" si="4"/>
        <v>0</v>
      </c>
      <c r="S39" s="40">
        <f t="shared" si="5"/>
        <v>0</v>
      </c>
      <c r="V39" s="40">
        <f t="shared" si="6"/>
        <v>0</v>
      </c>
      <c r="Y39" s="40">
        <f t="shared" si="7"/>
        <v>0</v>
      </c>
      <c r="AB39" s="40">
        <f t="shared" si="8"/>
        <v>0</v>
      </c>
      <c r="AE39" s="40">
        <v>0</v>
      </c>
      <c r="AH39" s="40">
        <v>0</v>
      </c>
      <c r="AI39" s="73">
        <f>55650000</f>
        <v>55650000</v>
      </c>
      <c r="AJ39" s="74">
        <v>1.5E-3</v>
      </c>
      <c r="AK39" s="40">
        <f t="shared" si="9"/>
        <v>231.875</v>
      </c>
      <c r="AL39" s="73"/>
      <c r="AM39" s="74"/>
      <c r="AN39" s="40">
        <f t="shared" si="10"/>
        <v>0</v>
      </c>
      <c r="AO39" s="73"/>
      <c r="AP39" s="74"/>
      <c r="AQ39" s="40">
        <f t="shared" si="11"/>
        <v>0</v>
      </c>
      <c r="AR39" s="73"/>
      <c r="AS39" s="74"/>
      <c r="AT39" s="40">
        <f t="shared" si="12"/>
        <v>0</v>
      </c>
      <c r="AW39" s="40">
        <f t="shared" si="13"/>
        <v>0</v>
      </c>
      <c r="AZ39" s="40">
        <f t="shared" si="14"/>
        <v>0</v>
      </c>
      <c r="BC39" s="40">
        <f t="shared" si="15"/>
        <v>0</v>
      </c>
      <c r="BF39" s="40">
        <f t="shared" si="16"/>
        <v>0</v>
      </c>
      <c r="BI39" s="40">
        <f t="shared" si="17"/>
        <v>0</v>
      </c>
      <c r="BL39" s="40">
        <f t="shared" si="18"/>
        <v>0</v>
      </c>
      <c r="BO39" s="40">
        <f t="shared" si="19"/>
        <v>0</v>
      </c>
      <c r="BR39" s="40">
        <f t="shared" si="20"/>
        <v>0</v>
      </c>
      <c r="BU39" s="40">
        <f t="shared" si="21"/>
        <v>0</v>
      </c>
      <c r="BX39" s="40">
        <f t="shared" si="22"/>
        <v>0</v>
      </c>
      <c r="CA39" s="40">
        <f t="shared" si="23"/>
        <v>0</v>
      </c>
      <c r="CD39" s="40">
        <f t="shared" si="24"/>
        <v>0</v>
      </c>
      <c r="CG39" s="40">
        <f t="shared" si="25"/>
        <v>0</v>
      </c>
      <c r="CJ39" s="40">
        <f t="shared" si="26"/>
        <v>0</v>
      </c>
      <c r="CM39" s="40">
        <f t="shared" si="27"/>
        <v>0</v>
      </c>
      <c r="CP39" s="40">
        <f t="shared" si="28"/>
        <v>0</v>
      </c>
      <c r="CS39" s="40">
        <f t="shared" si="29"/>
        <v>0</v>
      </c>
      <c r="CV39" s="40">
        <f t="shared" si="30"/>
        <v>0</v>
      </c>
      <c r="CY39" s="40">
        <f t="shared" si="31"/>
        <v>0</v>
      </c>
      <c r="DB39" s="40">
        <f t="shared" si="32"/>
        <v>0</v>
      </c>
      <c r="DE39" s="40">
        <f t="shared" si="33"/>
        <v>0</v>
      </c>
      <c r="DH39" s="40">
        <f t="shared" si="34"/>
        <v>0</v>
      </c>
      <c r="DK39" s="40">
        <f t="shared" si="35"/>
        <v>0</v>
      </c>
      <c r="DN39" s="40">
        <f t="shared" si="36"/>
        <v>0</v>
      </c>
      <c r="DQ39" s="40">
        <f t="shared" si="37"/>
        <v>0</v>
      </c>
      <c r="DT39" s="40">
        <f t="shared" si="38"/>
        <v>0</v>
      </c>
      <c r="DW39" s="40">
        <f t="shared" si="39"/>
        <v>0</v>
      </c>
      <c r="DZ39" s="40"/>
      <c r="EA39" s="40"/>
      <c r="EB39" s="75">
        <f t="shared" si="40"/>
        <v>55650000</v>
      </c>
      <c r="EC39" s="75">
        <f t="shared" si="41"/>
        <v>0</v>
      </c>
      <c r="ED39" s="40">
        <f t="shared" si="42"/>
        <v>231.875</v>
      </c>
      <c r="EE39" s="41">
        <f t="shared" si="43"/>
        <v>1.5E-3</v>
      </c>
      <c r="EG39" s="75">
        <f t="shared" si="44"/>
        <v>0</v>
      </c>
      <c r="EH39" s="40">
        <f t="shared" si="45"/>
        <v>0</v>
      </c>
      <c r="EI39" s="41">
        <f t="shared" si="46"/>
        <v>0</v>
      </c>
      <c r="EJ39" s="41"/>
      <c r="EK39" s="75">
        <f t="shared" si="47"/>
        <v>55650000</v>
      </c>
      <c r="EL39" s="75">
        <f t="shared" si="48"/>
        <v>0</v>
      </c>
      <c r="EM39" s="75">
        <f t="shared" si="49"/>
        <v>231.875</v>
      </c>
      <c r="EN39" s="41">
        <f t="shared" si="50"/>
        <v>1.5E-3</v>
      </c>
      <c r="EP39" s="40"/>
    </row>
    <row r="40" spans="1:146" x14ac:dyDescent="0.25">
      <c r="A40" s="25">
        <f t="shared" si="51"/>
        <v>44530</v>
      </c>
      <c r="B40" s="40">
        <v>0</v>
      </c>
      <c r="D40" s="40">
        <f t="shared" si="0"/>
        <v>0</v>
      </c>
      <c r="G40" s="40">
        <f t="shared" si="1"/>
        <v>0</v>
      </c>
      <c r="J40" s="40">
        <f t="shared" si="2"/>
        <v>0</v>
      </c>
      <c r="M40" s="40">
        <f t="shared" si="3"/>
        <v>0</v>
      </c>
      <c r="P40" s="40">
        <f t="shared" si="4"/>
        <v>0</v>
      </c>
      <c r="S40" s="40">
        <f t="shared" si="5"/>
        <v>0</v>
      </c>
      <c r="V40" s="40">
        <f t="shared" si="6"/>
        <v>0</v>
      </c>
      <c r="Y40" s="40">
        <f t="shared" si="7"/>
        <v>0</v>
      </c>
      <c r="AB40" s="40">
        <f t="shared" si="8"/>
        <v>0</v>
      </c>
      <c r="AE40" s="40">
        <v>0</v>
      </c>
      <c r="AH40" s="40">
        <v>0</v>
      </c>
      <c r="AI40" s="73">
        <v>56325000</v>
      </c>
      <c r="AJ40" s="74">
        <v>1.5E-3</v>
      </c>
      <c r="AK40" s="40">
        <f t="shared" si="9"/>
        <v>234.6875</v>
      </c>
      <c r="AL40" s="73"/>
      <c r="AM40" s="74"/>
      <c r="AN40" s="40">
        <f t="shared" si="10"/>
        <v>0</v>
      </c>
      <c r="AO40" s="73"/>
      <c r="AP40" s="74"/>
      <c r="AQ40" s="40">
        <f t="shared" si="11"/>
        <v>0</v>
      </c>
      <c r="AR40" s="73"/>
      <c r="AS40" s="74"/>
      <c r="AT40" s="40">
        <f t="shared" si="12"/>
        <v>0</v>
      </c>
      <c r="AW40" s="40">
        <f t="shared" si="13"/>
        <v>0</v>
      </c>
      <c r="AZ40" s="40">
        <f t="shared" si="14"/>
        <v>0</v>
      </c>
      <c r="BC40" s="40">
        <f t="shared" si="15"/>
        <v>0</v>
      </c>
      <c r="BF40" s="40">
        <f t="shared" si="16"/>
        <v>0</v>
      </c>
      <c r="BI40" s="40">
        <f t="shared" si="17"/>
        <v>0</v>
      </c>
      <c r="BL40" s="40">
        <f t="shared" si="18"/>
        <v>0</v>
      </c>
      <c r="BO40" s="40">
        <f t="shared" si="19"/>
        <v>0</v>
      </c>
      <c r="BR40" s="40">
        <f t="shared" si="20"/>
        <v>0</v>
      </c>
      <c r="BU40" s="40">
        <f t="shared" si="21"/>
        <v>0</v>
      </c>
      <c r="BX40" s="40">
        <f t="shared" si="22"/>
        <v>0</v>
      </c>
      <c r="CA40" s="40">
        <f t="shared" si="23"/>
        <v>0</v>
      </c>
      <c r="CD40" s="40">
        <f t="shared" si="24"/>
        <v>0</v>
      </c>
      <c r="CG40" s="40">
        <f t="shared" si="25"/>
        <v>0</v>
      </c>
      <c r="CJ40" s="40">
        <f t="shared" si="26"/>
        <v>0</v>
      </c>
      <c r="CM40" s="40">
        <f t="shared" si="27"/>
        <v>0</v>
      </c>
      <c r="CP40" s="40">
        <f t="shared" si="28"/>
        <v>0</v>
      </c>
      <c r="CS40" s="40">
        <f t="shared" si="29"/>
        <v>0</v>
      </c>
      <c r="CV40" s="40">
        <f t="shared" si="30"/>
        <v>0</v>
      </c>
      <c r="CY40" s="40">
        <f t="shared" si="31"/>
        <v>0</v>
      </c>
      <c r="DB40" s="40">
        <f t="shared" si="32"/>
        <v>0</v>
      </c>
      <c r="DE40" s="40">
        <f t="shared" si="33"/>
        <v>0</v>
      </c>
      <c r="DH40" s="40">
        <f t="shared" si="34"/>
        <v>0</v>
      </c>
      <c r="DK40" s="40">
        <f t="shared" si="35"/>
        <v>0</v>
      </c>
      <c r="DN40" s="40">
        <f t="shared" si="36"/>
        <v>0</v>
      </c>
      <c r="DQ40" s="40">
        <f t="shared" si="37"/>
        <v>0</v>
      </c>
      <c r="DT40" s="40">
        <f t="shared" si="38"/>
        <v>0</v>
      </c>
      <c r="DW40" s="40">
        <f t="shared" si="39"/>
        <v>0</v>
      </c>
      <c r="DZ40" s="38"/>
      <c r="EA40" s="40"/>
      <c r="EB40" s="75">
        <f t="shared" si="40"/>
        <v>56325000</v>
      </c>
      <c r="EC40" s="75">
        <f t="shared" si="41"/>
        <v>0</v>
      </c>
      <c r="ED40" s="40">
        <f t="shared" si="42"/>
        <v>234.6875</v>
      </c>
      <c r="EE40" s="41">
        <f t="shared" si="43"/>
        <v>1.5E-3</v>
      </c>
      <c r="EG40" s="75">
        <f t="shared" si="44"/>
        <v>0</v>
      </c>
      <c r="EH40" s="40">
        <f t="shared" si="45"/>
        <v>0</v>
      </c>
      <c r="EI40" s="41">
        <f t="shared" si="46"/>
        <v>0</v>
      </c>
      <c r="EJ40" s="41"/>
      <c r="EK40" s="75">
        <f t="shared" si="47"/>
        <v>56325000</v>
      </c>
      <c r="EL40" s="75">
        <f t="shared" si="48"/>
        <v>0</v>
      </c>
      <c r="EM40" s="75">
        <f t="shared" si="49"/>
        <v>234.6875</v>
      </c>
      <c r="EN40" s="41">
        <f t="shared" si="50"/>
        <v>1.5E-3</v>
      </c>
      <c r="EP40" s="40"/>
    </row>
    <row r="41" spans="1:146" x14ac:dyDescent="0.25">
      <c r="A41" s="76" t="s">
        <v>75</v>
      </c>
      <c r="D41" s="77">
        <f>SUM(D11:D40)</f>
        <v>0</v>
      </c>
      <c r="G41" s="77">
        <f>SUM(G11:G40)</f>
        <v>0</v>
      </c>
      <c r="J41" s="77">
        <f>SUM(J11:J40)</f>
        <v>0</v>
      </c>
      <c r="M41" s="77">
        <f>SUM(M11:M40)</f>
        <v>0</v>
      </c>
      <c r="P41" s="77">
        <f>SUM(P11:P40)</f>
        <v>0</v>
      </c>
      <c r="S41" s="77">
        <f>SUM(S11:S40)</f>
        <v>0</v>
      </c>
      <c r="V41" s="77">
        <f>SUM(V11:V40)</f>
        <v>0</v>
      </c>
      <c r="Y41" s="77">
        <f>SUM(Y11:Y40)</f>
        <v>0</v>
      </c>
      <c r="AB41" s="77">
        <f>SUM(AB11:AB40)</f>
        <v>0</v>
      </c>
      <c r="AE41" s="77">
        <f>SUM(AE11:AE40)</f>
        <v>0</v>
      </c>
      <c r="AH41" s="77">
        <f>SUM(AH11:AH40)</f>
        <v>0</v>
      </c>
      <c r="AK41" s="77">
        <f>SUM(AK11:AK40)</f>
        <v>1678.3333333333335</v>
      </c>
      <c r="AN41" s="77">
        <f>SUM(AN11:AN40)</f>
        <v>846.1111111111112</v>
      </c>
      <c r="AQ41" s="77">
        <f>SUM(AQ11:AQ40)</f>
        <v>0</v>
      </c>
      <c r="AT41" s="77">
        <f>SUM(AT11:AT40)</f>
        <v>0</v>
      </c>
      <c r="AW41" s="77">
        <f>SUM(AW11:AW40)</f>
        <v>0</v>
      </c>
      <c r="AZ41" s="77">
        <f>SUM(AZ11:AZ40)</f>
        <v>0</v>
      </c>
      <c r="BC41" s="77">
        <f>SUM(BC11:BC40)</f>
        <v>0</v>
      </c>
      <c r="BF41" s="77">
        <f>SUM(BF11:BF40)</f>
        <v>0</v>
      </c>
      <c r="BI41" s="77">
        <f>SUM(BI11:BI40)</f>
        <v>0</v>
      </c>
      <c r="BL41" s="77">
        <f>SUM(BL11:BL40)</f>
        <v>0</v>
      </c>
      <c r="BO41" s="77">
        <f>SUM(BO11:BO40)</f>
        <v>0</v>
      </c>
      <c r="BR41" s="77">
        <f>SUM(BR11:BR40)</f>
        <v>0</v>
      </c>
      <c r="BU41" s="77">
        <f>SUM(BU11:BU40)</f>
        <v>0</v>
      </c>
      <c r="BX41" s="77">
        <f>SUM(BX11:BX40)</f>
        <v>0</v>
      </c>
      <c r="CA41" s="77">
        <f>SUM(CA11:CA40)</f>
        <v>0</v>
      </c>
      <c r="CD41" s="77">
        <f>SUM(CD11:CD40)</f>
        <v>0</v>
      </c>
      <c r="CG41" s="77">
        <f>SUM(CG11:CG40)</f>
        <v>0</v>
      </c>
      <c r="CJ41" s="77">
        <f>SUM(CJ11:CJ40)</f>
        <v>0</v>
      </c>
      <c r="CM41" s="77">
        <f>SUM(CM11:CM40)</f>
        <v>0</v>
      </c>
      <c r="CP41" s="77">
        <f>SUM(CP11:CP40)</f>
        <v>0</v>
      </c>
      <c r="CS41" s="77">
        <f>SUM(CS11:CS40)</f>
        <v>0</v>
      </c>
      <c r="CV41" s="77">
        <f>SUM(CV11:CV40)</f>
        <v>0</v>
      </c>
      <c r="CY41" s="77">
        <f>SUM(CY11:CY40)</f>
        <v>0</v>
      </c>
      <c r="DB41" s="77">
        <f>SUM(DB11:DB40)</f>
        <v>0</v>
      </c>
      <c r="DE41" s="77">
        <f>SUM(DE11:DE40)</f>
        <v>0</v>
      </c>
      <c r="DH41" s="77">
        <f>SUM(DH11:DH40)</f>
        <v>0</v>
      </c>
      <c r="DK41" s="77">
        <f>SUM(DK11:DK40)</f>
        <v>0</v>
      </c>
      <c r="DN41" s="77">
        <f>SUM(DN11:DN40)</f>
        <v>0</v>
      </c>
      <c r="DQ41" s="77">
        <f>SUM(DQ11:DQ40)</f>
        <v>0</v>
      </c>
      <c r="DT41" s="77">
        <f>SUM(DT11:DT40)</f>
        <v>0</v>
      </c>
      <c r="DW41" s="77">
        <f>SUM(DW11:DW40)</f>
        <v>0</v>
      </c>
      <c r="DZ41" s="38"/>
      <c r="EA41" s="38"/>
      <c r="EB41" s="40"/>
      <c r="EC41" s="40"/>
      <c r="ED41" s="77">
        <f>SUM(ED11:ED40)</f>
        <v>2524.4444444444443</v>
      </c>
      <c r="EE41" s="41"/>
      <c r="EG41" s="40"/>
      <c r="EH41" s="77">
        <f>SUM(EH11:EH40)</f>
        <v>0</v>
      </c>
      <c r="EI41" s="41"/>
      <c r="EJ41" s="41"/>
      <c r="EK41" s="40"/>
      <c r="EL41" s="40"/>
      <c r="EM41" s="77">
        <f>SUM(EM11:EM40)</f>
        <v>2524.4444444444443</v>
      </c>
      <c r="EN41" s="41"/>
      <c r="EO41" s="40"/>
    </row>
    <row r="43" spans="1:146" x14ac:dyDescent="0.25">
      <c r="EM43" s="78"/>
    </row>
    <row r="45" spans="1:146" x14ac:dyDescent="0.25">
      <c r="EM45" s="40"/>
    </row>
    <row r="46" spans="1:146" x14ac:dyDescent="0.25">
      <c r="EM46" s="40"/>
      <c r="EO46" s="40"/>
    </row>
    <row r="47" spans="1:146" x14ac:dyDescent="0.25">
      <c r="EM47" s="4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/>
  <dimension ref="A1:EQ48"/>
  <sheetViews>
    <sheetView workbookViewId="0"/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8.285156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62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t="s">
        <v>98</v>
      </c>
      <c r="EC2"/>
      <c r="ED2" s="40"/>
      <c r="EE2" s="40">
        <f>EB41</f>
        <v>165300000</v>
      </c>
      <c r="EI2" s="40">
        <f>EG40</f>
        <v>0</v>
      </c>
      <c r="EM2" s="40"/>
      <c r="EN2" s="40">
        <f>EK41</f>
        <v>165300000</v>
      </c>
      <c r="EO2" s="31">
        <v>-16557.25</v>
      </c>
      <c r="EP2" s="31">
        <f>EN2+EO2</f>
        <v>165283442.75</v>
      </c>
      <c r="EQ2" s="31">
        <f>EE2+EO2</f>
        <v>165283442.75</v>
      </c>
    </row>
    <row r="3" spans="1:147" ht="16.5" thickTop="1" x14ac:dyDescent="0.25">
      <c r="A3" s="39" t="s">
        <v>233</v>
      </c>
      <c r="E3" s="42" t="s">
        <v>100</v>
      </c>
      <c r="F3" s="43"/>
      <c r="G3" s="44"/>
      <c r="EB3" t="s">
        <v>101</v>
      </c>
      <c r="ED3" s="40"/>
      <c r="EE3" s="40">
        <f>AVERAGE(EB11:EB41)</f>
        <v>76636290.32258065</v>
      </c>
      <c r="EI3" s="40">
        <f>AVERAGE(EG11:EG40)</f>
        <v>0</v>
      </c>
      <c r="EM3" s="40"/>
      <c r="EN3" s="40">
        <f>AVERAGE(EK11:EK41)</f>
        <v>76429032.258064523</v>
      </c>
    </row>
    <row r="4" spans="1:147" x14ac:dyDescent="0.25">
      <c r="E4" s="48" t="s">
        <v>98</v>
      </c>
      <c r="F4" s="40"/>
      <c r="G4" s="49">
        <f>EQ2</f>
        <v>165283442.75</v>
      </c>
      <c r="AI4" s="50" t="s">
        <v>102</v>
      </c>
      <c r="EB4" t="s">
        <v>103</v>
      </c>
      <c r="ED4" s="41"/>
      <c r="EE4" s="41">
        <f>IF(EE3=0,0,360*(AVERAGE(ED11:ED41)/EE3))</f>
        <v>2.6046366734365296E-3</v>
      </c>
      <c r="EI4" s="41">
        <f>IF(EI3=0,0,360*(AVERAGE(EH11:EH40)/EI3))</f>
        <v>0</v>
      </c>
      <c r="EM4" s="41"/>
      <c r="EN4" s="41">
        <f>IF(EN3=0,0,360*(AVERAGE(EM11:EM41)/EN3))</f>
        <v>2.6018644747393739E-3</v>
      </c>
      <c r="EO4" s="51" t="s">
        <v>104</v>
      </c>
      <c r="EQ4" s="52" t="s">
        <v>102</v>
      </c>
    </row>
    <row r="5" spans="1:147" ht="15.75" x14ac:dyDescent="0.25">
      <c r="E5" s="48" t="s">
        <v>101</v>
      </c>
      <c r="F5" s="40"/>
      <c r="G5" s="49">
        <f>EE3</f>
        <v>76636290.32258065</v>
      </c>
      <c r="AI5" s="53" t="s">
        <v>93</v>
      </c>
      <c r="EB5" t="s">
        <v>105</v>
      </c>
      <c r="ED5" s="40"/>
      <c r="EE5" s="40">
        <f>MAX(EB11:EB41)</f>
        <v>165300000</v>
      </c>
      <c r="EI5" s="40">
        <f>MAX(EG11:EG40)</f>
        <v>0</v>
      </c>
      <c r="EM5" s="40"/>
      <c r="EN5" s="40">
        <f>MAX(EK11:EK41)</f>
        <v>165300000</v>
      </c>
    </row>
    <row r="6" spans="1:147" x14ac:dyDescent="0.25">
      <c r="E6" s="48" t="s">
        <v>103</v>
      </c>
      <c r="F6" s="40"/>
      <c r="G6" s="55">
        <f>EE4</f>
        <v>2.6046366734365296E-3</v>
      </c>
    </row>
    <row r="7" spans="1:147" ht="16.5" thickBot="1" x14ac:dyDescent="0.3">
      <c r="E7" s="171" t="s">
        <v>105</v>
      </c>
      <c r="F7" s="57"/>
      <c r="G7" s="58">
        <f>EE5</f>
        <v>165300000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157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157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1" t="s">
        <v>164</v>
      </c>
      <c r="EG10" s="71" t="s">
        <v>165</v>
      </c>
      <c r="EH10" s="71" t="s">
        <v>19</v>
      </c>
      <c r="EI10" s="71" t="s">
        <v>164</v>
      </c>
      <c r="EJ10" s="71"/>
      <c r="EK10" s="71" t="s">
        <v>165</v>
      </c>
      <c r="EL10" s="71" t="s">
        <v>165</v>
      </c>
      <c r="EM10" s="71" t="s">
        <v>19</v>
      </c>
      <c r="EN10" s="71" t="s">
        <v>164</v>
      </c>
    </row>
    <row r="11" spans="1:147" x14ac:dyDescent="0.25">
      <c r="A11" s="25">
        <v>44531</v>
      </c>
      <c r="B11" s="40">
        <v>0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172">
        <v>61575000</v>
      </c>
      <c r="AJ11" s="173">
        <v>1.5E-3</v>
      </c>
      <c r="AK11" s="40">
        <f>(AI11*AJ11)/360</f>
        <v>256.5625</v>
      </c>
      <c r="AL11" s="172"/>
      <c r="AM11" s="173"/>
      <c r="AN11" s="40">
        <f>(AL11*AM11)/360</f>
        <v>0</v>
      </c>
      <c r="AO11" s="172"/>
      <c r="AP11" s="173"/>
      <c r="AQ11" s="40">
        <f>(AO11*AP11)/360</f>
        <v>0</v>
      </c>
      <c r="AR11" s="172"/>
      <c r="AS11" s="173"/>
      <c r="AT11" s="40">
        <f>(AR11*AS11)/360</f>
        <v>0</v>
      </c>
      <c r="AW11" s="40">
        <f>(AU11*AV11)/360</f>
        <v>0</v>
      </c>
      <c r="AZ11" s="40">
        <f>(AX11*AY11)/360</f>
        <v>0</v>
      </c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61575000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256.5625</v>
      </c>
      <c r="EE11" s="41">
        <f>IF(EB11&lt;&gt;0,((ED11/EB11)*360),0)</f>
        <v>1.5E-3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61575000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256.5625</v>
      </c>
      <c r="EN11" s="41">
        <f>IF(EK11&lt;&gt;0,((EM11/EK11)*360),0)</f>
        <v>1.5E-3</v>
      </c>
      <c r="EP11" s="40"/>
    </row>
    <row r="12" spans="1:147" x14ac:dyDescent="0.25">
      <c r="A12" s="25">
        <f>1+A11</f>
        <v>44532</v>
      </c>
      <c r="B12" s="40">
        <v>0</v>
      </c>
      <c r="D12" s="40">
        <f t="shared" ref="D12:D41" si="0">(B12*C12)/360</f>
        <v>0</v>
      </c>
      <c r="G12" s="40">
        <f t="shared" ref="G12:G41" si="1">(E12*F12)/360</f>
        <v>0</v>
      </c>
      <c r="J12" s="40">
        <f t="shared" ref="J12:J41" si="2">(H12*I12)/360</f>
        <v>0</v>
      </c>
      <c r="M12" s="40">
        <f t="shared" ref="M12:M41" si="3">(K12*L12)/360</f>
        <v>0</v>
      </c>
      <c r="P12" s="40">
        <f t="shared" ref="P12:P41" si="4">(N12*O12)/360</f>
        <v>0</v>
      </c>
      <c r="S12" s="40">
        <f t="shared" ref="S12:S41" si="5">(Q12*R12)/360</f>
        <v>0</v>
      </c>
      <c r="V12" s="40">
        <f t="shared" ref="V12:V41" si="6">(T12*U12)/360</f>
        <v>0</v>
      </c>
      <c r="Y12" s="40">
        <f t="shared" ref="Y12:Y41" si="7">(W12*X12)/360</f>
        <v>0</v>
      </c>
      <c r="AB12" s="40">
        <f t="shared" ref="AB12:AB41" si="8">(Z12*AA12)/360</f>
        <v>0</v>
      </c>
      <c r="AE12" s="40">
        <v>0</v>
      </c>
      <c r="AH12" s="40">
        <v>0</v>
      </c>
      <c r="AI12" s="172">
        <v>52050000</v>
      </c>
      <c r="AJ12" s="173">
        <v>1.5E-3</v>
      </c>
      <c r="AK12" s="40">
        <f t="shared" ref="AK12:AK41" si="9">(AI12*AJ12)/360</f>
        <v>216.875</v>
      </c>
      <c r="AL12" s="172"/>
      <c r="AM12" s="173"/>
      <c r="AN12" s="40">
        <f t="shared" ref="AN12:AN41" si="10">(AL12*AM12)/360</f>
        <v>0</v>
      </c>
      <c r="AO12" s="172"/>
      <c r="AP12" s="173"/>
      <c r="AQ12" s="40">
        <f t="shared" ref="AQ12:AQ41" si="11">(AO12*AP12)/360</f>
        <v>0</v>
      </c>
      <c r="AR12" s="172"/>
      <c r="AS12" s="173"/>
      <c r="AT12" s="40">
        <f t="shared" ref="AT12:AT41" si="12">(AR12*AS12)/360</f>
        <v>0</v>
      </c>
      <c r="AW12" s="40">
        <f t="shared" ref="AW12:AW41" si="13">(AU12*AV12)/360</f>
        <v>0</v>
      </c>
      <c r="AZ12" s="40">
        <f t="shared" ref="AZ12:AZ41" si="14">(AX12*AY12)/360</f>
        <v>0</v>
      </c>
      <c r="BC12" s="40">
        <f t="shared" ref="BC12:BC41" si="15">(BA12*BB12)/360</f>
        <v>0</v>
      </c>
      <c r="BF12" s="40">
        <f t="shared" ref="BF12:BF41" si="16">(BD12*BE12)/360</f>
        <v>0</v>
      </c>
      <c r="BI12" s="40">
        <f t="shared" ref="BI12:BI41" si="17">(BG12*BH12)/360</f>
        <v>0</v>
      </c>
      <c r="BL12" s="40">
        <f t="shared" ref="BL12:BL41" si="18">(BJ12*BK12)/360</f>
        <v>0</v>
      </c>
      <c r="BO12" s="40">
        <f t="shared" ref="BO12:BO41" si="19">(BM12*BN12)/360</f>
        <v>0</v>
      </c>
      <c r="BR12" s="40">
        <f t="shared" ref="BR12:BR41" si="20">(BP12*BQ12)/360</f>
        <v>0</v>
      </c>
      <c r="BU12" s="40">
        <f t="shared" ref="BU12:BU41" si="21">(BS12*BT12)/360</f>
        <v>0</v>
      </c>
      <c r="BX12" s="40">
        <f t="shared" ref="BX12:BX41" si="22">(BV12*BW12)/360</f>
        <v>0</v>
      </c>
      <c r="CA12" s="40">
        <f t="shared" ref="CA12:CA41" si="23">(BY12*BZ12)/360</f>
        <v>0</v>
      </c>
      <c r="CD12" s="40">
        <f t="shared" ref="CD12:CD41" si="24">(CB12*CC12)/360</f>
        <v>0</v>
      </c>
      <c r="CG12" s="40">
        <f t="shared" ref="CG12:CG41" si="25">(CE12*CF12)/360</f>
        <v>0</v>
      </c>
      <c r="CJ12" s="40">
        <f t="shared" ref="CJ12:CJ41" si="26">(CH12*CI12)/360</f>
        <v>0</v>
      </c>
      <c r="CM12" s="40">
        <f t="shared" ref="CM12:CM41" si="27">(CK12*CL12)/360</f>
        <v>0</v>
      </c>
      <c r="CP12" s="40">
        <f t="shared" ref="CP12:CP41" si="28">(CN12*CO12)/360</f>
        <v>0</v>
      </c>
      <c r="CS12" s="40">
        <f t="shared" ref="CS12:CS41" si="29">(CQ12*CR12)/360</f>
        <v>0</v>
      </c>
      <c r="CV12" s="40">
        <f t="shared" ref="CV12:CV41" si="30">(CT12*CU12)/360</f>
        <v>0</v>
      </c>
      <c r="CY12" s="40">
        <f t="shared" ref="CY12:CY41" si="31">(CW12*CX12)/360</f>
        <v>0</v>
      </c>
      <c r="DB12" s="40">
        <f t="shared" ref="DB12:DB41" si="32">(CZ12*DA12)/360</f>
        <v>0</v>
      </c>
      <c r="DE12" s="40">
        <f t="shared" ref="DE12:DE41" si="33">(DC12*DD12)/360</f>
        <v>0</v>
      </c>
      <c r="DH12" s="40">
        <f t="shared" ref="DH12:DH41" si="34">(DF12*DG12)/360</f>
        <v>0</v>
      </c>
      <c r="DK12" s="40">
        <f t="shared" ref="DK12:DK41" si="35">(DI12*DJ12)/360</f>
        <v>0</v>
      </c>
      <c r="DN12" s="40">
        <f t="shared" ref="DN12:DN41" si="36">(DL12*DM12)/360</f>
        <v>0</v>
      </c>
      <c r="DQ12" s="40">
        <f t="shared" ref="DQ12:DQ41" si="37">(DO12*DP12)/360</f>
        <v>0</v>
      </c>
      <c r="DT12" s="40">
        <f t="shared" ref="DT12:DT41" si="38">(DR12*DS12)/360</f>
        <v>0</v>
      </c>
      <c r="DW12" s="40">
        <f t="shared" ref="DW12:DW41" si="39">(DU12*DV12)/360</f>
        <v>0</v>
      </c>
      <c r="DZ12" s="40"/>
      <c r="EA12" s="40"/>
      <c r="EB12" s="75">
        <f t="shared" ref="EB12:EB41" si="40">B12+E12+H12+K12+N12+Q12+T12+W12+Z12+AC12+AF12+AL12+AO12+AR12+AU12+AX12+BA12+BD12+BG12+DU12+AI12+DR12+DO12+DL12+DI12+DF12+DC12+CZ12+CW12+CT12+CQ12+CN12+CK12+CH12+CE12+CB12+BY12+BV12+BS12+BP12+BM12+BJ12</f>
        <v>52050000</v>
      </c>
      <c r="EC12" s="75">
        <f t="shared" ref="EC12:EC41" si="41">EB12-EK12+EL12</f>
        <v>0</v>
      </c>
      <c r="ED12" s="40">
        <f t="shared" ref="ED12:ED41" si="42">D12+G12+J12+M12+P12+S12+V12+Y12+AB12+AE12+AH12+AK12+AN12+AQ12+AT12+AW12+AZ12+BC12+BF12+BI12+DW12+DT12+DQ12+DN12+DK12+DH12+DE12+DB12+CY12+CV12+CS12+CP12+CM12+CJ12+CG12+CD12+CA12+BX12+BU12+BR12+BO12+BL12</f>
        <v>216.875</v>
      </c>
      <c r="EE12" s="41">
        <f t="shared" ref="EE12:EE41" si="43">IF(EB12&lt;&gt;0,((ED12/EB12)*360),0)</f>
        <v>1.5E-3</v>
      </c>
      <c r="EG12" s="75">
        <f t="shared" ref="EG12:EG41" si="44">Q12+T12+W12+Z12+AC12+AF12</f>
        <v>0</v>
      </c>
      <c r="EH12" s="40">
        <f t="shared" ref="EH12:EH41" si="45">S12+V12+Y12+AB12+AE12+AH12</f>
        <v>0</v>
      </c>
      <c r="EI12" s="41">
        <f t="shared" ref="EI12:EI41" si="46">IF(EG12&lt;&gt;0,((EH12/EG12)*360),0)</f>
        <v>0</v>
      </c>
      <c r="EJ12" s="41"/>
      <c r="EK12" s="75">
        <f t="shared" ref="EK12:EK41" si="47">DR12+DL12+DI12+DF12+DC12+CZ12+CW12+CT12+CQ12+CN12+CK12+CH12+CE12+CB12+BY12+BV12+BS12+BP12+BM12+BJ12+BG12+BD12+BA12+AX12+AU12+AR12+AO12+AL12+AI12+DO12</f>
        <v>52050000</v>
      </c>
      <c r="EL12" s="75">
        <f t="shared" ref="EL12:EL41" si="48">DX12</f>
        <v>0</v>
      </c>
      <c r="EM12" s="75">
        <f t="shared" ref="EM12:EM41" si="49">DT12+DQ12+DN12+DK12+DH12+DE12+DB12+CY12+CV12+CS12+CP12+CM12+CJ12+CG12+CD12+CA12+BX12+BU12+BR12+BO12+BL12+BI12+BF12+BC12+AZ12+AW12+AT12+AQ12+AN12+AK12</f>
        <v>216.875</v>
      </c>
      <c r="EN12" s="41">
        <f t="shared" ref="EN12:EN41" si="50">IF(EK12&lt;&gt;0,((EM12/EK12)*360),0)</f>
        <v>1.5E-3</v>
      </c>
      <c r="EP12" s="40"/>
    </row>
    <row r="13" spans="1:147" x14ac:dyDescent="0.25">
      <c r="A13" s="25">
        <f t="shared" ref="A13:A41" si="51">1+A12</f>
        <v>44533</v>
      </c>
      <c r="B13" s="40">
        <v>0</v>
      </c>
      <c r="D13" s="40">
        <f t="shared" si="0"/>
        <v>0</v>
      </c>
      <c r="G13" s="40">
        <f t="shared" si="1"/>
        <v>0</v>
      </c>
      <c r="J13" s="40">
        <f t="shared" si="2"/>
        <v>0</v>
      </c>
      <c r="M13" s="40">
        <f t="shared" si="3"/>
        <v>0</v>
      </c>
      <c r="P13" s="40">
        <f t="shared" si="4"/>
        <v>0</v>
      </c>
      <c r="S13" s="40">
        <f t="shared" si="5"/>
        <v>0</v>
      </c>
      <c r="V13" s="40">
        <f t="shared" si="6"/>
        <v>0</v>
      </c>
      <c r="Y13" s="40">
        <f t="shared" si="7"/>
        <v>0</v>
      </c>
      <c r="AB13" s="40">
        <f t="shared" si="8"/>
        <v>0</v>
      </c>
      <c r="AE13" s="40">
        <v>0</v>
      </c>
      <c r="AH13" s="40">
        <v>0</v>
      </c>
      <c r="AI13" s="172">
        <v>62000000</v>
      </c>
      <c r="AJ13" s="173">
        <v>1.5E-3</v>
      </c>
      <c r="AK13" s="40">
        <f t="shared" si="9"/>
        <v>258.33333333333331</v>
      </c>
      <c r="AL13" s="172"/>
      <c r="AM13" s="173"/>
      <c r="AN13" s="40">
        <f t="shared" si="10"/>
        <v>0</v>
      </c>
      <c r="AO13" s="172"/>
      <c r="AP13" s="173"/>
      <c r="AQ13" s="40">
        <f t="shared" si="11"/>
        <v>0</v>
      </c>
      <c r="AR13" s="172"/>
      <c r="AS13" s="173"/>
      <c r="AT13" s="40">
        <f t="shared" si="12"/>
        <v>0</v>
      </c>
      <c r="AW13" s="40">
        <f t="shared" si="13"/>
        <v>0</v>
      </c>
      <c r="AZ13" s="40">
        <f t="shared" si="14"/>
        <v>0</v>
      </c>
      <c r="BC13" s="40">
        <f t="shared" si="15"/>
        <v>0</v>
      </c>
      <c r="BF13" s="40">
        <f t="shared" si="16"/>
        <v>0</v>
      </c>
      <c r="BI13" s="40">
        <f t="shared" si="17"/>
        <v>0</v>
      </c>
      <c r="BL13" s="40">
        <f t="shared" si="18"/>
        <v>0</v>
      </c>
      <c r="BO13" s="40">
        <f t="shared" si="19"/>
        <v>0</v>
      </c>
      <c r="BR13" s="40">
        <f t="shared" si="20"/>
        <v>0</v>
      </c>
      <c r="BU13" s="40">
        <f t="shared" si="21"/>
        <v>0</v>
      </c>
      <c r="BX13" s="40">
        <f t="shared" si="22"/>
        <v>0</v>
      </c>
      <c r="CA13" s="40">
        <f t="shared" si="23"/>
        <v>0</v>
      </c>
      <c r="CD13" s="40">
        <f t="shared" si="24"/>
        <v>0</v>
      </c>
      <c r="CG13" s="40">
        <f t="shared" si="25"/>
        <v>0</v>
      </c>
      <c r="CJ13" s="40">
        <f t="shared" si="26"/>
        <v>0</v>
      </c>
      <c r="CM13" s="40">
        <f t="shared" si="27"/>
        <v>0</v>
      </c>
      <c r="CP13" s="40">
        <f t="shared" si="28"/>
        <v>0</v>
      </c>
      <c r="CS13" s="40">
        <f t="shared" si="29"/>
        <v>0</v>
      </c>
      <c r="CV13" s="40">
        <f t="shared" si="30"/>
        <v>0</v>
      </c>
      <c r="CY13" s="40">
        <f t="shared" si="31"/>
        <v>0</v>
      </c>
      <c r="DB13" s="40">
        <f t="shared" si="32"/>
        <v>0</v>
      </c>
      <c r="DE13" s="40">
        <f t="shared" si="33"/>
        <v>0</v>
      </c>
      <c r="DH13" s="40">
        <f t="shared" si="34"/>
        <v>0</v>
      </c>
      <c r="DK13" s="40">
        <f t="shared" si="35"/>
        <v>0</v>
      </c>
      <c r="DN13" s="40">
        <f t="shared" si="36"/>
        <v>0</v>
      </c>
      <c r="DQ13" s="40">
        <f t="shared" si="37"/>
        <v>0</v>
      </c>
      <c r="DT13" s="40">
        <f t="shared" si="38"/>
        <v>0</v>
      </c>
      <c r="DW13" s="40">
        <f t="shared" si="39"/>
        <v>0</v>
      </c>
      <c r="DZ13" s="40"/>
      <c r="EA13" s="40"/>
      <c r="EB13" s="75">
        <f t="shared" si="40"/>
        <v>62000000</v>
      </c>
      <c r="EC13" s="75">
        <f t="shared" si="41"/>
        <v>0</v>
      </c>
      <c r="ED13" s="40">
        <f t="shared" si="42"/>
        <v>258.33333333333331</v>
      </c>
      <c r="EE13" s="41">
        <f t="shared" si="43"/>
        <v>1.4999999999999998E-3</v>
      </c>
      <c r="EG13" s="75">
        <f t="shared" si="44"/>
        <v>0</v>
      </c>
      <c r="EH13" s="40">
        <f t="shared" si="45"/>
        <v>0</v>
      </c>
      <c r="EI13" s="41">
        <f t="shared" si="46"/>
        <v>0</v>
      </c>
      <c r="EJ13" s="41"/>
      <c r="EK13" s="75">
        <f t="shared" si="47"/>
        <v>62000000</v>
      </c>
      <c r="EL13" s="75">
        <f t="shared" si="48"/>
        <v>0</v>
      </c>
      <c r="EM13" s="75">
        <f t="shared" si="49"/>
        <v>258.33333333333331</v>
      </c>
      <c r="EN13" s="41">
        <f t="shared" si="50"/>
        <v>1.4999999999999998E-3</v>
      </c>
      <c r="EP13" s="40"/>
    </row>
    <row r="14" spans="1:147" x14ac:dyDescent="0.25">
      <c r="A14" s="25">
        <f t="shared" si="51"/>
        <v>44534</v>
      </c>
      <c r="B14" s="40">
        <v>0</v>
      </c>
      <c r="D14" s="40">
        <f t="shared" si="0"/>
        <v>0</v>
      </c>
      <c r="G14" s="40">
        <f t="shared" si="1"/>
        <v>0</v>
      </c>
      <c r="J14" s="40">
        <f t="shared" si="2"/>
        <v>0</v>
      </c>
      <c r="M14" s="40">
        <f t="shared" si="3"/>
        <v>0</v>
      </c>
      <c r="P14" s="40">
        <f t="shared" si="4"/>
        <v>0</v>
      </c>
      <c r="S14" s="40">
        <f t="shared" si="5"/>
        <v>0</v>
      </c>
      <c r="V14" s="40">
        <f t="shared" si="6"/>
        <v>0</v>
      </c>
      <c r="Y14" s="40">
        <f t="shared" si="7"/>
        <v>0</v>
      </c>
      <c r="AB14" s="40">
        <f t="shared" si="8"/>
        <v>0</v>
      </c>
      <c r="AE14" s="40">
        <v>0</v>
      </c>
      <c r="AH14" s="40">
        <v>0</v>
      </c>
      <c r="AI14" s="172">
        <v>62000000</v>
      </c>
      <c r="AJ14" s="173">
        <v>1.5E-3</v>
      </c>
      <c r="AK14" s="40">
        <f t="shared" si="9"/>
        <v>258.33333333333331</v>
      </c>
      <c r="AL14" s="172"/>
      <c r="AM14" s="173"/>
      <c r="AN14" s="40">
        <f t="shared" si="10"/>
        <v>0</v>
      </c>
      <c r="AO14" s="172"/>
      <c r="AP14" s="173"/>
      <c r="AQ14" s="40">
        <f t="shared" si="11"/>
        <v>0</v>
      </c>
      <c r="AR14" s="172"/>
      <c r="AS14" s="173"/>
      <c r="AT14" s="40">
        <f t="shared" si="12"/>
        <v>0</v>
      </c>
      <c r="AW14" s="40">
        <f t="shared" si="13"/>
        <v>0</v>
      </c>
      <c r="AZ14" s="40">
        <f t="shared" si="14"/>
        <v>0</v>
      </c>
      <c r="BC14" s="40">
        <f t="shared" si="15"/>
        <v>0</v>
      </c>
      <c r="BF14" s="40">
        <f t="shared" si="16"/>
        <v>0</v>
      </c>
      <c r="BI14" s="40">
        <f t="shared" si="17"/>
        <v>0</v>
      </c>
      <c r="BL14" s="40">
        <f t="shared" si="18"/>
        <v>0</v>
      </c>
      <c r="BO14" s="40">
        <f t="shared" si="19"/>
        <v>0</v>
      </c>
      <c r="BR14" s="40">
        <f t="shared" si="20"/>
        <v>0</v>
      </c>
      <c r="BU14" s="40">
        <f t="shared" si="21"/>
        <v>0</v>
      </c>
      <c r="BX14" s="40">
        <f t="shared" si="22"/>
        <v>0</v>
      </c>
      <c r="CA14" s="40">
        <f t="shared" si="23"/>
        <v>0</v>
      </c>
      <c r="CD14" s="40">
        <f t="shared" si="24"/>
        <v>0</v>
      </c>
      <c r="CG14" s="40">
        <f t="shared" si="25"/>
        <v>0</v>
      </c>
      <c r="CJ14" s="40">
        <f t="shared" si="26"/>
        <v>0</v>
      </c>
      <c r="CM14" s="40">
        <f t="shared" si="27"/>
        <v>0</v>
      </c>
      <c r="CP14" s="40">
        <f t="shared" si="28"/>
        <v>0</v>
      </c>
      <c r="CS14" s="40">
        <f t="shared" si="29"/>
        <v>0</v>
      </c>
      <c r="CV14" s="40">
        <f t="shared" si="30"/>
        <v>0</v>
      </c>
      <c r="CY14" s="40">
        <f t="shared" si="31"/>
        <v>0</v>
      </c>
      <c r="DB14" s="40">
        <f t="shared" si="32"/>
        <v>0</v>
      </c>
      <c r="DE14" s="40">
        <f t="shared" si="33"/>
        <v>0</v>
      </c>
      <c r="DH14" s="40">
        <f t="shared" si="34"/>
        <v>0</v>
      </c>
      <c r="DK14" s="40">
        <f t="shared" si="35"/>
        <v>0</v>
      </c>
      <c r="DN14" s="40">
        <f t="shared" si="36"/>
        <v>0</v>
      </c>
      <c r="DQ14" s="40">
        <f t="shared" si="37"/>
        <v>0</v>
      </c>
      <c r="DT14" s="40">
        <f t="shared" si="38"/>
        <v>0</v>
      </c>
      <c r="DW14" s="40">
        <f t="shared" si="39"/>
        <v>0</v>
      </c>
      <c r="DZ14" s="40"/>
      <c r="EA14" s="40"/>
      <c r="EB14" s="75">
        <f t="shared" si="40"/>
        <v>62000000</v>
      </c>
      <c r="EC14" s="75">
        <f t="shared" si="41"/>
        <v>0</v>
      </c>
      <c r="ED14" s="40">
        <f t="shared" si="42"/>
        <v>258.33333333333331</v>
      </c>
      <c r="EE14" s="41">
        <f t="shared" si="43"/>
        <v>1.4999999999999998E-3</v>
      </c>
      <c r="EG14" s="75">
        <f t="shared" si="44"/>
        <v>0</v>
      </c>
      <c r="EH14" s="40">
        <f t="shared" si="45"/>
        <v>0</v>
      </c>
      <c r="EI14" s="41">
        <f t="shared" si="46"/>
        <v>0</v>
      </c>
      <c r="EJ14" s="41"/>
      <c r="EK14" s="75">
        <f t="shared" si="47"/>
        <v>62000000</v>
      </c>
      <c r="EL14" s="75">
        <f t="shared" si="48"/>
        <v>0</v>
      </c>
      <c r="EM14" s="75">
        <f t="shared" si="49"/>
        <v>258.33333333333331</v>
      </c>
      <c r="EN14" s="41">
        <f t="shared" si="50"/>
        <v>1.4999999999999998E-3</v>
      </c>
      <c r="EP14" s="40"/>
    </row>
    <row r="15" spans="1:147" x14ac:dyDescent="0.25">
      <c r="A15" s="25">
        <f t="shared" si="51"/>
        <v>44535</v>
      </c>
      <c r="B15" s="40">
        <v>0</v>
      </c>
      <c r="D15" s="40">
        <f t="shared" si="0"/>
        <v>0</v>
      </c>
      <c r="G15" s="40">
        <f t="shared" si="1"/>
        <v>0</v>
      </c>
      <c r="J15" s="40">
        <f t="shared" si="2"/>
        <v>0</v>
      </c>
      <c r="M15" s="40">
        <f t="shared" si="3"/>
        <v>0</v>
      </c>
      <c r="P15" s="40">
        <f t="shared" si="4"/>
        <v>0</v>
      </c>
      <c r="S15" s="40">
        <f t="shared" si="5"/>
        <v>0</v>
      </c>
      <c r="V15" s="40">
        <f t="shared" si="6"/>
        <v>0</v>
      </c>
      <c r="Y15" s="40">
        <f t="shared" si="7"/>
        <v>0</v>
      </c>
      <c r="AB15" s="40">
        <f t="shared" si="8"/>
        <v>0</v>
      </c>
      <c r="AE15" s="40">
        <v>0</v>
      </c>
      <c r="AH15" s="40">
        <v>0</v>
      </c>
      <c r="AI15" s="172">
        <v>62000000</v>
      </c>
      <c r="AJ15" s="173">
        <v>1.5E-3</v>
      </c>
      <c r="AK15" s="40">
        <f t="shared" si="9"/>
        <v>258.33333333333331</v>
      </c>
      <c r="AL15" s="172"/>
      <c r="AM15" s="173"/>
      <c r="AN15" s="40">
        <f t="shared" si="10"/>
        <v>0</v>
      </c>
      <c r="AO15" s="172"/>
      <c r="AP15" s="173"/>
      <c r="AQ15" s="40">
        <f t="shared" si="11"/>
        <v>0</v>
      </c>
      <c r="AR15" s="172"/>
      <c r="AS15" s="173"/>
      <c r="AT15" s="40">
        <f t="shared" si="12"/>
        <v>0</v>
      </c>
      <c r="AW15" s="40">
        <f t="shared" si="13"/>
        <v>0</v>
      </c>
      <c r="AZ15" s="40">
        <f t="shared" si="14"/>
        <v>0</v>
      </c>
      <c r="BC15" s="40">
        <f t="shared" si="15"/>
        <v>0</v>
      </c>
      <c r="BF15" s="40">
        <f t="shared" si="16"/>
        <v>0</v>
      </c>
      <c r="BI15" s="40">
        <f t="shared" si="17"/>
        <v>0</v>
      </c>
      <c r="BL15" s="40">
        <f t="shared" si="18"/>
        <v>0</v>
      </c>
      <c r="BO15" s="40">
        <f t="shared" si="19"/>
        <v>0</v>
      </c>
      <c r="BR15" s="40">
        <f t="shared" si="20"/>
        <v>0</v>
      </c>
      <c r="BU15" s="40">
        <f t="shared" si="21"/>
        <v>0</v>
      </c>
      <c r="BX15" s="40">
        <f t="shared" si="22"/>
        <v>0</v>
      </c>
      <c r="CA15" s="40">
        <f t="shared" si="23"/>
        <v>0</v>
      </c>
      <c r="CD15" s="40">
        <f t="shared" si="24"/>
        <v>0</v>
      </c>
      <c r="CG15" s="40">
        <f t="shared" si="25"/>
        <v>0</v>
      </c>
      <c r="CJ15" s="40">
        <f t="shared" si="26"/>
        <v>0</v>
      </c>
      <c r="CM15" s="40">
        <f t="shared" si="27"/>
        <v>0</v>
      </c>
      <c r="CP15" s="40">
        <f t="shared" si="28"/>
        <v>0</v>
      </c>
      <c r="CS15" s="40">
        <f t="shared" si="29"/>
        <v>0</v>
      </c>
      <c r="CV15" s="40">
        <f t="shared" si="30"/>
        <v>0</v>
      </c>
      <c r="CY15" s="40">
        <f t="shared" si="31"/>
        <v>0</v>
      </c>
      <c r="DB15" s="40">
        <f t="shared" si="32"/>
        <v>0</v>
      </c>
      <c r="DE15" s="40">
        <f t="shared" si="33"/>
        <v>0</v>
      </c>
      <c r="DH15" s="40">
        <f t="shared" si="34"/>
        <v>0</v>
      </c>
      <c r="DK15" s="40">
        <f t="shared" si="35"/>
        <v>0</v>
      </c>
      <c r="DN15" s="40">
        <f t="shared" si="36"/>
        <v>0</v>
      </c>
      <c r="DQ15" s="40">
        <f t="shared" si="37"/>
        <v>0</v>
      </c>
      <c r="DT15" s="40">
        <f t="shared" si="38"/>
        <v>0</v>
      </c>
      <c r="DW15" s="40">
        <f t="shared" si="39"/>
        <v>0</v>
      </c>
      <c r="DZ15" s="40"/>
      <c r="EA15" s="40"/>
      <c r="EB15" s="75">
        <f t="shared" si="40"/>
        <v>62000000</v>
      </c>
      <c r="EC15" s="75">
        <f t="shared" si="41"/>
        <v>0</v>
      </c>
      <c r="ED15" s="40">
        <f t="shared" si="42"/>
        <v>258.33333333333331</v>
      </c>
      <c r="EE15" s="41">
        <f t="shared" si="43"/>
        <v>1.4999999999999998E-3</v>
      </c>
      <c r="EG15" s="75">
        <f t="shared" si="44"/>
        <v>0</v>
      </c>
      <c r="EH15" s="40">
        <f t="shared" si="45"/>
        <v>0</v>
      </c>
      <c r="EI15" s="41">
        <f t="shared" si="46"/>
        <v>0</v>
      </c>
      <c r="EJ15" s="41"/>
      <c r="EK15" s="75">
        <f t="shared" si="47"/>
        <v>62000000</v>
      </c>
      <c r="EL15" s="75">
        <f t="shared" si="48"/>
        <v>0</v>
      </c>
      <c r="EM15" s="75">
        <f t="shared" si="49"/>
        <v>258.33333333333331</v>
      </c>
      <c r="EN15" s="41">
        <f t="shared" si="50"/>
        <v>1.4999999999999998E-3</v>
      </c>
      <c r="EP15" s="40"/>
    </row>
    <row r="16" spans="1:147" x14ac:dyDescent="0.25">
      <c r="A16" s="25">
        <f t="shared" si="51"/>
        <v>44536</v>
      </c>
      <c r="B16" s="40">
        <v>0</v>
      </c>
      <c r="D16" s="40">
        <f t="shared" si="0"/>
        <v>0</v>
      </c>
      <c r="G16" s="40">
        <f t="shared" si="1"/>
        <v>0</v>
      </c>
      <c r="J16" s="40">
        <f t="shared" si="2"/>
        <v>0</v>
      </c>
      <c r="M16" s="40">
        <f t="shared" si="3"/>
        <v>0</v>
      </c>
      <c r="P16" s="40">
        <f t="shared" si="4"/>
        <v>0</v>
      </c>
      <c r="S16" s="40">
        <f t="shared" si="5"/>
        <v>0</v>
      </c>
      <c r="V16" s="40">
        <f t="shared" si="6"/>
        <v>0</v>
      </c>
      <c r="Y16" s="40">
        <f t="shared" si="7"/>
        <v>0</v>
      </c>
      <c r="AB16" s="40">
        <f t="shared" si="8"/>
        <v>0</v>
      </c>
      <c r="AE16" s="40">
        <v>0</v>
      </c>
      <c r="AH16" s="40">
        <v>0</v>
      </c>
      <c r="AI16" s="172">
        <v>60975000</v>
      </c>
      <c r="AJ16" s="173">
        <v>1.5E-3</v>
      </c>
      <c r="AK16" s="40">
        <f t="shared" si="9"/>
        <v>254.0625</v>
      </c>
      <c r="AL16" s="172"/>
      <c r="AM16" s="173"/>
      <c r="AN16" s="40">
        <f t="shared" si="10"/>
        <v>0</v>
      </c>
      <c r="AO16" s="172"/>
      <c r="AP16" s="173"/>
      <c r="AQ16" s="40">
        <f t="shared" si="11"/>
        <v>0</v>
      </c>
      <c r="AR16" s="172"/>
      <c r="AS16" s="173"/>
      <c r="AT16" s="40">
        <f t="shared" si="12"/>
        <v>0</v>
      </c>
      <c r="AW16" s="40">
        <f t="shared" si="13"/>
        <v>0</v>
      </c>
      <c r="AZ16" s="40">
        <f t="shared" si="14"/>
        <v>0</v>
      </c>
      <c r="BC16" s="40">
        <f t="shared" si="15"/>
        <v>0</v>
      </c>
      <c r="BF16" s="40">
        <f t="shared" si="16"/>
        <v>0</v>
      </c>
      <c r="BI16" s="40">
        <f t="shared" si="17"/>
        <v>0</v>
      </c>
      <c r="BL16" s="40">
        <f t="shared" si="18"/>
        <v>0</v>
      </c>
      <c r="BO16" s="40">
        <f t="shared" si="19"/>
        <v>0</v>
      </c>
      <c r="BR16" s="40">
        <f t="shared" si="20"/>
        <v>0</v>
      </c>
      <c r="BU16" s="40">
        <f t="shared" si="21"/>
        <v>0</v>
      </c>
      <c r="BX16" s="40">
        <f t="shared" si="22"/>
        <v>0</v>
      </c>
      <c r="CA16" s="40">
        <f t="shared" si="23"/>
        <v>0</v>
      </c>
      <c r="CD16" s="40">
        <f t="shared" si="24"/>
        <v>0</v>
      </c>
      <c r="CG16" s="40">
        <f t="shared" si="25"/>
        <v>0</v>
      </c>
      <c r="CJ16" s="40">
        <f t="shared" si="26"/>
        <v>0</v>
      </c>
      <c r="CM16" s="40">
        <f t="shared" si="27"/>
        <v>0</v>
      </c>
      <c r="CP16" s="40">
        <f t="shared" si="28"/>
        <v>0</v>
      </c>
      <c r="CS16" s="40">
        <f t="shared" si="29"/>
        <v>0</v>
      </c>
      <c r="CV16" s="40">
        <f t="shared" si="30"/>
        <v>0</v>
      </c>
      <c r="CY16" s="40">
        <f t="shared" si="31"/>
        <v>0</v>
      </c>
      <c r="DB16" s="40">
        <f t="shared" si="32"/>
        <v>0</v>
      </c>
      <c r="DE16" s="40">
        <f t="shared" si="33"/>
        <v>0</v>
      </c>
      <c r="DH16" s="40">
        <f t="shared" si="34"/>
        <v>0</v>
      </c>
      <c r="DK16" s="40">
        <f t="shared" si="35"/>
        <v>0</v>
      </c>
      <c r="DN16" s="40">
        <f t="shared" si="36"/>
        <v>0</v>
      </c>
      <c r="DQ16" s="40">
        <f t="shared" si="37"/>
        <v>0</v>
      </c>
      <c r="DT16" s="40">
        <f t="shared" si="38"/>
        <v>0</v>
      </c>
      <c r="DW16" s="40">
        <f t="shared" si="39"/>
        <v>0</v>
      </c>
      <c r="DZ16" s="40"/>
      <c r="EA16" s="40"/>
      <c r="EB16" s="75">
        <f t="shared" si="40"/>
        <v>60975000</v>
      </c>
      <c r="EC16" s="75">
        <f t="shared" si="41"/>
        <v>0</v>
      </c>
      <c r="ED16" s="40">
        <f t="shared" si="42"/>
        <v>254.0625</v>
      </c>
      <c r="EE16" s="41">
        <f t="shared" si="43"/>
        <v>1.5E-3</v>
      </c>
      <c r="EG16" s="75">
        <f t="shared" si="44"/>
        <v>0</v>
      </c>
      <c r="EH16" s="40">
        <f t="shared" si="45"/>
        <v>0</v>
      </c>
      <c r="EI16" s="41">
        <f t="shared" si="46"/>
        <v>0</v>
      </c>
      <c r="EJ16" s="41"/>
      <c r="EK16" s="75">
        <f t="shared" si="47"/>
        <v>60975000</v>
      </c>
      <c r="EL16" s="75">
        <f t="shared" si="48"/>
        <v>0</v>
      </c>
      <c r="EM16" s="75">
        <f t="shared" si="49"/>
        <v>254.0625</v>
      </c>
      <c r="EN16" s="41">
        <f t="shared" si="50"/>
        <v>1.5E-3</v>
      </c>
      <c r="EP16" s="40"/>
    </row>
    <row r="17" spans="1:146" x14ac:dyDescent="0.25">
      <c r="A17" s="25">
        <f t="shared" si="51"/>
        <v>44537</v>
      </c>
      <c r="B17" s="40">
        <v>0</v>
      </c>
      <c r="D17" s="40">
        <f t="shared" si="0"/>
        <v>0</v>
      </c>
      <c r="G17" s="40">
        <f t="shared" si="1"/>
        <v>0</v>
      </c>
      <c r="J17" s="40">
        <f t="shared" si="2"/>
        <v>0</v>
      </c>
      <c r="M17" s="40">
        <f t="shared" si="3"/>
        <v>0</v>
      </c>
      <c r="P17" s="40">
        <f t="shared" si="4"/>
        <v>0</v>
      </c>
      <c r="S17" s="40">
        <f t="shared" si="5"/>
        <v>0</v>
      </c>
      <c r="V17" s="40">
        <f t="shared" si="6"/>
        <v>0</v>
      </c>
      <c r="Y17" s="40">
        <f t="shared" si="7"/>
        <v>0</v>
      </c>
      <c r="AB17" s="40">
        <f t="shared" si="8"/>
        <v>0</v>
      </c>
      <c r="AE17" s="40">
        <v>0</v>
      </c>
      <c r="AH17" s="40">
        <v>0</v>
      </c>
      <c r="AI17" s="172">
        <v>35800000</v>
      </c>
      <c r="AJ17" s="173">
        <v>1.5E-3</v>
      </c>
      <c r="AK17" s="40">
        <f t="shared" si="9"/>
        <v>149.16666666666666</v>
      </c>
      <c r="AL17" s="172"/>
      <c r="AM17" s="173"/>
      <c r="AN17" s="40">
        <f t="shared" si="10"/>
        <v>0</v>
      </c>
      <c r="AO17" s="172"/>
      <c r="AP17" s="173"/>
      <c r="AQ17" s="40">
        <f t="shared" si="11"/>
        <v>0</v>
      </c>
      <c r="AR17" s="172"/>
      <c r="AS17" s="173"/>
      <c r="AT17" s="40">
        <f t="shared" si="12"/>
        <v>0</v>
      </c>
      <c r="AW17" s="40">
        <f t="shared" si="13"/>
        <v>0</v>
      </c>
      <c r="AZ17" s="40">
        <f t="shared" si="14"/>
        <v>0</v>
      </c>
      <c r="BC17" s="40">
        <f t="shared" si="15"/>
        <v>0</v>
      </c>
      <c r="BF17" s="40">
        <f t="shared" si="16"/>
        <v>0</v>
      </c>
      <c r="BI17" s="40">
        <f t="shared" si="17"/>
        <v>0</v>
      </c>
      <c r="BL17" s="40">
        <f t="shared" si="18"/>
        <v>0</v>
      </c>
      <c r="BO17" s="40">
        <f t="shared" si="19"/>
        <v>0</v>
      </c>
      <c r="BR17" s="40">
        <f t="shared" si="20"/>
        <v>0</v>
      </c>
      <c r="BU17" s="40">
        <f t="shared" si="21"/>
        <v>0</v>
      </c>
      <c r="BX17" s="40">
        <f t="shared" si="22"/>
        <v>0</v>
      </c>
      <c r="CA17" s="40">
        <f t="shared" si="23"/>
        <v>0</v>
      </c>
      <c r="CD17" s="40">
        <f t="shared" si="24"/>
        <v>0</v>
      </c>
      <c r="CG17" s="40">
        <f t="shared" si="25"/>
        <v>0</v>
      </c>
      <c r="CJ17" s="40">
        <f t="shared" si="26"/>
        <v>0</v>
      </c>
      <c r="CM17" s="40">
        <f t="shared" si="27"/>
        <v>0</v>
      </c>
      <c r="CP17" s="40">
        <f t="shared" si="28"/>
        <v>0</v>
      </c>
      <c r="CS17" s="40">
        <f t="shared" si="29"/>
        <v>0</v>
      </c>
      <c r="CV17" s="40">
        <f t="shared" si="30"/>
        <v>0</v>
      </c>
      <c r="CY17" s="40">
        <f t="shared" si="31"/>
        <v>0</v>
      </c>
      <c r="DB17" s="40">
        <f t="shared" si="32"/>
        <v>0</v>
      </c>
      <c r="DE17" s="40">
        <f t="shared" si="33"/>
        <v>0</v>
      </c>
      <c r="DH17" s="40">
        <f t="shared" si="34"/>
        <v>0</v>
      </c>
      <c r="DK17" s="40">
        <f t="shared" si="35"/>
        <v>0</v>
      </c>
      <c r="DN17" s="40">
        <f t="shared" si="36"/>
        <v>0</v>
      </c>
      <c r="DQ17" s="40">
        <f t="shared" si="37"/>
        <v>0</v>
      </c>
      <c r="DT17" s="40">
        <f t="shared" si="38"/>
        <v>0</v>
      </c>
      <c r="DW17" s="40">
        <f t="shared" si="39"/>
        <v>0</v>
      </c>
      <c r="DZ17" s="40"/>
      <c r="EA17" s="40"/>
      <c r="EB17" s="75">
        <f t="shared" si="40"/>
        <v>35800000</v>
      </c>
      <c r="EC17" s="75">
        <f t="shared" si="41"/>
        <v>0</v>
      </c>
      <c r="ED17" s="40">
        <f t="shared" si="42"/>
        <v>149.16666666666666</v>
      </c>
      <c r="EE17" s="41">
        <f t="shared" si="43"/>
        <v>1.4999999999999998E-3</v>
      </c>
      <c r="EG17" s="75">
        <f t="shared" si="44"/>
        <v>0</v>
      </c>
      <c r="EH17" s="40">
        <f t="shared" si="45"/>
        <v>0</v>
      </c>
      <c r="EI17" s="41">
        <f t="shared" si="46"/>
        <v>0</v>
      </c>
      <c r="EJ17" s="41"/>
      <c r="EK17" s="75">
        <f t="shared" si="47"/>
        <v>35800000</v>
      </c>
      <c r="EL17" s="75">
        <f t="shared" si="48"/>
        <v>0</v>
      </c>
      <c r="EM17" s="75">
        <f t="shared" si="49"/>
        <v>149.16666666666666</v>
      </c>
      <c r="EN17" s="41">
        <f t="shared" si="50"/>
        <v>1.4999999999999998E-3</v>
      </c>
      <c r="EP17" s="40"/>
    </row>
    <row r="18" spans="1:146" x14ac:dyDescent="0.25">
      <c r="A18" s="25">
        <f t="shared" si="51"/>
        <v>44538</v>
      </c>
      <c r="B18" s="40">
        <v>0</v>
      </c>
      <c r="D18" s="40">
        <f t="shared" si="0"/>
        <v>0</v>
      </c>
      <c r="G18" s="40">
        <f t="shared" si="1"/>
        <v>0</v>
      </c>
      <c r="J18" s="40">
        <f t="shared" si="2"/>
        <v>0</v>
      </c>
      <c r="M18" s="40">
        <f t="shared" si="3"/>
        <v>0</v>
      </c>
      <c r="P18" s="40">
        <f t="shared" si="4"/>
        <v>0</v>
      </c>
      <c r="S18" s="40">
        <f t="shared" si="5"/>
        <v>0</v>
      </c>
      <c r="V18" s="40">
        <f t="shared" si="6"/>
        <v>0</v>
      </c>
      <c r="Y18" s="40">
        <f t="shared" si="7"/>
        <v>0</v>
      </c>
      <c r="AB18" s="40">
        <f t="shared" si="8"/>
        <v>0</v>
      </c>
      <c r="AE18" s="40">
        <v>0</v>
      </c>
      <c r="AH18" s="40">
        <v>0</v>
      </c>
      <c r="AI18" s="172">
        <v>39050000</v>
      </c>
      <c r="AJ18" s="173">
        <v>1.5E-3</v>
      </c>
      <c r="AK18" s="40">
        <f t="shared" si="9"/>
        <v>162.70833333333334</v>
      </c>
      <c r="AL18" s="172"/>
      <c r="AM18" s="173"/>
      <c r="AN18" s="40">
        <f t="shared" si="10"/>
        <v>0</v>
      </c>
      <c r="AO18" s="172"/>
      <c r="AP18" s="173"/>
      <c r="AQ18" s="40">
        <f t="shared" si="11"/>
        <v>0</v>
      </c>
      <c r="AR18" s="172"/>
      <c r="AS18" s="173"/>
      <c r="AT18" s="40">
        <f t="shared" si="12"/>
        <v>0</v>
      </c>
      <c r="AW18" s="40">
        <f t="shared" si="13"/>
        <v>0</v>
      </c>
      <c r="AZ18" s="40">
        <f t="shared" si="14"/>
        <v>0</v>
      </c>
      <c r="BC18" s="40">
        <f t="shared" si="15"/>
        <v>0</v>
      </c>
      <c r="BF18" s="40">
        <f t="shared" si="16"/>
        <v>0</v>
      </c>
      <c r="BI18" s="40">
        <f t="shared" si="17"/>
        <v>0</v>
      </c>
      <c r="BL18" s="40">
        <f t="shared" si="18"/>
        <v>0</v>
      </c>
      <c r="BO18" s="40">
        <f t="shared" si="19"/>
        <v>0</v>
      </c>
      <c r="BR18" s="40">
        <f t="shared" si="20"/>
        <v>0</v>
      </c>
      <c r="BU18" s="40">
        <f t="shared" si="21"/>
        <v>0</v>
      </c>
      <c r="BX18" s="40">
        <f t="shared" si="22"/>
        <v>0</v>
      </c>
      <c r="CA18" s="40">
        <f t="shared" si="23"/>
        <v>0</v>
      </c>
      <c r="CD18" s="40">
        <f t="shared" si="24"/>
        <v>0</v>
      </c>
      <c r="CG18" s="40">
        <f t="shared" si="25"/>
        <v>0</v>
      </c>
      <c r="CJ18" s="40">
        <f t="shared" si="26"/>
        <v>0</v>
      </c>
      <c r="CM18" s="40">
        <f t="shared" si="27"/>
        <v>0</v>
      </c>
      <c r="CP18" s="40">
        <f t="shared" si="28"/>
        <v>0</v>
      </c>
      <c r="CS18" s="40">
        <f t="shared" si="29"/>
        <v>0</v>
      </c>
      <c r="CV18" s="40">
        <f t="shared" si="30"/>
        <v>0</v>
      </c>
      <c r="CY18" s="40">
        <f t="shared" si="31"/>
        <v>0</v>
      </c>
      <c r="DB18" s="40">
        <f t="shared" si="32"/>
        <v>0</v>
      </c>
      <c r="DE18" s="40">
        <f t="shared" si="33"/>
        <v>0</v>
      </c>
      <c r="DH18" s="40">
        <f t="shared" si="34"/>
        <v>0</v>
      </c>
      <c r="DK18" s="40">
        <f t="shared" si="35"/>
        <v>0</v>
      </c>
      <c r="DN18" s="40">
        <f t="shared" si="36"/>
        <v>0</v>
      </c>
      <c r="DQ18" s="40">
        <f t="shared" si="37"/>
        <v>0</v>
      </c>
      <c r="DT18" s="40">
        <f t="shared" si="38"/>
        <v>0</v>
      </c>
      <c r="DW18" s="40">
        <f t="shared" si="39"/>
        <v>0</v>
      </c>
      <c r="DZ18" s="40"/>
      <c r="EA18" s="40"/>
      <c r="EB18" s="75">
        <f t="shared" si="40"/>
        <v>39050000</v>
      </c>
      <c r="EC18" s="75">
        <f t="shared" si="41"/>
        <v>0</v>
      </c>
      <c r="ED18" s="40">
        <f t="shared" si="42"/>
        <v>162.70833333333334</v>
      </c>
      <c r="EE18" s="41">
        <f t="shared" si="43"/>
        <v>1.5E-3</v>
      </c>
      <c r="EG18" s="75">
        <f t="shared" si="44"/>
        <v>0</v>
      </c>
      <c r="EH18" s="40">
        <f t="shared" si="45"/>
        <v>0</v>
      </c>
      <c r="EI18" s="41">
        <f t="shared" si="46"/>
        <v>0</v>
      </c>
      <c r="EJ18" s="41"/>
      <c r="EK18" s="75">
        <f t="shared" si="47"/>
        <v>39050000</v>
      </c>
      <c r="EL18" s="75">
        <f t="shared" si="48"/>
        <v>0</v>
      </c>
      <c r="EM18" s="75">
        <f t="shared" si="49"/>
        <v>162.70833333333334</v>
      </c>
      <c r="EN18" s="41">
        <f t="shared" si="50"/>
        <v>1.5E-3</v>
      </c>
      <c r="EP18" s="40"/>
    </row>
    <row r="19" spans="1:146" x14ac:dyDescent="0.25">
      <c r="A19" s="25">
        <f t="shared" si="51"/>
        <v>44539</v>
      </c>
      <c r="B19" s="40">
        <v>0</v>
      </c>
      <c r="D19" s="40">
        <f t="shared" si="0"/>
        <v>0</v>
      </c>
      <c r="G19" s="40">
        <f t="shared" si="1"/>
        <v>0</v>
      </c>
      <c r="J19" s="40">
        <f t="shared" si="2"/>
        <v>0</v>
      </c>
      <c r="M19" s="40">
        <f t="shared" si="3"/>
        <v>0</v>
      </c>
      <c r="P19" s="40">
        <f t="shared" si="4"/>
        <v>0</v>
      </c>
      <c r="S19" s="40">
        <f t="shared" si="5"/>
        <v>0</v>
      </c>
      <c r="V19" s="40">
        <f t="shared" si="6"/>
        <v>0</v>
      </c>
      <c r="Y19" s="40">
        <f t="shared" si="7"/>
        <v>0</v>
      </c>
      <c r="AB19" s="40">
        <f t="shared" si="8"/>
        <v>0</v>
      </c>
      <c r="AE19" s="40">
        <v>0</v>
      </c>
      <c r="AH19" s="40">
        <v>0</v>
      </c>
      <c r="AI19" s="172">
        <v>31750000</v>
      </c>
      <c r="AJ19" s="173">
        <v>1.5E-3</v>
      </c>
      <c r="AK19" s="40">
        <f t="shared" si="9"/>
        <v>132.29166666666666</v>
      </c>
      <c r="AL19" s="172"/>
      <c r="AM19" s="173"/>
      <c r="AN19" s="40">
        <f t="shared" si="10"/>
        <v>0</v>
      </c>
      <c r="AO19" s="172"/>
      <c r="AP19" s="173"/>
      <c r="AQ19" s="40">
        <f t="shared" si="11"/>
        <v>0</v>
      </c>
      <c r="AR19" s="172"/>
      <c r="AS19" s="173"/>
      <c r="AT19" s="40">
        <f t="shared" si="12"/>
        <v>0</v>
      </c>
      <c r="AW19" s="40">
        <f t="shared" si="13"/>
        <v>0</v>
      </c>
      <c r="AZ19" s="40">
        <f t="shared" si="14"/>
        <v>0</v>
      </c>
      <c r="BC19" s="40">
        <f t="shared" si="15"/>
        <v>0</v>
      </c>
      <c r="BF19" s="40">
        <f t="shared" si="16"/>
        <v>0</v>
      </c>
      <c r="BI19" s="40">
        <f t="shared" si="17"/>
        <v>0</v>
      </c>
      <c r="BL19" s="40">
        <f t="shared" si="18"/>
        <v>0</v>
      </c>
      <c r="BO19" s="40">
        <f t="shared" si="19"/>
        <v>0</v>
      </c>
      <c r="BR19" s="40">
        <f t="shared" si="20"/>
        <v>0</v>
      </c>
      <c r="BU19" s="40">
        <f t="shared" si="21"/>
        <v>0</v>
      </c>
      <c r="BX19" s="40">
        <f t="shared" si="22"/>
        <v>0</v>
      </c>
      <c r="CA19" s="40">
        <f t="shared" si="23"/>
        <v>0</v>
      </c>
      <c r="CD19" s="40">
        <f t="shared" si="24"/>
        <v>0</v>
      </c>
      <c r="CG19" s="40">
        <f t="shared" si="25"/>
        <v>0</v>
      </c>
      <c r="CJ19" s="40">
        <f t="shared" si="26"/>
        <v>0</v>
      </c>
      <c r="CM19" s="40">
        <f t="shared" si="27"/>
        <v>0</v>
      </c>
      <c r="CP19" s="40">
        <f t="shared" si="28"/>
        <v>0</v>
      </c>
      <c r="CS19" s="40">
        <f t="shared" si="29"/>
        <v>0</v>
      </c>
      <c r="CV19" s="40">
        <f t="shared" si="30"/>
        <v>0</v>
      </c>
      <c r="CY19" s="40">
        <f t="shared" si="31"/>
        <v>0</v>
      </c>
      <c r="DB19" s="40">
        <f t="shared" si="32"/>
        <v>0</v>
      </c>
      <c r="DE19" s="40">
        <f t="shared" si="33"/>
        <v>0</v>
      </c>
      <c r="DH19" s="40">
        <f t="shared" si="34"/>
        <v>0</v>
      </c>
      <c r="DK19" s="40">
        <f t="shared" si="35"/>
        <v>0</v>
      </c>
      <c r="DN19" s="40">
        <f t="shared" si="36"/>
        <v>0</v>
      </c>
      <c r="DQ19" s="40">
        <f t="shared" si="37"/>
        <v>0</v>
      </c>
      <c r="DT19" s="40">
        <f t="shared" si="38"/>
        <v>0</v>
      </c>
      <c r="DW19" s="40">
        <f t="shared" si="39"/>
        <v>0</v>
      </c>
      <c r="DZ19" s="40"/>
      <c r="EA19" s="40"/>
      <c r="EB19" s="75">
        <f t="shared" si="40"/>
        <v>31750000</v>
      </c>
      <c r="EC19" s="75">
        <f t="shared" si="41"/>
        <v>0</v>
      </c>
      <c r="ED19" s="40">
        <f t="shared" si="42"/>
        <v>132.29166666666666</v>
      </c>
      <c r="EE19" s="41">
        <f t="shared" si="43"/>
        <v>1.4999999999999998E-3</v>
      </c>
      <c r="EG19" s="75">
        <f t="shared" si="44"/>
        <v>0</v>
      </c>
      <c r="EH19" s="40">
        <f t="shared" si="45"/>
        <v>0</v>
      </c>
      <c r="EI19" s="41">
        <f t="shared" si="46"/>
        <v>0</v>
      </c>
      <c r="EJ19" s="41"/>
      <c r="EK19" s="75">
        <f t="shared" si="47"/>
        <v>31750000</v>
      </c>
      <c r="EL19" s="75">
        <f t="shared" si="48"/>
        <v>0</v>
      </c>
      <c r="EM19" s="75">
        <f t="shared" si="49"/>
        <v>132.29166666666666</v>
      </c>
      <c r="EN19" s="41">
        <f t="shared" si="50"/>
        <v>1.4999999999999998E-3</v>
      </c>
      <c r="EP19" s="40"/>
    </row>
    <row r="20" spans="1:146" x14ac:dyDescent="0.25">
      <c r="A20" s="25">
        <f t="shared" si="51"/>
        <v>44540</v>
      </c>
      <c r="B20" s="40">
        <v>0</v>
      </c>
      <c r="D20" s="40">
        <f t="shared" si="0"/>
        <v>0</v>
      </c>
      <c r="G20" s="40">
        <f t="shared" si="1"/>
        <v>0</v>
      </c>
      <c r="J20" s="40">
        <f t="shared" si="2"/>
        <v>0</v>
      </c>
      <c r="M20" s="40">
        <f t="shared" si="3"/>
        <v>0</v>
      </c>
      <c r="P20" s="40">
        <f t="shared" si="4"/>
        <v>0</v>
      </c>
      <c r="S20" s="40">
        <f t="shared" si="5"/>
        <v>0</v>
      </c>
      <c r="V20" s="40">
        <f t="shared" si="6"/>
        <v>0</v>
      </c>
      <c r="Y20" s="40">
        <f t="shared" si="7"/>
        <v>0</v>
      </c>
      <c r="AB20" s="40">
        <f t="shared" si="8"/>
        <v>0</v>
      </c>
      <c r="AE20" s="40">
        <v>0</v>
      </c>
      <c r="AH20" s="40">
        <v>0</v>
      </c>
      <c r="AI20" s="172">
        <v>39175000</v>
      </c>
      <c r="AJ20" s="173">
        <v>1.5E-3</v>
      </c>
      <c r="AK20" s="40">
        <f t="shared" si="9"/>
        <v>163.22916666666666</v>
      </c>
      <c r="AL20" s="172"/>
      <c r="AM20" s="173"/>
      <c r="AN20" s="40">
        <f t="shared" si="10"/>
        <v>0</v>
      </c>
      <c r="AO20" s="172"/>
      <c r="AP20" s="173"/>
      <c r="AQ20" s="40">
        <f t="shared" si="11"/>
        <v>0</v>
      </c>
      <c r="AR20" s="172"/>
      <c r="AS20" s="173"/>
      <c r="AT20" s="40">
        <f t="shared" si="12"/>
        <v>0</v>
      </c>
      <c r="AW20" s="40">
        <f t="shared" si="13"/>
        <v>0</v>
      </c>
      <c r="AZ20" s="40">
        <f t="shared" si="14"/>
        <v>0</v>
      </c>
      <c r="BC20" s="40">
        <f t="shared" si="15"/>
        <v>0</v>
      </c>
      <c r="BF20" s="40">
        <f t="shared" si="16"/>
        <v>0</v>
      </c>
      <c r="BI20" s="40">
        <f t="shared" si="17"/>
        <v>0</v>
      </c>
      <c r="BL20" s="40">
        <f t="shared" si="18"/>
        <v>0</v>
      </c>
      <c r="BO20" s="40">
        <f t="shared" si="19"/>
        <v>0</v>
      </c>
      <c r="BR20" s="40">
        <f t="shared" si="20"/>
        <v>0</v>
      </c>
      <c r="BU20" s="40">
        <f t="shared" si="21"/>
        <v>0</v>
      </c>
      <c r="BX20" s="40">
        <f t="shared" si="22"/>
        <v>0</v>
      </c>
      <c r="CA20" s="40">
        <f t="shared" si="23"/>
        <v>0</v>
      </c>
      <c r="CD20" s="40">
        <f t="shared" si="24"/>
        <v>0</v>
      </c>
      <c r="CG20" s="40">
        <f t="shared" si="25"/>
        <v>0</v>
      </c>
      <c r="CJ20" s="40">
        <f t="shared" si="26"/>
        <v>0</v>
      </c>
      <c r="CM20" s="40">
        <f t="shared" si="27"/>
        <v>0</v>
      </c>
      <c r="CP20" s="40">
        <f t="shared" si="28"/>
        <v>0</v>
      </c>
      <c r="CS20" s="40">
        <f t="shared" si="29"/>
        <v>0</v>
      </c>
      <c r="CV20" s="40">
        <f t="shared" si="30"/>
        <v>0</v>
      </c>
      <c r="CY20" s="40">
        <f t="shared" si="31"/>
        <v>0</v>
      </c>
      <c r="DB20" s="40">
        <f t="shared" si="32"/>
        <v>0</v>
      </c>
      <c r="DE20" s="40">
        <f t="shared" si="33"/>
        <v>0</v>
      </c>
      <c r="DH20" s="40">
        <f t="shared" si="34"/>
        <v>0</v>
      </c>
      <c r="DK20" s="40">
        <f t="shared" si="35"/>
        <v>0</v>
      </c>
      <c r="DN20" s="40">
        <f t="shared" si="36"/>
        <v>0</v>
      </c>
      <c r="DQ20" s="40">
        <f t="shared" si="37"/>
        <v>0</v>
      </c>
      <c r="DT20" s="40">
        <f t="shared" si="38"/>
        <v>0</v>
      </c>
      <c r="DW20" s="40">
        <f t="shared" si="39"/>
        <v>0</v>
      </c>
      <c r="DZ20" s="40"/>
      <c r="EA20" s="40"/>
      <c r="EB20" s="75">
        <f t="shared" si="40"/>
        <v>39175000</v>
      </c>
      <c r="EC20" s="75">
        <f t="shared" si="41"/>
        <v>0</v>
      </c>
      <c r="ED20" s="40">
        <f t="shared" si="42"/>
        <v>163.22916666666666</v>
      </c>
      <c r="EE20" s="41">
        <f t="shared" si="43"/>
        <v>1.4999999999999998E-3</v>
      </c>
      <c r="EG20" s="75">
        <f t="shared" si="44"/>
        <v>0</v>
      </c>
      <c r="EH20" s="40">
        <f t="shared" si="45"/>
        <v>0</v>
      </c>
      <c r="EI20" s="41">
        <f t="shared" si="46"/>
        <v>0</v>
      </c>
      <c r="EJ20" s="41"/>
      <c r="EK20" s="75">
        <f t="shared" si="47"/>
        <v>39175000</v>
      </c>
      <c r="EL20" s="75">
        <f t="shared" si="48"/>
        <v>0</v>
      </c>
      <c r="EM20" s="75">
        <f t="shared" si="49"/>
        <v>163.22916666666666</v>
      </c>
      <c r="EN20" s="41">
        <f t="shared" si="50"/>
        <v>1.4999999999999998E-3</v>
      </c>
      <c r="EP20" s="40"/>
    </row>
    <row r="21" spans="1:146" x14ac:dyDescent="0.25">
      <c r="A21" s="25">
        <f t="shared" si="51"/>
        <v>44541</v>
      </c>
      <c r="B21" s="40">
        <v>0</v>
      </c>
      <c r="D21" s="40">
        <f t="shared" si="0"/>
        <v>0</v>
      </c>
      <c r="G21" s="40">
        <f t="shared" si="1"/>
        <v>0</v>
      </c>
      <c r="J21" s="40">
        <f t="shared" si="2"/>
        <v>0</v>
      </c>
      <c r="M21" s="40">
        <f t="shared" si="3"/>
        <v>0</v>
      </c>
      <c r="P21" s="40">
        <f t="shared" si="4"/>
        <v>0</v>
      </c>
      <c r="S21" s="40">
        <f t="shared" si="5"/>
        <v>0</v>
      </c>
      <c r="V21" s="40">
        <f t="shared" si="6"/>
        <v>0</v>
      </c>
      <c r="Y21" s="40">
        <f t="shared" si="7"/>
        <v>0</v>
      </c>
      <c r="AB21" s="40">
        <f t="shared" si="8"/>
        <v>0</v>
      </c>
      <c r="AE21" s="40">
        <v>0</v>
      </c>
      <c r="AH21" s="40">
        <v>0</v>
      </c>
      <c r="AI21" s="172">
        <v>39175000</v>
      </c>
      <c r="AJ21" s="173">
        <v>1.5E-3</v>
      </c>
      <c r="AK21" s="40">
        <f t="shared" si="9"/>
        <v>163.22916666666666</v>
      </c>
      <c r="AL21" s="172"/>
      <c r="AM21" s="173"/>
      <c r="AN21" s="40">
        <f t="shared" si="10"/>
        <v>0</v>
      </c>
      <c r="AO21" s="172"/>
      <c r="AP21" s="173"/>
      <c r="AQ21" s="40">
        <f t="shared" si="11"/>
        <v>0</v>
      </c>
      <c r="AR21" s="172"/>
      <c r="AS21" s="173"/>
      <c r="AT21" s="40">
        <f t="shared" si="12"/>
        <v>0</v>
      </c>
      <c r="AW21" s="40">
        <f t="shared" si="13"/>
        <v>0</v>
      </c>
      <c r="AZ21" s="40">
        <f t="shared" si="14"/>
        <v>0</v>
      </c>
      <c r="BC21" s="40">
        <f t="shared" si="15"/>
        <v>0</v>
      </c>
      <c r="BF21" s="40">
        <f t="shared" si="16"/>
        <v>0</v>
      </c>
      <c r="BI21" s="40">
        <f t="shared" si="17"/>
        <v>0</v>
      </c>
      <c r="BL21" s="40">
        <f t="shared" si="18"/>
        <v>0</v>
      </c>
      <c r="BO21" s="40">
        <f t="shared" si="19"/>
        <v>0</v>
      </c>
      <c r="BR21" s="40">
        <f t="shared" si="20"/>
        <v>0</v>
      </c>
      <c r="BU21" s="40">
        <f t="shared" si="21"/>
        <v>0</v>
      </c>
      <c r="BX21" s="40">
        <f t="shared" si="22"/>
        <v>0</v>
      </c>
      <c r="CA21" s="40">
        <f t="shared" si="23"/>
        <v>0</v>
      </c>
      <c r="CD21" s="40">
        <f t="shared" si="24"/>
        <v>0</v>
      </c>
      <c r="CG21" s="40">
        <f t="shared" si="25"/>
        <v>0</v>
      </c>
      <c r="CJ21" s="40">
        <f t="shared" si="26"/>
        <v>0</v>
      </c>
      <c r="CM21" s="40">
        <f t="shared" si="27"/>
        <v>0</v>
      </c>
      <c r="CP21" s="40">
        <f t="shared" si="28"/>
        <v>0</v>
      </c>
      <c r="CS21" s="40">
        <f t="shared" si="29"/>
        <v>0</v>
      </c>
      <c r="CV21" s="40">
        <f t="shared" si="30"/>
        <v>0</v>
      </c>
      <c r="CY21" s="40">
        <f t="shared" si="31"/>
        <v>0</v>
      </c>
      <c r="DB21" s="40">
        <f t="shared" si="32"/>
        <v>0</v>
      </c>
      <c r="DE21" s="40">
        <f t="shared" si="33"/>
        <v>0</v>
      </c>
      <c r="DH21" s="40">
        <f t="shared" si="34"/>
        <v>0</v>
      </c>
      <c r="DK21" s="40">
        <f t="shared" si="35"/>
        <v>0</v>
      </c>
      <c r="DN21" s="40">
        <f t="shared" si="36"/>
        <v>0</v>
      </c>
      <c r="DQ21" s="40">
        <f t="shared" si="37"/>
        <v>0</v>
      </c>
      <c r="DT21" s="40">
        <f t="shared" si="38"/>
        <v>0</v>
      </c>
      <c r="DW21" s="40">
        <f t="shared" si="39"/>
        <v>0</v>
      </c>
      <c r="DZ21" s="40"/>
      <c r="EA21" s="40"/>
      <c r="EB21" s="75">
        <f t="shared" si="40"/>
        <v>39175000</v>
      </c>
      <c r="EC21" s="75">
        <f t="shared" si="41"/>
        <v>0</v>
      </c>
      <c r="ED21" s="40">
        <f t="shared" si="42"/>
        <v>163.22916666666666</v>
      </c>
      <c r="EE21" s="41">
        <f t="shared" si="43"/>
        <v>1.4999999999999998E-3</v>
      </c>
      <c r="EG21" s="75">
        <f t="shared" si="44"/>
        <v>0</v>
      </c>
      <c r="EH21" s="40">
        <f t="shared" si="45"/>
        <v>0</v>
      </c>
      <c r="EI21" s="41">
        <f t="shared" si="46"/>
        <v>0</v>
      </c>
      <c r="EJ21" s="41"/>
      <c r="EK21" s="75">
        <f t="shared" si="47"/>
        <v>39175000</v>
      </c>
      <c r="EL21" s="75">
        <f t="shared" si="48"/>
        <v>0</v>
      </c>
      <c r="EM21" s="75">
        <f t="shared" si="49"/>
        <v>163.22916666666666</v>
      </c>
      <c r="EN21" s="41">
        <f t="shared" si="50"/>
        <v>1.4999999999999998E-3</v>
      </c>
      <c r="EP21" s="40"/>
    </row>
    <row r="22" spans="1:146" x14ac:dyDescent="0.25">
      <c r="A22" s="25">
        <f t="shared" si="51"/>
        <v>44542</v>
      </c>
      <c r="B22" s="40">
        <v>0</v>
      </c>
      <c r="D22" s="40">
        <f t="shared" si="0"/>
        <v>0</v>
      </c>
      <c r="G22" s="40">
        <f t="shared" si="1"/>
        <v>0</v>
      </c>
      <c r="J22" s="40">
        <f t="shared" si="2"/>
        <v>0</v>
      </c>
      <c r="M22" s="40">
        <f t="shared" si="3"/>
        <v>0</v>
      </c>
      <c r="P22" s="40">
        <f t="shared" si="4"/>
        <v>0</v>
      </c>
      <c r="S22" s="40">
        <f t="shared" si="5"/>
        <v>0</v>
      </c>
      <c r="V22" s="40">
        <f t="shared" si="6"/>
        <v>0</v>
      </c>
      <c r="Y22" s="40">
        <f t="shared" si="7"/>
        <v>0</v>
      </c>
      <c r="AB22" s="40">
        <f t="shared" si="8"/>
        <v>0</v>
      </c>
      <c r="AE22" s="40">
        <v>0</v>
      </c>
      <c r="AH22" s="40">
        <v>0</v>
      </c>
      <c r="AI22" s="172">
        <v>39175000</v>
      </c>
      <c r="AJ22" s="173">
        <v>1.5E-3</v>
      </c>
      <c r="AK22" s="40">
        <f t="shared" si="9"/>
        <v>163.22916666666666</v>
      </c>
      <c r="AL22" s="172"/>
      <c r="AM22" s="173"/>
      <c r="AN22" s="40">
        <f t="shared" si="10"/>
        <v>0</v>
      </c>
      <c r="AO22" s="172"/>
      <c r="AP22" s="173"/>
      <c r="AQ22" s="40">
        <f t="shared" si="11"/>
        <v>0</v>
      </c>
      <c r="AR22" s="172"/>
      <c r="AS22" s="173"/>
      <c r="AT22" s="40">
        <f t="shared" si="12"/>
        <v>0</v>
      </c>
      <c r="AW22" s="40">
        <f t="shared" si="13"/>
        <v>0</v>
      </c>
      <c r="AZ22" s="40">
        <f t="shared" si="14"/>
        <v>0</v>
      </c>
      <c r="BC22" s="40">
        <f t="shared" si="15"/>
        <v>0</v>
      </c>
      <c r="BF22" s="40">
        <f t="shared" si="16"/>
        <v>0</v>
      </c>
      <c r="BI22" s="40">
        <f t="shared" si="17"/>
        <v>0</v>
      </c>
      <c r="BL22" s="40">
        <f t="shared" si="18"/>
        <v>0</v>
      </c>
      <c r="BO22" s="40">
        <f t="shared" si="19"/>
        <v>0</v>
      </c>
      <c r="BR22" s="40">
        <f t="shared" si="20"/>
        <v>0</v>
      </c>
      <c r="BU22" s="40">
        <f t="shared" si="21"/>
        <v>0</v>
      </c>
      <c r="BX22" s="40">
        <f t="shared" si="22"/>
        <v>0</v>
      </c>
      <c r="CA22" s="40">
        <f t="shared" si="23"/>
        <v>0</v>
      </c>
      <c r="CD22" s="40">
        <f t="shared" si="24"/>
        <v>0</v>
      </c>
      <c r="CG22" s="40">
        <f t="shared" si="25"/>
        <v>0</v>
      </c>
      <c r="CJ22" s="40">
        <f t="shared" si="26"/>
        <v>0</v>
      </c>
      <c r="CM22" s="40">
        <f t="shared" si="27"/>
        <v>0</v>
      </c>
      <c r="CP22" s="40">
        <f t="shared" si="28"/>
        <v>0</v>
      </c>
      <c r="CS22" s="40">
        <f t="shared" si="29"/>
        <v>0</v>
      </c>
      <c r="CV22" s="40">
        <f t="shared" si="30"/>
        <v>0</v>
      </c>
      <c r="CY22" s="40">
        <f t="shared" si="31"/>
        <v>0</v>
      </c>
      <c r="DB22" s="40">
        <f t="shared" si="32"/>
        <v>0</v>
      </c>
      <c r="DE22" s="40">
        <f t="shared" si="33"/>
        <v>0</v>
      </c>
      <c r="DH22" s="40">
        <f t="shared" si="34"/>
        <v>0</v>
      </c>
      <c r="DK22" s="40">
        <f t="shared" si="35"/>
        <v>0</v>
      </c>
      <c r="DN22" s="40">
        <f t="shared" si="36"/>
        <v>0</v>
      </c>
      <c r="DQ22" s="40">
        <f t="shared" si="37"/>
        <v>0</v>
      </c>
      <c r="DT22" s="40">
        <f t="shared" si="38"/>
        <v>0</v>
      </c>
      <c r="DW22" s="40">
        <f t="shared" si="39"/>
        <v>0</v>
      </c>
      <c r="DZ22" s="40"/>
      <c r="EA22" s="40"/>
      <c r="EB22" s="75">
        <f t="shared" si="40"/>
        <v>39175000</v>
      </c>
      <c r="EC22" s="75">
        <f t="shared" si="41"/>
        <v>0</v>
      </c>
      <c r="ED22" s="40">
        <f t="shared" si="42"/>
        <v>163.22916666666666</v>
      </c>
      <c r="EE22" s="41">
        <f t="shared" si="43"/>
        <v>1.4999999999999998E-3</v>
      </c>
      <c r="EG22" s="75">
        <f t="shared" si="44"/>
        <v>0</v>
      </c>
      <c r="EH22" s="40">
        <f t="shared" si="45"/>
        <v>0</v>
      </c>
      <c r="EI22" s="41">
        <f t="shared" si="46"/>
        <v>0</v>
      </c>
      <c r="EJ22" s="41"/>
      <c r="EK22" s="75">
        <f t="shared" si="47"/>
        <v>39175000</v>
      </c>
      <c r="EL22" s="75">
        <f t="shared" si="48"/>
        <v>0</v>
      </c>
      <c r="EM22" s="75">
        <f t="shared" si="49"/>
        <v>163.22916666666666</v>
      </c>
      <c r="EN22" s="41">
        <f t="shared" si="50"/>
        <v>1.4999999999999998E-3</v>
      </c>
      <c r="EP22" s="40"/>
    </row>
    <row r="23" spans="1:146" x14ac:dyDescent="0.25">
      <c r="A23" s="25">
        <f t="shared" si="51"/>
        <v>44543</v>
      </c>
      <c r="B23" s="40">
        <v>0</v>
      </c>
      <c r="D23" s="40">
        <f t="shared" si="0"/>
        <v>0</v>
      </c>
      <c r="G23" s="40">
        <f t="shared" si="1"/>
        <v>0</v>
      </c>
      <c r="J23" s="40">
        <f t="shared" si="2"/>
        <v>0</v>
      </c>
      <c r="M23" s="40">
        <f t="shared" si="3"/>
        <v>0</v>
      </c>
      <c r="P23" s="40">
        <f t="shared" si="4"/>
        <v>0</v>
      </c>
      <c r="S23" s="40">
        <f t="shared" si="5"/>
        <v>0</v>
      </c>
      <c r="V23" s="40">
        <f t="shared" si="6"/>
        <v>0</v>
      </c>
      <c r="Y23" s="40">
        <f t="shared" si="7"/>
        <v>0</v>
      </c>
      <c r="AB23" s="40">
        <f t="shared" si="8"/>
        <v>0</v>
      </c>
      <c r="AE23" s="40">
        <v>0</v>
      </c>
      <c r="AH23" s="40">
        <v>0</v>
      </c>
      <c r="AI23" s="172">
        <v>59350000</v>
      </c>
      <c r="AJ23" s="173">
        <v>1.8E-3</v>
      </c>
      <c r="AK23" s="40">
        <f t="shared" si="9"/>
        <v>296.75</v>
      </c>
      <c r="AL23" s="172"/>
      <c r="AM23" s="173"/>
      <c r="AN23" s="40">
        <f t="shared" si="10"/>
        <v>0</v>
      </c>
      <c r="AO23" s="172"/>
      <c r="AP23" s="173"/>
      <c r="AQ23" s="40">
        <f t="shared" si="11"/>
        <v>0</v>
      </c>
      <c r="AR23" s="172"/>
      <c r="AS23" s="173"/>
      <c r="AT23" s="40">
        <f t="shared" si="12"/>
        <v>0</v>
      </c>
      <c r="AW23" s="40">
        <f t="shared" si="13"/>
        <v>0</v>
      </c>
      <c r="AZ23" s="40">
        <f t="shared" si="14"/>
        <v>0</v>
      </c>
      <c r="BC23" s="40">
        <f t="shared" si="15"/>
        <v>0</v>
      </c>
      <c r="BF23" s="40">
        <f t="shared" si="16"/>
        <v>0</v>
      </c>
      <c r="BI23" s="40">
        <f t="shared" si="17"/>
        <v>0</v>
      </c>
      <c r="BL23" s="40">
        <f t="shared" si="18"/>
        <v>0</v>
      </c>
      <c r="BO23" s="40">
        <f t="shared" si="19"/>
        <v>0</v>
      </c>
      <c r="BR23" s="40">
        <f t="shared" si="20"/>
        <v>0</v>
      </c>
      <c r="BU23" s="40">
        <f t="shared" si="21"/>
        <v>0</v>
      </c>
      <c r="BX23" s="40">
        <f t="shared" si="22"/>
        <v>0</v>
      </c>
      <c r="CA23" s="40">
        <f t="shared" si="23"/>
        <v>0</v>
      </c>
      <c r="CD23" s="40">
        <f t="shared" si="24"/>
        <v>0</v>
      </c>
      <c r="CG23" s="40">
        <f t="shared" si="25"/>
        <v>0</v>
      </c>
      <c r="CJ23" s="40">
        <f t="shared" si="26"/>
        <v>0</v>
      </c>
      <c r="CM23" s="40">
        <f t="shared" si="27"/>
        <v>0</v>
      </c>
      <c r="CP23" s="40">
        <f t="shared" si="28"/>
        <v>0</v>
      </c>
      <c r="CS23" s="40">
        <f t="shared" si="29"/>
        <v>0</v>
      </c>
      <c r="CV23" s="40">
        <f t="shared" si="30"/>
        <v>0</v>
      </c>
      <c r="CY23" s="40">
        <f t="shared" si="31"/>
        <v>0</v>
      </c>
      <c r="DB23" s="40">
        <f t="shared" si="32"/>
        <v>0</v>
      </c>
      <c r="DE23" s="40">
        <f t="shared" si="33"/>
        <v>0</v>
      </c>
      <c r="DH23" s="40">
        <f t="shared" si="34"/>
        <v>0</v>
      </c>
      <c r="DK23" s="40">
        <f t="shared" si="35"/>
        <v>0</v>
      </c>
      <c r="DN23" s="40">
        <f t="shared" si="36"/>
        <v>0</v>
      </c>
      <c r="DQ23" s="40">
        <f t="shared" si="37"/>
        <v>0</v>
      </c>
      <c r="DT23" s="40">
        <f t="shared" si="38"/>
        <v>0</v>
      </c>
      <c r="DW23" s="40">
        <f t="shared" si="39"/>
        <v>0</v>
      </c>
      <c r="DZ23" s="40"/>
      <c r="EA23" s="40"/>
      <c r="EB23" s="75">
        <f t="shared" si="40"/>
        <v>59350000</v>
      </c>
      <c r="EC23" s="75">
        <f t="shared" si="41"/>
        <v>0</v>
      </c>
      <c r="ED23" s="40">
        <f t="shared" si="42"/>
        <v>296.75</v>
      </c>
      <c r="EE23" s="41">
        <f t="shared" si="43"/>
        <v>1.8000000000000002E-3</v>
      </c>
      <c r="EG23" s="75">
        <f t="shared" si="44"/>
        <v>0</v>
      </c>
      <c r="EH23" s="40">
        <f t="shared" si="45"/>
        <v>0</v>
      </c>
      <c r="EI23" s="41">
        <f t="shared" si="46"/>
        <v>0</v>
      </c>
      <c r="EJ23" s="41"/>
      <c r="EK23" s="75">
        <f t="shared" si="47"/>
        <v>59350000</v>
      </c>
      <c r="EL23" s="75">
        <f t="shared" si="48"/>
        <v>0</v>
      </c>
      <c r="EM23" s="75">
        <f t="shared" si="49"/>
        <v>296.75</v>
      </c>
      <c r="EN23" s="41">
        <f t="shared" si="50"/>
        <v>1.8000000000000002E-3</v>
      </c>
      <c r="EP23" s="40"/>
    </row>
    <row r="24" spans="1:146" x14ac:dyDescent="0.25">
      <c r="A24" s="25">
        <f t="shared" si="51"/>
        <v>44544</v>
      </c>
      <c r="B24" s="40">
        <v>0</v>
      </c>
      <c r="D24" s="40">
        <f t="shared" si="0"/>
        <v>0</v>
      </c>
      <c r="G24" s="40">
        <f t="shared" si="1"/>
        <v>0</v>
      </c>
      <c r="J24" s="40">
        <f t="shared" si="2"/>
        <v>0</v>
      </c>
      <c r="M24" s="40">
        <f t="shared" si="3"/>
        <v>0</v>
      </c>
      <c r="P24" s="40">
        <f t="shared" si="4"/>
        <v>0</v>
      </c>
      <c r="S24" s="40">
        <f t="shared" si="5"/>
        <v>0</v>
      </c>
      <c r="V24" s="40">
        <f t="shared" si="6"/>
        <v>0</v>
      </c>
      <c r="Y24" s="40">
        <f t="shared" si="7"/>
        <v>0</v>
      </c>
      <c r="AB24" s="40">
        <f t="shared" si="8"/>
        <v>0</v>
      </c>
      <c r="AE24" s="40">
        <v>0</v>
      </c>
      <c r="AH24" s="40">
        <v>0</v>
      </c>
      <c r="AI24" s="172">
        <v>59775000</v>
      </c>
      <c r="AJ24" s="173">
        <v>1.8E-3</v>
      </c>
      <c r="AK24" s="40">
        <f t="shared" si="9"/>
        <v>298.875</v>
      </c>
      <c r="AL24" s="172"/>
      <c r="AM24" s="173"/>
      <c r="AN24" s="40">
        <f t="shared" si="10"/>
        <v>0</v>
      </c>
      <c r="AO24" s="172"/>
      <c r="AP24" s="173"/>
      <c r="AQ24" s="40">
        <f t="shared" si="11"/>
        <v>0</v>
      </c>
      <c r="AR24" s="172"/>
      <c r="AS24" s="173"/>
      <c r="AT24" s="40">
        <f t="shared" si="12"/>
        <v>0</v>
      </c>
      <c r="AW24" s="40">
        <f t="shared" si="13"/>
        <v>0</v>
      </c>
      <c r="AZ24" s="40">
        <f t="shared" si="14"/>
        <v>0</v>
      </c>
      <c r="BC24" s="40">
        <f t="shared" si="15"/>
        <v>0</v>
      </c>
      <c r="BF24" s="40">
        <f t="shared" si="16"/>
        <v>0</v>
      </c>
      <c r="BI24" s="40">
        <f t="shared" si="17"/>
        <v>0</v>
      </c>
      <c r="BL24" s="40">
        <f t="shared" si="18"/>
        <v>0</v>
      </c>
      <c r="BO24" s="40">
        <f t="shared" si="19"/>
        <v>0</v>
      </c>
      <c r="BR24" s="40">
        <f t="shared" si="20"/>
        <v>0</v>
      </c>
      <c r="BU24" s="40">
        <f t="shared" si="21"/>
        <v>0</v>
      </c>
      <c r="BX24" s="40">
        <f t="shared" si="22"/>
        <v>0</v>
      </c>
      <c r="CA24" s="40">
        <f t="shared" si="23"/>
        <v>0</v>
      </c>
      <c r="CD24" s="40">
        <f t="shared" si="24"/>
        <v>0</v>
      </c>
      <c r="CG24" s="40">
        <f t="shared" si="25"/>
        <v>0</v>
      </c>
      <c r="CJ24" s="40">
        <f t="shared" si="26"/>
        <v>0</v>
      </c>
      <c r="CM24" s="40">
        <f t="shared" si="27"/>
        <v>0</v>
      </c>
      <c r="CP24" s="40">
        <f t="shared" si="28"/>
        <v>0</v>
      </c>
      <c r="CS24" s="40">
        <f t="shared" si="29"/>
        <v>0</v>
      </c>
      <c r="CV24" s="40">
        <f t="shared" si="30"/>
        <v>0</v>
      </c>
      <c r="CY24" s="40">
        <f t="shared" si="31"/>
        <v>0</v>
      </c>
      <c r="DB24" s="40">
        <f t="shared" si="32"/>
        <v>0</v>
      </c>
      <c r="DE24" s="40">
        <f t="shared" si="33"/>
        <v>0</v>
      </c>
      <c r="DH24" s="40">
        <f t="shared" si="34"/>
        <v>0</v>
      </c>
      <c r="DK24" s="40">
        <f t="shared" si="35"/>
        <v>0</v>
      </c>
      <c r="DN24" s="40">
        <f t="shared" si="36"/>
        <v>0</v>
      </c>
      <c r="DQ24" s="40">
        <f t="shared" si="37"/>
        <v>0</v>
      </c>
      <c r="DT24" s="40">
        <f t="shared" si="38"/>
        <v>0</v>
      </c>
      <c r="DW24" s="40">
        <f t="shared" si="39"/>
        <v>0</v>
      </c>
      <c r="DZ24" s="40"/>
      <c r="EA24" s="40"/>
      <c r="EB24" s="75">
        <f t="shared" si="40"/>
        <v>59775000</v>
      </c>
      <c r="EC24" s="75">
        <f t="shared" si="41"/>
        <v>0</v>
      </c>
      <c r="ED24" s="40">
        <f t="shared" si="42"/>
        <v>298.875</v>
      </c>
      <c r="EE24" s="41">
        <f t="shared" si="43"/>
        <v>1.8000000000000002E-3</v>
      </c>
      <c r="EG24" s="75">
        <f t="shared" si="44"/>
        <v>0</v>
      </c>
      <c r="EH24" s="40">
        <f t="shared" si="45"/>
        <v>0</v>
      </c>
      <c r="EI24" s="41">
        <f t="shared" si="46"/>
        <v>0</v>
      </c>
      <c r="EJ24" s="41"/>
      <c r="EK24" s="75">
        <f t="shared" si="47"/>
        <v>59775000</v>
      </c>
      <c r="EL24" s="75">
        <f t="shared" si="48"/>
        <v>0</v>
      </c>
      <c r="EM24" s="75">
        <f t="shared" si="49"/>
        <v>298.875</v>
      </c>
      <c r="EN24" s="41">
        <f t="shared" si="50"/>
        <v>1.8000000000000002E-3</v>
      </c>
      <c r="EP24" s="40"/>
    </row>
    <row r="25" spans="1:146" x14ac:dyDescent="0.25">
      <c r="A25" s="25">
        <f t="shared" si="51"/>
        <v>44545</v>
      </c>
      <c r="B25" s="40">
        <v>0</v>
      </c>
      <c r="D25" s="40">
        <f t="shared" si="0"/>
        <v>0</v>
      </c>
      <c r="G25" s="40">
        <f t="shared" si="1"/>
        <v>0</v>
      </c>
      <c r="J25" s="40">
        <f t="shared" si="2"/>
        <v>0</v>
      </c>
      <c r="M25" s="40">
        <f t="shared" si="3"/>
        <v>0</v>
      </c>
      <c r="P25" s="40">
        <f t="shared" si="4"/>
        <v>0</v>
      </c>
      <c r="S25" s="40">
        <f t="shared" si="5"/>
        <v>0</v>
      </c>
      <c r="V25" s="40">
        <f t="shared" si="6"/>
        <v>0</v>
      </c>
      <c r="Y25" s="40">
        <f t="shared" si="7"/>
        <v>0</v>
      </c>
      <c r="AB25" s="40">
        <f t="shared" si="8"/>
        <v>0</v>
      </c>
      <c r="AE25" s="40">
        <v>0</v>
      </c>
      <c r="AH25" s="40">
        <v>0</v>
      </c>
      <c r="AI25" s="172">
        <f>33675000</f>
        <v>33675000</v>
      </c>
      <c r="AJ25" s="173">
        <v>1.8E-3</v>
      </c>
      <c r="AK25" s="40">
        <f t="shared" si="9"/>
        <v>168.375</v>
      </c>
      <c r="AL25" s="172"/>
      <c r="AM25" s="173"/>
      <c r="AN25" s="40">
        <f t="shared" si="10"/>
        <v>0</v>
      </c>
      <c r="AO25" s="172"/>
      <c r="AP25" s="173"/>
      <c r="AQ25" s="40">
        <f t="shared" si="11"/>
        <v>0</v>
      </c>
      <c r="AR25" s="172"/>
      <c r="AS25" s="173"/>
      <c r="AT25" s="40">
        <f t="shared" si="12"/>
        <v>0</v>
      </c>
      <c r="AW25" s="40">
        <f t="shared" si="13"/>
        <v>0</v>
      </c>
      <c r="AZ25" s="40">
        <f t="shared" si="14"/>
        <v>0</v>
      </c>
      <c r="BC25" s="40">
        <f t="shared" si="15"/>
        <v>0</v>
      </c>
      <c r="BF25" s="40">
        <f t="shared" si="16"/>
        <v>0</v>
      </c>
      <c r="BI25" s="40">
        <f t="shared" si="17"/>
        <v>0</v>
      </c>
      <c r="BL25" s="40">
        <f t="shared" si="18"/>
        <v>0</v>
      </c>
      <c r="BO25" s="40">
        <f t="shared" si="19"/>
        <v>0</v>
      </c>
      <c r="BR25" s="40">
        <f t="shared" si="20"/>
        <v>0</v>
      </c>
      <c r="BU25" s="40">
        <f t="shared" si="21"/>
        <v>0</v>
      </c>
      <c r="BX25" s="40">
        <f t="shared" si="22"/>
        <v>0</v>
      </c>
      <c r="CA25" s="40">
        <f t="shared" si="23"/>
        <v>0</v>
      </c>
      <c r="CD25" s="40">
        <f t="shared" si="24"/>
        <v>0</v>
      </c>
      <c r="CG25" s="40">
        <f t="shared" si="25"/>
        <v>0</v>
      </c>
      <c r="CJ25" s="40">
        <f t="shared" si="26"/>
        <v>0</v>
      </c>
      <c r="CM25" s="40">
        <f t="shared" si="27"/>
        <v>0</v>
      </c>
      <c r="CP25" s="40">
        <f t="shared" si="28"/>
        <v>0</v>
      </c>
      <c r="CS25" s="40">
        <f t="shared" si="29"/>
        <v>0</v>
      </c>
      <c r="CV25" s="40">
        <f t="shared" si="30"/>
        <v>0</v>
      </c>
      <c r="CY25" s="40">
        <f t="shared" si="31"/>
        <v>0</v>
      </c>
      <c r="DB25" s="40">
        <f t="shared" si="32"/>
        <v>0</v>
      </c>
      <c r="DE25" s="40">
        <f t="shared" si="33"/>
        <v>0</v>
      </c>
      <c r="DH25" s="40">
        <f t="shared" si="34"/>
        <v>0</v>
      </c>
      <c r="DK25" s="40">
        <f t="shared" si="35"/>
        <v>0</v>
      </c>
      <c r="DN25" s="40">
        <f t="shared" si="36"/>
        <v>0</v>
      </c>
      <c r="DQ25" s="40">
        <f t="shared" si="37"/>
        <v>0</v>
      </c>
      <c r="DT25" s="40">
        <f t="shared" si="38"/>
        <v>0</v>
      </c>
      <c r="DW25" s="40">
        <f t="shared" si="39"/>
        <v>0</v>
      </c>
      <c r="DZ25" s="40"/>
      <c r="EA25" s="40"/>
      <c r="EB25" s="75">
        <f t="shared" si="40"/>
        <v>33675000</v>
      </c>
      <c r="EC25" s="75">
        <f t="shared" si="41"/>
        <v>0</v>
      </c>
      <c r="ED25" s="40">
        <f t="shared" si="42"/>
        <v>168.375</v>
      </c>
      <c r="EE25" s="41">
        <f t="shared" si="43"/>
        <v>1.8000000000000002E-3</v>
      </c>
      <c r="EG25" s="75">
        <f t="shared" si="44"/>
        <v>0</v>
      </c>
      <c r="EH25" s="40">
        <f t="shared" si="45"/>
        <v>0</v>
      </c>
      <c r="EI25" s="41">
        <f t="shared" si="46"/>
        <v>0</v>
      </c>
      <c r="EJ25" s="41"/>
      <c r="EK25" s="75">
        <f t="shared" si="47"/>
        <v>33675000</v>
      </c>
      <c r="EL25" s="75">
        <f t="shared" si="48"/>
        <v>0</v>
      </c>
      <c r="EM25" s="75">
        <f t="shared" si="49"/>
        <v>168.375</v>
      </c>
      <c r="EN25" s="41">
        <f t="shared" si="50"/>
        <v>1.8000000000000002E-3</v>
      </c>
      <c r="EP25" s="40"/>
    </row>
    <row r="26" spans="1:146" x14ac:dyDescent="0.25">
      <c r="A26" s="25">
        <f t="shared" si="51"/>
        <v>44546</v>
      </c>
      <c r="B26" s="40">
        <v>0</v>
      </c>
      <c r="D26" s="40">
        <f t="shared" si="0"/>
        <v>0</v>
      </c>
      <c r="G26" s="40">
        <f t="shared" si="1"/>
        <v>0</v>
      </c>
      <c r="J26" s="40">
        <f t="shared" si="2"/>
        <v>0</v>
      </c>
      <c r="M26" s="40">
        <f t="shared" si="3"/>
        <v>0</v>
      </c>
      <c r="P26" s="40">
        <f t="shared" si="4"/>
        <v>0</v>
      </c>
      <c r="S26" s="40">
        <f t="shared" si="5"/>
        <v>0</v>
      </c>
      <c r="V26" s="40">
        <f t="shared" si="6"/>
        <v>0</v>
      </c>
      <c r="Y26" s="40">
        <f t="shared" si="7"/>
        <v>0</v>
      </c>
      <c r="AB26" s="40">
        <f t="shared" si="8"/>
        <v>0</v>
      </c>
      <c r="AE26" s="40">
        <v>0</v>
      </c>
      <c r="AH26" s="40">
        <v>0</v>
      </c>
      <c r="AI26" s="172">
        <f>47125000</f>
        <v>47125000</v>
      </c>
      <c r="AJ26" s="173">
        <v>1.8E-3</v>
      </c>
      <c r="AK26" s="40">
        <f t="shared" si="9"/>
        <v>235.625</v>
      </c>
      <c r="AL26" s="172"/>
      <c r="AM26" s="173"/>
      <c r="AN26" s="40">
        <f t="shared" si="10"/>
        <v>0</v>
      </c>
      <c r="AO26" s="172"/>
      <c r="AP26" s="173"/>
      <c r="AQ26" s="40">
        <f t="shared" si="11"/>
        <v>0</v>
      </c>
      <c r="AR26" s="172"/>
      <c r="AS26" s="173"/>
      <c r="AT26" s="40">
        <f t="shared" si="12"/>
        <v>0</v>
      </c>
      <c r="AW26" s="40">
        <f t="shared" si="13"/>
        <v>0</v>
      </c>
      <c r="AZ26" s="40">
        <f t="shared" si="14"/>
        <v>0</v>
      </c>
      <c r="BC26" s="40">
        <f t="shared" si="15"/>
        <v>0</v>
      </c>
      <c r="BF26" s="40">
        <f t="shared" si="16"/>
        <v>0</v>
      </c>
      <c r="BI26" s="40">
        <f t="shared" si="17"/>
        <v>0</v>
      </c>
      <c r="BL26" s="40">
        <f t="shared" si="18"/>
        <v>0</v>
      </c>
      <c r="BO26" s="40">
        <f t="shared" si="19"/>
        <v>0</v>
      </c>
      <c r="BR26" s="40">
        <f t="shared" si="20"/>
        <v>0</v>
      </c>
      <c r="BU26" s="40">
        <f t="shared" si="21"/>
        <v>0</v>
      </c>
      <c r="BX26" s="40">
        <f t="shared" si="22"/>
        <v>0</v>
      </c>
      <c r="CA26" s="40">
        <f t="shared" si="23"/>
        <v>0</v>
      </c>
      <c r="CD26" s="40">
        <f t="shared" si="24"/>
        <v>0</v>
      </c>
      <c r="CG26" s="40">
        <f t="shared" si="25"/>
        <v>0</v>
      </c>
      <c r="CJ26" s="40">
        <f t="shared" si="26"/>
        <v>0</v>
      </c>
      <c r="CM26" s="40">
        <f t="shared" si="27"/>
        <v>0</v>
      </c>
      <c r="CP26" s="40">
        <f t="shared" si="28"/>
        <v>0</v>
      </c>
      <c r="CS26" s="40">
        <f t="shared" si="29"/>
        <v>0</v>
      </c>
      <c r="CV26" s="40">
        <f t="shared" si="30"/>
        <v>0</v>
      </c>
      <c r="CY26" s="40">
        <f t="shared" si="31"/>
        <v>0</v>
      </c>
      <c r="DB26" s="40">
        <f t="shared" si="32"/>
        <v>0</v>
      </c>
      <c r="DE26" s="40">
        <f t="shared" si="33"/>
        <v>0</v>
      </c>
      <c r="DH26" s="40">
        <f t="shared" si="34"/>
        <v>0</v>
      </c>
      <c r="DK26" s="40">
        <f t="shared" si="35"/>
        <v>0</v>
      </c>
      <c r="DN26" s="40">
        <f t="shared" si="36"/>
        <v>0</v>
      </c>
      <c r="DQ26" s="40">
        <f t="shared" si="37"/>
        <v>0</v>
      </c>
      <c r="DT26" s="40">
        <f t="shared" si="38"/>
        <v>0</v>
      </c>
      <c r="DW26" s="40">
        <f t="shared" si="39"/>
        <v>0</v>
      </c>
      <c r="DZ26" s="40"/>
      <c r="EA26" s="40"/>
      <c r="EB26" s="75">
        <f t="shared" si="40"/>
        <v>47125000</v>
      </c>
      <c r="EC26" s="75">
        <f t="shared" si="41"/>
        <v>0</v>
      </c>
      <c r="ED26" s="40">
        <f t="shared" si="42"/>
        <v>235.625</v>
      </c>
      <c r="EE26" s="41">
        <f t="shared" si="43"/>
        <v>1.8000000000000002E-3</v>
      </c>
      <c r="EG26" s="75">
        <f t="shared" si="44"/>
        <v>0</v>
      </c>
      <c r="EH26" s="40">
        <f t="shared" si="45"/>
        <v>0</v>
      </c>
      <c r="EI26" s="41">
        <f t="shared" si="46"/>
        <v>0</v>
      </c>
      <c r="EJ26" s="41"/>
      <c r="EK26" s="75">
        <f t="shared" si="47"/>
        <v>47125000</v>
      </c>
      <c r="EL26" s="75">
        <f t="shared" si="48"/>
        <v>0</v>
      </c>
      <c r="EM26" s="75">
        <f t="shared" si="49"/>
        <v>235.625</v>
      </c>
      <c r="EN26" s="41">
        <f t="shared" si="50"/>
        <v>1.8000000000000002E-3</v>
      </c>
      <c r="EP26" s="40"/>
    </row>
    <row r="27" spans="1:146" x14ac:dyDescent="0.25">
      <c r="A27" s="25">
        <f t="shared" si="51"/>
        <v>44547</v>
      </c>
      <c r="B27" s="40">
        <v>0</v>
      </c>
      <c r="D27" s="40">
        <f t="shared" si="0"/>
        <v>0</v>
      </c>
      <c r="G27" s="40">
        <f t="shared" si="1"/>
        <v>0</v>
      </c>
      <c r="J27" s="40">
        <f t="shared" si="2"/>
        <v>0</v>
      </c>
      <c r="M27" s="40">
        <f t="shared" si="3"/>
        <v>0</v>
      </c>
      <c r="P27" s="40">
        <f t="shared" si="4"/>
        <v>0</v>
      </c>
      <c r="S27" s="40">
        <f t="shared" si="5"/>
        <v>0</v>
      </c>
      <c r="V27" s="40">
        <f t="shared" si="6"/>
        <v>0</v>
      </c>
      <c r="Y27" s="40">
        <f t="shared" si="7"/>
        <v>0</v>
      </c>
      <c r="AB27" s="40">
        <f t="shared" si="8"/>
        <v>0</v>
      </c>
      <c r="AE27" s="40">
        <v>0</v>
      </c>
      <c r="AH27" s="40">
        <v>0</v>
      </c>
      <c r="AI27" s="172">
        <f>15075000</f>
        <v>15075000</v>
      </c>
      <c r="AJ27" s="173">
        <v>1.8E-3</v>
      </c>
      <c r="AK27" s="40">
        <f t="shared" si="9"/>
        <v>75.375</v>
      </c>
      <c r="AL27" s="172">
        <f t="shared" ref="AL27:AL41" si="52">75000000</f>
        <v>75000000</v>
      </c>
      <c r="AM27" s="173">
        <v>3.5000000000000001E-3</v>
      </c>
      <c r="AN27" s="40">
        <f t="shared" si="10"/>
        <v>729.16666666666663</v>
      </c>
      <c r="AO27" s="172"/>
      <c r="AP27" s="173"/>
      <c r="AQ27" s="40">
        <f t="shared" si="11"/>
        <v>0</v>
      </c>
      <c r="AR27" s="172"/>
      <c r="AS27" s="173"/>
      <c r="AT27" s="40">
        <f t="shared" si="12"/>
        <v>0</v>
      </c>
      <c r="AW27" s="40">
        <f t="shared" si="13"/>
        <v>0</v>
      </c>
      <c r="AZ27" s="40">
        <f t="shared" si="14"/>
        <v>0</v>
      </c>
      <c r="BC27" s="40">
        <f t="shared" si="15"/>
        <v>0</v>
      </c>
      <c r="BF27" s="40">
        <f t="shared" si="16"/>
        <v>0</v>
      </c>
      <c r="BI27" s="40">
        <f t="shared" si="17"/>
        <v>0</v>
      </c>
      <c r="BL27" s="40">
        <f t="shared" si="18"/>
        <v>0</v>
      </c>
      <c r="BO27" s="40">
        <f t="shared" si="19"/>
        <v>0</v>
      </c>
      <c r="BR27" s="40">
        <f t="shared" si="20"/>
        <v>0</v>
      </c>
      <c r="BU27" s="40">
        <f t="shared" si="21"/>
        <v>0</v>
      </c>
      <c r="BX27" s="40">
        <f t="shared" si="22"/>
        <v>0</v>
      </c>
      <c r="CA27" s="40">
        <f t="shared" si="23"/>
        <v>0</v>
      </c>
      <c r="CD27" s="40">
        <f t="shared" si="24"/>
        <v>0</v>
      </c>
      <c r="CG27" s="40">
        <f t="shared" si="25"/>
        <v>0</v>
      </c>
      <c r="CJ27" s="40">
        <f t="shared" si="26"/>
        <v>0</v>
      </c>
      <c r="CM27" s="40">
        <f t="shared" si="27"/>
        <v>0</v>
      </c>
      <c r="CP27" s="40">
        <f t="shared" si="28"/>
        <v>0</v>
      </c>
      <c r="CS27" s="40">
        <f t="shared" si="29"/>
        <v>0</v>
      </c>
      <c r="CV27" s="40">
        <f t="shared" si="30"/>
        <v>0</v>
      </c>
      <c r="CY27" s="40">
        <f t="shared" si="31"/>
        <v>0</v>
      </c>
      <c r="DB27" s="40">
        <f t="shared" si="32"/>
        <v>0</v>
      </c>
      <c r="DE27" s="40">
        <f t="shared" si="33"/>
        <v>0</v>
      </c>
      <c r="DH27" s="40">
        <f t="shared" si="34"/>
        <v>0</v>
      </c>
      <c r="DK27" s="40">
        <f t="shared" si="35"/>
        <v>0</v>
      </c>
      <c r="DN27" s="40">
        <f t="shared" si="36"/>
        <v>0</v>
      </c>
      <c r="DQ27" s="40">
        <f t="shared" si="37"/>
        <v>0</v>
      </c>
      <c r="DT27" s="40">
        <f t="shared" si="38"/>
        <v>0</v>
      </c>
      <c r="DW27" s="40">
        <f t="shared" si="39"/>
        <v>0</v>
      </c>
      <c r="DZ27" s="40"/>
      <c r="EA27" s="40"/>
      <c r="EB27" s="75">
        <f t="shared" si="40"/>
        <v>90075000</v>
      </c>
      <c r="EC27" s="75">
        <f t="shared" si="41"/>
        <v>0</v>
      </c>
      <c r="ED27" s="40">
        <f t="shared" si="42"/>
        <v>804.54166666666663</v>
      </c>
      <c r="EE27" s="41">
        <f t="shared" si="43"/>
        <v>3.2154870940882597E-3</v>
      </c>
      <c r="EG27" s="75">
        <f t="shared" si="44"/>
        <v>0</v>
      </c>
      <c r="EH27" s="40">
        <f t="shared" si="45"/>
        <v>0</v>
      </c>
      <c r="EI27" s="41">
        <f t="shared" si="46"/>
        <v>0</v>
      </c>
      <c r="EJ27" s="41"/>
      <c r="EK27" s="75">
        <f t="shared" si="47"/>
        <v>90075000</v>
      </c>
      <c r="EL27" s="75">
        <f t="shared" si="48"/>
        <v>0</v>
      </c>
      <c r="EM27" s="75">
        <f t="shared" si="49"/>
        <v>804.54166666666663</v>
      </c>
      <c r="EN27" s="41">
        <f t="shared" si="50"/>
        <v>3.2154870940882597E-3</v>
      </c>
      <c r="EP27" s="40"/>
    </row>
    <row r="28" spans="1:146" x14ac:dyDescent="0.25">
      <c r="A28" s="25">
        <f t="shared" si="51"/>
        <v>44548</v>
      </c>
      <c r="B28" s="40">
        <v>0</v>
      </c>
      <c r="D28" s="40">
        <f t="shared" si="0"/>
        <v>0</v>
      </c>
      <c r="G28" s="40">
        <f t="shared" si="1"/>
        <v>0</v>
      </c>
      <c r="J28" s="40">
        <f t="shared" si="2"/>
        <v>0</v>
      </c>
      <c r="M28" s="40">
        <f t="shared" si="3"/>
        <v>0</v>
      </c>
      <c r="P28" s="40">
        <f t="shared" si="4"/>
        <v>0</v>
      </c>
      <c r="S28" s="40">
        <f t="shared" si="5"/>
        <v>0</v>
      </c>
      <c r="V28" s="40">
        <f t="shared" si="6"/>
        <v>0</v>
      </c>
      <c r="Y28" s="40">
        <f t="shared" si="7"/>
        <v>0</v>
      </c>
      <c r="AB28" s="40">
        <f t="shared" si="8"/>
        <v>0</v>
      </c>
      <c r="AE28" s="40">
        <v>0</v>
      </c>
      <c r="AH28" s="40">
        <v>0</v>
      </c>
      <c r="AI28" s="172">
        <f>15075000</f>
        <v>15075000</v>
      </c>
      <c r="AJ28" s="173">
        <v>1.8E-3</v>
      </c>
      <c r="AK28" s="40">
        <f t="shared" si="9"/>
        <v>75.375</v>
      </c>
      <c r="AL28" s="172">
        <f t="shared" si="52"/>
        <v>75000000</v>
      </c>
      <c r="AM28" s="173">
        <v>3.5000000000000001E-3</v>
      </c>
      <c r="AN28" s="40">
        <f t="shared" si="10"/>
        <v>729.16666666666663</v>
      </c>
      <c r="AO28" s="172"/>
      <c r="AP28" s="173"/>
      <c r="AQ28" s="40">
        <f t="shared" si="11"/>
        <v>0</v>
      </c>
      <c r="AR28" s="172"/>
      <c r="AS28" s="173"/>
      <c r="AT28" s="40">
        <f t="shared" si="12"/>
        <v>0</v>
      </c>
      <c r="AW28" s="40">
        <f t="shared" si="13"/>
        <v>0</v>
      </c>
      <c r="AZ28" s="40">
        <f t="shared" si="14"/>
        <v>0</v>
      </c>
      <c r="BC28" s="40">
        <f t="shared" si="15"/>
        <v>0</v>
      </c>
      <c r="BF28" s="40">
        <f t="shared" si="16"/>
        <v>0</v>
      </c>
      <c r="BI28" s="40">
        <f t="shared" si="17"/>
        <v>0</v>
      </c>
      <c r="BL28" s="40">
        <f t="shared" si="18"/>
        <v>0</v>
      </c>
      <c r="BO28" s="40">
        <f t="shared" si="19"/>
        <v>0</v>
      </c>
      <c r="BR28" s="40">
        <f t="shared" si="20"/>
        <v>0</v>
      </c>
      <c r="BU28" s="40">
        <f t="shared" si="21"/>
        <v>0</v>
      </c>
      <c r="BX28" s="40">
        <f t="shared" si="22"/>
        <v>0</v>
      </c>
      <c r="CA28" s="40">
        <f t="shared" si="23"/>
        <v>0</v>
      </c>
      <c r="CD28" s="40">
        <f t="shared" si="24"/>
        <v>0</v>
      </c>
      <c r="CG28" s="40">
        <f t="shared" si="25"/>
        <v>0</v>
      </c>
      <c r="CJ28" s="40">
        <f t="shared" si="26"/>
        <v>0</v>
      </c>
      <c r="CM28" s="40">
        <f t="shared" si="27"/>
        <v>0</v>
      </c>
      <c r="CP28" s="40">
        <f t="shared" si="28"/>
        <v>0</v>
      </c>
      <c r="CS28" s="40">
        <f t="shared" si="29"/>
        <v>0</v>
      </c>
      <c r="CV28" s="40">
        <f t="shared" si="30"/>
        <v>0</v>
      </c>
      <c r="CY28" s="40">
        <f t="shared" si="31"/>
        <v>0</v>
      </c>
      <c r="DB28" s="40">
        <f t="shared" si="32"/>
        <v>0</v>
      </c>
      <c r="DE28" s="40">
        <f t="shared" si="33"/>
        <v>0</v>
      </c>
      <c r="DH28" s="40">
        <f t="shared" si="34"/>
        <v>0</v>
      </c>
      <c r="DK28" s="40">
        <f t="shared" si="35"/>
        <v>0</v>
      </c>
      <c r="DN28" s="40">
        <f t="shared" si="36"/>
        <v>0</v>
      </c>
      <c r="DQ28" s="40">
        <f t="shared" si="37"/>
        <v>0</v>
      </c>
      <c r="DT28" s="40">
        <f t="shared" si="38"/>
        <v>0</v>
      </c>
      <c r="DW28" s="40">
        <f t="shared" si="39"/>
        <v>0</v>
      </c>
      <c r="DZ28" s="40"/>
      <c r="EA28" s="40"/>
      <c r="EB28" s="75">
        <f t="shared" si="40"/>
        <v>90075000</v>
      </c>
      <c r="EC28" s="75">
        <f t="shared" si="41"/>
        <v>0</v>
      </c>
      <c r="ED28" s="40">
        <f t="shared" si="42"/>
        <v>804.54166666666663</v>
      </c>
      <c r="EE28" s="41">
        <f t="shared" si="43"/>
        <v>3.2154870940882597E-3</v>
      </c>
      <c r="EG28" s="75">
        <f t="shared" si="44"/>
        <v>0</v>
      </c>
      <c r="EH28" s="40">
        <f t="shared" si="45"/>
        <v>0</v>
      </c>
      <c r="EI28" s="41">
        <f t="shared" si="46"/>
        <v>0</v>
      </c>
      <c r="EJ28" s="41"/>
      <c r="EK28" s="75">
        <f t="shared" si="47"/>
        <v>90075000</v>
      </c>
      <c r="EL28" s="75">
        <f t="shared" si="48"/>
        <v>0</v>
      </c>
      <c r="EM28" s="75">
        <f t="shared" si="49"/>
        <v>804.54166666666663</v>
      </c>
      <c r="EN28" s="41">
        <f t="shared" si="50"/>
        <v>3.2154870940882597E-3</v>
      </c>
      <c r="EP28" s="40"/>
    </row>
    <row r="29" spans="1:146" x14ac:dyDescent="0.25">
      <c r="A29" s="25">
        <f t="shared" si="51"/>
        <v>44549</v>
      </c>
      <c r="B29" s="40">
        <v>0</v>
      </c>
      <c r="D29" s="40">
        <f t="shared" si="0"/>
        <v>0</v>
      </c>
      <c r="G29" s="40">
        <f t="shared" si="1"/>
        <v>0</v>
      </c>
      <c r="J29" s="40">
        <f t="shared" si="2"/>
        <v>0</v>
      </c>
      <c r="M29" s="40">
        <f t="shared" si="3"/>
        <v>0</v>
      </c>
      <c r="P29" s="40">
        <f t="shared" si="4"/>
        <v>0</v>
      </c>
      <c r="S29" s="40">
        <f t="shared" si="5"/>
        <v>0</v>
      </c>
      <c r="V29" s="40">
        <f t="shared" si="6"/>
        <v>0</v>
      </c>
      <c r="Y29" s="40">
        <f t="shared" si="7"/>
        <v>0</v>
      </c>
      <c r="AB29" s="40">
        <f t="shared" si="8"/>
        <v>0</v>
      </c>
      <c r="AE29" s="40">
        <v>0</v>
      </c>
      <c r="AH29" s="40">
        <v>0</v>
      </c>
      <c r="AI29" s="172">
        <f>15075000</f>
        <v>15075000</v>
      </c>
      <c r="AJ29" s="173">
        <v>1.8E-3</v>
      </c>
      <c r="AK29" s="40">
        <f t="shared" si="9"/>
        <v>75.375</v>
      </c>
      <c r="AL29" s="172">
        <f t="shared" si="52"/>
        <v>75000000</v>
      </c>
      <c r="AM29" s="173">
        <v>3.5000000000000001E-3</v>
      </c>
      <c r="AN29" s="40">
        <f t="shared" si="10"/>
        <v>729.16666666666663</v>
      </c>
      <c r="AO29" s="172"/>
      <c r="AP29" s="173"/>
      <c r="AQ29" s="40">
        <f t="shared" si="11"/>
        <v>0</v>
      </c>
      <c r="AR29" s="172"/>
      <c r="AS29" s="173"/>
      <c r="AT29" s="40">
        <f t="shared" si="12"/>
        <v>0</v>
      </c>
      <c r="AW29" s="40">
        <f t="shared" si="13"/>
        <v>0</v>
      </c>
      <c r="AZ29" s="40">
        <f t="shared" si="14"/>
        <v>0</v>
      </c>
      <c r="BC29" s="40">
        <f t="shared" si="15"/>
        <v>0</v>
      </c>
      <c r="BF29" s="40">
        <f t="shared" si="16"/>
        <v>0</v>
      </c>
      <c r="BI29" s="40">
        <f t="shared" si="17"/>
        <v>0</v>
      </c>
      <c r="BL29" s="40">
        <f t="shared" si="18"/>
        <v>0</v>
      </c>
      <c r="BO29" s="40">
        <f t="shared" si="19"/>
        <v>0</v>
      </c>
      <c r="BR29" s="40">
        <f t="shared" si="20"/>
        <v>0</v>
      </c>
      <c r="BU29" s="40">
        <f t="shared" si="21"/>
        <v>0</v>
      </c>
      <c r="BX29" s="40">
        <f t="shared" si="22"/>
        <v>0</v>
      </c>
      <c r="CA29" s="40">
        <f t="shared" si="23"/>
        <v>0</v>
      </c>
      <c r="CD29" s="40">
        <f t="shared" si="24"/>
        <v>0</v>
      </c>
      <c r="CG29" s="40">
        <f t="shared" si="25"/>
        <v>0</v>
      </c>
      <c r="CJ29" s="40">
        <f t="shared" si="26"/>
        <v>0</v>
      </c>
      <c r="CM29" s="40">
        <f t="shared" si="27"/>
        <v>0</v>
      </c>
      <c r="CP29" s="40">
        <f t="shared" si="28"/>
        <v>0</v>
      </c>
      <c r="CS29" s="40">
        <f t="shared" si="29"/>
        <v>0</v>
      </c>
      <c r="CV29" s="40">
        <f t="shared" si="30"/>
        <v>0</v>
      </c>
      <c r="CY29" s="40">
        <f t="shared" si="31"/>
        <v>0</v>
      </c>
      <c r="DB29" s="40">
        <f t="shared" si="32"/>
        <v>0</v>
      </c>
      <c r="DE29" s="40">
        <f t="shared" si="33"/>
        <v>0</v>
      </c>
      <c r="DH29" s="40">
        <f t="shared" si="34"/>
        <v>0</v>
      </c>
      <c r="DK29" s="40">
        <f t="shared" si="35"/>
        <v>0</v>
      </c>
      <c r="DN29" s="40">
        <f t="shared" si="36"/>
        <v>0</v>
      </c>
      <c r="DQ29" s="40">
        <f t="shared" si="37"/>
        <v>0</v>
      </c>
      <c r="DT29" s="40">
        <f t="shared" si="38"/>
        <v>0</v>
      </c>
      <c r="DW29" s="40">
        <f t="shared" si="39"/>
        <v>0</v>
      </c>
      <c r="DZ29" s="40"/>
      <c r="EA29" s="40"/>
      <c r="EB29" s="75">
        <f t="shared" si="40"/>
        <v>90075000</v>
      </c>
      <c r="EC29" s="75">
        <f t="shared" si="41"/>
        <v>0</v>
      </c>
      <c r="ED29" s="40">
        <f t="shared" si="42"/>
        <v>804.54166666666663</v>
      </c>
      <c r="EE29" s="41">
        <f t="shared" si="43"/>
        <v>3.2154870940882597E-3</v>
      </c>
      <c r="EG29" s="75">
        <f t="shared" si="44"/>
        <v>0</v>
      </c>
      <c r="EH29" s="40">
        <f t="shared" si="45"/>
        <v>0</v>
      </c>
      <c r="EI29" s="41">
        <f t="shared" si="46"/>
        <v>0</v>
      </c>
      <c r="EJ29" s="41"/>
      <c r="EK29" s="75">
        <f t="shared" si="47"/>
        <v>90075000</v>
      </c>
      <c r="EL29" s="75">
        <f t="shared" si="48"/>
        <v>0</v>
      </c>
      <c r="EM29" s="75">
        <f t="shared" si="49"/>
        <v>804.54166666666663</v>
      </c>
      <c r="EN29" s="41">
        <f t="shared" si="50"/>
        <v>3.2154870940882597E-3</v>
      </c>
      <c r="EP29" s="40"/>
    </row>
    <row r="30" spans="1:146" x14ac:dyDescent="0.25">
      <c r="A30" s="25">
        <f t="shared" si="51"/>
        <v>44550</v>
      </c>
      <c r="B30" s="40">
        <v>0</v>
      </c>
      <c r="D30" s="40">
        <f t="shared" si="0"/>
        <v>0</v>
      </c>
      <c r="G30" s="40">
        <f t="shared" si="1"/>
        <v>0</v>
      </c>
      <c r="J30" s="40">
        <f t="shared" si="2"/>
        <v>0</v>
      </c>
      <c r="M30" s="40">
        <f t="shared" si="3"/>
        <v>0</v>
      </c>
      <c r="P30" s="40">
        <f t="shared" si="4"/>
        <v>0</v>
      </c>
      <c r="S30" s="40">
        <f t="shared" si="5"/>
        <v>0</v>
      </c>
      <c r="V30" s="40">
        <f t="shared" si="6"/>
        <v>0</v>
      </c>
      <c r="Y30" s="40">
        <f t="shared" si="7"/>
        <v>0</v>
      </c>
      <c r="AB30" s="40">
        <f t="shared" si="8"/>
        <v>0</v>
      </c>
      <c r="AE30" s="40">
        <v>0</v>
      </c>
      <c r="AH30" s="40">
        <v>0</v>
      </c>
      <c r="AI30" s="172">
        <v>19925000</v>
      </c>
      <c r="AJ30" s="173">
        <v>1.8E-3</v>
      </c>
      <c r="AK30" s="40">
        <f t="shared" si="9"/>
        <v>99.625</v>
      </c>
      <c r="AL30" s="172">
        <f t="shared" si="52"/>
        <v>75000000</v>
      </c>
      <c r="AM30" s="173">
        <v>3.5000000000000001E-3</v>
      </c>
      <c r="AN30" s="40">
        <f t="shared" si="10"/>
        <v>729.16666666666663</v>
      </c>
      <c r="AO30" s="172"/>
      <c r="AP30" s="173"/>
      <c r="AQ30" s="40">
        <f t="shared" si="11"/>
        <v>0</v>
      </c>
      <c r="AR30" s="172"/>
      <c r="AS30" s="173"/>
      <c r="AT30" s="40">
        <f t="shared" si="12"/>
        <v>0</v>
      </c>
      <c r="AW30" s="40">
        <f t="shared" si="13"/>
        <v>0</v>
      </c>
      <c r="AZ30" s="40">
        <f t="shared" si="14"/>
        <v>0</v>
      </c>
      <c r="BC30" s="40">
        <f t="shared" si="15"/>
        <v>0</v>
      </c>
      <c r="BF30" s="40">
        <f t="shared" si="16"/>
        <v>0</v>
      </c>
      <c r="BI30" s="40">
        <f t="shared" si="17"/>
        <v>0</v>
      </c>
      <c r="BL30" s="40">
        <f t="shared" si="18"/>
        <v>0</v>
      </c>
      <c r="BO30" s="40">
        <f t="shared" si="19"/>
        <v>0</v>
      </c>
      <c r="BR30" s="40">
        <f t="shared" si="20"/>
        <v>0</v>
      </c>
      <c r="BU30" s="40">
        <f t="shared" si="21"/>
        <v>0</v>
      </c>
      <c r="BX30" s="40">
        <f t="shared" si="22"/>
        <v>0</v>
      </c>
      <c r="CA30" s="40">
        <f t="shared" si="23"/>
        <v>0</v>
      </c>
      <c r="CD30" s="40">
        <f t="shared" si="24"/>
        <v>0</v>
      </c>
      <c r="CG30" s="40">
        <f t="shared" si="25"/>
        <v>0</v>
      </c>
      <c r="CJ30" s="40">
        <f t="shared" si="26"/>
        <v>0</v>
      </c>
      <c r="CM30" s="40">
        <f t="shared" si="27"/>
        <v>0</v>
      </c>
      <c r="CP30" s="40">
        <f t="shared" si="28"/>
        <v>0</v>
      </c>
      <c r="CS30" s="40">
        <f t="shared" si="29"/>
        <v>0</v>
      </c>
      <c r="CV30" s="40">
        <f t="shared" si="30"/>
        <v>0</v>
      </c>
      <c r="CY30" s="40">
        <f t="shared" si="31"/>
        <v>0</v>
      </c>
      <c r="DB30" s="40">
        <f t="shared" si="32"/>
        <v>0</v>
      </c>
      <c r="DE30" s="40">
        <f t="shared" si="33"/>
        <v>0</v>
      </c>
      <c r="DH30" s="40">
        <f t="shared" si="34"/>
        <v>0</v>
      </c>
      <c r="DK30" s="40">
        <f t="shared" si="35"/>
        <v>0</v>
      </c>
      <c r="DN30" s="40">
        <f t="shared" si="36"/>
        <v>0</v>
      </c>
      <c r="DQ30" s="40">
        <f t="shared" si="37"/>
        <v>0</v>
      </c>
      <c r="DT30" s="40">
        <f t="shared" si="38"/>
        <v>0</v>
      </c>
      <c r="DW30" s="40">
        <f t="shared" si="39"/>
        <v>0</v>
      </c>
      <c r="DZ30" s="40"/>
      <c r="EA30" s="40"/>
      <c r="EB30" s="75">
        <f t="shared" si="40"/>
        <v>94925000</v>
      </c>
      <c r="EC30" s="75">
        <f t="shared" si="41"/>
        <v>0</v>
      </c>
      <c r="ED30" s="40">
        <f t="shared" si="42"/>
        <v>828.79166666666663</v>
      </c>
      <c r="EE30" s="41">
        <f t="shared" si="43"/>
        <v>3.1431656570977086E-3</v>
      </c>
      <c r="EG30" s="75">
        <f t="shared" si="44"/>
        <v>0</v>
      </c>
      <c r="EH30" s="40">
        <f t="shared" si="45"/>
        <v>0</v>
      </c>
      <c r="EI30" s="41">
        <f t="shared" si="46"/>
        <v>0</v>
      </c>
      <c r="EJ30" s="41"/>
      <c r="EK30" s="75">
        <f t="shared" si="47"/>
        <v>94925000</v>
      </c>
      <c r="EL30" s="75">
        <f t="shared" si="48"/>
        <v>0</v>
      </c>
      <c r="EM30" s="75">
        <f t="shared" si="49"/>
        <v>828.79166666666663</v>
      </c>
      <c r="EN30" s="41">
        <f t="shared" si="50"/>
        <v>3.1431656570977086E-3</v>
      </c>
      <c r="EP30" s="40"/>
    </row>
    <row r="31" spans="1:146" x14ac:dyDescent="0.25">
      <c r="A31" s="25">
        <f t="shared" si="51"/>
        <v>44551</v>
      </c>
      <c r="B31" s="40">
        <v>0</v>
      </c>
      <c r="D31" s="40">
        <f t="shared" si="0"/>
        <v>0</v>
      </c>
      <c r="G31" s="40">
        <f t="shared" si="1"/>
        <v>0</v>
      </c>
      <c r="J31" s="40">
        <f t="shared" si="2"/>
        <v>0</v>
      </c>
      <c r="M31" s="40">
        <f t="shared" si="3"/>
        <v>0</v>
      </c>
      <c r="P31" s="40">
        <f t="shared" si="4"/>
        <v>0</v>
      </c>
      <c r="S31" s="40">
        <f t="shared" si="5"/>
        <v>0</v>
      </c>
      <c r="V31" s="40">
        <f t="shared" si="6"/>
        <v>0</v>
      </c>
      <c r="Y31" s="40">
        <f t="shared" si="7"/>
        <v>0</v>
      </c>
      <c r="AB31" s="40">
        <f t="shared" si="8"/>
        <v>0</v>
      </c>
      <c r="AE31" s="40">
        <v>0</v>
      </c>
      <c r="AH31" s="40">
        <v>0</v>
      </c>
      <c r="AI31" s="172">
        <f>23150000</f>
        <v>23150000</v>
      </c>
      <c r="AJ31" s="173">
        <v>1.8E-3</v>
      </c>
      <c r="AK31" s="40">
        <f t="shared" si="9"/>
        <v>115.75</v>
      </c>
      <c r="AL31" s="172">
        <f t="shared" si="52"/>
        <v>75000000</v>
      </c>
      <c r="AM31" s="173">
        <v>3.5000000000000001E-3</v>
      </c>
      <c r="AN31" s="40">
        <f t="shared" si="10"/>
        <v>729.16666666666663</v>
      </c>
      <c r="AO31" s="172"/>
      <c r="AP31" s="173"/>
      <c r="AQ31" s="40">
        <f t="shared" si="11"/>
        <v>0</v>
      </c>
      <c r="AR31" s="172"/>
      <c r="AS31" s="173"/>
      <c r="AT31" s="40">
        <f t="shared" si="12"/>
        <v>0</v>
      </c>
      <c r="AW31" s="40">
        <f t="shared" si="13"/>
        <v>0</v>
      </c>
      <c r="AZ31" s="40">
        <f t="shared" si="14"/>
        <v>0</v>
      </c>
      <c r="BC31" s="40">
        <f t="shared" si="15"/>
        <v>0</v>
      </c>
      <c r="BF31" s="40">
        <f t="shared" si="16"/>
        <v>0</v>
      </c>
      <c r="BI31" s="40">
        <f t="shared" si="17"/>
        <v>0</v>
      </c>
      <c r="BL31" s="40">
        <f t="shared" si="18"/>
        <v>0</v>
      </c>
      <c r="BO31" s="40">
        <f t="shared" si="19"/>
        <v>0</v>
      </c>
      <c r="BR31" s="40">
        <f t="shared" si="20"/>
        <v>0</v>
      </c>
      <c r="BU31" s="40">
        <f t="shared" si="21"/>
        <v>0</v>
      </c>
      <c r="BX31" s="40">
        <f t="shared" si="22"/>
        <v>0</v>
      </c>
      <c r="CA31" s="40">
        <f t="shared" si="23"/>
        <v>0</v>
      </c>
      <c r="CD31" s="40">
        <f t="shared" si="24"/>
        <v>0</v>
      </c>
      <c r="CG31" s="40">
        <f t="shared" si="25"/>
        <v>0</v>
      </c>
      <c r="CJ31" s="40">
        <f t="shared" si="26"/>
        <v>0</v>
      </c>
      <c r="CM31" s="40">
        <f t="shared" si="27"/>
        <v>0</v>
      </c>
      <c r="CP31" s="40">
        <f t="shared" si="28"/>
        <v>0</v>
      </c>
      <c r="CS31" s="40">
        <f t="shared" si="29"/>
        <v>0</v>
      </c>
      <c r="CV31" s="40">
        <f t="shared" si="30"/>
        <v>0</v>
      </c>
      <c r="CY31" s="40">
        <f t="shared" si="31"/>
        <v>0</v>
      </c>
      <c r="DB31" s="40">
        <f t="shared" si="32"/>
        <v>0</v>
      </c>
      <c r="DE31" s="40">
        <f t="shared" si="33"/>
        <v>0</v>
      </c>
      <c r="DH31" s="40">
        <f t="shared" si="34"/>
        <v>0</v>
      </c>
      <c r="DK31" s="40">
        <f t="shared" si="35"/>
        <v>0</v>
      </c>
      <c r="DN31" s="40">
        <f t="shared" si="36"/>
        <v>0</v>
      </c>
      <c r="DQ31" s="40">
        <f t="shared" si="37"/>
        <v>0</v>
      </c>
      <c r="DT31" s="40">
        <f t="shared" si="38"/>
        <v>0</v>
      </c>
      <c r="DW31" s="40">
        <f t="shared" si="39"/>
        <v>0</v>
      </c>
      <c r="DZ31" s="40"/>
      <c r="EA31" s="40"/>
      <c r="EB31" s="75">
        <f t="shared" si="40"/>
        <v>98150000</v>
      </c>
      <c r="EC31" s="75">
        <f t="shared" si="41"/>
        <v>0</v>
      </c>
      <c r="ED31" s="40">
        <f t="shared" si="42"/>
        <v>844.91666666666663</v>
      </c>
      <c r="EE31" s="41">
        <f t="shared" si="43"/>
        <v>3.0990320937340802E-3</v>
      </c>
      <c r="EG31" s="75">
        <f t="shared" si="44"/>
        <v>0</v>
      </c>
      <c r="EH31" s="40">
        <f t="shared" si="45"/>
        <v>0</v>
      </c>
      <c r="EI31" s="41">
        <f t="shared" si="46"/>
        <v>0</v>
      </c>
      <c r="EJ31" s="41"/>
      <c r="EK31" s="75">
        <f t="shared" si="47"/>
        <v>98150000</v>
      </c>
      <c r="EL31" s="75">
        <f t="shared" si="48"/>
        <v>0</v>
      </c>
      <c r="EM31" s="75">
        <f t="shared" si="49"/>
        <v>844.91666666666663</v>
      </c>
      <c r="EN31" s="41">
        <f t="shared" si="50"/>
        <v>3.0990320937340802E-3</v>
      </c>
      <c r="EP31" s="40"/>
    </row>
    <row r="32" spans="1:146" x14ac:dyDescent="0.25">
      <c r="A32" s="25">
        <f t="shared" si="51"/>
        <v>44552</v>
      </c>
      <c r="B32" s="40">
        <v>0</v>
      </c>
      <c r="D32" s="40">
        <f t="shared" si="0"/>
        <v>0</v>
      </c>
      <c r="G32" s="40">
        <f t="shared" si="1"/>
        <v>0</v>
      </c>
      <c r="J32" s="40">
        <f t="shared" si="2"/>
        <v>0</v>
      </c>
      <c r="M32" s="40">
        <f t="shared" si="3"/>
        <v>0</v>
      </c>
      <c r="P32" s="40">
        <f t="shared" si="4"/>
        <v>0</v>
      </c>
      <c r="S32" s="40">
        <f t="shared" si="5"/>
        <v>0</v>
      </c>
      <c r="V32" s="40">
        <f t="shared" si="6"/>
        <v>0</v>
      </c>
      <c r="Y32" s="40">
        <f t="shared" si="7"/>
        <v>0</v>
      </c>
      <c r="AB32" s="40">
        <f t="shared" si="8"/>
        <v>0</v>
      </c>
      <c r="AE32" s="40">
        <v>0</v>
      </c>
      <c r="AH32" s="40">
        <v>0</v>
      </c>
      <c r="AI32" s="172">
        <f>23100000</f>
        <v>23100000</v>
      </c>
      <c r="AJ32" s="173">
        <v>1.8E-3</v>
      </c>
      <c r="AK32" s="40">
        <f t="shared" si="9"/>
        <v>115.5</v>
      </c>
      <c r="AL32" s="172">
        <f t="shared" si="52"/>
        <v>75000000</v>
      </c>
      <c r="AM32" s="173">
        <v>3.5000000000000001E-3</v>
      </c>
      <c r="AN32" s="40">
        <f t="shared" si="10"/>
        <v>729.16666666666663</v>
      </c>
      <c r="AO32" s="172"/>
      <c r="AP32" s="173"/>
      <c r="AQ32" s="40">
        <f t="shared" si="11"/>
        <v>0</v>
      </c>
      <c r="AR32" s="172"/>
      <c r="AS32" s="173"/>
      <c r="AT32" s="40">
        <f t="shared" si="12"/>
        <v>0</v>
      </c>
      <c r="AW32" s="40">
        <f t="shared" si="13"/>
        <v>0</v>
      </c>
      <c r="AZ32" s="40">
        <f t="shared" si="14"/>
        <v>0</v>
      </c>
      <c r="BC32" s="40">
        <f t="shared" si="15"/>
        <v>0</v>
      </c>
      <c r="BF32" s="40">
        <f t="shared" si="16"/>
        <v>0</v>
      </c>
      <c r="BI32" s="40">
        <f t="shared" si="17"/>
        <v>0</v>
      </c>
      <c r="BL32" s="40">
        <f t="shared" si="18"/>
        <v>0</v>
      </c>
      <c r="BO32" s="40">
        <f t="shared" si="19"/>
        <v>0</v>
      </c>
      <c r="BR32" s="40">
        <f t="shared" si="20"/>
        <v>0</v>
      </c>
      <c r="BU32" s="40">
        <f t="shared" si="21"/>
        <v>0</v>
      </c>
      <c r="BX32" s="40">
        <f t="shared" si="22"/>
        <v>0</v>
      </c>
      <c r="CA32" s="40">
        <f t="shared" si="23"/>
        <v>0</v>
      </c>
      <c r="CD32" s="40">
        <f t="shared" si="24"/>
        <v>0</v>
      </c>
      <c r="CG32" s="40">
        <f t="shared" si="25"/>
        <v>0</v>
      </c>
      <c r="CJ32" s="40">
        <f t="shared" si="26"/>
        <v>0</v>
      </c>
      <c r="CM32" s="40">
        <f t="shared" si="27"/>
        <v>0</v>
      </c>
      <c r="CP32" s="40">
        <f t="shared" si="28"/>
        <v>0</v>
      </c>
      <c r="CS32" s="40">
        <f t="shared" si="29"/>
        <v>0</v>
      </c>
      <c r="CV32" s="40">
        <f t="shared" si="30"/>
        <v>0</v>
      </c>
      <c r="CY32" s="40">
        <f t="shared" si="31"/>
        <v>0</v>
      </c>
      <c r="DB32" s="40">
        <f t="shared" si="32"/>
        <v>0</v>
      </c>
      <c r="DE32" s="40">
        <f t="shared" si="33"/>
        <v>0</v>
      </c>
      <c r="DH32" s="40">
        <f t="shared" si="34"/>
        <v>0</v>
      </c>
      <c r="DK32" s="40">
        <f t="shared" si="35"/>
        <v>0</v>
      </c>
      <c r="DN32" s="40">
        <f t="shared" si="36"/>
        <v>0</v>
      </c>
      <c r="DQ32" s="40">
        <f t="shared" si="37"/>
        <v>0</v>
      </c>
      <c r="DT32" s="40">
        <f t="shared" si="38"/>
        <v>0</v>
      </c>
      <c r="DW32" s="40">
        <f t="shared" si="39"/>
        <v>0</v>
      </c>
      <c r="DZ32" s="40"/>
      <c r="EA32" s="40"/>
      <c r="EB32" s="75">
        <f t="shared" si="40"/>
        <v>98100000</v>
      </c>
      <c r="EC32" s="75">
        <f t="shared" si="41"/>
        <v>0</v>
      </c>
      <c r="ED32" s="40">
        <f t="shared" si="42"/>
        <v>844.66666666666663</v>
      </c>
      <c r="EE32" s="41">
        <f t="shared" si="43"/>
        <v>3.0996941896024467E-3</v>
      </c>
      <c r="EG32" s="75">
        <f t="shared" si="44"/>
        <v>0</v>
      </c>
      <c r="EH32" s="40">
        <f t="shared" si="45"/>
        <v>0</v>
      </c>
      <c r="EI32" s="41">
        <f t="shared" si="46"/>
        <v>0</v>
      </c>
      <c r="EJ32" s="41"/>
      <c r="EK32" s="75">
        <f t="shared" si="47"/>
        <v>98100000</v>
      </c>
      <c r="EL32" s="75">
        <f t="shared" si="48"/>
        <v>0</v>
      </c>
      <c r="EM32" s="75">
        <f t="shared" si="49"/>
        <v>844.66666666666663</v>
      </c>
      <c r="EN32" s="41">
        <f t="shared" si="50"/>
        <v>3.0996941896024467E-3</v>
      </c>
      <c r="EP32" s="40"/>
    </row>
    <row r="33" spans="1:146" x14ac:dyDescent="0.25">
      <c r="A33" s="25">
        <f t="shared" si="51"/>
        <v>44553</v>
      </c>
      <c r="B33" s="40">
        <v>0</v>
      </c>
      <c r="D33" s="40">
        <f t="shared" si="0"/>
        <v>0</v>
      </c>
      <c r="G33" s="40">
        <f t="shared" si="1"/>
        <v>0</v>
      </c>
      <c r="J33" s="40">
        <f t="shared" si="2"/>
        <v>0</v>
      </c>
      <c r="M33" s="40">
        <f t="shared" si="3"/>
        <v>0</v>
      </c>
      <c r="P33" s="40">
        <f t="shared" si="4"/>
        <v>0</v>
      </c>
      <c r="S33" s="40">
        <f t="shared" si="5"/>
        <v>0</v>
      </c>
      <c r="V33" s="40">
        <f t="shared" si="6"/>
        <v>0</v>
      </c>
      <c r="Y33" s="40">
        <f t="shared" si="7"/>
        <v>0</v>
      </c>
      <c r="AB33" s="40">
        <f t="shared" si="8"/>
        <v>0</v>
      </c>
      <c r="AE33" s="40">
        <v>0</v>
      </c>
      <c r="AH33" s="40">
        <v>0</v>
      </c>
      <c r="AI33" s="172">
        <f>25800000</f>
        <v>25800000</v>
      </c>
      <c r="AJ33" s="173">
        <v>1.8E-3</v>
      </c>
      <c r="AK33" s="40">
        <f t="shared" si="9"/>
        <v>129</v>
      </c>
      <c r="AL33" s="172">
        <f t="shared" si="52"/>
        <v>75000000</v>
      </c>
      <c r="AM33" s="173">
        <v>3.5000000000000001E-3</v>
      </c>
      <c r="AN33" s="40">
        <f t="shared" si="10"/>
        <v>729.16666666666663</v>
      </c>
      <c r="AO33" s="172"/>
      <c r="AP33" s="173"/>
      <c r="AQ33" s="40">
        <f t="shared" si="11"/>
        <v>0</v>
      </c>
      <c r="AR33" s="172"/>
      <c r="AS33" s="173"/>
      <c r="AT33" s="40">
        <f t="shared" si="12"/>
        <v>0</v>
      </c>
      <c r="AW33" s="40">
        <f t="shared" si="13"/>
        <v>0</v>
      </c>
      <c r="AZ33" s="40">
        <f t="shared" si="14"/>
        <v>0</v>
      </c>
      <c r="BC33" s="40">
        <f t="shared" si="15"/>
        <v>0</v>
      </c>
      <c r="BF33" s="40">
        <f t="shared" si="16"/>
        <v>0</v>
      </c>
      <c r="BI33" s="40">
        <f t="shared" si="17"/>
        <v>0</v>
      </c>
      <c r="BL33" s="40">
        <f t="shared" si="18"/>
        <v>0</v>
      </c>
      <c r="BO33" s="40">
        <f t="shared" si="19"/>
        <v>0</v>
      </c>
      <c r="BR33" s="40">
        <f t="shared" si="20"/>
        <v>0</v>
      </c>
      <c r="BU33" s="40">
        <f t="shared" si="21"/>
        <v>0</v>
      </c>
      <c r="BX33" s="40">
        <f t="shared" si="22"/>
        <v>0</v>
      </c>
      <c r="CA33" s="40">
        <f t="shared" si="23"/>
        <v>0</v>
      </c>
      <c r="CD33" s="40">
        <f t="shared" si="24"/>
        <v>0</v>
      </c>
      <c r="CG33" s="40">
        <f t="shared" si="25"/>
        <v>0</v>
      </c>
      <c r="CJ33" s="40">
        <f t="shared" si="26"/>
        <v>0</v>
      </c>
      <c r="CM33" s="40">
        <f t="shared" si="27"/>
        <v>0</v>
      </c>
      <c r="CP33" s="40">
        <f t="shared" si="28"/>
        <v>0</v>
      </c>
      <c r="CS33" s="40">
        <f t="shared" si="29"/>
        <v>0</v>
      </c>
      <c r="CV33" s="40">
        <f t="shared" si="30"/>
        <v>0</v>
      </c>
      <c r="CY33" s="40">
        <f t="shared" si="31"/>
        <v>0</v>
      </c>
      <c r="DB33" s="40">
        <f t="shared" si="32"/>
        <v>0</v>
      </c>
      <c r="DE33" s="40">
        <f t="shared" si="33"/>
        <v>0</v>
      </c>
      <c r="DH33" s="40">
        <f t="shared" si="34"/>
        <v>0</v>
      </c>
      <c r="DK33" s="40">
        <f t="shared" si="35"/>
        <v>0</v>
      </c>
      <c r="DN33" s="40">
        <f t="shared" si="36"/>
        <v>0</v>
      </c>
      <c r="DQ33" s="40">
        <f t="shared" si="37"/>
        <v>0</v>
      </c>
      <c r="DT33" s="40">
        <f t="shared" si="38"/>
        <v>0</v>
      </c>
      <c r="DW33" s="40">
        <f t="shared" si="39"/>
        <v>0</v>
      </c>
      <c r="DZ33" s="40"/>
      <c r="EA33" s="40"/>
      <c r="EB33" s="75">
        <f t="shared" si="40"/>
        <v>100800000</v>
      </c>
      <c r="EC33" s="75">
        <f t="shared" si="41"/>
        <v>0</v>
      </c>
      <c r="ED33" s="40">
        <f t="shared" si="42"/>
        <v>858.16666666666663</v>
      </c>
      <c r="EE33" s="41">
        <f t="shared" si="43"/>
        <v>3.0648809523809522E-3</v>
      </c>
      <c r="EG33" s="75">
        <f t="shared" si="44"/>
        <v>0</v>
      </c>
      <c r="EH33" s="40">
        <f t="shared" si="45"/>
        <v>0</v>
      </c>
      <c r="EI33" s="41">
        <f t="shared" si="46"/>
        <v>0</v>
      </c>
      <c r="EJ33" s="41"/>
      <c r="EK33" s="75">
        <f t="shared" si="47"/>
        <v>100800000</v>
      </c>
      <c r="EL33" s="75">
        <f t="shared" si="48"/>
        <v>0</v>
      </c>
      <c r="EM33" s="75">
        <f t="shared" si="49"/>
        <v>858.16666666666663</v>
      </c>
      <c r="EN33" s="41">
        <f t="shared" si="50"/>
        <v>3.0648809523809522E-3</v>
      </c>
      <c r="EP33" s="40"/>
    </row>
    <row r="34" spans="1:146" x14ac:dyDescent="0.25">
      <c r="A34" s="25">
        <f t="shared" si="51"/>
        <v>44554</v>
      </c>
      <c r="B34" s="40">
        <v>0</v>
      </c>
      <c r="D34" s="40">
        <f t="shared" si="0"/>
        <v>0</v>
      </c>
      <c r="G34" s="40">
        <f t="shared" si="1"/>
        <v>0</v>
      </c>
      <c r="J34" s="40">
        <f t="shared" si="2"/>
        <v>0</v>
      </c>
      <c r="M34" s="40">
        <f t="shared" si="3"/>
        <v>0</v>
      </c>
      <c r="P34" s="40">
        <f t="shared" si="4"/>
        <v>0</v>
      </c>
      <c r="S34" s="40">
        <f t="shared" si="5"/>
        <v>0</v>
      </c>
      <c r="V34" s="40">
        <f t="shared" si="6"/>
        <v>0</v>
      </c>
      <c r="Y34" s="40">
        <f t="shared" si="7"/>
        <v>0</v>
      </c>
      <c r="AB34" s="40">
        <f t="shared" si="8"/>
        <v>0</v>
      </c>
      <c r="AE34" s="40">
        <v>0</v>
      </c>
      <c r="AH34" s="40">
        <v>0</v>
      </c>
      <c r="AI34" s="172">
        <f>25800000</f>
        <v>25800000</v>
      </c>
      <c r="AJ34" s="173">
        <v>1.8E-3</v>
      </c>
      <c r="AK34" s="40">
        <f t="shared" si="9"/>
        <v>129</v>
      </c>
      <c r="AL34" s="172">
        <f t="shared" si="52"/>
        <v>75000000</v>
      </c>
      <c r="AM34" s="173">
        <v>3.5000000000000001E-3</v>
      </c>
      <c r="AN34" s="40">
        <f t="shared" si="10"/>
        <v>729.16666666666663</v>
      </c>
      <c r="AO34" s="172"/>
      <c r="AP34" s="173"/>
      <c r="AQ34" s="40">
        <f t="shared" si="11"/>
        <v>0</v>
      </c>
      <c r="AR34" s="172"/>
      <c r="AS34" s="173"/>
      <c r="AT34" s="40">
        <f t="shared" si="12"/>
        <v>0</v>
      </c>
      <c r="AW34" s="40">
        <f t="shared" si="13"/>
        <v>0</v>
      </c>
      <c r="AZ34" s="40">
        <f t="shared" si="14"/>
        <v>0</v>
      </c>
      <c r="BC34" s="40">
        <f t="shared" si="15"/>
        <v>0</v>
      </c>
      <c r="BF34" s="40">
        <f t="shared" si="16"/>
        <v>0</v>
      </c>
      <c r="BI34" s="40">
        <f t="shared" si="17"/>
        <v>0</v>
      </c>
      <c r="BL34" s="40">
        <f t="shared" si="18"/>
        <v>0</v>
      </c>
      <c r="BO34" s="40">
        <f t="shared" si="19"/>
        <v>0</v>
      </c>
      <c r="BR34" s="40">
        <f t="shared" si="20"/>
        <v>0</v>
      </c>
      <c r="BU34" s="40">
        <f t="shared" si="21"/>
        <v>0</v>
      </c>
      <c r="BX34" s="40">
        <f t="shared" si="22"/>
        <v>0</v>
      </c>
      <c r="CA34" s="40">
        <f t="shared" si="23"/>
        <v>0</v>
      </c>
      <c r="CD34" s="40">
        <f t="shared" si="24"/>
        <v>0</v>
      </c>
      <c r="CG34" s="40">
        <f t="shared" si="25"/>
        <v>0</v>
      </c>
      <c r="CJ34" s="40">
        <f t="shared" si="26"/>
        <v>0</v>
      </c>
      <c r="CM34" s="40">
        <f t="shared" si="27"/>
        <v>0</v>
      </c>
      <c r="CP34" s="40">
        <f t="shared" si="28"/>
        <v>0</v>
      </c>
      <c r="CS34" s="40">
        <f t="shared" si="29"/>
        <v>0</v>
      </c>
      <c r="CV34" s="40">
        <f t="shared" si="30"/>
        <v>0</v>
      </c>
      <c r="CY34" s="40">
        <f t="shared" si="31"/>
        <v>0</v>
      </c>
      <c r="DB34" s="40">
        <f t="shared" si="32"/>
        <v>0</v>
      </c>
      <c r="DE34" s="40">
        <f t="shared" si="33"/>
        <v>0</v>
      </c>
      <c r="DH34" s="40">
        <f t="shared" si="34"/>
        <v>0</v>
      </c>
      <c r="DK34" s="40">
        <f t="shared" si="35"/>
        <v>0</v>
      </c>
      <c r="DN34" s="40">
        <f t="shared" si="36"/>
        <v>0</v>
      </c>
      <c r="DQ34" s="40">
        <f t="shared" si="37"/>
        <v>0</v>
      </c>
      <c r="DT34" s="40">
        <f t="shared" si="38"/>
        <v>0</v>
      </c>
      <c r="DW34" s="40">
        <f t="shared" si="39"/>
        <v>0</v>
      </c>
      <c r="DZ34" s="40"/>
      <c r="EA34" s="40"/>
      <c r="EB34" s="75">
        <f t="shared" si="40"/>
        <v>100800000</v>
      </c>
      <c r="EC34" s="75">
        <f t="shared" si="41"/>
        <v>0</v>
      </c>
      <c r="ED34" s="40">
        <f t="shared" si="42"/>
        <v>858.16666666666663</v>
      </c>
      <c r="EE34" s="41">
        <f t="shared" si="43"/>
        <v>3.0648809523809522E-3</v>
      </c>
      <c r="EG34" s="75">
        <f t="shared" si="44"/>
        <v>0</v>
      </c>
      <c r="EH34" s="40">
        <f t="shared" si="45"/>
        <v>0</v>
      </c>
      <c r="EI34" s="41">
        <f t="shared" si="46"/>
        <v>0</v>
      </c>
      <c r="EJ34" s="41"/>
      <c r="EK34" s="75">
        <f t="shared" si="47"/>
        <v>100800000</v>
      </c>
      <c r="EL34" s="75">
        <f t="shared" si="48"/>
        <v>0</v>
      </c>
      <c r="EM34" s="75">
        <f t="shared" si="49"/>
        <v>858.16666666666663</v>
      </c>
      <c r="EN34" s="41">
        <f t="shared" si="50"/>
        <v>3.0648809523809522E-3</v>
      </c>
      <c r="EP34" s="40"/>
    </row>
    <row r="35" spans="1:146" x14ac:dyDescent="0.25">
      <c r="A35" s="25">
        <f t="shared" si="51"/>
        <v>44555</v>
      </c>
      <c r="B35" s="40">
        <v>0</v>
      </c>
      <c r="D35" s="40">
        <f t="shared" si="0"/>
        <v>0</v>
      </c>
      <c r="G35" s="40">
        <f t="shared" si="1"/>
        <v>0</v>
      </c>
      <c r="J35" s="40">
        <f t="shared" si="2"/>
        <v>0</v>
      </c>
      <c r="M35" s="40">
        <f t="shared" si="3"/>
        <v>0</v>
      </c>
      <c r="P35" s="40">
        <f t="shared" si="4"/>
        <v>0</v>
      </c>
      <c r="S35" s="40">
        <f t="shared" si="5"/>
        <v>0</v>
      </c>
      <c r="V35" s="40">
        <f t="shared" si="6"/>
        <v>0</v>
      </c>
      <c r="Y35" s="40">
        <f t="shared" si="7"/>
        <v>0</v>
      </c>
      <c r="AB35" s="40">
        <f t="shared" si="8"/>
        <v>0</v>
      </c>
      <c r="AE35" s="40">
        <v>0</v>
      </c>
      <c r="AH35" s="40">
        <v>0</v>
      </c>
      <c r="AI35" s="172">
        <f>25800000</f>
        <v>25800000</v>
      </c>
      <c r="AJ35" s="173">
        <v>1.8E-3</v>
      </c>
      <c r="AK35" s="40">
        <f t="shared" si="9"/>
        <v>129</v>
      </c>
      <c r="AL35" s="172">
        <f t="shared" si="52"/>
        <v>75000000</v>
      </c>
      <c r="AM35" s="173">
        <v>3.5000000000000001E-3</v>
      </c>
      <c r="AN35" s="40">
        <f t="shared" si="10"/>
        <v>729.16666666666663</v>
      </c>
      <c r="AO35" s="172"/>
      <c r="AP35" s="173"/>
      <c r="AQ35" s="40">
        <f t="shared" si="11"/>
        <v>0</v>
      </c>
      <c r="AR35" s="172"/>
      <c r="AS35" s="173"/>
      <c r="AT35" s="40">
        <f t="shared" si="12"/>
        <v>0</v>
      </c>
      <c r="AW35" s="40">
        <f t="shared" si="13"/>
        <v>0</v>
      </c>
      <c r="AZ35" s="40">
        <f t="shared" si="14"/>
        <v>0</v>
      </c>
      <c r="BC35" s="40">
        <f t="shared" si="15"/>
        <v>0</v>
      </c>
      <c r="BF35" s="40">
        <f t="shared" si="16"/>
        <v>0</v>
      </c>
      <c r="BI35" s="40">
        <f t="shared" si="17"/>
        <v>0</v>
      </c>
      <c r="BL35" s="40">
        <f t="shared" si="18"/>
        <v>0</v>
      </c>
      <c r="BO35" s="40">
        <f t="shared" si="19"/>
        <v>0</v>
      </c>
      <c r="BR35" s="40">
        <f t="shared" si="20"/>
        <v>0</v>
      </c>
      <c r="BU35" s="40">
        <f t="shared" si="21"/>
        <v>0</v>
      </c>
      <c r="BX35" s="40">
        <f t="shared" si="22"/>
        <v>0</v>
      </c>
      <c r="CA35" s="40">
        <f t="shared" si="23"/>
        <v>0</v>
      </c>
      <c r="CD35" s="40">
        <f t="shared" si="24"/>
        <v>0</v>
      </c>
      <c r="CG35" s="40">
        <f t="shared" si="25"/>
        <v>0</v>
      </c>
      <c r="CJ35" s="40">
        <f t="shared" si="26"/>
        <v>0</v>
      </c>
      <c r="CM35" s="40">
        <f t="shared" si="27"/>
        <v>0</v>
      </c>
      <c r="CP35" s="40">
        <f t="shared" si="28"/>
        <v>0</v>
      </c>
      <c r="CS35" s="40">
        <f t="shared" si="29"/>
        <v>0</v>
      </c>
      <c r="CV35" s="40">
        <f t="shared" si="30"/>
        <v>0</v>
      </c>
      <c r="CY35" s="40">
        <f t="shared" si="31"/>
        <v>0</v>
      </c>
      <c r="DB35" s="40">
        <f t="shared" si="32"/>
        <v>0</v>
      </c>
      <c r="DE35" s="40">
        <f t="shared" si="33"/>
        <v>0</v>
      </c>
      <c r="DH35" s="40">
        <f t="shared" si="34"/>
        <v>0</v>
      </c>
      <c r="DK35" s="40">
        <f t="shared" si="35"/>
        <v>0</v>
      </c>
      <c r="DN35" s="40">
        <f t="shared" si="36"/>
        <v>0</v>
      </c>
      <c r="DQ35" s="40">
        <f t="shared" si="37"/>
        <v>0</v>
      </c>
      <c r="DT35" s="40">
        <f t="shared" si="38"/>
        <v>0</v>
      </c>
      <c r="DW35" s="40">
        <f t="shared" si="39"/>
        <v>0</v>
      </c>
      <c r="DZ35" s="40"/>
      <c r="EA35" s="40"/>
      <c r="EB35" s="75">
        <f t="shared" si="40"/>
        <v>100800000</v>
      </c>
      <c r="EC35" s="75">
        <f t="shared" si="41"/>
        <v>0</v>
      </c>
      <c r="ED35" s="40">
        <f t="shared" si="42"/>
        <v>858.16666666666663</v>
      </c>
      <c r="EE35" s="41">
        <f t="shared" si="43"/>
        <v>3.0648809523809522E-3</v>
      </c>
      <c r="EG35" s="75">
        <f t="shared" si="44"/>
        <v>0</v>
      </c>
      <c r="EH35" s="40">
        <f t="shared" si="45"/>
        <v>0</v>
      </c>
      <c r="EI35" s="41">
        <f t="shared" si="46"/>
        <v>0</v>
      </c>
      <c r="EJ35" s="41"/>
      <c r="EK35" s="75">
        <f t="shared" si="47"/>
        <v>100800000</v>
      </c>
      <c r="EL35" s="75">
        <f t="shared" si="48"/>
        <v>0</v>
      </c>
      <c r="EM35" s="75">
        <f t="shared" si="49"/>
        <v>858.16666666666663</v>
      </c>
      <c r="EN35" s="41">
        <f t="shared" si="50"/>
        <v>3.0648809523809522E-3</v>
      </c>
      <c r="EP35" s="40"/>
    </row>
    <row r="36" spans="1:146" x14ac:dyDescent="0.25">
      <c r="A36" s="25">
        <f t="shared" si="51"/>
        <v>44556</v>
      </c>
      <c r="B36" s="40">
        <v>0</v>
      </c>
      <c r="D36" s="40">
        <f t="shared" si="0"/>
        <v>0</v>
      </c>
      <c r="G36" s="40">
        <f t="shared" si="1"/>
        <v>0</v>
      </c>
      <c r="J36" s="40">
        <f t="shared" si="2"/>
        <v>0</v>
      </c>
      <c r="M36" s="40">
        <f t="shared" si="3"/>
        <v>0</v>
      </c>
      <c r="P36" s="40">
        <f t="shared" si="4"/>
        <v>0</v>
      </c>
      <c r="S36" s="40">
        <f t="shared" si="5"/>
        <v>0</v>
      </c>
      <c r="V36" s="40">
        <f t="shared" si="6"/>
        <v>0</v>
      </c>
      <c r="Y36" s="40">
        <f t="shared" si="7"/>
        <v>0</v>
      </c>
      <c r="AB36" s="40">
        <f t="shared" si="8"/>
        <v>0</v>
      </c>
      <c r="AE36" s="40">
        <v>0</v>
      </c>
      <c r="AH36" s="40">
        <v>0</v>
      </c>
      <c r="AI36" s="172">
        <f>25800000</f>
        <v>25800000</v>
      </c>
      <c r="AJ36" s="173">
        <v>1.8E-3</v>
      </c>
      <c r="AK36" s="40">
        <f t="shared" si="9"/>
        <v>129</v>
      </c>
      <c r="AL36" s="172">
        <f t="shared" si="52"/>
        <v>75000000</v>
      </c>
      <c r="AM36" s="173">
        <v>3.5000000000000001E-3</v>
      </c>
      <c r="AN36" s="40">
        <f t="shared" si="10"/>
        <v>729.16666666666663</v>
      </c>
      <c r="AO36" s="172"/>
      <c r="AP36" s="173"/>
      <c r="AQ36" s="40">
        <f t="shared" si="11"/>
        <v>0</v>
      </c>
      <c r="AR36" s="172"/>
      <c r="AS36" s="173"/>
      <c r="AT36" s="40">
        <f t="shared" si="12"/>
        <v>0</v>
      </c>
      <c r="AW36" s="40">
        <f t="shared" si="13"/>
        <v>0</v>
      </c>
      <c r="AZ36" s="40">
        <f t="shared" si="14"/>
        <v>0</v>
      </c>
      <c r="BC36" s="40">
        <f t="shared" si="15"/>
        <v>0</v>
      </c>
      <c r="BF36" s="40">
        <f t="shared" si="16"/>
        <v>0</v>
      </c>
      <c r="BI36" s="40">
        <f t="shared" si="17"/>
        <v>0</v>
      </c>
      <c r="BL36" s="40">
        <f t="shared" si="18"/>
        <v>0</v>
      </c>
      <c r="BO36" s="40">
        <f t="shared" si="19"/>
        <v>0</v>
      </c>
      <c r="BR36" s="40">
        <f t="shared" si="20"/>
        <v>0</v>
      </c>
      <c r="BU36" s="40">
        <f t="shared" si="21"/>
        <v>0</v>
      </c>
      <c r="BX36" s="40">
        <f t="shared" si="22"/>
        <v>0</v>
      </c>
      <c r="CA36" s="40">
        <f t="shared" si="23"/>
        <v>0</v>
      </c>
      <c r="CD36" s="40">
        <f t="shared" si="24"/>
        <v>0</v>
      </c>
      <c r="CG36" s="40">
        <f t="shared" si="25"/>
        <v>0</v>
      </c>
      <c r="CJ36" s="40">
        <f t="shared" si="26"/>
        <v>0</v>
      </c>
      <c r="CM36" s="40">
        <f t="shared" si="27"/>
        <v>0</v>
      </c>
      <c r="CP36" s="40">
        <f t="shared" si="28"/>
        <v>0</v>
      </c>
      <c r="CS36" s="40">
        <f t="shared" si="29"/>
        <v>0</v>
      </c>
      <c r="CV36" s="40">
        <f t="shared" si="30"/>
        <v>0</v>
      </c>
      <c r="CY36" s="40">
        <f t="shared" si="31"/>
        <v>0</v>
      </c>
      <c r="DB36" s="40">
        <f t="shared" si="32"/>
        <v>0</v>
      </c>
      <c r="DE36" s="40">
        <f t="shared" si="33"/>
        <v>0</v>
      </c>
      <c r="DH36" s="40">
        <f t="shared" si="34"/>
        <v>0</v>
      </c>
      <c r="DK36" s="40">
        <f t="shared" si="35"/>
        <v>0</v>
      </c>
      <c r="DN36" s="40">
        <f t="shared" si="36"/>
        <v>0</v>
      </c>
      <c r="DQ36" s="40">
        <f t="shared" si="37"/>
        <v>0</v>
      </c>
      <c r="DT36" s="40">
        <f t="shared" si="38"/>
        <v>0</v>
      </c>
      <c r="DW36" s="40">
        <f t="shared" si="39"/>
        <v>0</v>
      </c>
      <c r="DZ36" s="40"/>
      <c r="EA36" s="40"/>
      <c r="EB36" s="75">
        <f t="shared" si="40"/>
        <v>100800000</v>
      </c>
      <c r="EC36" s="75">
        <f t="shared" si="41"/>
        <v>0</v>
      </c>
      <c r="ED36" s="40">
        <f t="shared" si="42"/>
        <v>858.16666666666663</v>
      </c>
      <c r="EE36" s="41">
        <f t="shared" si="43"/>
        <v>3.0648809523809522E-3</v>
      </c>
      <c r="EG36" s="75">
        <f t="shared" si="44"/>
        <v>0</v>
      </c>
      <c r="EH36" s="40">
        <f t="shared" si="45"/>
        <v>0</v>
      </c>
      <c r="EI36" s="41">
        <f t="shared" si="46"/>
        <v>0</v>
      </c>
      <c r="EJ36" s="41"/>
      <c r="EK36" s="75">
        <f t="shared" si="47"/>
        <v>100800000</v>
      </c>
      <c r="EL36" s="75">
        <f t="shared" si="48"/>
        <v>0</v>
      </c>
      <c r="EM36" s="75">
        <f t="shared" si="49"/>
        <v>858.16666666666663</v>
      </c>
      <c r="EN36" s="41">
        <f t="shared" si="50"/>
        <v>3.0648809523809522E-3</v>
      </c>
      <c r="EP36" s="40"/>
    </row>
    <row r="37" spans="1:146" x14ac:dyDescent="0.25">
      <c r="A37" s="25">
        <f t="shared" si="51"/>
        <v>44557</v>
      </c>
      <c r="B37" s="40">
        <v>6425000</v>
      </c>
      <c r="C37" s="41">
        <v>3.6269200000000001E-3</v>
      </c>
      <c r="D37" s="40">
        <f t="shared" si="0"/>
        <v>64.730447222222224</v>
      </c>
      <c r="G37" s="40">
        <f t="shared" si="1"/>
        <v>0</v>
      </c>
      <c r="J37" s="40">
        <f t="shared" si="2"/>
        <v>0</v>
      </c>
      <c r="M37" s="40">
        <f t="shared" si="3"/>
        <v>0</v>
      </c>
      <c r="P37" s="40">
        <f t="shared" si="4"/>
        <v>0</v>
      </c>
      <c r="S37" s="40">
        <f t="shared" si="5"/>
        <v>0</v>
      </c>
      <c r="V37" s="40">
        <f t="shared" si="6"/>
        <v>0</v>
      </c>
      <c r="Y37" s="40">
        <f t="shared" si="7"/>
        <v>0</v>
      </c>
      <c r="AB37" s="40">
        <f t="shared" si="8"/>
        <v>0</v>
      </c>
      <c r="AE37" s="40">
        <v>0</v>
      </c>
      <c r="AH37" s="40">
        <v>0</v>
      </c>
      <c r="AI37" s="172"/>
      <c r="AJ37" s="173"/>
      <c r="AK37" s="40">
        <f t="shared" si="9"/>
        <v>0</v>
      </c>
      <c r="AL37" s="172">
        <f t="shared" si="52"/>
        <v>75000000</v>
      </c>
      <c r="AM37" s="173">
        <v>3.5000000000000001E-3</v>
      </c>
      <c r="AN37" s="40">
        <f t="shared" si="10"/>
        <v>729.16666666666663</v>
      </c>
      <c r="AO37" s="172">
        <f>4625000+27000000</f>
        <v>31625000</v>
      </c>
      <c r="AP37" s="173">
        <v>1.9E-3</v>
      </c>
      <c r="AQ37" s="40">
        <f t="shared" si="11"/>
        <v>166.90972222222223</v>
      </c>
      <c r="AR37" s="172"/>
      <c r="AS37" s="173"/>
      <c r="AT37" s="40">
        <f t="shared" si="12"/>
        <v>0</v>
      </c>
      <c r="AW37" s="40">
        <f t="shared" si="13"/>
        <v>0</v>
      </c>
      <c r="AZ37" s="40">
        <f t="shared" si="14"/>
        <v>0</v>
      </c>
      <c r="BC37" s="40">
        <f t="shared" si="15"/>
        <v>0</v>
      </c>
      <c r="BF37" s="40">
        <f t="shared" si="16"/>
        <v>0</v>
      </c>
      <c r="BI37" s="40">
        <f t="shared" si="17"/>
        <v>0</v>
      </c>
      <c r="BL37" s="40">
        <f t="shared" si="18"/>
        <v>0</v>
      </c>
      <c r="BO37" s="40">
        <f t="shared" si="19"/>
        <v>0</v>
      </c>
      <c r="BR37" s="40">
        <f t="shared" si="20"/>
        <v>0</v>
      </c>
      <c r="BU37" s="40">
        <f t="shared" si="21"/>
        <v>0</v>
      </c>
      <c r="BX37" s="40">
        <f t="shared" si="22"/>
        <v>0</v>
      </c>
      <c r="CA37" s="40">
        <f t="shared" si="23"/>
        <v>0</v>
      </c>
      <c r="CD37" s="40">
        <f t="shared" si="24"/>
        <v>0</v>
      </c>
      <c r="CG37" s="40">
        <f t="shared" si="25"/>
        <v>0</v>
      </c>
      <c r="CJ37" s="40">
        <f t="shared" si="26"/>
        <v>0</v>
      </c>
      <c r="CM37" s="40">
        <f t="shared" si="27"/>
        <v>0</v>
      </c>
      <c r="CP37" s="40">
        <f t="shared" si="28"/>
        <v>0</v>
      </c>
      <c r="CS37" s="40">
        <f t="shared" si="29"/>
        <v>0</v>
      </c>
      <c r="CV37" s="40">
        <f t="shared" si="30"/>
        <v>0</v>
      </c>
      <c r="CY37" s="40">
        <f t="shared" si="31"/>
        <v>0</v>
      </c>
      <c r="DB37" s="40">
        <f t="shared" si="32"/>
        <v>0</v>
      </c>
      <c r="DE37" s="40">
        <f t="shared" si="33"/>
        <v>0</v>
      </c>
      <c r="DH37" s="40">
        <f t="shared" si="34"/>
        <v>0</v>
      </c>
      <c r="DK37" s="40">
        <f t="shared" si="35"/>
        <v>0</v>
      </c>
      <c r="DN37" s="40">
        <f t="shared" si="36"/>
        <v>0</v>
      </c>
      <c r="DQ37" s="40">
        <f t="shared" si="37"/>
        <v>0</v>
      </c>
      <c r="DT37" s="40">
        <f t="shared" si="38"/>
        <v>0</v>
      </c>
      <c r="DW37" s="40">
        <f t="shared" si="39"/>
        <v>0</v>
      </c>
      <c r="DZ37" s="40"/>
      <c r="EA37" s="40"/>
      <c r="EB37" s="75">
        <f t="shared" si="40"/>
        <v>113050000</v>
      </c>
      <c r="EC37" s="75">
        <f t="shared" si="41"/>
        <v>6425000</v>
      </c>
      <c r="ED37" s="40">
        <f t="shared" si="42"/>
        <v>960.80683611111112</v>
      </c>
      <c r="EE37" s="41">
        <f t="shared" si="43"/>
        <v>3.0596237151702785E-3</v>
      </c>
      <c r="EG37" s="75">
        <f t="shared" si="44"/>
        <v>0</v>
      </c>
      <c r="EH37" s="40">
        <f t="shared" si="45"/>
        <v>0</v>
      </c>
      <c r="EI37" s="41">
        <f t="shared" si="46"/>
        <v>0</v>
      </c>
      <c r="EJ37" s="41"/>
      <c r="EK37" s="75">
        <f t="shared" si="47"/>
        <v>106625000</v>
      </c>
      <c r="EL37" s="75">
        <f t="shared" si="48"/>
        <v>0</v>
      </c>
      <c r="EM37" s="75">
        <f t="shared" si="49"/>
        <v>896.07638888888891</v>
      </c>
      <c r="EN37" s="41">
        <f t="shared" si="50"/>
        <v>3.025439624853458E-3</v>
      </c>
      <c r="EP37" s="40"/>
    </row>
    <row r="38" spans="1:146" x14ac:dyDescent="0.25">
      <c r="A38" s="25">
        <f t="shared" si="51"/>
        <v>44558</v>
      </c>
      <c r="B38" s="40">
        <v>0</v>
      </c>
      <c r="D38" s="40">
        <f t="shared" si="0"/>
        <v>0</v>
      </c>
      <c r="G38" s="40">
        <f t="shared" si="1"/>
        <v>0</v>
      </c>
      <c r="J38" s="40">
        <f t="shared" si="2"/>
        <v>0</v>
      </c>
      <c r="M38" s="40">
        <f t="shared" si="3"/>
        <v>0</v>
      </c>
      <c r="P38" s="40">
        <f t="shared" si="4"/>
        <v>0</v>
      </c>
      <c r="S38" s="40">
        <f t="shared" si="5"/>
        <v>0</v>
      </c>
      <c r="V38" s="40">
        <f t="shared" si="6"/>
        <v>0</v>
      </c>
      <c r="Y38" s="40">
        <f t="shared" si="7"/>
        <v>0</v>
      </c>
      <c r="AB38" s="40">
        <f t="shared" si="8"/>
        <v>0</v>
      </c>
      <c r="AE38" s="40">
        <v>0</v>
      </c>
      <c r="AH38" s="40">
        <v>0</v>
      </c>
      <c r="AI38" s="172"/>
      <c r="AJ38" s="173"/>
      <c r="AK38" s="40">
        <f t="shared" si="9"/>
        <v>0</v>
      </c>
      <c r="AL38" s="172">
        <f t="shared" si="52"/>
        <v>75000000</v>
      </c>
      <c r="AM38" s="173">
        <v>3.5000000000000001E-3</v>
      </c>
      <c r="AN38" s="40">
        <f t="shared" si="10"/>
        <v>729.16666666666663</v>
      </c>
      <c r="AO38" s="172">
        <f>14450000+12000000</f>
        <v>26450000</v>
      </c>
      <c r="AP38" s="173">
        <v>1.9E-3</v>
      </c>
      <c r="AQ38" s="40">
        <f t="shared" si="11"/>
        <v>139.59722222222223</v>
      </c>
      <c r="AR38" s="172"/>
      <c r="AS38" s="173"/>
      <c r="AT38" s="40">
        <f t="shared" si="12"/>
        <v>0</v>
      </c>
      <c r="AW38" s="40">
        <f t="shared" si="13"/>
        <v>0</v>
      </c>
      <c r="AZ38" s="40">
        <f t="shared" si="14"/>
        <v>0</v>
      </c>
      <c r="BC38" s="40">
        <f t="shared" si="15"/>
        <v>0</v>
      </c>
      <c r="BF38" s="40">
        <f t="shared" si="16"/>
        <v>0</v>
      </c>
      <c r="BI38" s="40">
        <f t="shared" si="17"/>
        <v>0</v>
      </c>
      <c r="BL38" s="40">
        <f t="shared" si="18"/>
        <v>0</v>
      </c>
      <c r="BO38" s="40">
        <f t="shared" si="19"/>
        <v>0</v>
      </c>
      <c r="BR38" s="40">
        <f t="shared" si="20"/>
        <v>0</v>
      </c>
      <c r="BU38" s="40">
        <f t="shared" si="21"/>
        <v>0</v>
      </c>
      <c r="BX38" s="40">
        <f t="shared" si="22"/>
        <v>0</v>
      </c>
      <c r="CA38" s="40">
        <f t="shared" si="23"/>
        <v>0</v>
      </c>
      <c r="CD38" s="40">
        <f t="shared" si="24"/>
        <v>0</v>
      </c>
      <c r="CG38" s="40">
        <f t="shared" si="25"/>
        <v>0</v>
      </c>
      <c r="CJ38" s="40">
        <f t="shared" si="26"/>
        <v>0</v>
      </c>
      <c r="CM38" s="40">
        <f t="shared" si="27"/>
        <v>0</v>
      </c>
      <c r="CP38" s="40">
        <f t="shared" si="28"/>
        <v>0</v>
      </c>
      <c r="CS38" s="40">
        <f t="shared" si="29"/>
        <v>0</v>
      </c>
      <c r="CV38" s="40">
        <f t="shared" si="30"/>
        <v>0</v>
      </c>
      <c r="CY38" s="40">
        <f t="shared" si="31"/>
        <v>0</v>
      </c>
      <c r="DB38" s="40">
        <f t="shared" si="32"/>
        <v>0</v>
      </c>
      <c r="DE38" s="40">
        <f t="shared" si="33"/>
        <v>0</v>
      </c>
      <c r="DH38" s="40">
        <f t="shared" si="34"/>
        <v>0</v>
      </c>
      <c r="DK38" s="40">
        <f t="shared" si="35"/>
        <v>0</v>
      </c>
      <c r="DN38" s="40">
        <f t="shared" si="36"/>
        <v>0</v>
      </c>
      <c r="DQ38" s="40">
        <f t="shared" si="37"/>
        <v>0</v>
      </c>
      <c r="DT38" s="40">
        <f t="shared" si="38"/>
        <v>0</v>
      </c>
      <c r="DW38" s="40">
        <f t="shared" si="39"/>
        <v>0</v>
      </c>
      <c r="DZ38" s="40"/>
      <c r="EA38" s="40"/>
      <c r="EB38" s="75">
        <f t="shared" si="40"/>
        <v>101450000</v>
      </c>
      <c r="EC38" s="75">
        <f t="shared" si="41"/>
        <v>0</v>
      </c>
      <c r="ED38" s="40">
        <f t="shared" si="42"/>
        <v>868.76388888888891</v>
      </c>
      <c r="EE38" s="41">
        <f t="shared" si="43"/>
        <v>3.0828486939379002E-3</v>
      </c>
      <c r="EG38" s="75">
        <f t="shared" si="44"/>
        <v>0</v>
      </c>
      <c r="EH38" s="40">
        <f t="shared" si="45"/>
        <v>0</v>
      </c>
      <c r="EI38" s="41">
        <f t="shared" si="46"/>
        <v>0</v>
      </c>
      <c r="EJ38" s="41"/>
      <c r="EK38" s="75">
        <f t="shared" si="47"/>
        <v>101450000</v>
      </c>
      <c r="EL38" s="75">
        <f t="shared" si="48"/>
        <v>0</v>
      </c>
      <c r="EM38" s="75">
        <f t="shared" si="49"/>
        <v>868.76388888888891</v>
      </c>
      <c r="EN38" s="41">
        <f t="shared" si="50"/>
        <v>3.0828486939379002E-3</v>
      </c>
      <c r="EP38" s="40"/>
    </row>
    <row r="39" spans="1:146" x14ac:dyDescent="0.25">
      <c r="A39" s="25">
        <f t="shared" si="51"/>
        <v>44559</v>
      </c>
      <c r="B39" s="40">
        <v>0</v>
      </c>
      <c r="D39" s="40">
        <f t="shared" si="0"/>
        <v>0</v>
      </c>
      <c r="G39" s="40">
        <f t="shared" si="1"/>
        <v>0</v>
      </c>
      <c r="J39" s="40">
        <f t="shared" si="2"/>
        <v>0</v>
      </c>
      <c r="M39" s="40">
        <f t="shared" si="3"/>
        <v>0</v>
      </c>
      <c r="P39" s="40">
        <f t="shared" si="4"/>
        <v>0</v>
      </c>
      <c r="S39" s="40">
        <f t="shared" si="5"/>
        <v>0</v>
      </c>
      <c r="V39" s="40">
        <f t="shared" si="6"/>
        <v>0</v>
      </c>
      <c r="Y39" s="40">
        <f t="shared" si="7"/>
        <v>0</v>
      </c>
      <c r="AB39" s="40">
        <f t="shared" si="8"/>
        <v>0</v>
      </c>
      <c r="AE39" s="40">
        <v>0</v>
      </c>
      <c r="AH39" s="40">
        <v>0</v>
      </c>
      <c r="AI39" s="172"/>
      <c r="AJ39" s="173"/>
      <c r="AK39" s="40">
        <f t="shared" si="9"/>
        <v>0</v>
      </c>
      <c r="AL39" s="172">
        <f t="shared" si="52"/>
        <v>75000000</v>
      </c>
      <c r="AM39" s="173">
        <v>3.5000000000000001E-3</v>
      </c>
      <c r="AN39" s="40">
        <f t="shared" si="10"/>
        <v>729.16666666666663</v>
      </c>
      <c r="AO39" s="172">
        <f>20000000+13825000</f>
        <v>33825000</v>
      </c>
      <c r="AP39" s="173">
        <v>1.9E-3</v>
      </c>
      <c r="AQ39" s="40">
        <f t="shared" si="11"/>
        <v>178.52083333333334</v>
      </c>
      <c r="AR39" s="172"/>
      <c r="AS39" s="173"/>
      <c r="AT39" s="40">
        <f t="shared" si="12"/>
        <v>0</v>
      </c>
      <c r="AW39" s="40">
        <f t="shared" si="13"/>
        <v>0</v>
      </c>
      <c r="AZ39" s="40">
        <f t="shared" si="14"/>
        <v>0</v>
      </c>
      <c r="BC39" s="40">
        <f t="shared" si="15"/>
        <v>0</v>
      </c>
      <c r="BF39" s="40">
        <f t="shared" si="16"/>
        <v>0</v>
      </c>
      <c r="BI39" s="40">
        <f t="shared" si="17"/>
        <v>0</v>
      </c>
      <c r="BL39" s="40">
        <f t="shared" si="18"/>
        <v>0</v>
      </c>
      <c r="BO39" s="40">
        <f t="shared" si="19"/>
        <v>0</v>
      </c>
      <c r="BR39" s="40">
        <f t="shared" si="20"/>
        <v>0</v>
      </c>
      <c r="BU39" s="40">
        <f t="shared" si="21"/>
        <v>0</v>
      </c>
      <c r="BX39" s="40">
        <f t="shared" si="22"/>
        <v>0</v>
      </c>
      <c r="CA39" s="40">
        <f t="shared" si="23"/>
        <v>0</v>
      </c>
      <c r="CD39" s="40">
        <f t="shared" si="24"/>
        <v>0</v>
      </c>
      <c r="CG39" s="40">
        <f t="shared" si="25"/>
        <v>0</v>
      </c>
      <c r="CJ39" s="40">
        <f t="shared" si="26"/>
        <v>0</v>
      </c>
      <c r="CM39" s="40">
        <f t="shared" si="27"/>
        <v>0</v>
      </c>
      <c r="CP39" s="40">
        <f t="shared" si="28"/>
        <v>0</v>
      </c>
      <c r="CS39" s="40">
        <f t="shared" si="29"/>
        <v>0</v>
      </c>
      <c r="CV39" s="40">
        <f t="shared" si="30"/>
        <v>0</v>
      </c>
      <c r="CY39" s="40">
        <f t="shared" si="31"/>
        <v>0</v>
      </c>
      <c r="DB39" s="40">
        <f t="shared" si="32"/>
        <v>0</v>
      </c>
      <c r="DE39" s="40">
        <f t="shared" si="33"/>
        <v>0</v>
      </c>
      <c r="DH39" s="40">
        <f t="shared" si="34"/>
        <v>0</v>
      </c>
      <c r="DK39" s="40">
        <f t="shared" si="35"/>
        <v>0</v>
      </c>
      <c r="DN39" s="40">
        <f t="shared" si="36"/>
        <v>0</v>
      </c>
      <c r="DQ39" s="40">
        <f t="shared" si="37"/>
        <v>0</v>
      </c>
      <c r="DT39" s="40">
        <f t="shared" si="38"/>
        <v>0</v>
      </c>
      <c r="DW39" s="40">
        <f t="shared" si="39"/>
        <v>0</v>
      </c>
      <c r="DZ39" s="40"/>
      <c r="EA39" s="40"/>
      <c r="EB39" s="75">
        <f t="shared" si="40"/>
        <v>108825000</v>
      </c>
      <c r="EC39" s="75">
        <f t="shared" si="41"/>
        <v>0</v>
      </c>
      <c r="ED39" s="40">
        <f t="shared" si="42"/>
        <v>907.6875</v>
      </c>
      <c r="EE39" s="41">
        <f t="shared" si="43"/>
        <v>3.0026878015161954E-3</v>
      </c>
      <c r="EG39" s="75">
        <f t="shared" si="44"/>
        <v>0</v>
      </c>
      <c r="EH39" s="40">
        <f t="shared" si="45"/>
        <v>0</v>
      </c>
      <c r="EI39" s="41">
        <f t="shared" si="46"/>
        <v>0</v>
      </c>
      <c r="EJ39" s="41"/>
      <c r="EK39" s="75">
        <f t="shared" si="47"/>
        <v>108825000</v>
      </c>
      <c r="EL39" s="75">
        <f t="shared" si="48"/>
        <v>0</v>
      </c>
      <c r="EM39" s="75">
        <f t="shared" si="49"/>
        <v>907.6875</v>
      </c>
      <c r="EN39" s="41">
        <f t="shared" si="50"/>
        <v>3.0026878015161954E-3</v>
      </c>
      <c r="EP39" s="40"/>
    </row>
    <row r="40" spans="1:146" x14ac:dyDescent="0.25">
      <c r="A40" s="25">
        <f t="shared" si="51"/>
        <v>44560</v>
      </c>
      <c r="B40" s="40">
        <v>0</v>
      </c>
      <c r="D40" s="40">
        <f t="shared" si="0"/>
        <v>0</v>
      </c>
      <c r="G40" s="40">
        <f t="shared" si="1"/>
        <v>0</v>
      </c>
      <c r="J40" s="40">
        <f t="shared" si="2"/>
        <v>0</v>
      </c>
      <c r="M40" s="40">
        <f t="shared" si="3"/>
        <v>0</v>
      </c>
      <c r="P40" s="40">
        <f t="shared" si="4"/>
        <v>0</v>
      </c>
      <c r="S40" s="40">
        <f t="shared" si="5"/>
        <v>0</v>
      </c>
      <c r="V40" s="40">
        <f t="shared" si="6"/>
        <v>0</v>
      </c>
      <c r="Y40" s="40">
        <f t="shared" si="7"/>
        <v>0</v>
      </c>
      <c r="AB40" s="40">
        <f t="shared" si="8"/>
        <v>0</v>
      </c>
      <c r="AE40" s="40">
        <v>0</v>
      </c>
      <c r="AH40" s="40">
        <v>0</v>
      </c>
      <c r="AI40" s="172"/>
      <c r="AJ40" s="173"/>
      <c r="AK40" s="40">
        <f t="shared" si="9"/>
        <v>0</v>
      </c>
      <c r="AL40" s="172">
        <f t="shared" si="52"/>
        <v>75000000</v>
      </c>
      <c r="AM40" s="173">
        <v>3.5000000000000001E-3</v>
      </c>
      <c r="AN40" s="40">
        <f t="shared" si="10"/>
        <v>729.16666666666663</v>
      </c>
      <c r="AO40" s="172"/>
      <c r="AP40" s="173"/>
      <c r="AQ40" s="40">
        <f t="shared" si="11"/>
        <v>0</v>
      </c>
      <c r="AR40" s="172">
        <f>32000000+29850000+1000000</f>
        <v>62850000</v>
      </c>
      <c r="AS40" s="173">
        <v>3.0000000000000001E-3</v>
      </c>
      <c r="AT40" s="40">
        <f t="shared" si="12"/>
        <v>523.75</v>
      </c>
      <c r="AW40" s="40">
        <f t="shared" si="13"/>
        <v>0</v>
      </c>
      <c r="AZ40" s="40">
        <f t="shared" si="14"/>
        <v>0</v>
      </c>
      <c r="BC40" s="40">
        <f t="shared" si="15"/>
        <v>0</v>
      </c>
      <c r="BF40" s="40">
        <f t="shared" si="16"/>
        <v>0</v>
      </c>
      <c r="BI40" s="40">
        <f t="shared" si="17"/>
        <v>0</v>
      </c>
      <c r="BL40" s="40">
        <f t="shared" si="18"/>
        <v>0</v>
      </c>
      <c r="BO40" s="40">
        <f t="shared" si="19"/>
        <v>0</v>
      </c>
      <c r="BR40" s="40">
        <f t="shared" si="20"/>
        <v>0</v>
      </c>
      <c r="BU40" s="40">
        <f t="shared" si="21"/>
        <v>0</v>
      </c>
      <c r="BX40" s="40">
        <f t="shared" si="22"/>
        <v>0</v>
      </c>
      <c r="CA40" s="40">
        <f t="shared" si="23"/>
        <v>0</v>
      </c>
      <c r="CD40" s="40">
        <f t="shared" si="24"/>
        <v>0</v>
      </c>
      <c r="CG40" s="40">
        <f t="shared" si="25"/>
        <v>0</v>
      </c>
      <c r="CJ40" s="40">
        <f t="shared" si="26"/>
        <v>0</v>
      </c>
      <c r="CM40" s="40">
        <f t="shared" si="27"/>
        <v>0</v>
      </c>
      <c r="CP40" s="40">
        <f t="shared" si="28"/>
        <v>0</v>
      </c>
      <c r="CS40" s="40">
        <f t="shared" si="29"/>
        <v>0</v>
      </c>
      <c r="CV40" s="40">
        <f t="shared" si="30"/>
        <v>0</v>
      </c>
      <c r="CY40" s="40">
        <f t="shared" si="31"/>
        <v>0</v>
      </c>
      <c r="DB40" s="40">
        <f t="shared" si="32"/>
        <v>0</v>
      </c>
      <c r="DE40" s="40">
        <f t="shared" si="33"/>
        <v>0</v>
      </c>
      <c r="DH40" s="40">
        <f t="shared" si="34"/>
        <v>0</v>
      </c>
      <c r="DK40" s="40">
        <f t="shared" si="35"/>
        <v>0</v>
      </c>
      <c r="DN40" s="40">
        <f t="shared" si="36"/>
        <v>0</v>
      </c>
      <c r="DQ40" s="40">
        <f t="shared" si="37"/>
        <v>0</v>
      </c>
      <c r="DT40" s="40">
        <f t="shared" si="38"/>
        <v>0</v>
      </c>
      <c r="DW40" s="40">
        <f t="shared" si="39"/>
        <v>0</v>
      </c>
      <c r="DZ40" s="40"/>
      <c r="EA40" s="40"/>
      <c r="EB40" s="75">
        <f t="shared" si="40"/>
        <v>137850000</v>
      </c>
      <c r="EC40" s="75">
        <f t="shared" si="41"/>
        <v>0</v>
      </c>
      <c r="ED40" s="40">
        <f t="shared" si="42"/>
        <v>1252.9166666666665</v>
      </c>
      <c r="EE40" s="41">
        <f t="shared" si="43"/>
        <v>3.2720348204570179E-3</v>
      </c>
      <c r="EG40" s="75">
        <f t="shared" si="44"/>
        <v>0</v>
      </c>
      <c r="EH40" s="40">
        <f t="shared" si="45"/>
        <v>0</v>
      </c>
      <c r="EI40" s="41">
        <f t="shared" si="46"/>
        <v>0</v>
      </c>
      <c r="EJ40" s="41"/>
      <c r="EK40" s="75">
        <f t="shared" si="47"/>
        <v>137850000</v>
      </c>
      <c r="EL40" s="75">
        <f t="shared" si="48"/>
        <v>0</v>
      </c>
      <c r="EM40" s="75">
        <f t="shared" si="49"/>
        <v>1252.9166666666665</v>
      </c>
      <c r="EN40" s="41">
        <f t="shared" si="50"/>
        <v>3.2720348204570179E-3</v>
      </c>
      <c r="EP40" s="40"/>
    </row>
    <row r="41" spans="1:146" x14ac:dyDescent="0.25">
      <c r="A41" s="25">
        <f t="shared" si="51"/>
        <v>44561</v>
      </c>
      <c r="B41" s="40">
        <v>0</v>
      </c>
      <c r="D41" s="40">
        <f t="shared" si="0"/>
        <v>0</v>
      </c>
      <c r="G41" s="40">
        <f t="shared" si="1"/>
        <v>0</v>
      </c>
      <c r="J41" s="40">
        <f t="shared" si="2"/>
        <v>0</v>
      </c>
      <c r="M41" s="40">
        <f t="shared" si="3"/>
        <v>0</v>
      </c>
      <c r="P41" s="40">
        <f t="shared" si="4"/>
        <v>0</v>
      </c>
      <c r="S41" s="40">
        <f t="shared" si="5"/>
        <v>0</v>
      </c>
      <c r="V41" s="40">
        <f t="shared" si="6"/>
        <v>0</v>
      </c>
      <c r="Y41" s="40">
        <f t="shared" si="7"/>
        <v>0</v>
      </c>
      <c r="AB41" s="40">
        <f t="shared" si="8"/>
        <v>0</v>
      </c>
      <c r="AE41" s="40">
        <v>0</v>
      </c>
      <c r="AH41" s="40">
        <v>0</v>
      </c>
      <c r="AI41" s="172"/>
      <c r="AJ41" s="173"/>
      <c r="AK41" s="40">
        <f t="shared" si="9"/>
        <v>0</v>
      </c>
      <c r="AL41" s="172">
        <f t="shared" si="52"/>
        <v>75000000</v>
      </c>
      <c r="AM41" s="173">
        <v>3.5000000000000001E-3</v>
      </c>
      <c r="AN41" s="40">
        <f t="shared" si="10"/>
        <v>729.16666666666663</v>
      </c>
      <c r="AO41" s="172">
        <f>17450000+10000000</f>
        <v>27450000</v>
      </c>
      <c r="AP41" s="173">
        <v>1.9E-3</v>
      </c>
      <c r="AQ41" s="40">
        <f t="shared" si="11"/>
        <v>144.875</v>
      </c>
      <c r="AR41" s="172">
        <f>32000000+29850000+1000000</f>
        <v>62850000</v>
      </c>
      <c r="AS41" s="173">
        <v>3.0000000000000001E-3</v>
      </c>
      <c r="AT41" s="40">
        <f t="shared" si="12"/>
        <v>523.75</v>
      </c>
      <c r="AW41" s="40">
        <f t="shared" si="13"/>
        <v>0</v>
      </c>
      <c r="AZ41" s="40">
        <f t="shared" si="14"/>
        <v>0</v>
      </c>
      <c r="BC41" s="40">
        <f t="shared" si="15"/>
        <v>0</v>
      </c>
      <c r="BF41" s="40">
        <f t="shared" si="16"/>
        <v>0</v>
      </c>
      <c r="BI41" s="40">
        <f t="shared" si="17"/>
        <v>0</v>
      </c>
      <c r="BL41" s="40">
        <f t="shared" si="18"/>
        <v>0</v>
      </c>
      <c r="BO41" s="40">
        <f t="shared" si="19"/>
        <v>0</v>
      </c>
      <c r="BR41" s="40">
        <f t="shared" si="20"/>
        <v>0</v>
      </c>
      <c r="BU41" s="40">
        <f t="shared" si="21"/>
        <v>0</v>
      </c>
      <c r="BX41" s="40">
        <f t="shared" si="22"/>
        <v>0</v>
      </c>
      <c r="CA41" s="40">
        <f t="shared" si="23"/>
        <v>0</v>
      </c>
      <c r="CD41" s="40">
        <f t="shared" si="24"/>
        <v>0</v>
      </c>
      <c r="CG41" s="40">
        <f t="shared" si="25"/>
        <v>0</v>
      </c>
      <c r="CJ41" s="40">
        <f t="shared" si="26"/>
        <v>0</v>
      </c>
      <c r="CM41" s="40">
        <f t="shared" si="27"/>
        <v>0</v>
      </c>
      <c r="CP41" s="40">
        <f t="shared" si="28"/>
        <v>0</v>
      </c>
      <c r="CS41" s="40">
        <f t="shared" si="29"/>
        <v>0</v>
      </c>
      <c r="CV41" s="40">
        <f t="shared" si="30"/>
        <v>0</v>
      </c>
      <c r="CY41" s="40">
        <f t="shared" si="31"/>
        <v>0</v>
      </c>
      <c r="DB41" s="40">
        <f t="shared" si="32"/>
        <v>0</v>
      </c>
      <c r="DE41" s="40">
        <f t="shared" si="33"/>
        <v>0</v>
      </c>
      <c r="DH41" s="40">
        <f t="shared" si="34"/>
        <v>0</v>
      </c>
      <c r="DK41" s="40">
        <f t="shared" si="35"/>
        <v>0</v>
      </c>
      <c r="DN41" s="40">
        <f t="shared" si="36"/>
        <v>0</v>
      </c>
      <c r="DQ41" s="40">
        <f t="shared" si="37"/>
        <v>0</v>
      </c>
      <c r="DT41" s="40">
        <f t="shared" si="38"/>
        <v>0</v>
      </c>
      <c r="DW41" s="40">
        <f t="shared" si="39"/>
        <v>0</v>
      </c>
      <c r="DZ41" s="40"/>
      <c r="EA41" s="40"/>
      <c r="EB41" s="75">
        <f t="shared" si="40"/>
        <v>165300000</v>
      </c>
      <c r="EC41" s="75">
        <f t="shared" si="41"/>
        <v>0</v>
      </c>
      <c r="ED41" s="40">
        <f t="shared" si="42"/>
        <v>1397.7916666666665</v>
      </c>
      <c r="EE41" s="41">
        <f t="shared" si="43"/>
        <v>3.0441923774954627E-3</v>
      </c>
      <c r="EG41" s="75">
        <f t="shared" si="44"/>
        <v>0</v>
      </c>
      <c r="EH41" s="40">
        <f t="shared" si="45"/>
        <v>0</v>
      </c>
      <c r="EI41" s="41">
        <f t="shared" si="46"/>
        <v>0</v>
      </c>
      <c r="EJ41" s="41"/>
      <c r="EK41" s="75">
        <f t="shared" si="47"/>
        <v>165300000</v>
      </c>
      <c r="EL41" s="75">
        <f t="shared" si="48"/>
        <v>0</v>
      </c>
      <c r="EM41" s="75">
        <f t="shared" si="49"/>
        <v>1397.7916666666665</v>
      </c>
      <c r="EN41" s="41">
        <f t="shared" si="50"/>
        <v>3.0441923774954627E-3</v>
      </c>
      <c r="EP41" s="40"/>
    </row>
    <row r="42" spans="1:146" x14ac:dyDescent="0.25">
      <c r="A42" s="76" t="s">
        <v>75</v>
      </c>
      <c r="D42" s="77">
        <f>SUM(D11:D41)</f>
        <v>64.730447222222224</v>
      </c>
      <c r="G42" s="77">
        <f>SUM(G11:G41)</f>
        <v>0</v>
      </c>
      <c r="J42" s="77">
        <f>SUM(J11:J41)</f>
        <v>0</v>
      </c>
      <c r="M42" s="77">
        <f>SUM(M11:M41)</f>
        <v>0</v>
      </c>
      <c r="P42" s="77">
        <f>SUM(P11:P41)</f>
        <v>0</v>
      </c>
      <c r="S42" s="77">
        <f>SUM(S11:S41)</f>
        <v>0</v>
      </c>
      <c r="V42" s="77">
        <f>SUM(V11:V41)</f>
        <v>0</v>
      </c>
      <c r="Y42" s="77">
        <f>SUM(Y11:Y41)</f>
        <v>0</v>
      </c>
      <c r="AB42" s="77">
        <f>SUM(AB11:AB41)</f>
        <v>0</v>
      </c>
      <c r="AE42" s="77">
        <f>SUM(AE11:AE41)</f>
        <v>0</v>
      </c>
      <c r="AH42" s="77">
        <f>SUM(AH11:AH41)</f>
        <v>0</v>
      </c>
      <c r="AK42" s="77">
        <f>SUM(AK11:AK41)</f>
        <v>4508.9791666666661</v>
      </c>
      <c r="AN42" s="77">
        <f>SUM(AN11:AN41)</f>
        <v>10937.5</v>
      </c>
      <c r="AQ42" s="77">
        <f>SUM(AQ11:AQ41)</f>
        <v>629.90277777777783</v>
      </c>
      <c r="AT42" s="77">
        <f>SUM(AT11:AT41)</f>
        <v>1047.5</v>
      </c>
      <c r="AW42" s="77">
        <f>SUM(AW11:AW41)</f>
        <v>0</v>
      </c>
      <c r="AZ42" s="77">
        <f>SUM(AZ11:AZ41)</f>
        <v>0</v>
      </c>
      <c r="BC42" s="77">
        <f>SUM(BC11:BC41)</f>
        <v>0</v>
      </c>
      <c r="BF42" s="77">
        <f>SUM(BF11:BF41)</f>
        <v>0</v>
      </c>
      <c r="BI42" s="77">
        <f>SUM(BI11:BI41)</f>
        <v>0</v>
      </c>
      <c r="BL42" s="77">
        <f>SUM(BL11:BL41)</f>
        <v>0</v>
      </c>
      <c r="BO42" s="77">
        <f>SUM(BO11:BO41)</f>
        <v>0</v>
      </c>
      <c r="BR42" s="77">
        <f>SUM(BR11:BR41)</f>
        <v>0</v>
      </c>
      <c r="BU42" s="77">
        <f>SUM(BU11:BU41)</f>
        <v>0</v>
      </c>
      <c r="BX42" s="77">
        <f>SUM(BX11:BX41)</f>
        <v>0</v>
      </c>
      <c r="CA42" s="77">
        <f>SUM(CA11:CA41)</f>
        <v>0</v>
      </c>
      <c r="CD42" s="77">
        <f>SUM(CD11:CD41)</f>
        <v>0</v>
      </c>
      <c r="CG42" s="77">
        <f>SUM(CG11:CG41)</f>
        <v>0</v>
      </c>
      <c r="CJ42" s="77">
        <f>SUM(CJ11:CJ41)</f>
        <v>0</v>
      </c>
      <c r="CM42" s="77">
        <f>SUM(CM11:CM41)</f>
        <v>0</v>
      </c>
      <c r="CP42" s="77">
        <f>SUM(CP11:CP41)</f>
        <v>0</v>
      </c>
      <c r="CS42" s="77">
        <f>SUM(CS11:CS41)</f>
        <v>0</v>
      </c>
      <c r="CV42" s="77">
        <f>SUM(CV11:CV41)</f>
        <v>0</v>
      </c>
      <c r="CY42" s="77">
        <f>SUM(CY11:CY41)</f>
        <v>0</v>
      </c>
      <c r="DB42" s="77">
        <f>SUM(DB11:DB41)</f>
        <v>0</v>
      </c>
      <c r="DE42" s="77">
        <f>SUM(DE11:DE41)</f>
        <v>0</v>
      </c>
      <c r="DH42" s="77">
        <f>SUM(DH11:DH41)</f>
        <v>0</v>
      </c>
      <c r="DK42" s="77">
        <f>SUM(DK11:DK41)</f>
        <v>0</v>
      </c>
      <c r="DN42" s="77">
        <f>SUM(DN11:DN41)</f>
        <v>0</v>
      </c>
      <c r="DQ42" s="77">
        <f>SUM(DQ11:DQ41)</f>
        <v>0</v>
      </c>
      <c r="DT42" s="77">
        <f>SUM(DT11:DT41)</f>
        <v>0</v>
      </c>
      <c r="DW42" s="77">
        <f>SUM(DW11:DW41)</f>
        <v>0</v>
      </c>
      <c r="DZ42" s="40"/>
      <c r="EA42" s="40"/>
      <c r="EB42" s="40"/>
      <c r="EC42" s="40"/>
      <c r="ED42" s="77">
        <f>SUM(ED11:ED41)</f>
        <v>17188.612391666666</v>
      </c>
      <c r="EE42" s="41"/>
      <c r="EG42" s="40"/>
      <c r="EH42" s="77">
        <f>SUM(EH11:EH41)</f>
        <v>0</v>
      </c>
      <c r="EI42" s="41"/>
      <c r="EJ42" s="41"/>
      <c r="EK42" s="40"/>
      <c r="EL42" s="40"/>
      <c r="EM42" s="77">
        <f>SUM(EM11:EM41)</f>
        <v>17123.881944444442</v>
      </c>
      <c r="EN42" s="41"/>
    </row>
    <row r="44" spans="1:146" x14ac:dyDescent="0.25">
      <c r="EM44" s="78">
        <v>17123.91</v>
      </c>
    </row>
    <row r="46" spans="1:146" x14ac:dyDescent="0.25">
      <c r="EM46" s="40"/>
    </row>
    <row r="48" spans="1:146" x14ac:dyDescent="0.25">
      <c r="EM48" s="4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5"/>
  <dimension ref="A1:EQ48"/>
  <sheetViews>
    <sheetView topLeftCell="A7" workbookViewId="0"/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0.7109375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8.285156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62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t="s">
        <v>98</v>
      </c>
      <c r="EC2"/>
      <c r="ED2" s="40"/>
      <c r="EE2" s="40">
        <f>EB41</f>
        <v>430500000</v>
      </c>
      <c r="EI2" s="40">
        <f>EG40</f>
        <v>0</v>
      </c>
      <c r="EM2" s="40"/>
      <c r="EN2" s="40">
        <f>EK41</f>
        <v>430500000</v>
      </c>
      <c r="EO2" s="31">
        <v>-33586.31</v>
      </c>
      <c r="EP2" s="31">
        <f>EN2+EO2</f>
        <v>430466413.69</v>
      </c>
      <c r="EQ2" s="31">
        <f>EE2+EO2</f>
        <v>430466413.69</v>
      </c>
    </row>
    <row r="3" spans="1:147" ht="16.5" thickTop="1" x14ac:dyDescent="0.25">
      <c r="A3" s="39" t="s">
        <v>234</v>
      </c>
      <c r="E3" s="42" t="s">
        <v>100</v>
      </c>
      <c r="F3" s="43"/>
      <c r="G3" s="44"/>
      <c r="EB3" t="s">
        <v>101</v>
      </c>
      <c r="ED3" s="40"/>
      <c r="EE3" s="40">
        <f>AVERAGE(EB11:EB41)</f>
        <v>312880645.16129035</v>
      </c>
      <c r="EI3" s="40">
        <f>AVERAGE(EG11:EG40)</f>
        <v>0</v>
      </c>
      <c r="EM3" s="40"/>
      <c r="EN3" s="40">
        <f>AVERAGE(EK11:EK41)</f>
        <v>312220967.74193549</v>
      </c>
    </row>
    <row r="4" spans="1:147" x14ac:dyDescent="0.25">
      <c r="E4" s="48" t="s">
        <v>98</v>
      </c>
      <c r="F4" s="40"/>
      <c r="G4" s="49">
        <f>EQ2</f>
        <v>430466413.69</v>
      </c>
      <c r="AI4" s="50" t="s">
        <v>102</v>
      </c>
      <c r="EB4" t="s">
        <v>103</v>
      </c>
      <c r="ED4" s="41"/>
      <c r="EE4" s="41">
        <f>IF(EE3=0,0,360*(AVERAGE(ED11:ED41)/EE3))</f>
        <v>2.3445042567504875E-3</v>
      </c>
      <c r="EI4" s="41">
        <f>IF(EI3=0,0,360*(AVERAGE(EH11:EH40)/EI3))</f>
        <v>0</v>
      </c>
      <c r="EM4" s="41"/>
      <c r="EN4" s="41">
        <f>IF(EN3=0,0,360*(AVERAGE(EM11:EM41)/EN3))</f>
        <v>2.3432360249409801E-3</v>
      </c>
      <c r="EO4" s="51" t="s">
        <v>104</v>
      </c>
      <c r="EQ4" s="52" t="s">
        <v>102</v>
      </c>
    </row>
    <row r="5" spans="1:147" ht="15.75" x14ac:dyDescent="0.25">
      <c r="E5" s="48" t="s">
        <v>101</v>
      </c>
      <c r="F5" s="40"/>
      <c r="G5" s="49">
        <f>EE3</f>
        <v>312880645.16129035</v>
      </c>
      <c r="AI5" s="53" t="s">
        <v>93</v>
      </c>
      <c r="EB5" t="s">
        <v>105</v>
      </c>
      <c r="ED5" s="40"/>
      <c r="EE5" s="40">
        <f>MAX(EB11:EB41)</f>
        <v>430500000</v>
      </c>
      <c r="EI5" s="40">
        <f>MAX(EG11:EG40)</f>
        <v>0</v>
      </c>
      <c r="EM5" s="40"/>
      <c r="EN5" s="40">
        <f>MAX(EK11:EK41)</f>
        <v>430500000</v>
      </c>
    </row>
    <row r="6" spans="1:147" x14ac:dyDescent="0.25">
      <c r="E6" s="48" t="s">
        <v>103</v>
      </c>
      <c r="F6" s="40"/>
      <c r="G6" s="55">
        <f>EE4</f>
        <v>2.3445042567504875E-3</v>
      </c>
    </row>
    <row r="7" spans="1:147" ht="16.5" thickBot="1" x14ac:dyDescent="0.3">
      <c r="E7" s="171" t="s">
        <v>105</v>
      </c>
      <c r="F7" s="57"/>
      <c r="G7" s="58">
        <f>EE5</f>
        <v>430500000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157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157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1" t="s">
        <v>164</v>
      </c>
      <c r="EG10" s="71" t="s">
        <v>165</v>
      </c>
      <c r="EH10" s="71" t="s">
        <v>19</v>
      </c>
      <c r="EI10" s="71" t="s">
        <v>164</v>
      </c>
      <c r="EJ10" s="71"/>
      <c r="EK10" s="71" t="s">
        <v>165</v>
      </c>
      <c r="EL10" s="71" t="s">
        <v>165</v>
      </c>
      <c r="EM10" s="71" t="s">
        <v>19</v>
      </c>
      <c r="EN10" s="71" t="s">
        <v>164</v>
      </c>
    </row>
    <row r="11" spans="1:147" x14ac:dyDescent="0.25">
      <c r="A11" s="25">
        <v>44562</v>
      </c>
      <c r="B11" s="40">
        <v>0</v>
      </c>
      <c r="C11" s="41">
        <v>2.90894E-3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172">
        <f>17450000+10000000</f>
        <v>27450000</v>
      </c>
      <c r="AJ11" s="173">
        <v>1.9E-3</v>
      </c>
      <c r="AK11" s="40">
        <f>(AI11*AJ11)/360</f>
        <v>144.875</v>
      </c>
      <c r="AL11" s="172">
        <f t="shared" ref="AL11:AL16" si="0">1000000+32000000+29850000</f>
        <v>62850000</v>
      </c>
      <c r="AM11" s="173">
        <v>3.0000000000000001E-3</v>
      </c>
      <c r="AN11" s="40">
        <f>(AL11*AM11)/360</f>
        <v>523.75</v>
      </c>
      <c r="AO11" s="172">
        <f t="shared" ref="AO11:AO41" si="1">75000000</f>
        <v>75000000</v>
      </c>
      <c r="AP11" s="173">
        <v>3.5000000000000001E-3</v>
      </c>
      <c r="AQ11" s="40">
        <f>(AO11*AP11)/360</f>
        <v>729.16666666666663</v>
      </c>
      <c r="AR11" s="172"/>
      <c r="AS11" s="173"/>
      <c r="AT11" s="40">
        <f>(AR11*AS11)/360</f>
        <v>0</v>
      </c>
      <c r="AU11" s="172"/>
      <c r="AV11" s="173"/>
      <c r="AW11" s="40">
        <f>(AU11*AV11)/360</f>
        <v>0</v>
      </c>
      <c r="AX11" s="172"/>
      <c r="AY11" s="173"/>
      <c r="AZ11" s="40">
        <f>(AX11*AY11)/360</f>
        <v>0</v>
      </c>
      <c r="BA11" s="172"/>
      <c r="BB11" s="173"/>
      <c r="BC11" s="40">
        <f>(BA11*BB11)/360</f>
        <v>0</v>
      </c>
      <c r="BD11" s="172"/>
      <c r="BE11" s="173"/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165300000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1397.7916666666665</v>
      </c>
      <c r="EE11" s="41">
        <f>IF(EB11&lt;&gt;0,((ED11/EB11)*360),0)</f>
        <v>3.0441923774954627E-3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165300000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1397.7916666666665</v>
      </c>
      <c r="EN11" s="41">
        <f>IF(EK11&lt;&gt;0,((EM11/EK11)*360),0)</f>
        <v>3.0441923774954627E-3</v>
      </c>
      <c r="EP11" s="40"/>
    </row>
    <row r="12" spans="1:147" x14ac:dyDescent="0.25">
      <c r="A12" s="25">
        <f>1+A11</f>
        <v>44563</v>
      </c>
      <c r="B12" s="40">
        <v>0</v>
      </c>
      <c r="C12" s="41">
        <v>2.90894E-3</v>
      </c>
      <c r="D12" s="40">
        <f t="shared" ref="D12:D41" si="2">(B12*C12)/360</f>
        <v>0</v>
      </c>
      <c r="G12" s="40">
        <f t="shared" ref="G12:G41" si="3">(E12*F12)/360</f>
        <v>0</v>
      </c>
      <c r="J12" s="40">
        <f t="shared" ref="J12:J41" si="4">(H12*I12)/360</f>
        <v>0</v>
      </c>
      <c r="M12" s="40">
        <f t="shared" ref="M12:M41" si="5">(K12*L12)/360</f>
        <v>0</v>
      </c>
      <c r="P12" s="40">
        <f t="shared" ref="P12:P41" si="6">(N12*O12)/360</f>
        <v>0</v>
      </c>
      <c r="S12" s="40">
        <f t="shared" ref="S12:S41" si="7">(Q12*R12)/360</f>
        <v>0</v>
      </c>
      <c r="V12" s="40">
        <f t="shared" ref="V12:V41" si="8">(T12*U12)/360</f>
        <v>0</v>
      </c>
      <c r="Y12" s="40">
        <f t="shared" ref="Y12:Y41" si="9">(W12*X12)/360</f>
        <v>0</v>
      </c>
      <c r="AB12" s="40">
        <f t="shared" ref="AB12:AB41" si="10">(Z12*AA12)/360</f>
        <v>0</v>
      </c>
      <c r="AE12" s="40">
        <v>0</v>
      </c>
      <c r="AH12" s="40">
        <v>0</v>
      </c>
      <c r="AI12" s="172">
        <f>17450000+10000000</f>
        <v>27450000</v>
      </c>
      <c r="AJ12" s="173">
        <v>1.9E-3</v>
      </c>
      <c r="AK12" s="40">
        <f t="shared" ref="AK12:AK41" si="11">(AI12*AJ12)/360</f>
        <v>144.875</v>
      </c>
      <c r="AL12" s="172">
        <f t="shared" si="0"/>
        <v>62850000</v>
      </c>
      <c r="AM12" s="173">
        <v>3.0000000000000001E-3</v>
      </c>
      <c r="AN12" s="40">
        <f t="shared" ref="AN12:AN41" si="12">(AL12*AM12)/360</f>
        <v>523.75</v>
      </c>
      <c r="AO12" s="172">
        <f t="shared" si="1"/>
        <v>75000000</v>
      </c>
      <c r="AP12" s="173">
        <v>3.5000000000000001E-3</v>
      </c>
      <c r="AQ12" s="40">
        <f t="shared" ref="AQ12:AQ41" si="13">(AO12*AP12)/360</f>
        <v>729.16666666666663</v>
      </c>
      <c r="AR12" s="172"/>
      <c r="AS12" s="173"/>
      <c r="AT12" s="40">
        <f t="shared" ref="AT12:AT41" si="14">(AR12*AS12)/360</f>
        <v>0</v>
      </c>
      <c r="AU12" s="172"/>
      <c r="AV12" s="173"/>
      <c r="AW12" s="40">
        <f t="shared" ref="AW12:AW41" si="15">(AU12*AV12)/360</f>
        <v>0</v>
      </c>
      <c r="AX12" s="172"/>
      <c r="AY12" s="173"/>
      <c r="AZ12" s="40">
        <f t="shared" ref="AZ12:AZ41" si="16">(AX12*AY12)/360</f>
        <v>0</v>
      </c>
      <c r="BA12" s="172"/>
      <c r="BB12" s="173"/>
      <c r="BC12" s="40">
        <f t="shared" ref="BC12:BC41" si="17">(BA12*BB12)/360</f>
        <v>0</v>
      </c>
      <c r="BD12" s="172"/>
      <c r="BE12" s="173"/>
      <c r="BF12" s="40">
        <f t="shared" ref="BF12:BF41" si="18">(BD12*BE12)/360</f>
        <v>0</v>
      </c>
      <c r="BI12" s="40">
        <f t="shared" ref="BI12:BI41" si="19">(BG12*BH12)/360</f>
        <v>0</v>
      </c>
      <c r="BL12" s="40">
        <f t="shared" ref="BL12:BL41" si="20">(BJ12*BK12)/360</f>
        <v>0</v>
      </c>
      <c r="BO12" s="40">
        <f t="shared" ref="BO12:BO41" si="21">(BM12*BN12)/360</f>
        <v>0</v>
      </c>
      <c r="BR12" s="40">
        <f t="shared" ref="BR12:BR41" si="22">(BP12*BQ12)/360</f>
        <v>0</v>
      </c>
      <c r="BU12" s="40">
        <f t="shared" ref="BU12:BU41" si="23">(BS12*BT12)/360</f>
        <v>0</v>
      </c>
      <c r="BX12" s="40">
        <f t="shared" ref="BX12:BX41" si="24">(BV12*BW12)/360</f>
        <v>0</v>
      </c>
      <c r="CA12" s="40">
        <f t="shared" ref="CA12:CA41" si="25">(BY12*BZ12)/360</f>
        <v>0</v>
      </c>
      <c r="CD12" s="40">
        <f t="shared" ref="CD12:CD41" si="26">(CB12*CC12)/360</f>
        <v>0</v>
      </c>
      <c r="CG12" s="40">
        <f t="shared" ref="CG12:CG41" si="27">(CE12*CF12)/360</f>
        <v>0</v>
      </c>
      <c r="CJ12" s="40">
        <f t="shared" ref="CJ12:CJ41" si="28">(CH12*CI12)/360</f>
        <v>0</v>
      </c>
      <c r="CM12" s="40">
        <f t="shared" ref="CM12:CM41" si="29">(CK12*CL12)/360</f>
        <v>0</v>
      </c>
      <c r="CP12" s="40">
        <f t="shared" ref="CP12:CP41" si="30">(CN12*CO12)/360</f>
        <v>0</v>
      </c>
      <c r="CS12" s="40">
        <f t="shared" ref="CS12:CS41" si="31">(CQ12*CR12)/360</f>
        <v>0</v>
      </c>
      <c r="CV12" s="40">
        <f t="shared" ref="CV12:CV41" si="32">(CT12*CU12)/360</f>
        <v>0</v>
      </c>
      <c r="CY12" s="40">
        <f t="shared" ref="CY12:CY41" si="33">(CW12*CX12)/360</f>
        <v>0</v>
      </c>
      <c r="DB12" s="40">
        <f t="shared" ref="DB12:DB41" si="34">(CZ12*DA12)/360</f>
        <v>0</v>
      </c>
      <c r="DE12" s="40">
        <f t="shared" ref="DE12:DE41" si="35">(DC12*DD12)/360</f>
        <v>0</v>
      </c>
      <c r="DH12" s="40">
        <f t="shared" ref="DH12:DH41" si="36">(DF12*DG12)/360</f>
        <v>0</v>
      </c>
      <c r="DK12" s="40">
        <f t="shared" ref="DK12:DK41" si="37">(DI12*DJ12)/360</f>
        <v>0</v>
      </c>
      <c r="DN12" s="40">
        <f t="shared" ref="DN12:DN41" si="38">(DL12*DM12)/360</f>
        <v>0</v>
      </c>
      <c r="DQ12" s="40">
        <f t="shared" ref="DQ12:DQ41" si="39">(DO12*DP12)/360</f>
        <v>0</v>
      </c>
      <c r="DT12" s="40">
        <f t="shared" ref="DT12:DT41" si="40">(DR12*DS12)/360</f>
        <v>0</v>
      </c>
      <c r="DW12" s="40">
        <f t="shared" ref="DW12:DW41" si="41">(DU12*DV12)/360</f>
        <v>0</v>
      </c>
      <c r="DZ12" s="40"/>
      <c r="EA12" s="40"/>
      <c r="EB12" s="75">
        <f t="shared" ref="EB12:EB41" si="42">B12+E12+H12+K12+N12+Q12+T12+W12+Z12+AC12+AF12+AL12+AO12+AR12+AU12+AX12+BA12+BD12+BG12+DU12+AI12+DR12+DO12+DL12+DI12+DF12+DC12+CZ12+CW12+CT12+CQ12+CN12+CK12+CH12+CE12+CB12+BY12+BV12+BS12+BP12+BM12+BJ12</f>
        <v>165300000</v>
      </c>
      <c r="EC12" s="75">
        <f t="shared" ref="EC12:EC41" si="43">EB12-EK12+EL12</f>
        <v>0</v>
      </c>
      <c r="ED12" s="40">
        <f t="shared" ref="ED12:ED41" si="44">D12+G12+J12+M12+P12+S12+V12+Y12+AB12+AE12+AH12+AK12+AN12+AQ12+AT12+AW12+AZ12+BC12+BF12+BI12+DW12+DT12+DQ12+DN12+DK12+DH12+DE12+DB12+CY12+CV12+CS12+CP12+CM12+CJ12+CG12+CD12+CA12+BX12+BU12+BR12+BO12+BL12</f>
        <v>1397.7916666666665</v>
      </c>
      <c r="EE12" s="41">
        <f t="shared" ref="EE12:EE41" si="45">IF(EB12&lt;&gt;0,((ED12/EB12)*360),0)</f>
        <v>3.0441923774954627E-3</v>
      </c>
      <c r="EG12" s="75">
        <f t="shared" ref="EG12:EG41" si="46">Q12+T12+W12+Z12+AC12+AF12</f>
        <v>0</v>
      </c>
      <c r="EH12" s="40">
        <f t="shared" ref="EH12:EH41" si="47">S12+V12+Y12+AB12+AE12+AH12</f>
        <v>0</v>
      </c>
      <c r="EI12" s="41">
        <f t="shared" ref="EI12:EI41" si="48">IF(EG12&lt;&gt;0,((EH12/EG12)*360),0)</f>
        <v>0</v>
      </c>
      <c r="EJ12" s="41"/>
      <c r="EK12" s="75">
        <f t="shared" ref="EK12:EK41" si="49">DR12+DL12+DI12+DF12+DC12+CZ12+CW12+CT12+CQ12+CN12+CK12+CH12+CE12+CB12+BY12+BV12+BS12+BP12+BM12+BJ12+BG12+BD12+BA12+AX12+AU12+AR12+AO12+AL12+AI12+DO12</f>
        <v>165300000</v>
      </c>
      <c r="EL12" s="75">
        <f t="shared" ref="EL12:EL41" si="50">DX12</f>
        <v>0</v>
      </c>
      <c r="EM12" s="75">
        <f t="shared" ref="EM12:EM41" si="51">DT12+DQ12+DN12+DK12+DH12+DE12+DB12+CY12+CV12+CS12+CP12+CM12+CJ12+CG12+CD12+CA12+BX12+BU12+BR12+BO12+BL12+BI12+BF12+BC12+AZ12+AW12+AT12+AQ12+AN12+AK12</f>
        <v>1397.7916666666665</v>
      </c>
      <c r="EN12" s="41">
        <f t="shared" ref="EN12:EN41" si="52">IF(EK12&lt;&gt;0,((EM12/EK12)*360),0)</f>
        <v>3.0441923774954627E-3</v>
      </c>
      <c r="EP12" s="40"/>
    </row>
    <row r="13" spans="1:147" x14ac:dyDescent="0.25">
      <c r="A13" s="25">
        <f t="shared" ref="A13:A41" si="53">1+A12</f>
        <v>44564</v>
      </c>
      <c r="B13" s="40">
        <v>0</v>
      </c>
      <c r="C13" s="41">
        <v>2.8824800000000002E-3</v>
      </c>
      <c r="D13" s="40">
        <f t="shared" si="2"/>
        <v>0</v>
      </c>
      <c r="G13" s="40">
        <f t="shared" si="3"/>
        <v>0</v>
      </c>
      <c r="J13" s="40">
        <f t="shared" si="4"/>
        <v>0</v>
      </c>
      <c r="M13" s="40">
        <f t="shared" si="5"/>
        <v>0</v>
      </c>
      <c r="P13" s="40">
        <f t="shared" si="6"/>
        <v>0</v>
      </c>
      <c r="S13" s="40">
        <f t="shared" si="7"/>
        <v>0</v>
      </c>
      <c r="V13" s="40">
        <f t="shared" si="8"/>
        <v>0</v>
      </c>
      <c r="Y13" s="40">
        <f t="shared" si="9"/>
        <v>0</v>
      </c>
      <c r="AB13" s="40">
        <f t="shared" si="10"/>
        <v>0</v>
      </c>
      <c r="AE13" s="40">
        <v>0</v>
      </c>
      <c r="AH13" s="40">
        <v>0</v>
      </c>
      <c r="AI13" s="172"/>
      <c r="AJ13" s="173"/>
      <c r="AK13" s="40">
        <f t="shared" si="11"/>
        <v>0</v>
      </c>
      <c r="AL13" s="172">
        <f t="shared" si="0"/>
        <v>62850000</v>
      </c>
      <c r="AM13" s="173">
        <v>3.0000000000000001E-3</v>
      </c>
      <c r="AN13" s="40">
        <f t="shared" si="12"/>
        <v>523.75</v>
      </c>
      <c r="AO13" s="172">
        <f t="shared" si="1"/>
        <v>75000000</v>
      </c>
      <c r="AP13" s="173">
        <v>3.5000000000000001E-3</v>
      </c>
      <c r="AQ13" s="40">
        <f t="shared" si="13"/>
        <v>729.16666666666663</v>
      </c>
      <c r="AR13" s="172">
        <f>31800000+100000</f>
        <v>31900000</v>
      </c>
      <c r="AS13" s="173">
        <v>1.8E-3</v>
      </c>
      <c r="AT13" s="40">
        <f t="shared" si="14"/>
        <v>159.5</v>
      </c>
      <c r="AU13" s="172"/>
      <c r="AV13" s="173"/>
      <c r="AW13" s="40">
        <f t="shared" si="15"/>
        <v>0</v>
      </c>
      <c r="AX13" s="172"/>
      <c r="AY13" s="173"/>
      <c r="AZ13" s="40">
        <f t="shared" si="16"/>
        <v>0</v>
      </c>
      <c r="BA13" s="172"/>
      <c r="BB13" s="173"/>
      <c r="BC13" s="40">
        <f t="shared" si="17"/>
        <v>0</v>
      </c>
      <c r="BD13" s="172"/>
      <c r="BE13" s="173"/>
      <c r="BF13" s="40">
        <f t="shared" si="18"/>
        <v>0</v>
      </c>
      <c r="BI13" s="40">
        <f t="shared" si="19"/>
        <v>0</v>
      </c>
      <c r="BL13" s="40">
        <f t="shared" si="20"/>
        <v>0</v>
      </c>
      <c r="BO13" s="40">
        <f t="shared" si="21"/>
        <v>0</v>
      </c>
      <c r="BR13" s="40">
        <f t="shared" si="22"/>
        <v>0</v>
      </c>
      <c r="BU13" s="40">
        <f t="shared" si="23"/>
        <v>0</v>
      </c>
      <c r="BX13" s="40">
        <f t="shared" si="24"/>
        <v>0</v>
      </c>
      <c r="CA13" s="40">
        <f t="shared" si="25"/>
        <v>0</v>
      </c>
      <c r="CD13" s="40">
        <f t="shared" si="26"/>
        <v>0</v>
      </c>
      <c r="CG13" s="40">
        <f t="shared" si="27"/>
        <v>0</v>
      </c>
      <c r="CJ13" s="40">
        <f t="shared" si="28"/>
        <v>0</v>
      </c>
      <c r="CM13" s="40">
        <f t="shared" si="29"/>
        <v>0</v>
      </c>
      <c r="CP13" s="40">
        <f t="shared" si="30"/>
        <v>0</v>
      </c>
      <c r="CS13" s="40">
        <f t="shared" si="31"/>
        <v>0</v>
      </c>
      <c r="CV13" s="40">
        <f t="shared" si="32"/>
        <v>0</v>
      </c>
      <c r="CY13" s="40">
        <f t="shared" si="33"/>
        <v>0</v>
      </c>
      <c r="DB13" s="40">
        <f t="shared" si="34"/>
        <v>0</v>
      </c>
      <c r="DE13" s="40">
        <f t="shared" si="35"/>
        <v>0</v>
      </c>
      <c r="DH13" s="40">
        <f t="shared" si="36"/>
        <v>0</v>
      </c>
      <c r="DK13" s="40">
        <f t="shared" si="37"/>
        <v>0</v>
      </c>
      <c r="DN13" s="40">
        <f t="shared" si="38"/>
        <v>0</v>
      </c>
      <c r="DQ13" s="40">
        <f t="shared" si="39"/>
        <v>0</v>
      </c>
      <c r="DT13" s="40">
        <f t="shared" si="40"/>
        <v>0</v>
      </c>
      <c r="DW13" s="40">
        <f t="shared" si="41"/>
        <v>0</v>
      </c>
      <c r="DZ13" s="40"/>
      <c r="EA13" s="40"/>
      <c r="EB13" s="75">
        <f t="shared" si="42"/>
        <v>169750000</v>
      </c>
      <c r="EC13" s="75">
        <f t="shared" si="43"/>
        <v>0</v>
      </c>
      <c r="ED13" s="40">
        <f t="shared" si="44"/>
        <v>1412.4166666666665</v>
      </c>
      <c r="EE13" s="41">
        <f t="shared" si="45"/>
        <v>2.9954050073637698E-3</v>
      </c>
      <c r="EG13" s="75">
        <f t="shared" si="46"/>
        <v>0</v>
      </c>
      <c r="EH13" s="40">
        <f t="shared" si="47"/>
        <v>0</v>
      </c>
      <c r="EI13" s="41">
        <f t="shared" si="48"/>
        <v>0</v>
      </c>
      <c r="EJ13" s="41"/>
      <c r="EK13" s="75">
        <f t="shared" si="49"/>
        <v>169750000</v>
      </c>
      <c r="EL13" s="75">
        <f t="shared" si="50"/>
        <v>0</v>
      </c>
      <c r="EM13" s="75">
        <f t="shared" si="51"/>
        <v>1412.4166666666665</v>
      </c>
      <c r="EN13" s="41">
        <f t="shared" si="52"/>
        <v>2.9954050073637698E-3</v>
      </c>
      <c r="EP13" s="40"/>
    </row>
    <row r="14" spans="1:147" x14ac:dyDescent="0.25">
      <c r="A14" s="25">
        <f t="shared" si="53"/>
        <v>44565</v>
      </c>
      <c r="B14" s="40">
        <v>0</v>
      </c>
      <c r="C14" s="41">
        <v>2.7303500000000003E-3</v>
      </c>
      <c r="D14" s="40">
        <f t="shared" si="2"/>
        <v>0</v>
      </c>
      <c r="G14" s="40">
        <f t="shared" si="3"/>
        <v>0</v>
      </c>
      <c r="J14" s="40">
        <f t="shared" si="4"/>
        <v>0</v>
      </c>
      <c r="M14" s="40">
        <f t="shared" si="5"/>
        <v>0</v>
      </c>
      <c r="P14" s="40">
        <f t="shared" si="6"/>
        <v>0</v>
      </c>
      <c r="S14" s="40">
        <f t="shared" si="7"/>
        <v>0</v>
      </c>
      <c r="V14" s="40">
        <f t="shared" si="8"/>
        <v>0</v>
      </c>
      <c r="Y14" s="40">
        <f t="shared" si="9"/>
        <v>0</v>
      </c>
      <c r="AB14" s="40">
        <f t="shared" si="10"/>
        <v>0</v>
      </c>
      <c r="AE14" s="40">
        <v>0</v>
      </c>
      <c r="AH14" s="40">
        <v>0</v>
      </c>
      <c r="AI14" s="172"/>
      <c r="AJ14" s="173"/>
      <c r="AK14" s="40">
        <f t="shared" si="11"/>
        <v>0</v>
      </c>
      <c r="AL14" s="172">
        <f t="shared" si="0"/>
        <v>62850000</v>
      </c>
      <c r="AM14" s="173">
        <v>3.0000000000000001E-3</v>
      </c>
      <c r="AN14" s="40">
        <f t="shared" si="12"/>
        <v>523.75</v>
      </c>
      <c r="AO14" s="172">
        <f t="shared" si="1"/>
        <v>75000000</v>
      </c>
      <c r="AP14" s="173">
        <v>3.5000000000000001E-3</v>
      </c>
      <c r="AQ14" s="40">
        <f t="shared" si="13"/>
        <v>729.16666666666663</v>
      </c>
      <c r="AR14" s="172"/>
      <c r="AS14" s="173"/>
      <c r="AT14" s="40">
        <f t="shared" si="14"/>
        <v>0</v>
      </c>
      <c r="AU14" s="172">
        <v>24350000</v>
      </c>
      <c r="AV14" s="173">
        <v>1.5E-3</v>
      </c>
      <c r="AW14" s="40">
        <f t="shared" si="15"/>
        <v>101.45833333333333</v>
      </c>
      <c r="AX14" s="172"/>
      <c r="AY14" s="173"/>
      <c r="AZ14" s="40">
        <f t="shared" si="16"/>
        <v>0</v>
      </c>
      <c r="BA14" s="172"/>
      <c r="BB14" s="173"/>
      <c r="BC14" s="40">
        <f t="shared" si="17"/>
        <v>0</v>
      </c>
      <c r="BD14" s="172"/>
      <c r="BE14" s="173"/>
      <c r="BF14" s="40">
        <f t="shared" si="18"/>
        <v>0</v>
      </c>
      <c r="BI14" s="40">
        <f t="shared" si="19"/>
        <v>0</v>
      </c>
      <c r="BL14" s="40">
        <f t="shared" si="20"/>
        <v>0</v>
      </c>
      <c r="BO14" s="40">
        <f t="shared" si="21"/>
        <v>0</v>
      </c>
      <c r="BR14" s="40">
        <f t="shared" si="22"/>
        <v>0</v>
      </c>
      <c r="BU14" s="40">
        <f t="shared" si="23"/>
        <v>0</v>
      </c>
      <c r="BX14" s="40">
        <f t="shared" si="24"/>
        <v>0</v>
      </c>
      <c r="CA14" s="40">
        <f t="shared" si="25"/>
        <v>0</v>
      </c>
      <c r="CD14" s="40">
        <f t="shared" si="26"/>
        <v>0</v>
      </c>
      <c r="CG14" s="40">
        <f t="shared" si="27"/>
        <v>0</v>
      </c>
      <c r="CJ14" s="40">
        <f t="shared" si="28"/>
        <v>0</v>
      </c>
      <c r="CM14" s="40">
        <f t="shared" si="29"/>
        <v>0</v>
      </c>
      <c r="CP14" s="40">
        <f t="shared" si="30"/>
        <v>0</v>
      </c>
      <c r="CS14" s="40">
        <f t="shared" si="31"/>
        <v>0</v>
      </c>
      <c r="CV14" s="40">
        <f t="shared" si="32"/>
        <v>0</v>
      </c>
      <c r="CY14" s="40">
        <f t="shared" si="33"/>
        <v>0</v>
      </c>
      <c r="DB14" s="40">
        <f t="shared" si="34"/>
        <v>0</v>
      </c>
      <c r="DE14" s="40">
        <f t="shared" si="35"/>
        <v>0</v>
      </c>
      <c r="DH14" s="40">
        <f t="shared" si="36"/>
        <v>0</v>
      </c>
      <c r="DK14" s="40">
        <f t="shared" si="37"/>
        <v>0</v>
      </c>
      <c r="DN14" s="40">
        <f t="shared" si="38"/>
        <v>0</v>
      </c>
      <c r="DQ14" s="40">
        <f t="shared" si="39"/>
        <v>0</v>
      </c>
      <c r="DT14" s="40">
        <f t="shared" si="40"/>
        <v>0</v>
      </c>
      <c r="DW14" s="40">
        <f t="shared" si="41"/>
        <v>0</v>
      </c>
      <c r="DZ14" s="40"/>
      <c r="EA14" s="40"/>
      <c r="EB14" s="75">
        <f t="shared" si="42"/>
        <v>162200000</v>
      </c>
      <c r="EC14" s="75">
        <f t="shared" si="43"/>
        <v>0</v>
      </c>
      <c r="ED14" s="40">
        <f t="shared" si="44"/>
        <v>1354.3749999999998</v>
      </c>
      <c r="EE14" s="41">
        <f t="shared" si="45"/>
        <v>3.0060110974106037E-3</v>
      </c>
      <c r="EG14" s="75">
        <f t="shared" si="46"/>
        <v>0</v>
      </c>
      <c r="EH14" s="40">
        <f t="shared" si="47"/>
        <v>0</v>
      </c>
      <c r="EI14" s="41">
        <f t="shared" si="48"/>
        <v>0</v>
      </c>
      <c r="EJ14" s="41"/>
      <c r="EK14" s="75">
        <f t="shared" si="49"/>
        <v>162200000</v>
      </c>
      <c r="EL14" s="75">
        <f t="shared" si="50"/>
        <v>0</v>
      </c>
      <c r="EM14" s="75">
        <f t="shared" si="51"/>
        <v>1354.375</v>
      </c>
      <c r="EN14" s="41">
        <f t="shared" si="52"/>
        <v>3.0060110974106046E-3</v>
      </c>
      <c r="EP14" s="40"/>
    </row>
    <row r="15" spans="1:147" x14ac:dyDescent="0.25">
      <c r="A15" s="25">
        <f t="shared" si="53"/>
        <v>44566</v>
      </c>
      <c r="B15" s="40">
        <v>0</v>
      </c>
      <c r="C15" s="41">
        <v>2.8551100000000001E-3</v>
      </c>
      <c r="D15" s="40">
        <f t="shared" si="2"/>
        <v>0</v>
      </c>
      <c r="G15" s="40">
        <f t="shared" si="3"/>
        <v>0</v>
      </c>
      <c r="J15" s="40">
        <f t="shared" si="4"/>
        <v>0</v>
      </c>
      <c r="M15" s="40">
        <f t="shared" si="5"/>
        <v>0</v>
      </c>
      <c r="P15" s="40">
        <f t="shared" si="6"/>
        <v>0</v>
      </c>
      <c r="S15" s="40">
        <f t="shared" si="7"/>
        <v>0</v>
      </c>
      <c r="V15" s="40">
        <f t="shared" si="8"/>
        <v>0</v>
      </c>
      <c r="Y15" s="40">
        <f t="shared" si="9"/>
        <v>0</v>
      </c>
      <c r="AB15" s="40">
        <f t="shared" si="10"/>
        <v>0</v>
      </c>
      <c r="AE15" s="40">
        <v>0</v>
      </c>
      <c r="AH15" s="40">
        <v>0</v>
      </c>
      <c r="AI15" s="172"/>
      <c r="AJ15" s="173"/>
      <c r="AK15" s="40">
        <f t="shared" si="11"/>
        <v>0</v>
      </c>
      <c r="AL15" s="172">
        <f t="shared" si="0"/>
        <v>62850000</v>
      </c>
      <c r="AM15" s="173">
        <v>3.0000000000000001E-3</v>
      </c>
      <c r="AN15" s="40">
        <f t="shared" si="12"/>
        <v>523.75</v>
      </c>
      <c r="AO15" s="172">
        <f t="shared" si="1"/>
        <v>75000000</v>
      </c>
      <c r="AP15" s="173">
        <v>3.5000000000000001E-3</v>
      </c>
      <c r="AQ15" s="40">
        <f t="shared" si="13"/>
        <v>729.16666666666663</v>
      </c>
      <c r="AR15" s="172"/>
      <c r="AS15" s="173"/>
      <c r="AT15" s="40">
        <f t="shared" si="14"/>
        <v>0</v>
      </c>
      <c r="AU15" s="172">
        <v>50000000</v>
      </c>
      <c r="AV15" s="173">
        <v>1.5E-3</v>
      </c>
      <c r="AW15" s="40">
        <f t="shared" si="15"/>
        <v>208.33333333333334</v>
      </c>
      <c r="AX15" s="172">
        <v>8900000</v>
      </c>
      <c r="AY15" s="173">
        <v>2.2000000000000001E-3</v>
      </c>
      <c r="AZ15" s="40">
        <f t="shared" si="16"/>
        <v>54.388888888888886</v>
      </c>
      <c r="BA15" s="172"/>
      <c r="BB15" s="173"/>
      <c r="BC15" s="40">
        <f t="shared" si="17"/>
        <v>0</v>
      </c>
      <c r="BD15" s="172"/>
      <c r="BE15" s="173"/>
      <c r="BF15" s="40">
        <f t="shared" si="18"/>
        <v>0</v>
      </c>
      <c r="BI15" s="40">
        <f t="shared" si="19"/>
        <v>0</v>
      </c>
      <c r="BL15" s="40">
        <f t="shared" si="20"/>
        <v>0</v>
      </c>
      <c r="BO15" s="40">
        <f t="shared" si="21"/>
        <v>0</v>
      </c>
      <c r="BR15" s="40">
        <f t="shared" si="22"/>
        <v>0</v>
      </c>
      <c r="BU15" s="40">
        <f t="shared" si="23"/>
        <v>0</v>
      </c>
      <c r="BX15" s="40">
        <f t="shared" si="24"/>
        <v>0</v>
      </c>
      <c r="CA15" s="40">
        <f t="shared" si="25"/>
        <v>0</v>
      </c>
      <c r="CD15" s="40">
        <f t="shared" si="26"/>
        <v>0</v>
      </c>
      <c r="CG15" s="40">
        <f t="shared" si="27"/>
        <v>0</v>
      </c>
      <c r="CJ15" s="40">
        <f t="shared" si="28"/>
        <v>0</v>
      </c>
      <c r="CM15" s="40">
        <f t="shared" si="29"/>
        <v>0</v>
      </c>
      <c r="CP15" s="40">
        <f t="shared" si="30"/>
        <v>0</v>
      </c>
      <c r="CS15" s="40">
        <f t="shared" si="31"/>
        <v>0</v>
      </c>
      <c r="CV15" s="40">
        <f t="shared" si="32"/>
        <v>0</v>
      </c>
      <c r="CY15" s="40">
        <f t="shared" si="33"/>
        <v>0</v>
      </c>
      <c r="DB15" s="40">
        <f t="shared" si="34"/>
        <v>0</v>
      </c>
      <c r="DE15" s="40">
        <f t="shared" si="35"/>
        <v>0</v>
      </c>
      <c r="DH15" s="40">
        <f t="shared" si="36"/>
        <v>0</v>
      </c>
      <c r="DK15" s="40">
        <f t="shared" si="37"/>
        <v>0</v>
      </c>
      <c r="DN15" s="40">
        <f t="shared" si="38"/>
        <v>0</v>
      </c>
      <c r="DQ15" s="40">
        <f t="shared" si="39"/>
        <v>0</v>
      </c>
      <c r="DT15" s="40">
        <f t="shared" si="40"/>
        <v>0</v>
      </c>
      <c r="DW15" s="40">
        <f t="shared" si="41"/>
        <v>0</v>
      </c>
      <c r="DZ15" s="40"/>
      <c r="EA15" s="40"/>
      <c r="EB15" s="75">
        <f t="shared" si="42"/>
        <v>196750000</v>
      </c>
      <c r="EC15" s="75">
        <f t="shared" si="43"/>
        <v>0</v>
      </c>
      <c r="ED15" s="40">
        <f t="shared" si="44"/>
        <v>1515.6388888888887</v>
      </c>
      <c r="EE15" s="41">
        <f t="shared" si="45"/>
        <v>2.7732147395171537E-3</v>
      </c>
      <c r="EG15" s="75">
        <f t="shared" si="46"/>
        <v>0</v>
      </c>
      <c r="EH15" s="40">
        <f t="shared" si="47"/>
        <v>0</v>
      </c>
      <c r="EI15" s="41">
        <f t="shared" si="48"/>
        <v>0</v>
      </c>
      <c r="EJ15" s="41"/>
      <c r="EK15" s="75">
        <f t="shared" si="49"/>
        <v>196750000</v>
      </c>
      <c r="EL15" s="75">
        <f t="shared" si="50"/>
        <v>0</v>
      </c>
      <c r="EM15" s="75">
        <f t="shared" si="51"/>
        <v>1515.6388888888889</v>
      </c>
      <c r="EN15" s="41">
        <f t="shared" si="52"/>
        <v>2.7732147395171537E-3</v>
      </c>
      <c r="EP15" s="40"/>
    </row>
    <row r="16" spans="1:147" x14ac:dyDescent="0.25">
      <c r="A16" s="25">
        <f t="shared" si="53"/>
        <v>44567</v>
      </c>
      <c r="B16" s="40">
        <v>0</v>
      </c>
      <c r="C16" s="41">
        <v>2.9474000000000002E-3</v>
      </c>
      <c r="D16" s="40">
        <f t="shared" si="2"/>
        <v>0</v>
      </c>
      <c r="G16" s="40">
        <f t="shared" si="3"/>
        <v>0</v>
      </c>
      <c r="J16" s="40">
        <f t="shared" si="4"/>
        <v>0</v>
      </c>
      <c r="M16" s="40">
        <f t="shared" si="5"/>
        <v>0</v>
      </c>
      <c r="P16" s="40">
        <f t="shared" si="6"/>
        <v>0</v>
      </c>
      <c r="S16" s="40">
        <f t="shared" si="7"/>
        <v>0</v>
      </c>
      <c r="V16" s="40">
        <f t="shared" si="8"/>
        <v>0</v>
      </c>
      <c r="Y16" s="40">
        <f t="shared" si="9"/>
        <v>0</v>
      </c>
      <c r="AB16" s="40">
        <f t="shared" si="10"/>
        <v>0</v>
      </c>
      <c r="AE16" s="40">
        <v>0</v>
      </c>
      <c r="AH16" s="40">
        <v>0</v>
      </c>
      <c r="AI16" s="172"/>
      <c r="AJ16" s="173"/>
      <c r="AK16" s="40">
        <f t="shared" si="11"/>
        <v>0</v>
      </c>
      <c r="AL16" s="172">
        <f t="shared" si="0"/>
        <v>62850000</v>
      </c>
      <c r="AM16" s="173">
        <v>3.0000000000000001E-3</v>
      </c>
      <c r="AN16" s="40">
        <f t="shared" si="12"/>
        <v>523.75</v>
      </c>
      <c r="AO16" s="172">
        <f t="shared" si="1"/>
        <v>75000000</v>
      </c>
      <c r="AP16" s="173">
        <v>3.5000000000000001E-3</v>
      </c>
      <c r="AQ16" s="40">
        <f t="shared" si="13"/>
        <v>729.16666666666663</v>
      </c>
      <c r="AR16" s="172"/>
      <c r="AS16" s="173"/>
      <c r="AT16" s="40">
        <f t="shared" si="14"/>
        <v>0</v>
      </c>
      <c r="AU16" s="172"/>
      <c r="AV16" s="173"/>
      <c r="AW16" s="40">
        <f t="shared" si="15"/>
        <v>0</v>
      </c>
      <c r="AX16" s="172">
        <v>8900000</v>
      </c>
      <c r="AY16" s="173">
        <v>2.2000000000000001E-3</v>
      </c>
      <c r="AZ16" s="40">
        <f t="shared" si="16"/>
        <v>54.388888888888886</v>
      </c>
      <c r="BA16" s="172">
        <f t="shared" ref="BA16:BA41" si="54">50000000+9325000</f>
        <v>59325000</v>
      </c>
      <c r="BB16" s="173">
        <v>2.2000000000000001E-3</v>
      </c>
      <c r="BC16" s="40">
        <f t="shared" si="17"/>
        <v>362.54166666666669</v>
      </c>
      <c r="BD16" s="172"/>
      <c r="BE16" s="173"/>
      <c r="BF16" s="40">
        <f t="shared" si="18"/>
        <v>0</v>
      </c>
      <c r="BI16" s="40">
        <f t="shared" si="19"/>
        <v>0</v>
      </c>
      <c r="BL16" s="40">
        <f t="shared" si="20"/>
        <v>0</v>
      </c>
      <c r="BO16" s="40">
        <f t="shared" si="21"/>
        <v>0</v>
      </c>
      <c r="BR16" s="40">
        <f t="shared" si="22"/>
        <v>0</v>
      </c>
      <c r="BU16" s="40">
        <f t="shared" si="23"/>
        <v>0</v>
      </c>
      <c r="BX16" s="40">
        <f t="shared" si="24"/>
        <v>0</v>
      </c>
      <c r="CA16" s="40">
        <f t="shared" si="25"/>
        <v>0</v>
      </c>
      <c r="CD16" s="40">
        <f t="shared" si="26"/>
        <v>0</v>
      </c>
      <c r="CG16" s="40">
        <f t="shared" si="27"/>
        <v>0</v>
      </c>
      <c r="CJ16" s="40">
        <f t="shared" si="28"/>
        <v>0</v>
      </c>
      <c r="CM16" s="40">
        <f t="shared" si="29"/>
        <v>0</v>
      </c>
      <c r="CP16" s="40">
        <f t="shared" si="30"/>
        <v>0</v>
      </c>
      <c r="CS16" s="40">
        <f t="shared" si="31"/>
        <v>0</v>
      </c>
      <c r="CV16" s="40">
        <f t="shared" si="32"/>
        <v>0</v>
      </c>
      <c r="CY16" s="40">
        <f t="shared" si="33"/>
        <v>0</v>
      </c>
      <c r="DB16" s="40">
        <f t="shared" si="34"/>
        <v>0</v>
      </c>
      <c r="DE16" s="40">
        <f t="shared" si="35"/>
        <v>0</v>
      </c>
      <c r="DH16" s="40">
        <f t="shared" si="36"/>
        <v>0</v>
      </c>
      <c r="DK16" s="40">
        <f t="shared" si="37"/>
        <v>0</v>
      </c>
      <c r="DN16" s="40">
        <f t="shared" si="38"/>
        <v>0</v>
      </c>
      <c r="DQ16" s="40">
        <f t="shared" si="39"/>
        <v>0</v>
      </c>
      <c r="DT16" s="40">
        <f t="shared" si="40"/>
        <v>0</v>
      </c>
      <c r="DW16" s="40">
        <f t="shared" si="41"/>
        <v>0</v>
      </c>
      <c r="DZ16" s="40"/>
      <c r="EA16" s="40"/>
      <c r="EB16" s="75">
        <f t="shared" si="42"/>
        <v>206075000</v>
      </c>
      <c r="EC16" s="75">
        <f t="shared" si="43"/>
        <v>0</v>
      </c>
      <c r="ED16" s="40">
        <f t="shared" si="44"/>
        <v>1669.8472222222222</v>
      </c>
      <c r="EE16" s="41">
        <f t="shared" si="45"/>
        <v>2.917117554288487E-3</v>
      </c>
      <c r="EG16" s="75">
        <f t="shared" si="46"/>
        <v>0</v>
      </c>
      <c r="EH16" s="40">
        <f t="shared" si="47"/>
        <v>0</v>
      </c>
      <c r="EI16" s="41">
        <f t="shared" si="48"/>
        <v>0</v>
      </c>
      <c r="EJ16" s="41"/>
      <c r="EK16" s="75">
        <f t="shared" si="49"/>
        <v>206075000</v>
      </c>
      <c r="EL16" s="75">
        <f t="shared" si="50"/>
        <v>0</v>
      </c>
      <c r="EM16" s="75">
        <f t="shared" si="51"/>
        <v>1669.8472222222222</v>
      </c>
      <c r="EN16" s="41">
        <f t="shared" si="52"/>
        <v>2.917117554288487E-3</v>
      </c>
      <c r="EP16" s="40"/>
    </row>
    <row r="17" spans="1:146" x14ac:dyDescent="0.25">
      <c r="A17" s="25">
        <f t="shared" si="53"/>
        <v>44568</v>
      </c>
      <c r="B17" s="40">
        <v>0</v>
      </c>
      <c r="C17" s="41">
        <v>2.87075E-3</v>
      </c>
      <c r="D17" s="40">
        <f t="shared" si="2"/>
        <v>0</v>
      </c>
      <c r="G17" s="40">
        <f t="shared" si="3"/>
        <v>0</v>
      </c>
      <c r="J17" s="40">
        <f t="shared" si="4"/>
        <v>0</v>
      </c>
      <c r="M17" s="40">
        <f t="shared" si="5"/>
        <v>0</v>
      </c>
      <c r="P17" s="40">
        <f t="shared" si="6"/>
        <v>0</v>
      </c>
      <c r="S17" s="40">
        <f t="shared" si="7"/>
        <v>0</v>
      </c>
      <c r="V17" s="40">
        <f t="shared" si="8"/>
        <v>0</v>
      </c>
      <c r="Y17" s="40">
        <f t="shared" si="9"/>
        <v>0</v>
      </c>
      <c r="AB17" s="40">
        <f t="shared" si="10"/>
        <v>0</v>
      </c>
      <c r="AE17" s="40">
        <v>0</v>
      </c>
      <c r="AH17" s="40">
        <v>0</v>
      </c>
      <c r="AI17" s="172"/>
      <c r="AJ17" s="173"/>
      <c r="AK17" s="40">
        <f t="shared" si="11"/>
        <v>0</v>
      </c>
      <c r="AL17" s="172"/>
      <c r="AM17" s="173"/>
      <c r="AN17" s="40">
        <f t="shared" si="12"/>
        <v>0</v>
      </c>
      <c r="AO17" s="172">
        <f t="shared" si="1"/>
        <v>75000000</v>
      </c>
      <c r="AP17" s="173">
        <v>3.5000000000000001E-3</v>
      </c>
      <c r="AQ17" s="40">
        <f t="shared" si="13"/>
        <v>729.16666666666663</v>
      </c>
      <c r="AR17" s="172"/>
      <c r="AS17" s="173"/>
      <c r="AT17" s="40">
        <f t="shared" si="14"/>
        <v>0</v>
      </c>
      <c r="AU17" s="172">
        <f>50875000+20000000</f>
        <v>70875000</v>
      </c>
      <c r="AV17" s="173">
        <v>1.5E-3</v>
      </c>
      <c r="AW17" s="40">
        <f t="shared" si="15"/>
        <v>295.3125</v>
      </c>
      <c r="AX17" s="172">
        <v>8900000</v>
      </c>
      <c r="AY17" s="173">
        <v>2.2000000000000001E-3</v>
      </c>
      <c r="AZ17" s="40">
        <f t="shared" si="16"/>
        <v>54.388888888888886</v>
      </c>
      <c r="BA17" s="172">
        <f t="shared" si="54"/>
        <v>59325000</v>
      </c>
      <c r="BB17" s="173">
        <v>2.2000000000000001E-3</v>
      </c>
      <c r="BC17" s="40">
        <f t="shared" si="17"/>
        <v>362.54166666666669</v>
      </c>
      <c r="BD17" s="172"/>
      <c r="BE17" s="173"/>
      <c r="BF17" s="40">
        <f t="shared" si="18"/>
        <v>0</v>
      </c>
      <c r="BI17" s="40">
        <f t="shared" si="19"/>
        <v>0</v>
      </c>
      <c r="BL17" s="40">
        <f t="shared" si="20"/>
        <v>0</v>
      </c>
      <c r="BO17" s="40">
        <f t="shared" si="21"/>
        <v>0</v>
      </c>
      <c r="BR17" s="40">
        <f t="shared" si="22"/>
        <v>0</v>
      </c>
      <c r="BU17" s="40">
        <f t="shared" si="23"/>
        <v>0</v>
      </c>
      <c r="BX17" s="40">
        <f t="shared" si="24"/>
        <v>0</v>
      </c>
      <c r="CA17" s="40">
        <f t="shared" si="25"/>
        <v>0</v>
      </c>
      <c r="CD17" s="40">
        <f t="shared" si="26"/>
        <v>0</v>
      </c>
      <c r="CG17" s="40">
        <f t="shared" si="27"/>
        <v>0</v>
      </c>
      <c r="CJ17" s="40">
        <f t="shared" si="28"/>
        <v>0</v>
      </c>
      <c r="CM17" s="40">
        <f t="shared" si="29"/>
        <v>0</v>
      </c>
      <c r="CP17" s="40">
        <f t="shared" si="30"/>
        <v>0</v>
      </c>
      <c r="CS17" s="40">
        <f t="shared" si="31"/>
        <v>0</v>
      </c>
      <c r="CV17" s="40">
        <f t="shared" si="32"/>
        <v>0</v>
      </c>
      <c r="CY17" s="40">
        <f t="shared" si="33"/>
        <v>0</v>
      </c>
      <c r="DB17" s="40">
        <f t="shared" si="34"/>
        <v>0</v>
      </c>
      <c r="DE17" s="40">
        <f t="shared" si="35"/>
        <v>0</v>
      </c>
      <c r="DH17" s="40">
        <f t="shared" si="36"/>
        <v>0</v>
      </c>
      <c r="DK17" s="40">
        <f t="shared" si="37"/>
        <v>0</v>
      </c>
      <c r="DN17" s="40">
        <f t="shared" si="38"/>
        <v>0</v>
      </c>
      <c r="DQ17" s="40">
        <f t="shared" si="39"/>
        <v>0</v>
      </c>
      <c r="DT17" s="40">
        <f t="shared" si="40"/>
        <v>0</v>
      </c>
      <c r="DW17" s="40">
        <f t="shared" si="41"/>
        <v>0</v>
      </c>
      <c r="DZ17" s="40"/>
      <c r="EA17" s="40"/>
      <c r="EB17" s="75">
        <f t="shared" si="42"/>
        <v>214100000</v>
      </c>
      <c r="EC17" s="75">
        <f t="shared" si="43"/>
        <v>0</v>
      </c>
      <c r="ED17" s="40">
        <f t="shared" si="44"/>
        <v>1441.4097222222222</v>
      </c>
      <c r="EE17" s="41">
        <f t="shared" si="45"/>
        <v>2.4236688463334889E-3</v>
      </c>
      <c r="EG17" s="75">
        <f t="shared" si="46"/>
        <v>0</v>
      </c>
      <c r="EH17" s="40">
        <f t="shared" si="47"/>
        <v>0</v>
      </c>
      <c r="EI17" s="41">
        <f t="shared" si="48"/>
        <v>0</v>
      </c>
      <c r="EJ17" s="41"/>
      <c r="EK17" s="75">
        <f t="shared" si="49"/>
        <v>214100000</v>
      </c>
      <c r="EL17" s="75">
        <f t="shared" si="50"/>
        <v>0</v>
      </c>
      <c r="EM17" s="75">
        <f t="shared" si="51"/>
        <v>1441.4097222222222</v>
      </c>
      <c r="EN17" s="41">
        <f t="shared" si="52"/>
        <v>2.4236688463334889E-3</v>
      </c>
      <c r="EP17" s="40"/>
    </row>
    <row r="18" spans="1:146" x14ac:dyDescent="0.25">
      <c r="A18" s="25">
        <f t="shared" si="53"/>
        <v>44569</v>
      </c>
      <c r="B18" s="40">
        <v>0</v>
      </c>
      <c r="C18" s="41">
        <v>2.87075E-3</v>
      </c>
      <c r="D18" s="40">
        <f t="shared" si="2"/>
        <v>0</v>
      </c>
      <c r="G18" s="40">
        <f t="shared" si="3"/>
        <v>0</v>
      </c>
      <c r="J18" s="40">
        <f t="shared" si="4"/>
        <v>0</v>
      </c>
      <c r="M18" s="40">
        <f t="shared" si="5"/>
        <v>0</v>
      </c>
      <c r="P18" s="40">
        <f t="shared" si="6"/>
        <v>0</v>
      </c>
      <c r="S18" s="40">
        <f t="shared" si="7"/>
        <v>0</v>
      </c>
      <c r="V18" s="40">
        <f t="shared" si="8"/>
        <v>0</v>
      </c>
      <c r="Y18" s="40">
        <f t="shared" si="9"/>
        <v>0</v>
      </c>
      <c r="AB18" s="40">
        <f t="shared" si="10"/>
        <v>0</v>
      </c>
      <c r="AE18" s="40">
        <v>0</v>
      </c>
      <c r="AH18" s="40">
        <v>0</v>
      </c>
      <c r="AI18" s="172"/>
      <c r="AJ18" s="173"/>
      <c r="AK18" s="40">
        <f t="shared" si="11"/>
        <v>0</v>
      </c>
      <c r="AL18" s="172"/>
      <c r="AM18" s="173"/>
      <c r="AN18" s="40">
        <f t="shared" si="12"/>
        <v>0</v>
      </c>
      <c r="AO18" s="172">
        <f t="shared" si="1"/>
        <v>75000000</v>
      </c>
      <c r="AP18" s="173">
        <v>3.5000000000000001E-3</v>
      </c>
      <c r="AQ18" s="40">
        <f t="shared" si="13"/>
        <v>729.16666666666663</v>
      </c>
      <c r="AR18" s="172"/>
      <c r="AS18" s="173"/>
      <c r="AT18" s="40">
        <f t="shared" si="14"/>
        <v>0</v>
      </c>
      <c r="AU18" s="172">
        <f>50875000+20000000</f>
        <v>70875000</v>
      </c>
      <c r="AV18" s="173">
        <v>1.5E-3</v>
      </c>
      <c r="AW18" s="40">
        <f t="shared" si="15"/>
        <v>295.3125</v>
      </c>
      <c r="AX18" s="172">
        <v>8900000</v>
      </c>
      <c r="AY18" s="173">
        <v>2.2000000000000001E-3</v>
      </c>
      <c r="AZ18" s="40">
        <f t="shared" si="16"/>
        <v>54.388888888888886</v>
      </c>
      <c r="BA18" s="172">
        <f t="shared" si="54"/>
        <v>59325000</v>
      </c>
      <c r="BB18" s="173">
        <v>2.2000000000000001E-3</v>
      </c>
      <c r="BC18" s="40">
        <f t="shared" si="17"/>
        <v>362.54166666666669</v>
      </c>
      <c r="BD18" s="172"/>
      <c r="BE18" s="173"/>
      <c r="BF18" s="40">
        <f t="shared" si="18"/>
        <v>0</v>
      </c>
      <c r="BI18" s="40">
        <f t="shared" si="19"/>
        <v>0</v>
      </c>
      <c r="BL18" s="40">
        <f t="shared" si="20"/>
        <v>0</v>
      </c>
      <c r="BO18" s="40">
        <f t="shared" si="21"/>
        <v>0</v>
      </c>
      <c r="BR18" s="40">
        <f t="shared" si="22"/>
        <v>0</v>
      </c>
      <c r="BU18" s="40">
        <f t="shared" si="23"/>
        <v>0</v>
      </c>
      <c r="BX18" s="40">
        <f t="shared" si="24"/>
        <v>0</v>
      </c>
      <c r="CA18" s="40">
        <f t="shared" si="25"/>
        <v>0</v>
      </c>
      <c r="CD18" s="40">
        <f t="shared" si="26"/>
        <v>0</v>
      </c>
      <c r="CG18" s="40">
        <f t="shared" si="27"/>
        <v>0</v>
      </c>
      <c r="CJ18" s="40">
        <f t="shared" si="28"/>
        <v>0</v>
      </c>
      <c r="CM18" s="40">
        <f t="shared" si="29"/>
        <v>0</v>
      </c>
      <c r="CP18" s="40">
        <f t="shared" si="30"/>
        <v>0</v>
      </c>
      <c r="CS18" s="40">
        <f t="shared" si="31"/>
        <v>0</v>
      </c>
      <c r="CV18" s="40">
        <f t="shared" si="32"/>
        <v>0</v>
      </c>
      <c r="CY18" s="40">
        <f t="shared" si="33"/>
        <v>0</v>
      </c>
      <c r="DB18" s="40">
        <f t="shared" si="34"/>
        <v>0</v>
      </c>
      <c r="DE18" s="40">
        <f t="shared" si="35"/>
        <v>0</v>
      </c>
      <c r="DH18" s="40">
        <f t="shared" si="36"/>
        <v>0</v>
      </c>
      <c r="DK18" s="40">
        <f t="shared" si="37"/>
        <v>0</v>
      </c>
      <c r="DN18" s="40">
        <f t="shared" si="38"/>
        <v>0</v>
      </c>
      <c r="DQ18" s="40">
        <f t="shared" si="39"/>
        <v>0</v>
      </c>
      <c r="DT18" s="40">
        <f t="shared" si="40"/>
        <v>0</v>
      </c>
      <c r="DW18" s="40">
        <f t="shared" si="41"/>
        <v>0</v>
      </c>
      <c r="DZ18" s="40"/>
      <c r="EA18" s="40"/>
      <c r="EB18" s="75">
        <f t="shared" si="42"/>
        <v>214100000</v>
      </c>
      <c r="EC18" s="75">
        <f t="shared" si="43"/>
        <v>0</v>
      </c>
      <c r="ED18" s="40">
        <f t="shared" si="44"/>
        <v>1441.4097222222222</v>
      </c>
      <c r="EE18" s="41">
        <f t="shared" si="45"/>
        <v>2.4236688463334889E-3</v>
      </c>
      <c r="EG18" s="75">
        <f t="shared" si="46"/>
        <v>0</v>
      </c>
      <c r="EH18" s="40">
        <f t="shared" si="47"/>
        <v>0</v>
      </c>
      <c r="EI18" s="41">
        <f t="shared" si="48"/>
        <v>0</v>
      </c>
      <c r="EJ18" s="41"/>
      <c r="EK18" s="75">
        <f t="shared" si="49"/>
        <v>214100000</v>
      </c>
      <c r="EL18" s="75">
        <f t="shared" si="50"/>
        <v>0</v>
      </c>
      <c r="EM18" s="75">
        <f t="shared" si="51"/>
        <v>1441.4097222222222</v>
      </c>
      <c r="EN18" s="41">
        <f t="shared" si="52"/>
        <v>2.4236688463334889E-3</v>
      </c>
      <c r="EP18" s="40"/>
    </row>
    <row r="19" spans="1:146" x14ac:dyDescent="0.25">
      <c r="A19" s="25">
        <f t="shared" si="53"/>
        <v>44570</v>
      </c>
      <c r="B19" s="40">
        <v>0</v>
      </c>
      <c r="C19" s="41">
        <v>2.87075E-3</v>
      </c>
      <c r="D19" s="40">
        <f t="shared" si="2"/>
        <v>0</v>
      </c>
      <c r="G19" s="40">
        <f t="shared" si="3"/>
        <v>0</v>
      </c>
      <c r="J19" s="40">
        <f t="shared" si="4"/>
        <v>0</v>
      </c>
      <c r="M19" s="40">
        <f t="shared" si="5"/>
        <v>0</v>
      </c>
      <c r="P19" s="40">
        <f t="shared" si="6"/>
        <v>0</v>
      </c>
      <c r="S19" s="40">
        <f t="shared" si="7"/>
        <v>0</v>
      </c>
      <c r="V19" s="40">
        <f t="shared" si="8"/>
        <v>0</v>
      </c>
      <c r="Y19" s="40">
        <f t="shared" si="9"/>
        <v>0</v>
      </c>
      <c r="AB19" s="40">
        <f t="shared" si="10"/>
        <v>0</v>
      </c>
      <c r="AE19" s="40">
        <v>0</v>
      </c>
      <c r="AH19" s="40">
        <v>0</v>
      </c>
      <c r="AI19" s="172"/>
      <c r="AJ19" s="173"/>
      <c r="AK19" s="40">
        <f t="shared" si="11"/>
        <v>0</v>
      </c>
      <c r="AL19" s="172"/>
      <c r="AM19" s="173"/>
      <c r="AN19" s="40">
        <f t="shared" si="12"/>
        <v>0</v>
      </c>
      <c r="AO19" s="172">
        <f t="shared" si="1"/>
        <v>75000000</v>
      </c>
      <c r="AP19" s="173">
        <v>3.5000000000000001E-3</v>
      </c>
      <c r="AQ19" s="40">
        <f t="shared" si="13"/>
        <v>729.16666666666663</v>
      </c>
      <c r="AR19" s="172"/>
      <c r="AS19" s="173"/>
      <c r="AT19" s="40">
        <f t="shared" si="14"/>
        <v>0</v>
      </c>
      <c r="AU19" s="172">
        <f>50875000+20000000</f>
        <v>70875000</v>
      </c>
      <c r="AV19" s="173">
        <v>1.5E-3</v>
      </c>
      <c r="AW19" s="40">
        <f t="shared" si="15"/>
        <v>295.3125</v>
      </c>
      <c r="AX19" s="172">
        <v>8900000</v>
      </c>
      <c r="AY19" s="173">
        <v>2.2000000000000001E-3</v>
      </c>
      <c r="AZ19" s="40">
        <f t="shared" si="16"/>
        <v>54.388888888888886</v>
      </c>
      <c r="BA19" s="172">
        <f t="shared" si="54"/>
        <v>59325000</v>
      </c>
      <c r="BB19" s="173">
        <v>2.2000000000000001E-3</v>
      </c>
      <c r="BC19" s="40">
        <f t="shared" si="17"/>
        <v>362.54166666666669</v>
      </c>
      <c r="BD19" s="172"/>
      <c r="BE19" s="173"/>
      <c r="BF19" s="40">
        <f t="shared" si="18"/>
        <v>0</v>
      </c>
      <c r="BI19" s="40">
        <f t="shared" si="19"/>
        <v>0</v>
      </c>
      <c r="BL19" s="40">
        <f t="shared" si="20"/>
        <v>0</v>
      </c>
      <c r="BO19" s="40">
        <f t="shared" si="21"/>
        <v>0</v>
      </c>
      <c r="BR19" s="40">
        <f t="shared" si="22"/>
        <v>0</v>
      </c>
      <c r="BU19" s="40">
        <f t="shared" si="23"/>
        <v>0</v>
      </c>
      <c r="BX19" s="40">
        <f t="shared" si="24"/>
        <v>0</v>
      </c>
      <c r="CA19" s="40">
        <f t="shared" si="25"/>
        <v>0</v>
      </c>
      <c r="CD19" s="40">
        <f t="shared" si="26"/>
        <v>0</v>
      </c>
      <c r="CG19" s="40">
        <f t="shared" si="27"/>
        <v>0</v>
      </c>
      <c r="CJ19" s="40">
        <f t="shared" si="28"/>
        <v>0</v>
      </c>
      <c r="CM19" s="40">
        <f t="shared" si="29"/>
        <v>0</v>
      </c>
      <c r="CP19" s="40">
        <f t="shared" si="30"/>
        <v>0</v>
      </c>
      <c r="CS19" s="40">
        <f t="shared" si="31"/>
        <v>0</v>
      </c>
      <c r="CV19" s="40">
        <f t="shared" si="32"/>
        <v>0</v>
      </c>
      <c r="CY19" s="40">
        <f t="shared" si="33"/>
        <v>0</v>
      </c>
      <c r="DB19" s="40">
        <f t="shared" si="34"/>
        <v>0</v>
      </c>
      <c r="DE19" s="40">
        <f t="shared" si="35"/>
        <v>0</v>
      </c>
      <c r="DH19" s="40">
        <f t="shared" si="36"/>
        <v>0</v>
      </c>
      <c r="DK19" s="40">
        <f t="shared" si="37"/>
        <v>0</v>
      </c>
      <c r="DN19" s="40">
        <f t="shared" si="38"/>
        <v>0</v>
      </c>
      <c r="DQ19" s="40">
        <f t="shared" si="39"/>
        <v>0</v>
      </c>
      <c r="DT19" s="40">
        <f t="shared" si="40"/>
        <v>0</v>
      </c>
      <c r="DW19" s="40">
        <f t="shared" si="41"/>
        <v>0</v>
      </c>
      <c r="DZ19" s="40"/>
      <c r="EA19" s="40"/>
      <c r="EB19" s="75">
        <f t="shared" si="42"/>
        <v>214100000</v>
      </c>
      <c r="EC19" s="75">
        <f t="shared" si="43"/>
        <v>0</v>
      </c>
      <c r="ED19" s="40">
        <f t="shared" si="44"/>
        <v>1441.4097222222222</v>
      </c>
      <c r="EE19" s="41">
        <f t="shared" si="45"/>
        <v>2.4236688463334889E-3</v>
      </c>
      <c r="EG19" s="75">
        <f t="shared" si="46"/>
        <v>0</v>
      </c>
      <c r="EH19" s="40">
        <f t="shared" si="47"/>
        <v>0</v>
      </c>
      <c r="EI19" s="41">
        <f t="shared" si="48"/>
        <v>0</v>
      </c>
      <c r="EJ19" s="41"/>
      <c r="EK19" s="75">
        <f t="shared" si="49"/>
        <v>214100000</v>
      </c>
      <c r="EL19" s="75">
        <f t="shared" si="50"/>
        <v>0</v>
      </c>
      <c r="EM19" s="75">
        <f t="shared" si="51"/>
        <v>1441.4097222222222</v>
      </c>
      <c r="EN19" s="41">
        <f t="shared" si="52"/>
        <v>2.4236688463334889E-3</v>
      </c>
      <c r="EP19" s="40"/>
    </row>
    <row r="20" spans="1:146" x14ac:dyDescent="0.25">
      <c r="A20" s="25">
        <f t="shared" si="53"/>
        <v>44571</v>
      </c>
      <c r="B20" s="40">
        <v>0</v>
      </c>
      <c r="C20" s="41">
        <v>2.9116900000000002E-3</v>
      </c>
      <c r="D20" s="40">
        <f t="shared" si="2"/>
        <v>0</v>
      </c>
      <c r="G20" s="40">
        <f t="shared" si="3"/>
        <v>0</v>
      </c>
      <c r="J20" s="40">
        <f t="shared" si="4"/>
        <v>0</v>
      </c>
      <c r="M20" s="40">
        <f t="shared" si="5"/>
        <v>0</v>
      </c>
      <c r="P20" s="40">
        <f t="shared" si="6"/>
        <v>0</v>
      </c>
      <c r="S20" s="40">
        <f t="shared" si="7"/>
        <v>0</v>
      </c>
      <c r="V20" s="40">
        <f t="shared" si="8"/>
        <v>0</v>
      </c>
      <c r="Y20" s="40">
        <f t="shared" si="9"/>
        <v>0</v>
      </c>
      <c r="AB20" s="40">
        <f t="shared" si="10"/>
        <v>0</v>
      </c>
      <c r="AE20" s="40">
        <v>0</v>
      </c>
      <c r="AH20" s="40">
        <v>0</v>
      </c>
      <c r="AI20" s="172">
        <f>50000000+30800000+55000000</f>
        <v>135800000</v>
      </c>
      <c r="AJ20" s="173">
        <v>1.6000000000000001E-3</v>
      </c>
      <c r="AK20" s="40">
        <f t="shared" si="11"/>
        <v>603.55555555555554</v>
      </c>
      <c r="AL20" s="172"/>
      <c r="AM20" s="173"/>
      <c r="AN20" s="40">
        <f t="shared" si="12"/>
        <v>0</v>
      </c>
      <c r="AO20" s="172">
        <f t="shared" si="1"/>
        <v>75000000</v>
      </c>
      <c r="AP20" s="173">
        <v>3.5000000000000001E-3</v>
      </c>
      <c r="AQ20" s="40">
        <f t="shared" si="13"/>
        <v>729.16666666666663</v>
      </c>
      <c r="AR20" s="172"/>
      <c r="AS20" s="173"/>
      <c r="AT20" s="40">
        <f t="shared" si="14"/>
        <v>0</v>
      </c>
      <c r="AU20" s="172"/>
      <c r="AV20" s="173"/>
      <c r="AW20" s="40">
        <f t="shared" si="15"/>
        <v>0</v>
      </c>
      <c r="AX20" s="172">
        <v>8900000</v>
      </c>
      <c r="AY20" s="173">
        <v>2.2000000000000001E-3</v>
      </c>
      <c r="AZ20" s="40">
        <f t="shared" si="16"/>
        <v>54.388888888888886</v>
      </c>
      <c r="BA20" s="172">
        <f t="shared" si="54"/>
        <v>59325000</v>
      </c>
      <c r="BB20" s="173">
        <v>2.2000000000000001E-3</v>
      </c>
      <c r="BC20" s="40">
        <f t="shared" si="17"/>
        <v>362.54166666666669</v>
      </c>
      <c r="BD20" s="172"/>
      <c r="BE20" s="173"/>
      <c r="BF20" s="40">
        <f t="shared" si="18"/>
        <v>0</v>
      </c>
      <c r="BI20" s="40">
        <f t="shared" si="19"/>
        <v>0</v>
      </c>
      <c r="BL20" s="40">
        <f t="shared" si="20"/>
        <v>0</v>
      </c>
      <c r="BO20" s="40">
        <f t="shared" si="21"/>
        <v>0</v>
      </c>
      <c r="BR20" s="40">
        <f t="shared" si="22"/>
        <v>0</v>
      </c>
      <c r="BU20" s="40">
        <f t="shared" si="23"/>
        <v>0</v>
      </c>
      <c r="BX20" s="40">
        <f t="shared" si="24"/>
        <v>0</v>
      </c>
      <c r="CA20" s="40">
        <f t="shared" si="25"/>
        <v>0</v>
      </c>
      <c r="CD20" s="40">
        <f t="shared" si="26"/>
        <v>0</v>
      </c>
      <c r="CG20" s="40">
        <f t="shared" si="27"/>
        <v>0</v>
      </c>
      <c r="CJ20" s="40">
        <f t="shared" si="28"/>
        <v>0</v>
      </c>
      <c r="CM20" s="40">
        <f t="shared" si="29"/>
        <v>0</v>
      </c>
      <c r="CP20" s="40">
        <f t="shared" si="30"/>
        <v>0</v>
      </c>
      <c r="CS20" s="40">
        <f t="shared" si="31"/>
        <v>0</v>
      </c>
      <c r="CV20" s="40">
        <f t="shared" si="32"/>
        <v>0</v>
      </c>
      <c r="CY20" s="40">
        <f t="shared" si="33"/>
        <v>0</v>
      </c>
      <c r="DB20" s="40">
        <f t="shared" si="34"/>
        <v>0</v>
      </c>
      <c r="DE20" s="40">
        <f t="shared" si="35"/>
        <v>0</v>
      </c>
      <c r="DH20" s="40">
        <f t="shared" si="36"/>
        <v>0</v>
      </c>
      <c r="DK20" s="40">
        <f t="shared" si="37"/>
        <v>0</v>
      </c>
      <c r="DN20" s="40">
        <f t="shared" si="38"/>
        <v>0</v>
      </c>
      <c r="DQ20" s="40">
        <f t="shared" si="39"/>
        <v>0</v>
      </c>
      <c r="DT20" s="40">
        <f t="shared" si="40"/>
        <v>0</v>
      </c>
      <c r="DW20" s="40">
        <f t="shared" si="41"/>
        <v>0</v>
      </c>
      <c r="DZ20" s="40"/>
      <c r="EA20" s="40"/>
      <c r="EB20" s="75">
        <f t="shared" si="42"/>
        <v>279025000</v>
      </c>
      <c r="EC20" s="75">
        <f t="shared" si="43"/>
        <v>0</v>
      </c>
      <c r="ED20" s="40">
        <f t="shared" si="44"/>
        <v>1749.6527777777778</v>
      </c>
      <c r="EE20" s="41">
        <f t="shared" si="45"/>
        <v>2.2574142101962191E-3</v>
      </c>
      <c r="EG20" s="75">
        <f t="shared" si="46"/>
        <v>0</v>
      </c>
      <c r="EH20" s="40">
        <f t="shared" si="47"/>
        <v>0</v>
      </c>
      <c r="EI20" s="41">
        <f t="shared" si="48"/>
        <v>0</v>
      </c>
      <c r="EJ20" s="41"/>
      <c r="EK20" s="75">
        <f t="shared" si="49"/>
        <v>279025000</v>
      </c>
      <c r="EL20" s="75">
        <f t="shared" si="50"/>
        <v>0</v>
      </c>
      <c r="EM20" s="75">
        <f t="shared" si="51"/>
        <v>1749.6527777777778</v>
      </c>
      <c r="EN20" s="41">
        <f t="shared" si="52"/>
        <v>2.2574142101962191E-3</v>
      </c>
      <c r="EP20" s="40"/>
    </row>
    <row r="21" spans="1:146" x14ac:dyDescent="0.25">
      <c r="A21" s="25">
        <f t="shared" si="53"/>
        <v>44572</v>
      </c>
      <c r="B21" s="40">
        <v>20450000</v>
      </c>
      <c r="C21" s="41">
        <v>2.9447499999999999E-3</v>
      </c>
      <c r="D21" s="40">
        <f t="shared" si="2"/>
        <v>167.27815972222223</v>
      </c>
      <c r="G21" s="40">
        <f t="shared" si="3"/>
        <v>0</v>
      </c>
      <c r="J21" s="40">
        <f t="shared" si="4"/>
        <v>0</v>
      </c>
      <c r="M21" s="40">
        <f t="shared" si="5"/>
        <v>0</v>
      </c>
      <c r="P21" s="40">
        <f t="shared" si="6"/>
        <v>0</v>
      </c>
      <c r="S21" s="40">
        <f t="shared" si="7"/>
        <v>0</v>
      </c>
      <c r="V21" s="40">
        <f t="shared" si="8"/>
        <v>0</v>
      </c>
      <c r="Y21" s="40">
        <f t="shared" si="9"/>
        <v>0</v>
      </c>
      <c r="AB21" s="40">
        <f t="shared" si="10"/>
        <v>0</v>
      </c>
      <c r="AE21" s="40">
        <v>0</v>
      </c>
      <c r="AH21" s="40">
        <v>0</v>
      </c>
      <c r="AI21" s="172"/>
      <c r="AJ21" s="173"/>
      <c r="AK21" s="40">
        <f t="shared" si="11"/>
        <v>0</v>
      </c>
      <c r="AL21" s="172"/>
      <c r="AM21" s="173"/>
      <c r="AN21" s="40">
        <f t="shared" si="12"/>
        <v>0</v>
      </c>
      <c r="AO21" s="172">
        <f t="shared" si="1"/>
        <v>75000000</v>
      </c>
      <c r="AP21" s="173">
        <v>3.5000000000000001E-3</v>
      </c>
      <c r="AQ21" s="40">
        <f t="shared" si="13"/>
        <v>729.16666666666663</v>
      </c>
      <c r="AR21" s="172">
        <f>25000000+71875000</f>
        <v>96875000</v>
      </c>
      <c r="AS21" s="173">
        <v>2.0999999999999999E-3</v>
      </c>
      <c r="AT21" s="40">
        <f t="shared" si="14"/>
        <v>565.10416666666663</v>
      </c>
      <c r="AU21" s="172">
        <v>29550000</v>
      </c>
      <c r="AV21" s="173">
        <v>1.5E-3</v>
      </c>
      <c r="AW21" s="40">
        <f t="shared" si="15"/>
        <v>123.125</v>
      </c>
      <c r="AX21" s="172">
        <v>8900000</v>
      </c>
      <c r="AY21" s="173">
        <v>2.2000000000000001E-3</v>
      </c>
      <c r="AZ21" s="40">
        <f t="shared" si="16"/>
        <v>54.388888888888886</v>
      </c>
      <c r="BA21" s="172">
        <f t="shared" si="54"/>
        <v>59325000</v>
      </c>
      <c r="BB21" s="173">
        <v>2.2000000000000001E-3</v>
      </c>
      <c r="BC21" s="40">
        <f t="shared" si="17"/>
        <v>362.54166666666669</v>
      </c>
      <c r="BD21" s="172"/>
      <c r="BE21" s="173"/>
      <c r="BF21" s="40">
        <f t="shared" si="18"/>
        <v>0</v>
      </c>
      <c r="BI21" s="40">
        <f t="shared" si="19"/>
        <v>0</v>
      </c>
      <c r="BL21" s="40">
        <f t="shared" si="20"/>
        <v>0</v>
      </c>
      <c r="BO21" s="40">
        <f t="shared" si="21"/>
        <v>0</v>
      </c>
      <c r="BR21" s="40">
        <f t="shared" si="22"/>
        <v>0</v>
      </c>
      <c r="BU21" s="40">
        <f t="shared" si="23"/>
        <v>0</v>
      </c>
      <c r="BX21" s="40">
        <f t="shared" si="24"/>
        <v>0</v>
      </c>
      <c r="CA21" s="40">
        <f t="shared" si="25"/>
        <v>0</v>
      </c>
      <c r="CD21" s="40">
        <f t="shared" si="26"/>
        <v>0</v>
      </c>
      <c r="CG21" s="40">
        <f t="shared" si="27"/>
        <v>0</v>
      </c>
      <c r="CJ21" s="40">
        <f t="shared" si="28"/>
        <v>0</v>
      </c>
      <c r="CM21" s="40">
        <f t="shared" si="29"/>
        <v>0</v>
      </c>
      <c r="CP21" s="40">
        <f t="shared" si="30"/>
        <v>0</v>
      </c>
      <c r="CS21" s="40">
        <f t="shared" si="31"/>
        <v>0</v>
      </c>
      <c r="CV21" s="40">
        <f t="shared" si="32"/>
        <v>0</v>
      </c>
      <c r="CY21" s="40">
        <f t="shared" si="33"/>
        <v>0</v>
      </c>
      <c r="DB21" s="40">
        <f t="shared" si="34"/>
        <v>0</v>
      </c>
      <c r="DE21" s="40">
        <f t="shared" si="35"/>
        <v>0</v>
      </c>
      <c r="DH21" s="40">
        <f t="shared" si="36"/>
        <v>0</v>
      </c>
      <c r="DK21" s="40">
        <f t="shared" si="37"/>
        <v>0</v>
      </c>
      <c r="DN21" s="40">
        <f t="shared" si="38"/>
        <v>0</v>
      </c>
      <c r="DQ21" s="40">
        <f t="shared" si="39"/>
        <v>0</v>
      </c>
      <c r="DT21" s="40">
        <f t="shared" si="40"/>
        <v>0</v>
      </c>
      <c r="DW21" s="40">
        <f t="shared" si="41"/>
        <v>0</v>
      </c>
      <c r="DZ21" s="40"/>
      <c r="EA21" s="40"/>
      <c r="EB21" s="75">
        <f t="shared" si="42"/>
        <v>290100000</v>
      </c>
      <c r="EC21" s="75">
        <f t="shared" si="43"/>
        <v>20450000</v>
      </c>
      <c r="ED21" s="40">
        <f t="shared" si="44"/>
        <v>2001.6045486111111</v>
      </c>
      <c r="EE21" s="41">
        <f t="shared" si="45"/>
        <v>2.4838939589796622E-3</v>
      </c>
      <c r="EG21" s="75">
        <f t="shared" si="46"/>
        <v>0</v>
      </c>
      <c r="EH21" s="40">
        <f t="shared" si="47"/>
        <v>0</v>
      </c>
      <c r="EI21" s="41">
        <f t="shared" si="48"/>
        <v>0</v>
      </c>
      <c r="EJ21" s="41"/>
      <c r="EK21" s="75">
        <f t="shared" si="49"/>
        <v>269650000</v>
      </c>
      <c r="EL21" s="75">
        <f t="shared" si="50"/>
        <v>0</v>
      </c>
      <c r="EM21" s="75">
        <f t="shared" si="51"/>
        <v>1834.3263888888887</v>
      </c>
      <c r="EN21" s="41">
        <f t="shared" si="52"/>
        <v>2.4489430743556461E-3</v>
      </c>
      <c r="EP21" s="40"/>
    </row>
    <row r="22" spans="1:146" x14ac:dyDescent="0.25">
      <c r="A22" s="25">
        <f t="shared" si="53"/>
        <v>44573</v>
      </c>
      <c r="B22" s="40">
        <v>0</v>
      </c>
      <c r="C22" s="41">
        <v>2.5362200000000001E-3</v>
      </c>
      <c r="D22" s="40">
        <f t="shared" si="2"/>
        <v>0</v>
      </c>
      <c r="G22" s="40">
        <f t="shared" si="3"/>
        <v>0</v>
      </c>
      <c r="J22" s="40">
        <f t="shared" si="4"/>
        <v>0</v>
      </c>
      <c r="M22" s="40">
        <f t="shared" si="5"/>
        <v>0</v>
      </c>
      <c r="P22" s="40">
        <f t="shared" si="6"/>
        <v>0</v>
      </c>
      <c r="S22" s="40">
        <f t="shared" si="7"/>
        <v>0</v>
      </c>
      <c r="V22" s="40">
        <f t="shared" si="8"/>
        <v>0</v>
      </c>
      <c r="Y22" s="40">
        <f t="shared" si="9"/>
        <v>0</v>
      </c>
      <c r="AB22" s="40">
        <f t="shared" si="10"/>
        <v>0</v>
      </c>
      <c r="AE22" s="40">
        <v>0</v>
      </c>
      <c r="AH22" s="40">
        <v>0</v>
      </c>
      <c r="AI22" s="172">
        <f>45000000+4275000</f>
        <v>49275000</v>
      </c>
      <c r="AJ22" s="173">
        <v>1.6000000000000001E-3</v>
      </c>
      <c r="AK22" s="40">
        <f t="shared" si="11"/>
        <v>219</v>
      </c>
      <c r="AL22" s="172"/>
      <c r="AM22" s="173"/>
      <c r="AN22" s="40">
        <f t="shared" si="12"/>
        <v>0</v>
      </c>
      <c r="AO22" s="172">
        <f t="shared" si="1"/>
        <v>75000000</v>
      </c>
      <c r="AP22" s="173">
        <v>3.5000000000000001E-3</v>
      </c>
      <c r="AQ22" s="40">
        <f t="shared" si="13"/>
        <v>729.16666666666663</v>
      </c>
      <c r="AR22" s="172">
        <v>96875000</v>
      </c>
      <c r="AS22" s="173">
        <v>2.0999999999999999E-3</v>
      </c>
      <c r="AT22" s="40">
        <f t="shared" si="14"/>
        <v>565.10416666666663</v>
      </c>
      <c r="AU22" s="172"/>
      <c r="AV22" s="173"/>
      <c r="AW22" s="40">
        <f t="shared" si="15"/>
        <v>0</v>
      </c>
      <c r="AX22" s="172">
        <v>8900000</v>
      </c>
      <c r="AY22" s="173">
        <v>2.2000000000000001E-3</v>
      </c>
      <c r="AZ22" s="40">
        <f t="shared" si="16"/>
        <v>54.388888888888886</v>
      </c>
      <c r="BA22" s="172">
        <f t="shared" si="54"/>
        <v>59325000</v>
      </c>
      <c r="BB22" s="173">
        <v>2.2000000000000001E-3</v>
      </c>
      <c r="BC22" s="40">
        <f t="shared" si="17"/>
        <v>362.54166666666669</v>
      </c>
      <c r="BD22" s="172"/>
      <c r="BE22" s="173"/>
      <c r="BF22" s="40">
        <f t="shared" si="18"/>
        <v>0</v>
      </c>
      <c r="BI22" s="40">
        <f t="shared" si="19"/>
        <v>0</v>
      </c>
      <c r="BL22" s="40">
        <f t="shared" si="20"/>
        <v>0</v>
      </c>
      <c r="BO22" s="40">
        <f t="shared" si="21"/>
        <v>0</v>
      </c>
      <c r="BR22" s="40">
        <f t="shared" si="22"/>
        <v>0</v>
      </c>
      <c r="BU22" s="40">
        <f t="shared" si="23"/>
        <v>0</v>
      </c>
      <c r="BX22" s="40">
        <f t="shared" si="24"/>
        <v>0</v>
      </c>
      <c r="CA22" s="40">
        <f t="shared" si="25"/>
        <v>0</v>
      </c>
      <c r="CD22" s="40">
        <f t="shared" si="26"/>
        <v>0</v>
      </c>
      <c r="CG22" s="40">
        <f t="shared" si="27"/>
        <v>0</v>
      </c>
      <c r="CJ22" s="40">
        <f t="shared" si="28"/>
        <v>0</v>
      </c>
      <c r="CM22" s="40">
        <f t="shared" si="29"/>
        <v>0</v>
      </c>
      <c r="CP22" s="40">
        <f t="shared" si="30"/>
        <v>0</v>
      </c>
      <c r="CS22" s="40">
        <f t="shared" si="31"/>
        <v>0</v>
      </c>
      <c r="CV22" s="40">
        <f t="shared" si="32"/>
        <v>0</v>
      </c>
      <c r="CY22" s="40">
        <f t="shared" si="33"/>
        <v>0</v>
      </c>
      <c r="DB22" s="40">
        <f t="shared" si="34"/>
        <v>0</v>
      </c>
      <c r="DE22" s="40">
        <f t="shared" si="35"/>
        <v>0</v>
      </c>
      <c r="DH22" s="40">
        <f t="shared" si="36"/>
        <v>0</v>
      </c>
      <c r="DK22" s="40">
        <f t="shared" si="37"/>
        <v>0</v>
      </c>
      <c r="DN22" s="40">
        <f t="shared" si="38"/>
        <v>0</v>
      </c>
      <c r="DQ22" s="40">
        <f t="shared" si="39"/>
        <v>0</v>
      </c>
      <c r="DT22" s="40">
        <f t="shared" si="40"/>
        <v>0</v>
      </c>
      <c r="DW22" s="40">
        <f t="shared" si="41"/>
        <v>0</v>
      </c>
      <c r="DZ22" s="40"/>
      <c r="EA22" s="40"/>
      <c r="EB22" s="75">
        <f t="shared" si="42"/>
        <v>289375000</v>
      </c>
      <c r="EC22" s="75">
        <f t="shared" si="43"/>
        <v>0</v>
      </c>
      <c r="ED22" s="40">
        <f t="shared" si="44"/>
        <v>1930.2013888888889</v>
      </c>
      <c r="EE22" s="41">
        <f t="shared" si="45"/>
        <v>2.4012872570194385E-3</v>
      </c>
      <c r="EG22" s="75">
        <f t="shared" si="46"/>
        <v>0</v>
      </c>
      <c r="EH22" s="40">
        <f t="shared" si="47"/>
        <v>0</v>
      </c>
      <c r="EI22" s="41">
        <f t="shared" si="48"/>
        <v>0</v>
      </c>
      <c r="EJ22" s="41"/>
      <c r="EK22" s="75">
        <f t="shared" si="49"/>
        <v>289375000</v>
      </c>
      <c r="EL22" s="75">
        <f t="shared" si="50"/>
        <v>0</v>
      </c>
      <c r="EM22" s="75">
        <f t="shared" si="51"/>
        <v>1930.2013888888887</v>
      </c>
      <c r="EN22" s="41">
        <f t="shared" si="52"/>
        <v>2.4012872570194381E-3</v>
      </c>
      <c r="EP22" s="40"/>
    </row>
    <row r="23" spans="1:146" x14ac:dyDescent="0.25">
      <c r="A23" s="25">
        <f t="shared" si="53"/>
        <v>44574</v>
      </c>
      <c r="B23" s="40">
        <v>0</v>
      </c>
      <c r="C23" s="41">
        <v>2.4624199999999999E-3</v>
      </c>
      <c r="D23" s="40">
        <f t="shared" si="2"/>
        <v>0</v>
      </c>
      <c r="G23" s="40">
        <f t="shared" si="3"/>
        <v>0</v>
      </c>
      <c r="J23" s="40">
        <f t="shared" si="4"/>
        <v>0</v>
      </c>
      <c r="M23" s="40">
        <f t="shared" si="5"/>
        <v>0</v>
      </c>
      <c r="P23" s="40">
        <f t="shared" si="6"/>
        <v>0</v>
      </c>
      <c r="S23" s="40">
        <f t="shared" si="7"/>
        <v>0</v>
      </c>
      <c r="V23" s="40">
        <f t="shared" si="8"/>
        <v>0</v>
      </c>
      <c r="Y23" s="40">
        <f t="shared" si="9"/>
        <v>0</v>
      </c>
      <c r="AB23" s="40">
        <f t="shared" si="10"/>
        <v>0</v>
      </c>
      <c r="AE23" s="40">
        <v>0</v>
      </c>
      <c r="AH23" s="40">
        <v>0</v>
      </c>
      <c r="AI23" s="172">
        <f>70000000+39025000</f>
        <v>109025000</v>
      </c>
      <c r="AJ23" s="173">
        <v>1.6000000000000001E-3</v>
      </c>
      <c r="AK23" s="40">
        <f t="shared" si="11"/>
        <v>484.55555555555554</v>
      </c>
      <c r="AL23" s="172"/>
      <c r="AM23" s="173"/>
      <c r="AN23" s="40">
        <f t="shared" si="12"/>
        <v>0</v>
      </c>
      <c r="AO23" s="172">
        <f t="shared" si="1"/>
        <v>75000000</v>
      </c>
      <c r="AP23" s="173">
        <v>3.5000000000000001E-3</v>
      </c>
      <c r="AQ23" s="40">
        <f t="shared" si="13"/>
        <v>729.16666666666663</v>
      </c>
      <c r="AR23" s="172">
        <v>96875000</v>
      </c>
      <c r="AS23" s="173">
        <v>2.0999999999999999E-3</v>
      </c>
      <c r="AT23" s="40">
        <f t="shared" si="14"/>
        <v>565.10416666666663</v>
      </c>
      <c r="AU23" s="172"/>
      <c r="AV23" s="173"/>
      <c r="AW23" s="40">
        <f t="shared" si="15"/>
        <v>0</v>
      </c>
      <c r="AX23" s="172">
        <v>8900000</v>
      </c>
      <c r="AY23" s="173">
        <v>2.2000000000000001E-3</v>
      </c>
      <c r="AZ23" s="40">
        <f t="shared" si="16"/>
        <v>54.388888888888886</v>
      </c>
      <c r="BA23" s="172">
        <f t="shared" si="54"/>
        <v>59325000</v>
      </c>
      <c r="BB23" s="173">
        <v>2.2000000000000001E-3</v>
      </c>
      <c r="BC23" s="40">
        <f t="shared" si="17"/>
        <v>362.54166666666669</v>
      </c>
      <c r="BD23" s="172"/>
      <c r="BE23" s="173"/>
      <c r="BF23" s="40">
        <f t="shared" si="18"/>
        <v>0</v>
      </c>
      <c r="BI23" s="40">
        <f t="shared" si="19"/>
        <v>0</v>
      </c>
      <c r="BL23" s="40">
        <f t="shared" si="20"/>
        <v>0</v>
      </c>
      <c r="BO23" s="40">
        <f t="shared" si="21"/>
        <v>0</v>
      </c>
      <c r="BR23" s="40">
        <f t="shared" si="22"/>
        <v>0</v>
      </c>
      <c r="BU23" s="40">
        <f t="shared" si="23"/>
        <v>0</v>
      </c>
      <c r="BX23" s="40">
        <f t="shared" si="24"/>
        <v>0</v>
      </c>
      <c r="CA23" s="40">
        <f t="shared" si="25"/>
        <v>0</v>
      </c>
      <c r="CD23" s="40">
        <f t="shared" si="26"/>
        <v>0</v>
      </c>
      <c r="CG23" s="40">
        <f t="shared" si="27"/>
        <v>0</v>
      </c>
      <c r="CJ23" s="40">
        <f t="shared" si="28"/>
        <v>0</v>
      </c>
      <c r="CM23" s="40">
        <f t="shared" si="29"/>
        <v>0</v>
      </c>
      <c r="CP23" s="40">
        <f t="shared" si="30"/>
        <v>0</v>
      </c>
      <c r="CS23" s="40">
        <f t="shared" si="31"/>
        <v>0</v>
      </c>
      <c r="CV23" s="40">
        <f t="shared" si="32"/>
        <v>0</v>
      </c>
      <c r="CY23" s="40">
        <f t="shared" si="33"/>
        <v>0</v>
      </c>
      <c r="DB23" s="40">
        <f t="shared" si="34"/>
        <v>0</v>
      </c>
      <c r="DE23" s="40">
        <f t="shared" si="35"/>
        <v>0</v>
      </c>
      <c r="DH23" s="40">
        <f t="shared" si="36"/>
        <v>0</v>
      </c>
      <c r="DK23" s="40">
        <f t="shared" si="37"/>
        <v>0</v>
      </c>
      <c r="DN23" s="40">
        <f t="shared" si="38"/>
        <v>0</v>
      </c>
      <c r="DQ23" s="40">
        <f t="shared" si="39"/>
        <v>0</v>
      </c>
      <c r="DT23" s="40">
        <f t="shared" si="40"/>
        <v>0</v>
      </c>
      <c r="DW23" s="40">
        <f t="shared" si="41"/>
        <v>0</v>
      </c>
      <c r="DZ23" s="40"/>
      <c r="EA23" s="40"/>
      <c r="EB23" s="75">
        <f t="shared" si="42"/>
        <v>349125000</v>
      </c>
      <c r="EC23" s="75">
        <f t="shared" si="43"/>
        <v>0</v>
      </c>
      <c r="ED23" s="40">
        <f t="shared" si="44"/>
        <v>2195.7569444444443</v>
      </c>
      <c r="EE23" s="41">
        <f t="shared" si="45"/>
        <v>2.2641532402434658E-3</v>
      </c>
      <c r="EG23" s="75">
        <f t="shared" si="46"/>
        <v>0</v>
      </c>
      <c r="EH23" s="40">
        <f t="shared" si="47"/>
        <v>0</v>
      </c>
      <c r="EI23" s="41">
        <f t="shared" si="48"/>
        <v>0</v>
      </c>
      <c r="EJ23" s="41"/>
      <c r="EK23" s="75">
        <f t="shared" si="49"/>
        <v>349125000</v>
      </c>
      <c r="EL23" s="75">
        <f t="shared" si="50"/>
        <v>0</v>
      </c>
      <c r="EM23" s="75">
        <f t="shared" si="51"/>
        <v>2195.7569444444443</v>
      </c>
      <c r="EN23" s="41">
        <f t="shared" si="52"/>
        <v>2.2641532402434658E-3</v>
      </c>
      <c r="EP23" s="40"/>
    </row>
    <row r="24" spans="1:146" x14ac:dyDescent="0.25">
      <c r="A24" s="25">
        <f t="shared" si="53"/>
        <v>44575</v>
      </c>
      <c r="B24" s="40">
        <v>0</v>
      </c>
      <c r="C24" s="41">
        <v>2.3081399999999998E-3</v>
      </c>
      <c r="D24" s="40">
        <f t="shared" si="2"/>
        <v>0</v>
      </c>
      <c r="G24" s="40">
        <f t="shared" si="3"/>
        <v>0</v>
      </c>
      <c r="J24" s="40">
        <f t="shared" si="4"/>
        <v>0</v>
      </c>
      <c r="M24" s="40">
        <f t="shared" si="5"/>
        <v>0</v>
      </c>
      <c r="P24" s="40">
        <f t="shared" si="6"/>
        <v>0</v>
      </c>
      <c r="S24" s="40">
        <f t="shared" si="7"/>
        <v>0</v>
      </c>
      <c r="V24" s="40">
        <f t="shared" si="8"/>
        <v>0</v>
      </c>
      <c r="Y24" s="40">
        <f t="shared" si="9"/>
        <v>0</v>
      </c>
      <c r="AB24" s="40">
        <f t="shared" si="10"/>
        <v>0</v>
      </c>
      <c r="AE24" s="40">
        <v>0</v>
      </c>
      <c r="AH24" s="40">
        <v>0</v>
      </c>
      <c r="AI24" s="172">
        <v>64850000</v>
      </c>
      <c r="AJ24" s="173">
        <v>1.6000000000000001E-3</v>
      </c>
      <c r="AK24" s="40">
        <f t="shared" si="11"/>
        <v>288.22222222222223</v>
      </c>
      <c r="AL24" s="172">
        <v>45000000</v>
      </c>
      <c r="AM24" s="173">
        <v>2.2000000000000001E-3</v>
      </c>
      <c r="AN24" s="40">
        <f t="shared" si="12"/>
        <v>275</v>
      </c>
      <c r="AO24" s="172">
        <f t="shared" si="1"/>
        <v>75000000</v>
      </c>
      <c r="AP24" s="173">
        <v>3.5000000000000001E-3</v>
      </c>
      <c r="AQ24" s="40">
        <f t="shared" si="13"/>
        <v>729.16666666666663</v>
      </c>
      <c r="AR24" s="172">
        <v>96875000</v>
      </c>
      <c r="AS24" s="173">
        <v>2.0999999999999999E-3</v>
      </c>
      <c r="AT24" s="40">
        <f t="shared" si="14"/>
        <v>565.10416666666663</v>
      </c>
      <c r="AU24" s="172"/>
      <c r="AV24" s="173"/>
      <c r="AW24" s="40">
        <f t="shared" si="15"/>
        <v>0</v>
      </c>
      <c r="AX24" s="172">
        <v>8900000</v>
      </c>
      <c r="AY24" s="173">
        <v>2.2000000000000001E-3</v>
      </c>
      <c r="AZ24" s="40">
        <f t="shared" si="16"/>
        <v>54.388888888888886</v>
      </c>
      <c r="BA24" s="172">
        <f t="shared" si="54"/>
        <v>59325000</v>
      </c>
      <c r="BB24" s="173">
        <v>2.2000000000000001E-3</v>
      </c>
      <c r="BC24" s="40">
        <f t="shared" si="17"/>
        <v>362.54166666666669</v>
      </c>
      <c r="BD24" s="172"/>
      <c r="BE24" s="173"/>
      <c r="BF24" s="40">
        <f t="shared" si="18"/>
        <v>0</v>
      </c>
      <c r="BI24" s="40">
        <f t="shared" si="19"/>
        <v>0</v>
      </c>
      <c r="BL24" s="40">
        <f t="shared" si="20"/>
        <v>0</v>
      </c>
      <c r="BO24" s="40">
        <f t="shared" si="21"/>
        <v>0</v>
      </c>
      <c r="BR24" s="40">
        <f t="shared" si="22"/>
        <v>0</v>
      </c>
      <c r="BU24" s="40">
        <f t="shared" si="23"/>
        <v>0</v>
      </c>
      <c r="BX24" s="40">
        <f t="shared" si="24"/>
        <v>0</v>
      </c>
      <c r="CA24" s="40">
        <f t="shared" si="25"/>
        <v>0</v>
      </c>
      <c r="CD24" s="40">
        <f t="shared" si="26"/>
        <v>0</v>
      </c>
      <c r="CG24" s="40">
        <f t="shared" si="27"/>
        <v>0</v>
      </c>
      <c r="CJ24" s="40">
        <f t="shared" si="28"/>
        <v>0</v>
      </c>
      <c r="CM24" s="40">
        <f t="shared" si="29"/>
        <v>0</v>
      </c>
      <c r="CP24" s="40">
        <f t="shared" si="30"/>
        <v>0</v>
      </c>
      <c r="CS24" s="40">
        <f t="shared" si="31"/>
        <v>0</v>
      </c>
      <c r="CV24" s="40">
        <f t="shared" si="32"/>
        <v>0</v>
      </c>
      <c r="CY24" s="40">
        <f t="shared" si="33"/>
        <v>0</v>
      </c>
      <c r="DB24" s="40">
        <f t="shared" si="34"/>
        <v>0</v>
      </c>
      <c r="DE24" s="40">
        <f t="shared" si="35"/>
        <v>0</v>
      </c>
      <c r="DH24" s="40">
        <f t="shared" si="36"/>
        <v>0</v>
      </c>
      <c r="DK24" s="40">
        <f t="shared" si="37"/>
        <v>0</v>
      </c>
      <c r="DN24" s="40">
        <f t="shared" si="38"/>
        <v>0</v>
      </c>
      <c r="DQ24" s="40">
        <f t="shared" si="39"/>
        <v>0</v>
      </c>
      <c r="DT24" s="40">
        <f t="shared" si="40"/>
        <v>0</v>
      </c>
      <c r="DW24" s="40">
        <f t="shared" si="41"/>
        <v>0</v>
      </c>
      <c r="DZ24" s="40"/>
      <c r="EA24" s="40"/>
      <c r="EB24" s="75">
        <f t="shared" si="42"/>
        <v>349950000</v>
      </c>
      <c r="EC24" s="75">
        <f t="shared" si="43"/>
        <v>0</v>
      </c>
      <c r="ED24" s="40">
        <f t="shared" si="44"/>
        <v>2274.4236111111109</v>
      </c>
      <c r="EE24" s="41">
        <f t="shared" si="45"/>
        <v>2.3397413916273753E-3</v>
      </c>
      <c r="EG24" s="75">
        <f t="shared" si="46"/>
        <v>0</v>
      </c>
      <c r="EH24" s="40">
        <f t="shared" si="47"/>
        <v>0</v>
      </c>
      <c r="EI24" s="41">
        <f t="shared" si="48"/>
        <v>0</v>
      </c>
      <c r="EJ24" s="41"/>
      <c r="EK24" s="75">
        <f t="shared" si="49"/>
        <v>349950000</v>
      </c>
      <c r="EL24" s="75">
        <f t="shared" si="50"/>
        <v>0</v>
      </c>
      <c r="EM24" s="75">
        <f t="shared" si="51"/>
        <v>2274.4236111111109</v>
      </c>
      <c r="EN24" s="41">
        <f t="shared" si="52"/>
        <v>2.3397413916273753E-3</v>
      </c>
      <c r="EP24" s="40"/>
    </row>
    <row r="25" spans="1:146" x14ac:dyDescent="0.25">
      <c r="A25" s="25">
        <f t="shared" si="53"/>
        <v>44576</v>
      </c>
      <c r="B25" s="40">
        <v>0</v>
      </c>
      <c r="C25" s="41">
        <v>2.3081399999999998E-3</v>
      </c>
      <c r="D25" s="40">
        <f t="shared" si="2"/>
        <v>0</v>
      </c>
      <c r="G25" s="40">
        <f t="shared" si="3"/>
        <v>0</v>
      </c>
      <c r="J25" s="40">
        <f t="shared" si="4"/>
        <v>0</v>
      </c>
      <c r="M25" s="40">
        <f t="shared" si="5"/>
        <v>0</v>
      </c>
      <c r="P25" s="40">
        <f t="shared" si="6"/>
        <v>0</v>
      </c>
      <c r="S25" s="40">
        <f t="shared" si="7"/>
        <v>0</v>
      </c>
      <c r="V25" s="40">
        <f t="shared" si="8"/>
        <v>0</v>
      </c>
      <c r="Y25" s="40">
        <f t="shared" si="9"/>
        <v>0</v>
      </c>
      <c r="AB25" s="40">
        <f t="shared" si="10"/>
        <v>0</v>
      </c>
      <c r="AE25" s="40">
        <v>0</v>
      </c>
      <c r="AH25" s="40">
        <v>0</v>
      </c>
      <c r="AI25" s="172">
        <v>64850000</v>
      </c>
      <c r="AJ25" s="173">
        <v>1.6000000000000001E-3</v>
      </c>
      <c r="AK25" s="40">
        <f t="shared" si="11"/>
        <v>288.22222222222223</v>
      </c>
      <c r="AL25" s="172">
        <v>45000000</v>
      </c>
      <c r="AM25" s="173">
        <v>2.2000000000000001E-3</v>
      </c>
      <c r="AN25" s="40">
        <f t="shared" si="12"/>
        <v>275</v>
      </c>
      <c r="AO25" s="172">
        <f t="shared" si="1"/>
        <v>75000000</v>
      </c>
      <c r="AP25" s="173">
        <v>3.5000000000000001E-3</v>
      </c>
      <c r="AQ25" s="40">
        <f t="shared" si="13"/>
        <v>729.16666666666663</v>
      </c>
      <c r="AR25" s="172">
        <v>96875000</v>
      </c>
      <c r="AS25" s="173">
        <v>2.0999999999999999E-3</v>
      </c>
      <c r="AT25" s="40">
        <f t="shared" si="14"/>
        <v>565.10416666666663</v>
      </c>
      <c r="AU25" s="172"/>
      <c r="AV25" s="173"/>
      <c r="AW25" s="40">
        <f t="shared" si="15"/>
        <v>0</v>
      </c>
      <c r="AX25" s="172">
        <v>8900000</v>
      </c>
      <c r="AY25" s="173">
        <v>2.2000000000000001E-3</v>
      </c>
      <c r="AZ25" s="40">
        <f t="shared" si="16"/>
        <v>54.388888888888886</v>
      </c>
      <c r="BA25" s="172">
        <f t="shared" si="54"/>
        <v>59325000</v>
      </c>
      <c r="BB25" s="173">
        <v>2.2000000000000001E-3</v>
      </c>
      <c r="BC25" s="40">
        <f t="shared" si="17"/>
        <v>362.54166666666669</v>
      </c>
      <c r="BD25" s="172"/>
      <c r="BE25" s="173"/>
      <c r="BF25" s="40">
        <f t="shared" si="18"/>
        <v>0</v>
      </c>
      <c r="BI25" s="40">
        <f t="shared" si="19"/>
        <v>0</v>
      </c>
      <c r="BL25" s="40">
        <f t="shared" si="20"/>
        <v>0</v>
      </c>
      <c r="BO25" s="40">
        <f t="shared" si="21"/>
        <v>0</v>
      </c>
      <c r="BR25" s="40">
        <f t="shared" si="22"/>
        <v>0</v>
      </c>
      <c r="BU25" s="40">
        <f t="shared" si="23"/>
        <v>0</v>
      </c>
      <c r="BX25" s="40">
        <f t="shared" si="24"/>
        <v>0</v>
      </c>
      <c r="CA25" s="40">
        <f t="shared" si="25"/>
        <v>0</v>
      </c>
      <c r="CD25" s="40">
        <f t="shared" si="26"/>
        <v>0</v>
      </c>
      <c r="CG25" s="40">
        <f t="shared" si="27"/>
        <v>0</v>
      </c>
      <c r="CJ25" s="40">
        <f t="shared" si="28"/>
        <v>0</v>
      </c>
      <c r="CM25" s="40">
        <f t="shared" si="29"/>
        <v>0</v>
      </c>
      <c r="CP25" s="40">
        <f t="shared" si="30"/>
        <v>0</v>
      </c>
      <c r="CS25" s="40">
        <f t="shared" si="31"/>
        <v>0</v>
      </c>
      <c r="CV25" s="40">
        <f t="shared" si="32"/>
        <v>0</v>
      </c>
      <c r="CY25" s="40">
        <f t="shared" si="33"/>
        <v>0</v>
      </c>
      <c r="DB25" s="40">
        <f t="shared" si="34"/>
        <v>0</v>
      </c>
      <c r="DE25" s="40">
        <f t="shared" si="35"/>
        <v>0</v>
      </c>
      <c r="DH25" s="40">
        <f t="shared" si="36"/>
        <v>0</v>
      </c>
      <c r="DK25" s="40">
        <f t="shared" si="37"/>
        <v>0</v>
      </c>
      <c r="DN25" s="40">
        <f t="shared" si="38"/>
        <v>0</v>
      </c>
      <c r="DQ25" s="40">
        <f t="shared" si="39"/>
        <v>0</v>
      </c>
      <c r="DT25" s="40">
        <f t="shared" si="40"/>
        <v>0</v>
      </c>
      <c r="DW25" s="40">
        <f t="shared" si="41"/>
        <v>0</v>
      </c>
      <c r="DZ25" s="40"/>
      <c r="EA25" s="40"/>
      <c r="EB25" s="75">
        <f t="shared" si="42"/>
        <v>349950000</v>
      </c>
      <c r="EC25" s="75">
        <f t="shared" si="43"/>
        <v>0</v>
      </c>
      <c r="ED25" s="40">
        <f t="shared" si="44"/>
        <v>2274.4236111111109</v>
      </c>
      <c r="EE25" s="41">
        <f t="shared" si="45"/>
        <v>2.3397413916273753E-3</v>
      </c>
      <c r="EG25" s="75">
        <f t="shared" si="46"/>
        <v>0</v>
      </c>
      <c r="EH25" s="40">
        <f t="shared" si="47"/>
        <v>0</v>
      </c>
      <c r="EI25" s="41">
        <f t="shared" si="48"/>
        <v>0</v>
      </c>
      <c r="EJ25" s="41"/>
      <c r="EK25" s="75">
        <f t="shared" si="49"/>
        <v>349950000</v>
      </c>
      <c r="EL25" s="75">
        <f t="shared" si="50"/>
        <v>0</v>
      </c>
      <c r="EM25" s="75">
        <f t="shared" si="51"/>
        <v>2274.4236111111109</v>
      </c>
      <c r="EN25" s="41">
        <f t="shared" si="52"/>
        <v>2.3397413916273753E-3</v>
      </c>
      <c r="EP25" s="40"/>
    </row>
    <row r="26" spans="1:146" x14ac:dyDescent="0.25">
      <c r="A26" s="25">
        <f t="shared" si="53"/>
        <v>44577</v>
      </c>
      <c r="B26" s="40">
        <v>0</v>
      </c>
      <c r="C26" s="41">
        <v>2.3081399999999998E-3</v>
      </c>
      <c r="D26" s="40">
        <f t="shared" si="2"/>
        <v>0</v>
      </c>
      <c r="G26" s="40">
        <f t="shared" si="3"/>
        <v>0</v>
      </c>
      <c r="J26" s="40">
        <f t="shared" si="4"/>
        <v>0</v>
      </c>
      <c r="M26" s="40">
        <f t="shared" si="5"/>
        <v>0</v>
      </c>
      <c r="P26" s="40">
        <f t="shared" si="6"/>
        <v>0</v>
      </c>
      <c r="S26" s="40">
        <f t="shared" si="7"/>
        <v>0</v>
      </c>
      <c r="V26" s="40">
        <f t="shared" si="8"/>
        <v>0</v>
      </c>
      <c r="Y26" s="40">
        <f t="shared" si="9"/>
        <v>0</v>
      </c>
      <c r="AB26" s="40">
        <f t="shared" si="10"/>
        <v>0</v>
      </c>
      <c r="AE26" s="40">
        <v>0</v>
      </c>
      <c r="AH26" s="40">
        <v>0</v>
      </c>
      <c r="AI26" s="172">
        <v>64850000</v>
      </c>
      <c r="AJ26" s="173">
        <v>1.6000000000000001E-3</v>
      </c>
      <c r="AK26" s="40">
        <f t="shared" si="11"/>
        <v>288.22222222222223</v>
      </c>
      <c r="AL26" s="172">
        <v>45000000</v>
      </c>
      <c r="AM26" s="173">
        <v>2.2000000000000001E-3</v>
      </c>
      <c r="AN26" s="40">
        <f t="shared" si="12"/>
        <v>275</v>
      </c>
      <c r="AO26" s="172">
        <f t="shared" si="1"/>
        <v>75000000</v>
      </c>
      <c r="AP26" s="173">
        <v>3.5000000000000001E-3</v>
      </c>
      <c r="AQ26" s="40">
        <f t="shared" si="13"/>
        <v>729.16666666666663</v>
      </c>
      <c r="AR26" s="172">
        <v>96875000</v>
      </c>
      <c r="AS26" s="173">
        <v>2.0999999999999999E-3</v>
      </c>
      <c r="AT26" s="40">
        <f t="shared" si="14"/>
        <v>565.10416666666663</v>
      </c>
      <c r="AU26" s="172"/>
      <c r="AV26" s="173"/>
      <c r="AW26" s="40">
        <f t="shared" si="15"/>
        <v>0</v>
      </c>
      <c r="AX26" s="172">
        <v>8900000</v>
      </c>
      <c r="AY26" s="173">
        <v>2.2000000000000001E-3</v>
      </c>
      <c r="AZ26" s="40">
        <f t="shared" si="16"/>
        <v>54.388888888888886</v>
      </c>
      <c r="BA26" s="172">
        <f t="shared" si="54"/>
        <v>59325000</v>
      </c>
      <c r="BB26" s="173">
        <v>2.2000000000000001E-3</v>
      </c>
      <c r="BC26" s="40">
        <f t="shared" si="17"/>
        <v>362.54166666666669</v>
      </c>
      <c r="BD26" s="172"/>
      <c r="BE26" s="173"/>
      <c r="BF26" s="40">
        <f t="shared" si="18"/>
        <v>0</v>
      </c>
      <c r="BI26" s="40">
        <f t="shared" si="19"/>
        <v>0</v>
      </c>
      <c r="BL26" s="40">
        <f t="shared" si="20"/>
        <v>0</v>
      </c>
      <c r="BO26" s="40">
        <f t="shared" si="21"/>
        <v>0</v>
      </c>
      <c r="BR26" s="40">
        <f t="shared" si="22"/>
        <v>0</v>
      </c>
      <c r="BU26" s="40">
        <f t="shared" si="23"/>
        <v>0</v>
      </c>
      <c r="BX26" s="40">
        <f t="shared" si="24"/>
        <v>0</v>
      </c>
      <c r="CA26" s="40">
        <f t="shared" si="25"/>
        <v>0</v>
      </c>
      <c r="CD26" s="40">
        <f t="shared" si="26"/>
        <v>0</v>
      </c>
      <c r="CG26" s="40">
        <f t="shared" si="27"/>
        <v>0</v>
      </c>
      <c r="CJ26" s="40">
        <f t="shared" si="28"/>
        <v>0</v>
      </c>
      <c r="CM26" s="40">
        <f t="shared" si="29"/>
        <v>0</v>
      </c>
      <c r="CP26" s="40">
        <f t="shared" si="30"/>
        <v>0</v>
      </c>
      <c r="CS26" s="40">
        <f t="shared" si="31"/>
        <v>0</v>
      </c>
      <c r="CV26" s="40">
        <f t="shared" si="32"/>
        <v>0</v>
      </c>
      <c r="CY26" s="40">
        <f t="shared" si="33"/>
        <v>0</v>
      </c>
      <c r="DB26" s="40">
        <f t="shared" si="34"/>
        <v>0</v>
      </c>
      <c r="DE26" s="40">
        <f t="shared" si="35"/>
        <v>0</v>
      </c>
      <c r="DH26" s="40">
        <f t="shared" si="36"/>
        <v>0</v>
      </c>
      <c r="DK26" s="40">
        <f t="shared" si="37"/>
        <v>0</v>
      </c>
      <c r="DN26" s="40">
        <f t="shared" si="38"/>
        <v>0</v>
      </c>
      <c r="DQ26" s="40">
        <f t="shared" si="39"/>
        <v>0</v>
      </c>
      <c r="DT26" s="40">
        <f t="shared" si="40"/>
        <v>0</v>
      </c>
      <c r="DW26" s="40">
        <f t="shared" si="41"/>
        <v>0</v>
      </c>
      <c r="DZ26" s="40"/>
      <c r="EA26" s="40"/>
      <c r="EB26" s="75">
        <f t="shared" si="42"/>
        <v>349950000</v>
      </c>
      <c r="EC26" s="75">
        <f t="shared" si="43"/>
        <v>0</v>
      </c>
      <c r="ED26" s="40">
        <f t="shared" si="44"/>
        <v>2274.4236111111109</v>
      </c>
      <c r="EE26" s="41">
        <f t="shared" si="45"/>
        <v>2.3397413916273753E-3</v>
      </c>
      <c r="EG26" s="75">
        <f t="shared" si="46"/>
        <v>0</v>
      </c>
      <c r="EH26" s="40">
        <f t="shared" si="47"/>
        <v>0</v>
      </c>
      <c r="EI26" s="41">
        <f t="shared" si="48"/>
        <v>0</v>
      </c>
      <c r="EJ26" s="41"/>
      <c r="EK26" s="75">
        <f t="shared" si="49"/>
        <v>349950000</v>
      </c>
      <c r="EL26" s="75">
        <f t="shared" si="50"/>
        <v>0</v>
      </c>
      <c r="EM26" s="75">
        <f t="shared" si="51"/>
        <v>2274.4236111111109</v>
      </c>
      <c r="EN26" s="41">
        <f t="shared" si="52"/>
        <v>2.3397413916273753E-3</v>
      </c>
      <c r="EP26" s="40"/>
    </row>
    <row r="27" spans="1:146" x14ac:dyDescent="0.25">
      <c r="A27" s="25">
        <f t="shared" si="53"/>
        <v>44578</v>
      </c>
      <c r="B27" s="40">
        <v>0</v>
      </c>
      <c r="C27" s="41">
        <v>2.3081399999999998E-3</v>
      </c>
      <c r="D27" s="40">
        <f t="shared" si="2"/>
        <v>0</v>
      </c>
      <c r="G27" s="40">
        <f t="shared" si="3"/>
        <v>0</v>
      </c>
      <c r="J27" s="40">
        <f t="shared" si="4"/>
        <v>0</v>
      </c>
      <c r="M27" s="40">
        <f t="shared" si="5"/>
        <v>0</v>
      </c>
      <c r="P27" s="40">
        <f t="shared" si="6"/>
        <v>0</v>
      </c>
      <c r="S27" s="40">
        <f t="shared" si="7"/>
        <v>0</v>
      </c>
      <c r="V27" s="40">
        <f t="shared" si="8"/>
        <v>0</v>
      </c>
      <c r="Y27" s="40">
        <f t="shared" si="9"/>
        <v>0</v>
      </c>
      <c r="AB27" s="40">
        <f t="shared" si="10"/>
        <v>0</v>
      </c>
      <c r="AE27" s="40">
        <v>0</v>
      </c>
      <c r="AH27" s="40">
        <v>0</v>
      </c>
      <c r="AI27" s="172">
        <v>64850000</v>
      </c>
      <c r="AJ27" s="173">
        <v>1.6000000000000001E-3</v>
      </c>
      <c r="AK27" s="40">
        <f t="shared" si="11"/>
        <v>288.22222222222223</v>
      </c>
      <c r="AL27" s="172">
        <v>45000000</v>
      </c>
      <c r="AM27" s="173">
        <v>2.2000000000000001E-3</v>
      </c>
      <c r="AN27" s="40">
        <f t="shared" si="12"/>
        <v>275</v>
      </c>
      <c r="AO27" s="172">
        <f t="shared" si="1"/>
        <v>75000000</v>
      </c>
      <c r="AP27" s="173">
        <v>3.5000000000000001E-3</v>
      </c>
      <c r="AQ27" s="40">
        <f t="shared" si="13"/>
        <v>729.16666666666663</v>
      </c>
      <c r="AR27" s="172">
        <v>96875000</v>
      </c>
      <c r="AS27" s="173">
        <v>2.0999999999999999E-3</v>
      </c>
      <c r="AT27" s="40">
        <f t="shared" si="14"/>
        <v>565.10416666666663</v>
      </c>
      <c r="AU27" s="172"/>
      <c r="AV27" s="173"/>
      <c r="AW27" s="40">
        <f t="shared" si="15"/>
        <v>0</v>
      </c>
      <c r="AX27" s="172">
        <v>8900000</v>
      </c>
      <c r="AY27" s="173">
        <v>2.2000000000000001E-3</v>
      </c>
      <c r="AZ27" s="40">
        <f t="shared" si="16"/>
        <v>54.388888888888886</v>
      </c>
      <c r="BA27" s="172">
        <f t="shared" si="54"/>
        <v>59325000</v>
      </c>
      <c r="BB27" s="173">
        <v>2.2000000000000001E-3</v>
      </c>
      <c r="BC27" s="40">
        <f t="shared" si="17"/>
        <v>362.54166666666669</v>
      </c>
      <c r="BD27" s="172"/>
      <c r="BE27" s="173"/>
      <c r="BF27" s="40">
        <f t="shared" si="18"/>
        <v>0</v>
      </c>
      <c r="BI27" s="40">
        <f t="shared" si="19"/>
        <v>0</v>
      </c>
      <c r="BL27" s="40">
        <f t="shared" si="20"/>
        <v>0</v>
      </c>
      <c r="BO27" s="40">
        <f t="shared" si="21"/>
        <v>0</v>
      </c>
      <c r="BR27" s="40">
        <f t="shared" si="22"/>
        <v>0</v>
      </c>
      <c r="BU27" s="40">
        <f t="shared" si="23"/>
        <v>0</v>
      </c>
      <c r="BX27" s="40">
        <f t="shared" si="24"/>
        <v>0</v>
      </c>
      <c r="CA27" s="40">
        <f t="shared" si="25"/>
        <v>0</v>
      </c>
      <c r="CD27" s="40">
        <f t="shared" si="26"/>
        <v>0</v>
      </c>
      <c r="CG27" s="40">
        <f t="shared" si="27"/>
        <v>0</v>
      </c>
      <c r="CJ27" s="40">
        <f t="shared" si="28"/>
        <v>0</v>
      </c>
      <c r="CM27" s="40">
        <f t="shared" si="29"/>
        <v>0</v>
      </c>
      <c r="CP27" s="40">
        <f t="shared" si="30"/>
        <v>0</v>
      </c>
      <c r="CS27" s="40">
        <f t="shared" si="31"/>
        <v>0</v>
      </c>
      <c r="CV27" s="40">
        <f t="shared" si="32"/>
        <v>0</v>
      </c>
      <c r="CY27" s="40">
        <f t="shared" si="33"/>
        <v>0</v>
      </c>
      <c r="DB27" s="40">
        <f t="shared" si="34"/>
        <v>0</v>
      </c>
      <c r="DE27" s="40">
        <f t="shared" si="35"/>
        <v>0</v>
      </c>
      <c r="DH27" s="40">
        <f t="shared" si="36"/>
        <v>0</v>
      </c>
      <c r="DK27" s="40">
        <f t="shared" si="37"/>
        <v>0</v>
      </c>
      <c r="DN27" s="40">
        <f t="shared" si="38"/>
        <v>0</v>
      </c>
      <c r="DQ27" s="40">
        <f t="shared" si="39"/>
        <v>0</v>
      </c>
      <c r="DT27" s="40">
        <f t="shared" si="40"/>
        <v>0</v>
      </c>
      <c r="DW27" s="40">
        <f t="shared" si="41"/>
        <v>0</v>
      </c>
      <c r="DZ27" s="40"/>
      <c r="EA27" s="40"/>
      <c r="EB27" s="75">
        <f t="shared" si="42"/>
        <v>349950000</v>
      </c>
      <c r="EC27" s="75">
        <f t="shared" si="43"/>
        <v>0</v>
      </c>
      <c r="ED27" s="40">
        <f t="shared" si="44"/>
        <v>2274.4236111111109</v>
      </c>
      <c r="EE27" s="41">
        <f t="shared" si="45"/>
        <v>2.3397413916273753E-3</v>
      </c>
      <c r="EG27" s="75">
        <f t="shared" si="46"/>
        <v>0</v>
      </c>
      <c r="EH27" s="40">
        <f t="shared" si="47"/>
        <v>0</v>
      </c>
      <c r="EI27" s="41">
        <f t="shared" si="48"/>
        <v>0</v>
      </c>
      <c r="EJ27" s="41"/>
      <c r="EK27" s="75">
        <f t="shared" si="49"/>
        <v>349950000</v>
      </c>
      <c r="EL27" s="75">
        <f t="shared" si="50"/>
        <v>0</v>
      </c>
      <c r="EM27" s="75">
        <f t="shared" si="51"/>
        <v>2274.4236111111109</v>
      </c>
      <c r="EN27" s="41">
        <f t="shared" si="52"/>
        <v>2.3397413916273753E-3</v>
      </c>
      <c r="EP27" s="40"/>
    </row>
    <row r="28" spans="1:146" x14ac:dyDescent="0.25">
      <c r="A28" s="25">
        <f t="shared" si="53"/>
        <v>44579</v>
      </c>
      <c r="B28" s="40">
        <v>0</v>
      </c>
      <c r="C28" s="41">
        <v>2.0077700000000003E-3</v>
      </c>
      <c r="D28" s="40">
        <f t="shared" si="2"/>
        <v>0</v>
      </c>
      <c r="G28" s="40">
        <f t="shared" si="3"/>
        <v>0</v>
      </c>
      <c r="J28" s="40">
        <f t="shared" si="4"/>
        <v>0</v>
      </c>
      <c r="M28" s="40">
        <f t="shared" si="5"/>
        <v>0</v>
      </c>
      <c r="P28" s="40">
        <f t="shared" si="6"/>
        <v>0</v>
      </c>
      <c r="S28" s="40">
        <f t="shared" si="7"/>
        <v>0</v>
      </c>
      <c r="V28" s="40">
        <f t="shared" si="8"/>
        <v>0</v>
      </c>
      <c r="Y28" s="40">
        <f t="shared" si="9"/>
        <v>0</v>
      </c>
      <c r="AB28" s="40">
        <f t="shared" si="10"/>
        <v>0</v>
      </c>
      <c r="AE28" s="40">
        <v>0</v>
      </c>
      <c r="AH28" s="40">
        <v>0</v>
      </c>
      <c r="AI28" s="172">
        <f>69175000</f>
        <v>69175000</v>
      </c>
      <c r="AJ28" s="173">
        <v>1.6000000000000001E-3</v>
      </c>
      <c r="AK28" s="40">
        <f t="shared" si="11"/>
        <v>307.44444444444446</v>
      </c>
      <c r="AL28" s="172">
        <v>45000000</v>
      </c>
      <c r="AM28" s="173">
        <v>2.2000000000000001E-3</v>
      </c>
      <c r="AN28" s="40">
        <f t="shared" si="12"/>
        <v>275</v>
      </c>
      <c r="AO28" s="172">
        <f t="shared" si="1"/>
        <v>75000000</v>
      </c>
      <c r="AP28" s="173">
        <v>3.5000000000000001E-3</v>
      </c>
      <c r="AQ28" s="40">
        <f t="shared" si="13"/>
        <v>729.16666666666663</v>
      </c>
      <c r="AR28" s="172">
        <v>96875000</v>
      </c>
      <c r="AS28" s="173">
        <v>2.0999999999999999E-3</v>
      </c>
      <c r="AT28" s="40">
        <f t="shared" si="14"/>
        <v>565.10416666666663</v>
      </c>
      <c r="AU28" s="172"/>
      <c r="AV28" s="173"/>
      <c r="AW28" s="40">
        <f t="shared" si="15"/>
        <v>0</v>
      </c>
      <c r="AX28" s="172">
        <v>8900000</v>
      </c>
      <c r="AY28" s="173">
        <v>2.2000000000000001E-3</v>
      </c>
      <c r="AZ28" s="40">
        <f t="shared" si="16"/>
        <v>54.388888888888886</v>
      </c>
      <c r="BA28" s="172">
        <f t="shared" si="54"/>
        <v>59325000</v>
      </c>
      <c r="BB28" s="173">
        <v>2.2000000000000001E-3</v>
      </c>
      <c r="BC28" s="40">
        <f t="shared" si="17"/>
        <v>362.54166666666669</v>
      </c>
      <c r="BD28" s="172"/>
      <c r="BE28" s="173"/>
      <c r="BF28" s="40">
        <f t="shared" si="18"/>
        <v>0</v>
      </c>
      <c r="BI28" s="40">
        <f t="shared" si="19"/>
        <v>0</v>
      </c>
      <c r="BL28" s="40">
        <f t="shared" si="20"/>
        <v>0</v>
      </c>
      <c r="BO28" s="40">
        <f t="shared" si="21"/>
        <v>0</v>
      </c>
      <c r="BR28" s="40">
        <f t="shared" si="22"/>
        <v>0</v>
      </c>
      <c r="BU28" s="40">
        <f t="shared" si="23"/>
        <v>0</v>
      </c>
      <c r="BX28" s="40">
        <f t="shared" si="24"/>
        <v>0</v>
      </c>
      <c r="CA28" s="40">
        <f t="shared" si="25"/>
        <v>0</v>
      </c>
      <c r="CD28" s="40">
        <f t="shared" si="26"/>
        <v>0</v>
      </c>
      <c r="CG28" s="40">
        <f t="shared" si="27"/>
        <v>0</v>
      </c>
      <c r="CJ28" s="40">
        <f t="shared" si="28"/>
        <v>0</v>
      </c>
      <c r="CM28" s="40">
        <f t="shared" si="29"/>
        <v>0</v>
      </c>
      <c r="CP28" s="40">
        <f t="shared" si="30"/>
        <v>0</v>
      </c>
      <c r="CS28" s="40">
        <f t="shared" si="31"/>
        <v>0</v>
      </c>
      <c r="CV28" s="40">
        <f t="shared" si="32"/>
        <v>0</v>
      </c>
      <c r="CY28" s="40">
        <f t="shared" si="33"/>
        <v>0</v>
      </c>
      <c r="DB28" s="40">
        <f t="shared" si="34"/>
        <v>0</v>
      </c>
      <c r="DE28" s="40">
        <f t="shared" si="35"/>
        <v>0</v>
      </c>
      <c r="DH28" s="40">
        <f t="shared" si="36"/>
        <v>0</v>
      </c>
      <c r="DK28" s="40">
        <f t="shared" si="37"/>
        <v>0</v>
      </c>
      <c r="DN28" s="40">
        <f t="shared" si="38"/>
        <v>0</v>
      </c>
      <c r="DQ28" s="40">
        <f t="shared" si="39"/>
        <v>0</v>
      </c>
      <c r="DT28" s="40">
        <f t="shared" si="40"/>
        <v>0</v>
      </c>
      <c r="DW28" s="40">
        <f t="shared" si="41"/>
        <v>0</v>
      </c>
      <c r="DZ28" s="40"/>
      <c r="EA28" s="40"/>
      <c r="EB28" s="75">
        <f t="shared" si="42"/>
        <v>354275000</v>
      </c>
      <c r="EC28" s="75">
        <f t="shared" si="43"/>
        <v>0</v>
      </c>
      <c r="ED28" s="40">
        <f t="shared" si="44"/>
        <v>2293.6458333333335</v>
      </c>
      <c r="EE28" s="41">
        <f t="shared" si="45"/>
        <v>2.3307106061675252E-3</v>
      </c>
      <c r="EG28" s="75">
        <f t="shared" si="46"/>
        <v>0</v>
      </c>
      <c r="EH28" s="40">
        <f t="shared" si="47"/>
        <v>0</v>
      </c>
      <c r="EI28" s="41">
        <f t="shared" si="48"/>
        <v>0</v>
      </c>
      <c r="EJ28" s="41"/>
      <c r="EK28" s="75">
        <f t="shared" si="49"/>
        <v>354275000</v>
      </c>
      <c r="EL28" s="75">
        <f t="shared" si="50"/>
        <v>0</v>
      </c>
      <c r="EM28" s="75">
        <f t="shared" si="51"/>
        <v>2293.645833333333</v>
      </c>
      <c r="EN28" s="41">
        <f t="shared" si="52"/>
        <v>2.3307106061675248E-3</v>
      </c>
      <c r="EP28" s="40"/>
    </row>
    <row r="29" spans="1:146" x14ac:dyDescent="0.25">
      <c r="A29" s="25">
        <f t="shared" si="53"/>
        <v>44580</v>
      </c>
      <c r="B29" s="40">
        <v>0</v>
      </c>
      <c r="C29" s="41">
        <v>2.0159700000000002E-3</v>
      </c>
      <c r="D29" s="40">
        <f t="shared" si="2"/>
        <v>0</v>
      </c>
      <c r="G29" s="40">
        <f t="shared" si="3"/>
        <v>0</v>
      </c>
      <c r="J29" s="40">
        <f t="shared" si="4"/>
        <v>0</v>
      </c>
      <c r="M29" s="40">
        <f t="shared" si="5"/>
        <v>0</v>
      </c>
      <c r="P29" s="40">
        <f t="shared" si="6"/>
        <v>0</v>
      </c>
      <c r="S29" s="40">
        <f t="shared" si="7"/>
        <v>0</v>
      </c>
      <c r="V29" s="40">
        <f t="shared" si="8"/>
        <v>0</v>
      </c>
      <c r="Y29" s="40">
        <f t="shared" si="9"/>
        <v>0</v>
      </c>
      <c r="AB29" s="40">
        <f t="shared" si="10"/>
        <v>0</v>
      </c>
      <c r="AE29" s="40">
        <v>0</v>
      </c>
      <c r="AH29" s="40">
        <v>0</v>
      </c>
      <c r="AI29" s="172">
        <f>60350000</f>
        <v>60350000</v>
      </c>
      <c r="AJ29" s="173">
        <v>1.6000000000000001E-3</v>
      </c>
      <c r="AK29" s="40">
        <f t="shared" si="11"/>
        <v>268.22222222222223</v>
      </c>
      <c r="AL29" s="172">
        <v>45000000</v>
      </c>
      <c r="AM29" s="173">
        <v>2.2000000000000001E-3</v>
      </c>
      <c r="AN29" s="40">
        <f t="shared" si="12"/>
        <v>275</v>
      </c>
      <c r="AO29" s="172">
        <f t="shared" si="1"/>
        <v>75000000</v>
      </c>
      <c r="AP29" s="173">
        <v>2.5000000000000001E-3</v>
      </c>
      <c r="AQ29" s="40">
        <f t="shared" si="13"/>
        <v>520.83333333333337</v>
      </c>
      <c r="AR29" s="172">
        <v>96875000</v>
      </c>
      <c r="AS29" s="173">
        <v>2.0999999999999999E-3</v>
      </c>
      <c r="AT29" s="40">
        <f t="shared" si="14"/>
        <v>565.10416666666663</v>
      </c>
      <c r="AU29" s="172"/>
      <c r="AV29" s="173"/>
      <c r="AW29" s="40">
        <f t="shared" si="15"/>
        <v>0</v>
      </c>
      <c r="AX29" s="172">
        <v>8900000</v>
      </c>
      <c r="AY29" s="173">
        <v>2.2000000000000001E-3</v>
      </c>
      <c r="AZ29" s="40">
        <f t="shared" si="16"/>
        <v>54.388888888888886</v>
      </c>
      <c r="BA29" s="172">
        <f t="shared" si="54"/>
        <v>59325000</v>
      </c>
      <c r="BB29" s="173">
        <v>2.2000000000000001E-3</v>
      </c>
      <c r="BC29" s="40">
        <f t="shared" si="17"/>
        <v>362.54166666666669</v>
      </c>
      <c r="BD29" s="172"/>
      <c r="BE29" s="173"/>
      <c r="BF29" s="40">
        <f t="shared" si="18"/>
        <v>0</v>
      </c>
      <c r="BI29" s="40">
        <f t="shared" si="19"/>
        <v>0</v>
      </c>
      <c r="BL29" s="40">
        <f t="shared" si="20"/>
        <v>0</v>
      </c>
      <c r="BO29" s="40">
        <f t="shared" si="21"/>
        <v>0</v>
      </c>
      <c r="BR29" s="40">
        <f t="shared" si="22"/>
        <v>0</v>
      </c>
      <c r="BU29" s="40">
        <f t="shared" si="23"/>
        <v>0</v>
      </c>
      <c r="BX29" s="40">
        <f t="shared" si="24"/>
        <v>0</v>
      </c>
      <c r="CA29" s="40">
        <f t="shared" si="25"/>
        <v>0</v>
      </c>
      <c r="CD29" s="40">
        <f t="shared" si="26"/>
        <v>0</v>
      </c>
      <c r="CG29" s="40">
        <f t="shared" si="27"/>
        <v>0</v>
      </c>
      <c r="CJ29" s="40">
        <f t="shared" si="28"/>
        <v>0</v>
      </c>
      <c r="CM29" s="40">
        <f t="shared" si="29"/>
        <v>0</v>
      </c>
      <c r="CP29" s="40">
        <f t="shared" si="30"/>
        <v>0</v>
      </c>
      <c r="CS29" s="40">
        <f t="shared" si="31"/>
        <v>0</v>
      </c>
      <c r="CV29" s="40">
        <f t="shared" si="32"/>
        <v>0</v>
      </c>
      <c r="CY29" s="40">
        <f t="shared" si="33"/>
        <v>0</v>
      </c>
      <c r="DB29" s="40">
        <f t="shared" si="34"/>
        <v>0</v>
      </c>
      <c r="DE29" s="40">
        <f t="shared" si="35"/>
        <v>0</v>
      </c>
      <c r="DH29" s="40">
        <f t="shared" si="36"/>
        <v>0</v>
      </c>
      <c r="DK29" s="40">
        <f t="shared" si="37"/>
        <v>0</v>
      </c>
      <c r="DN29" s="40">
        <f t="shared" si="38"/>
        <v>0</v>
      </c>
      <c r="DQ29" s="40">
        <f t="shared" si="39"/>
        <v>0</v>
      </c>
      <c r="DT29" s="40">
        <f t="shared" si="40"/>
        <v>0</v>
      </c>
      <c r="DW29" s="40">
        <f t="shared" si="41"/>
        <v>0</v>
      </c>
      <c r="DZ29" s="40"/>
      <c r="EA29" s="40"/>
      <c r="EB29" s="75">
        <f t="shared" si="42"/>
        <v>345450000</v>
      </c>
      <c r="EC29" s="75">
        <f t="shared" si="43"/>
        <v>0</v>
      </c>
      <c r="ED29" s="40">
        <f t="shared" si="44"/>
        <v>2046.0902777777778</v>
      </c>
      <c r="EE29" s="41">
        <f t="shared" si="45"/>
        <v>2.1322695035460994E-3</v>
      </c>
      <c r="EG29" s="75">
        <f t="shared" si="46"/>
        <v>0</v>
      </c>
      <c r="EH29" s="40">
        <f t="shared" si="47"/>
        <v>0</v>
      </c>
      <c r="EI29" s="41">
        <f t="shared" si="48"/>
        <v>0</v>
      </c>
      <c r="EJ29" s="41"/>
      <c r="EK29" s="75">
        <f t="shared" si="49"/>
        <v>345450000</v>
      </c>
      <c r="EL29" s="75">
        <f t="shared" si="50"/>
        <v>0</v>
      </c>
      <c r="EM29" s="75">
        <f t="shared" si="51"/>
        <v>2046.0902777777778</v>
      </c>
      <c r="EN29" s="41">
        <f t="shared" si="52"/>
        <v>2.1322695035460994E-3</v>
      </c>
      <c r="EP29" s="40"/>
    </row>
    <row r="30" spans="1:146" x14ac:dyDescent="0.25">
      <c r="A30" s="25">
        <f t="shared" si="53"/>
        <v>44581</v>
      </c>
      <c r="B30" s="40">
        <v>0</v>
      </c>
      <c r="C30" s="41">
        <v>2.1629800000000001E-3</v>
      </c>
      <c r="D30" s="40">
        <f t="shared" si="2"/>
        <v>0</v>
      </c>
      <c r="G30" s="40">
        <f t="shared" si="3"/>
        <v>0</v>
      </c>
      <c r="J30" s="40">
        <f t="shared" si="4"/>
        <v>0</v>
      </c>
      <c r="M30" s="40">
        <f t="shared" si="5"/>
        <v>0</v>
      </c>
      <c r="P30" s="40">
        <f t="shared" si="6"/>
        <v>0</v>
      </c>
      <c r="S30" s="40">
        <f t="shared" si="7"/>
        <v>0</v>
      </c>
      <c r="V30" s="40">
        <f t="shared" si="8"/>
        <v>0</v>
      </c>
      <c r="Y30" s="40">
        <f t="shared" si="9"/>
        <v>0</v>
      </c>
      <c r="AB30" s="40">
        <f t="shared" si="10"/>
        <v>0</v>
      </c>
      <c r="AE30" s="40">
        <v>0</v>
      </c>
      <c r="AH30" s="40">
        <v>0</v>
      </c>
      <c r="AI30" s="172">
        <f>88575000</f>
        <v>88575000</v>
      </c>
      <c r="AJ30" s="173">
        <v>1.6000000000000001E-3</v>
      </c>
      <c r="AK30" s="40">
        <f t="shared" si="11"/>
        <v>393.66666666666669</v>
      </c>
      <c r="AL30" s="172">
        <v>45000000</v>
      </c>
      <c r="AM30" s="173">
        <v>2.2000000000000001E-3</v>
      </c>
      <c r="AN30" s="40">
        <f t="shared" si="12"/>
        <v>275</v>
      </c>
      <c r="AO30" s="172">
        <f t="shared" si="1"/>
        <v>75000000</v>
      </c>
      <c r="AP30" s="173">
        <v>2.5000000000000001E-3</v>
      </c>
      <c r="AQ30" s="40">
        <f t="shared" si="13"/>
        <v>520.83333333333337</v>
      </c>
      <c r="AR30" s="172">
        <v>96875000</v>
      </c>
      <c r="AS30" s="173">
        <v>2.0999999999999999E-3</v>
      </c>
      <c r="AT30" s="40">
        <f t="shared" si="14"/>
        <v>565.10416666666663</v>
      </c>
      <c r="AU30" s="172"/>
      <c r="AV30" s="173"/>
      <c r="AW30" s="40">
        <f t="shared" si="15"/>
        <v>0</v>
      </c>
      <c r="AX30" s="172">
        <v>8900000</v>
      </c>
      <c r="AY30" s="173">
        <v>2.2000000000000001E-3</v>
      </c>
      <c r="AZ30" s="40">
        <f t="shared" si="16"/>
        <v>54.388888888888886</v>
      </c>
      <c r="BA30" s="172">
        <f t="shared" si="54"/>
        <v>59325000</v>
      </c>
      <c r="BB30" s="173">
        <v>2.2000000000000001E-3</v>
      </c>
      <c r="BC30" s="40">
        <f t="shared" si="17"/>
        <v>362.54166666666669</v>
      </c>
      <c r="BD30" s="172"/>
      <c r="BE30" s="173"/>
      <c r="BF30" s="40">
        <f t="shared" si="18"/>
        <v>0</v>
      </c>
      <c r="BI30" s="40">
        <f t="shared" si="19"/>
        <v>0</v>
      </c>
      <c r="BL30" s="40">
        <f t="shared" si="20"/>
        <v>0</v>
      </c>
      <c r="BO30" s="40">
        <f t="shared" si="21"/>
        <v>0</v>
      </c>
      <c r="BR30" s="40">
        <f t="shared" si="22"/>
        <v>0</v>
      </c>
      <c r="BU30" s="40">
        <f t="shared" si="23"/>
        <v>0</v>
      </c>
      <c r="BX30" s="40">
        <f t="shared" si="24"/>
        <v>0</v>
      </c>
      <c r="CA30" s="40">
        <f t="shared" si="25"/>
        <v>0</v>
      </c>
      <c r="CD30" s="40">
        <f t="shared" si="26"/>
        <v>0</v>
      </c>
      <c r="CG30" s="40">
        <f t="shared" si="27"/>
        <v>0</v>
      </c>
      <c r="CJ30" s="40">
        <f t="shared" si="28"/>
        <v>0</v>
      </c>
      <c r="CM30" s="40">
        <f t="shared" si="29"/>
        <v>0</v>
      </c>
      <c r="CP30" s="40">
        <f t="shared" si="30"/>
        <v>0</v>
      </c>
      <c r="CS30" s="40">
        <f t="shared" si="31"/>
        <v>0</v>
      </c>
      <c r="CV30" s="40">
        <f t="shared" si="32"/>
        <v>0</v>
      </c>
      <c r="CY30" s="40">
        <f t="shared" si="33"/>
        <v>0</v>
      </c>
      <c r="DB30" s="40">
        <f t="shared" si="34"/>
        <v>0</v>
      </c>
      <c r="DE30" s="40">
        <f t="shared" si="35"/>
        <v>0</v>
      </c>
      <c r="DH30" s="40">
        <f t="shared" si="36"/>
        <v>0</v>
      </c>
      <c r="DK30" s="40">
        <f t="shared" si="37"/>
        <v>0</v>
      </c>
      <c r="DN30" s="40">
        <f t="shared" si="38"/>
        <v>0</v>
      </c>
      <c r="DQ30" s="40">
        <f t="shared" si="39"/>
        <v>0</v>
      </c>
      <c r="DT30" s="40">
        <f t="shared" si="40"/>
        <v>0</v>
      </c>
      <c r="DW30" s="40">
        <f t="shared" si="41"/>
        <v>0</v>
      </c>
      <c r="DZ30" s="40"/>
      <c r="EA30" s="40"/>
      <c r="EB30" s="75">
        <f t="shared" si="42"/>
        <v>373675000</v>
      </c>
      <c r="EC30" s="75">
        <f t="shared" si="43"/>
        <v>0</v>
      </c>
      <c r="ED30" s="40">
        <f t="shared" si="44"/>
        <v>2171.5347222222222</v>
      </c>
      <c r="EE30" s="41">
        <f t="shared" si="45"/>
        <v>2.0920652973840906E-3</v>
      </c>
      <c r="EG30" s="75">
        <f t="shared" si="46"/>
        <v>0</v>
      </c>
      <c r="EH30" s="40">
        <f t="shared" si="47"/>
        <v>0</v>
      </c>
      <c r="EI30" s="41">
        <f t="shared" si="48"/>
        <v>0</v>
      </c>
      <c r="EJ30" s="41"/>
      <c r="EK30" s="75">
        <f t="shared" si="49"/>
        <v>373675000</v>
      </c>
      <c r="EL30" s="75">
        <f t="shared" si="50"/>
        <v>0</v>
      </c>
      <c r="EM30" s="75">
        <f t="shared" si="51"/>
        <v>2171.5347222222222</v>
      </c>
      <c r="EN30" s="41">
        <f t="shared" si="52"/>
        <v>2.0920652973840906E-3</v>
      </c>
      <c r="EP30" s="40"/>
    </row>
    <row r="31" spans="1:146" x14ac:dyDescent="0.25">
      <c r="A31" s="25">
        <f t="shared" si="53"/>
        <v>44582</v>
      </c>
      <c r="B31" s="40">
        <v>0</v>
      </c>
      <c r="C31" s="41">
        <v>2.1475700000000001E-3</v>
      </c>
      <c r="D31" s="40">
        <f t="shared" si="2"/>
        <v>0</v>
      </c>
      <c r="G31" s="40">
        <f t="shared" si="3"/>
        <v>0</v>
      </c>
      <c r="J31" s="40">
        <f t="shared" si="4"/>
        <v>0</v>
      </c>
      <c r="M31" s="40">
        <f t="shared" si="5"/>
        <v>0</v>
      </c>
      <c r="P31" s="40">
        <f t="shared" si="6"/>
        <v>0</v>
      </c>
      <c r="S31" s="40">
        <f t="shared" si="7"/>
        <v>0</v>
      </c>
      <c r="V31" s="40">
        <f t="shared" si="8"/>
        <v>0</v>
      </c>
      <c r="Y31" s="40">
        <f t="shared" si="9"/>
        <v>0</v>
      </c>
      <c r="AB31" s="40">
        <f t="shared" si="10"/>
        <v>0</v>
      </c>
      <c r="AE31" s="40">
        <v>0</v>
      </c>
      <c r="AH31" s="40">
        <v>0</v>
      </c>
      <c r="AI31" s="172">
        <f>50000000</f>
        <v>50000000</v>
      </c>
      <c r="AJ31" s="173">
        <v>1.6000000000000001E-3</v>
      </c>
      <c r="AK31" s="40">
        <f t="shared" si="11"/>
        <v>222.22222222222223</v>
      </c>
      <c r="AL31" s="172">
        <v>45000000</v>
      </c>
      <c r="AM31" s="173">
        <v>2.2000000000000001E-3</v>
      </c>
      <c r="AN31" s="40">
        <f t="shared" si="12"/>
        <v>275</v>
      </c>
      <c r="AO31" s="172">
        <f t="shared" si="1"/>
        <v>75000000</v>
      </c>
      <c r="AP31" s="173">
        <v>2.5000000000000001E-3</v>
      </c>
      <c r="AQ31" s="40">
        <f t="shared" si="13"/>
        <v>520.83333333333337</v>
      </c>
      <c r="AR31" s="172">
        <v>96875000</v>
      </c>
      <c r="AS31" s="173">
        <v>2.0999999999999999E-3</v>
      </c>
      <c r="AT31" s="40">
        <f t="shared" si="14"/>
        <v>565.10416666666663</v>
      </c>
      <c r="AU31" s="172">
        <f t="shared" ref="AU31:AU41" si="55">46100000</f>
        <v>46100000</v>
      </c>
      <c r="AV31" s="173">
        <v>2.8E-3</v>
      </c>
      <c r="AW31" s="40">
        <f t="shared" si="15"/>
        <v>358.55555555555554</v>
      </c>
      <c r="AX31" s="172">
        <v>8900000</v>
      </c>
      <c r="AY31" s="173">
        <v>2.2000000000000001E-3</v>
      </c>
      <c r="AZ31" s="40">
        <f t="shared" si="16"/>
        <v>54.388888888888886</v>
      </c>
      <c r="BA31" s="172">
        <f t="shared" si="54"/>
        <v>59325000</v>
      </c>
      <c r="BB31" s="173">
        <v>2.2000000000000001E-3</v>
      </c>
      <c r="BC31" s="40">
        <f t="shared" si="17"/>
        <v>362.54166666666669</v>
      </c>
      <c r="BD31" s="172"/>
      <c r="BE31" s="173"/>
      <c r="BF31" s="40">
        <f t="shared" si="18"/>
        <v>0</v>
      </c>
      <c r="BI31" s="40">
        <f t="shared" si="19"/>
        <v>0</v>
      </c>
      <c r="BL31" s="40">
        <f t="shared" si="20"/>
        <v>0</v>
      </c>
      <c r="BO31" s="40">
        <f t="shared" si="21"/>
        <v>0</v>
      </c>
      <c r="BR31" s="40">
        <f t="shared" si="22"/>
        <v>0</v>
      </c>
      <c r="BU31" s="40">
        <f t="shared" si="23"/>
        <v>0</v>
      </c>
      <c r="BX31" s="40">
        <f t="shared" si="24"/>
        <v>0</v>
      </c>
      <c r="CA31" s="40">
        <f t="shared" si="25"/>
        <v>0</v>
      </c>
      <c r="CD31" s="40">
        <f t="shared" si="26"/>
        <v>0</v>
      </c>
      <c r="CG31" s="40">
        <f t="shared" si="27"/>
        <v>0</v>
      </c>
      <c r="CJ31" s="40">
        <f t="shared" si="28"/>
        <v>0</v>
      </c>
      <c r="CM31" s="40">
        <f t="shared" si="29"/>
        <v>0</v>
      </c>
      <c r="CP31" s="40">
        <f t="shared" si="30"/>
        <v>0</v>
      </c>
      <c r="CS31" s="40">
        <f t="shared" si="31"/>
        <v>0</v>
      </c>
      <c r="CV31" s="40">
        <f t="shared" si="32"/>
        <v>0</v>
      </c>
      <c r="CY31" s="40">
        <f t="shared" si="33"/>
        <v>0</v>
      </c>
      <c r="DB31" s="40">
        <f t="shared" si="34"/>
        <v>0</v>
      </c>
      <c r="DE31" s="40">
        <f t="shared" si="35"/>
        <v>0</v>
      </c>
      <c r="DH31" s="40">
        <f t="shared" si="36"/>
        <v>0</v>
      </c>
      <c r="DK31" s="40">
        <f t="shared" si="37"/>
        <v>0</v>
      </c>
      <c r="DN31" s="40">
        <f t="shared" si="38"/>
        <v>0</v>
      </c>
      <c r="DQ31" s="40">
        <f t="shared" si="39"/>
        <v>0</v>
      </c>
      <c r="DT31" s="40">
        <f t="shared" si="40"/>
        <v>0</v>
      </c>
      <c r="DW31" s="40">
        <f t="shared" si="41"/>
        <v>0</v>
      </c>
      <c r="DZ31" s="40"/>
      <c r="EA31" s="40"/>
      <c r="EB31" s="75">
        <f t="shared" si="42"/>
        <v>381200000</v>
      </c>
      <c r="EC31" s="75">
        <f t="shared" si="43"/>
        <v>0</v>
      </c>
      <c r="ED31" s="40">
        <f t="shared" si="44"/>
        <v>2358.6458333333335</v>
      </c>
      <c r="EE31" s="41">
        <f t="shared" si="45"/>
        <v>2.2274724554039874E-3</v>
      </c>
      <c r="EG31" s="75">
        <f t="shared" si="46"/>
        <v>0</v>
      </c>
      <c r="EH31" s="40">
        <f t="shared" si="47"/>
        <v>0</v>
      </c>
      <c r="EI31" s="41">
        <f t="shared" si="48"/>
        <v>0</v>
      </c>
      <c r="EJ31" s="41"/>
      <c r="EK31" s="75">
        <f t="shared" si="49"/>
        <v>381200000</v>
      </c>
      <c r="EL31" s="75">
        <f t="shared" si="50"/>
        <v>0</v>
      </c>
      <c r="EM31" s="75">
        <f t="shared" si="51"/>
        <v>2358.6458333333335</v>
      </c>
      <c r="EN31" s="41">
        <f t="shared" si="52"/>
        <v>2.2274724554039874E-3</v>
      </c>
      <c r="EP31" s="40"/>
    </row>
    <row r="32" spans="1:146" x14ac:dyDescent="0.25">
      <c r="A32" s="25">
        <f t="shared" si="53"/>
        <v>44583</v>
      </c>
      <c r="B32" s="40">
        <v>0</v>
      </c>
      <c r="C32" s="41">
        <v>2.1475700000000001E-3</v>
      </c>
      <c r="D32" s="40">
        <f t="shared" si="2"/>
        <v>0</v>
      </c>
      <c r="G32" s="40">
        <f t="shared" si="3"/>
        <v>0</v>
      </c>
      <c r="J32" s="40">
        <f t="shared" si="4"/>
        <v>0</v>
      </c>
      <c r="M32" s="40">
        <f t="shared" si="5"/>
        <v>0</v>
      </c>
      <c r="P32" s="40">
        <f t="shared" si="6"/>
        <v>0</v>
      </c>
      <c r="S32" s="40">
        <f t="shared" si="7"/>
        <v>0</v>
      </c>
      <c r="V32" s="40">
        <f t="shared" si="8"/>
        <v>0</v>
      </c>
      <c r="Y32" s="40">
        <f t="shared" si="9"/>
        <v>0</v>
      </c>
      <c r="AB32" s="40">
        <f t="shared" si="10"/>
        <v>0</v>
      </c>
      <c r="AE32" s="40">
        <v>0</v>
      </c>
      <c r="AH32" s="40">
        <v>0</v>
      </c>
      <c r="AI32" s="172">
        <f>50000000</f>
        <v>50000000</v>
      </c>
      <c r="AJ32" s="173">
        <v>1.6000000000000001E-3</v>
      </c>
      <c r="AK32" s="40">
        <f t="shared" si="11"/>
        <v>222.22222222222223</v>
      </c>
      <c r="AL32" s="172">
        <v>45000000</v>
      </c>
      <c r="AM32" s="173">
        <v>2.2000000000000001E-3</v>
      </c>
      <c r="AN32" s="40">
        <f t="shared" si="12"/>
        <v>275</v>
      </c>
      <c r="AO32" s="172">
        <f t="shared" si="1"/>
        <v>75000000</v>
      </c>
      <c r="AP32" s="173">
        <v>2.5000000000000001E-3</v>
      </c>
      <c r="AQ32" s="40">
        <f t="shared" si="13"/>
        <v>520.83333333333337</v>
      </c>
      <c r="AR32" s="172">
        <v>96875000</v>
      </c>
      <c r="AS32" s="173">
        <v>2.0999999999999999E-3</v>
      </c>
      <c r="AT32" s="40">
        <f t="shared" si="14"/>
        <v>565.10416666666663</v>
      </c>
      <c r="AU32" s="172">
        <f t="shared" si="55"/>
        <v>46100000</v>
      </c>
      <c r="AV32" s="173">
        <v>2.8E-3</v>
      </c>
      <c r="AW32" s="40">
        <f t="shared" si="15"/>
        <v>358.55555555555554</v>
      </c>
      <c r="AX32" s="172">
        <v>8900000</v>
      </c>
      <c r="AY32" s="173">
        <v>2.2000000000000001E-3</v>
      </c>
      <c r="AZ32" s="40">
        <f t="shared" si="16"/>
        <v>54.388888888888886</v>
      </c>
      <c r="BA32" s="172">
        <f t="shared" si="54"/>
        <v>59325000</v>
      </c>
      <c r="BB32" s="173">
        <v>2.2000000000000001E-3</v>
      </c>
      <c r="BC32" s="40">
        <f t="shared" si="17"/>
        <v>362.54166666666669</v>
      </c>
      <c r="BD32" s="172"/>
      <c r="BE32" s="173"/>
      <c r="BF32" s="40">
        <f t="shared" si="18"/>
        <v>0</v>
      </c>
      <c r="BI32" s="40">
        <f t="shared" si="19"/>
        <v>0</v>
      </c>
      <c r="BL32" s="40">
        <f t="shared" si="20"/>
        <v>0</v>
      </c>
      <c r="BO32" s="40">
        <f t="shared" si="21"/>
        <v>0</v>
      </c>
      <c r="BR32" s="40">
        <f t="shared" si="22"/>
        <v>0</v>
      </c>
      <c r="BU32" s="40">
        <f t="shared" si="23"/>
        <v>0</v>
      </c>
      <c r="BX32" s="40">
        <f t="shared" si="24"/>
        <v>0</v>
      </c>
      <c r="CA32" s="40">
        <f t="shared" si="25"/>
        <v>0</v>
      </c>
      <c r="CD32" s="40">
        <f t="shared" si="26"/>
        <v>0</v>
      </c>
      <c r="CG32" s="40">
        <f t="shared" si="27"/>
        <v>0</v>
      </c>
      <c r="CJ32" s="40">
        <f t="shared" si="28"/>
        <v>0</v>
      </c>
      <c r="CM32" s="40">
        <f t="shared" si="29"/>
        <v>0</v>
      </c>
      <c r="CP32" s="40">
        <f t="shared" si="30"/>
        <v>0</v>
      </c>
      <c r="CS32" s="40">
        <f t="shared" si="31"/>
        <v>0</v>
      </c>
      <c r="CV32" s="40">
        <f t="shared" si="32"/>
        <v>0</v>
      </c>
      <c r="CY32" s="40">
        <f t="shared" si="33"/>
        <v>0</v>
      </c>
      <c r="DB32" s="40">
        <f t="shared" si="34"/>
        <v>0</v>
      </c>
      <c r="DE32" s="40">
        <f t="shared" si="35"/>
        <v>0</v>
      </c>
      <c r="DH32" s="40">
        <f t="shared" si="36"/>
        <v>0</v>
      </c>
      <c r="DK32" s="40">
        <f t="shared" si="37"/>
        <v>0</v>
      </c>
      <c r="DN32" s="40">
        <f t="shared" si="38"/>
        <v>0</v>
      </c>
      <c r="DQ32" s="40">
        <f t="shared" si="39"/>
        <v>0</v>
      </c>
      <c r="DT32" s="40">
        <f t="shared" si="40"/>
        <v>0</v>
      </c>
      <c r="DW32" s="40">
        <f t="shared" si="41"/>
        <v>0</v>
      </c>
      <c r="DZ32" s="40"/>
      <c r="EA32" s="40"/>
      <c r="EB32" s="75">
        <f t="shared" si="42"/>
        <v>381200000</v>
      </c>
      <c r="EC32" s="75">
        <f t="shared" si="43"/>
        <v>0</v>
      </c>
      <c r="ED32" s="40">
        <f t="shared" si="44"/>
        <v>2358.6458333333335</v>
      </c>
      <c r="EE32" s="41">
        <f t="shared" si="45"/>
        <v>2.2274724554039874E-3</v>
      </c>
      <c r="EG32" s="75">
        <f t="shared" si="46"/>
        <v>0</v>
      </c>
      <c r="EH32" s="40">
        <f t="shared" si="47"/>
        <v>0</v>
      </c>
      <c r="EI32" s="41">
        <f t="shared" si="48"/>
        <v>0</v>
      </c>
      <c r="EJ32" s="41"/>
      <c r="EK32" s="75">
        <f t="shared" si="49"/>
        <v>381200000</v>
      </c>
      <c r="EL32" s="75">
        <f t="shared" si="50"/>
        <v>0</v>
      </c>
      <c r="EM32" s="75">
        <f t="shared" si="51"/>
        <v>2358.6458333333335</v>
      </c>
      <c r="EN32" s="41">
        <f t="shared" si="52"/>
        <v>2.2274724554039874E-3</v>
      </c>
      <c r="EP32" s="40"/>
    </row>
    <row r="33" spans="1:147" x14ac:dyDescent="0.25">
      <c r="A33" s="25">
        <f t="shared" si="53"/>
        <v>44584</v>
      </c>
      <c r="B33" s="40">
        <v>0</v>
      </c>
      <c r="C33" s="41">
        <v>2.1475700000000001E-3</v>
      </c>
      <c r="D33" s="40">
        <f t="shared" si="2"/>
        <v>0</v>
      </c>
      <c r="G33" s="40">
        <f t="shared" si="3"/>
        <v>0</v>
      </c>
      <c r="J33" s="40">
        <f t="shared" si="4"/>
        <v>0</v>
      </c>
      <c r="M33" s="40">
        <f t="shared" si="5"/>
        <v>0</v>
      </c>
      <c r="P33" s="40">
        <f t="shared" si="6"/>
        <v>0</v>
      </c>
      <c r="S33" s="40">
        <f t="shared" si="7"/>
        <v>0</v>
      </c>
      <c r="V33" s="40">
        <f t="shared" si="8"/>
        <v>0</v>
      </c>
      <c r="Y33" s="40">
        <f t="shared" si="9"/>
        <v>0</v>
      </c>
      <c r="AB33" s="40">
        <f t="shared" si="10"/>
        <v>0</v>
      </c>
      <c r="AE33" s="40">
        <v>0</v>
      </c>
      <c r="AH33" s="40">
        <v>0</v>
      </c>
      <c r="AI33" s="172">
        <f>50000000</f>
        <v>50000000</v>
      </c>
      <c r="AJ33" s="173">
        <v>1.6000000000000001E-3</v>
      </c>
      <c r="AK33" s="40">
        <f t="shared" si="11"/>
        <v>222.22222222222223</v>
      </c>
      <c r="AL33" s="172">
        <v>45000000</v>
      </c>
      <c r="AM33" s="173">
        <v>2.2000000000000001E-3</v>
      </c>
      <c r="AN33" s="40">
        <f t="shared" si="12"/>
        <v>275</v>
      </c>
      <c r="AO33" s="172">
        <f t="shared" si="1"/>
        <v>75000000</v>
      </c>
      <c r="AP33" s="173">
        <v>2.5000000000000001E-3</v>
      </c>
      <c r="AQ33" s="40">
        <f t="shared" si="13"/>
        <v>520.83333333333337</v>
      </c>
      <c r="AR33" s="172">
        <v>96875000</v>
      </c>
      <c r="AS33" s="173">
        <v>2.0999999999999999E-3</v>
      </c>
      <c r="AT33" s="40">
        <f t="shared" si="14"/>
        <v>565.10416666666663</v>
      </c>
      <c r="AU33" s="172">
        <f t="shared" si="55"/>
        <v>46100000</v>
      </c>
      <c r="AV33" s="173">
        <v>2.8E-3</v>
      </c>
      <c r="AW33" s="40">
        <f t="shared" si="15"/>
        <v>358.55555555555554</v>
      </c>
      <c r="AX33" s="172">
        <v>8900000</v>
      </c>
      <c r="AY33" s="173">
        <v>2.2000000000000001E-3</v>
      </c>
      <c r="AZ33" s="40">
        <f t="shared" si="16"/>
        <v>54.388888888888886</v>
      </c>
      <c r="BA33" s="172">
        <f t="shared" si="54"/>
        <v>59325000</v>
      </c>
      <c r="BB33" s="173">
        <v>2.2000000000000001E-3</v>
      </c>
      <c r="BC33" s="40">
        <f t="shared" si="17"/>
        <v>362.54166666666669</v>
      </c>
      <c r="BD33" s="172"/>
      <c r="BE33" s="173"/>
      <c r="BF33" s="40">
        <f t="shared" si="18"/>
        <v>0</v>
      </c>
      <c r="BI33" s="40">
        <f t="shared" si="19"/>
        <v>0</v>
      </c>
      <c r="BL33" s="40">
        <f t="shared" si="20"/>
        <v>0</v>
      </c>
      <c r="BO33" s="40">
        <f t="shared" si="21"/>
        <v>0</v>
      </c>
      <c r="BR33" s="40">
        <f t="shared" si="22"/>
        <v>0</v>
      </c>
      <c r="BU33" s="40">
        <f t="shared" si="23"/>
        <v>0</v>
      </c>
      <c r="BX33" s="40">
        <f t="shared" si="24"/>
        <v>0</v>
      </c>
      <c r="CA33" s="40">
        <f t="shared" si="25"/>
        <v>0</v>
      </c>
      <c r="CD33" s="40">
        <f t="shared" si="26"/>
        <v>0</v>
      </c>
      <c r="CG33" s="40">
        <f t="shared" si="27"/>
        <v>0</v>
      </c>
      <c r="CJ33" s="40">
        <f t="shared" si="28"/>
        <v>0</v>
      </c>
      <c r="CM33" s="40">
        <f t="shared" si="29"/>
        <v>0</v>
      </c>
      <c r="CP33" s="40">
        <f t="shared" si="30"/>
        <v>0</v>
      </c>
      <c r="CS33" s="40">
        <f t="shared" si="31"/>
        <v>0</v>
      </c>
      <c r="CV33" s="40">
        <f t="shared" si="32"/>
        <v>0</v>
      </c>
      <c r="CY33" s="40">
        <f t="shared" si="33"/>
        <v>0</v>
      </c>
      <c r="DB33" s="40">
        <f t="shared" si="34"/>
        <v>0</v>
      </c>
      <c r="DE33" s="40">
        <f t="shared" si="35"/>
        <v>0</v>
      </c>
      <c r="DH33" s="40">
        <f t="shared" si="36"/>
        <v>0</v>
      </c>
      <c r="DK33" s="40">
        <f t="shared" si="37"/>
        <v>0</v>
      </c>
      <c r="DN33" s="40">
        <f t="shared" si="38"/>
        <v>0</v>
      </c>
      <c r="DQ33" s="40">
        <f t="shared" si="39"/>
        <v>0</v>
      </c>
      <c r="DT33" s="40">
        <f t="shared" si="40"/>
        <v>0</v>
      </c>
      <c r="DW33" s="40">
        <f t="shared" si="41"/>
        <v>0</v>
      </c>
      <c r="DZ33" s="40"/>
      <c r="EA33" s="40"/>
      <c r="EB33" s="75">
        <f t="shared" si="42"/>
        <v>381200000</v>
      </c>
      <c r="EC33" s="75">
        <f t="shared" si="43"/>
        <v>0</v>
      </c>
      <c r="ED33" s="40">
        <f t="shared" si="44"/>
        <v>2358.6458333333335</v>
      </c>
      <c r="EE33" s="41">
        <f t="shared" si="45"/>
        <v>2.2274724554039874E-3</v>
      </c>
      <c r="EG33" s="75">
        <f t="shared" si="46"/>
        <v>0</v>
      </c>
      <c r="EH33" s="40">
        <f t="shared" si="47"/>
        <v>0</v>
      </c>
      <c r="EI33" s="41">
        <f t="shared" si="48"/>
        <v>0</v>
      </c>
      <c r="EJ33" s="41"/>
      <c r="EK33" s="75">
        <f t="shared" si="49"/>
        <v>381200000</v>
      </c>
      <c r="EL33" s="75">
        <f t="shared" si="50"/>
        <v>0</v>
      </c>
      <c r="EM33" s="75">
        <f t="shared" si="51"/>
        <v>2358.6458333333335</v>
      </c>
      <c r="EN33" s="41">
        <f t="shared" si="52"/>
        <v>2.2274724554039874E-3</v>
      </c>
      <c r="EP33" s="40"/>
    </row>
    <row r="34" spans="1:147" x14ac:dyDescent="0.25">
      <c r="A34" s="25">
        <f t="shared" si="53"/>
        <v>44585</v>
      </c>
      <c r="B34" s="40">
        <v>0</v>
      </c>
      <c r="C34" s="41">
        <v>2.14656E-3</v>
      </c>
      <c r="D34" s="40">
        <f t="shared" si="2"/>
        <v>0</v>
      </c>
      <c r="G34" s="40">
        <f t="shared" si="3"/>
        <v>0</v>
      </c>
      <c r="J34" s="40">
        <f t="shared" si="4"/>
        <v>0</v>
      </c>
      <c r="M34" s="40">
        <f t="shared" si="5"/>
        <v>0</v>
      </c>
      <c r="P34" s="40">
        <f t="shared" si="6"/>
        <v>0</v>
      </c>
      <c r="S34" s="40">
        <f t="shared" si="7"/>
        <v>0</v>
      </c>
      <c r="V34" s="40">
        <f t="shared" si="8"/>
        <v>0</v>
      </c>
      <c r="Y34" s="40">
        <f t="shared" si="9"/>
        <v>0</v>
      </c>
      <c r="AB34" s="40">
        <f t="shared" si="10"/>
        <v>0</v>
      </c>
      <c r="AE34" s="40">
        <v>0</v>
      </c>
      <c r="AH34" s="40">
        <v>0</v>
      </c>
      <c r="AI34" s="172">
        <v>52025000</v>
      </c>
      <c r="AJ34" s="173">
        <v>1.6000000000000001E-3</v>
      </c>
      <c r="AK34" s="40">
        <f t="shared" si="11"/>
        <v>231.22222222222223</v>
      </c>
      <c r="AL34" s="172">
        <v>45000000</v>
      </c>
      <c r="AM34" s="173">
        <v>2.2000000000000001E-3</v>
      </c>
      <c r="AN34" s="40">
        <f t="shared" si="12"/>
        <v>275</v>
      </c>
      <c r="AO34" s="172">
        <f t="shared" si="1"/>
        <v>75000000</v>
      </c>
      <c r="AP34" s="173">
        <v>2.5000000000000001E-3</v>
      </c>
      <c r="AQ34" s="40">
        <f t="shared" si="13"/>
        <v>520.83333333333337</v>
      </c>
      <c r="AR34" s="172">
        <v>96875000</v>
      </c>
      <c r="AS34" s="173">
        <v>2.0999999999999999E-3</v>
      </c>
      <c r="AT34" s="40">
        <f t="shared" si="14"/>
        <v>565.10416666666663</v>
      </c>
      <c r="AU34" s="172">
        <f t="shared" si="55"/>
        <v>46100000</v>
      </c>
      <c r="AV34" s="173">
        <v>2.8E-3</v>
      </c>
      <c r="AW34" s="40">
        <f t="shared" si="15"/>
        <v>358.55555555555554</v>
      </c>
      <c r="AX34" s="172">
        <v>8900000</v>
      </c>
      <c r="AY34" s="173">
        <v>2.2000000000000001E-3</v>
      </c>
      <c r="AZ34" s="40">
        <f t="shared" si="16"/>
        <v>54.388888888888886</v>
      </c>
      <c r="BA34" s="172">
        <f t="shared" si="54"/>
        <v>59325000</v>
      </c>
      <c r="BB34" s="173">
        <v>2.2000000000000001E-3</v>
      </c>
      <c r="BC34" s="40">
        <f t="shared" si="17"/>
        <v>362.54166666666669</v>
      </c>
      <c r="BD34" s="172"/>
      <c r="BE34" s="173"/>
      <c r="BF34" s="40">
        <f t="shared" si="18"/>
        <v>0</v>
      </c>
      <c r="BI34" s="40">
        <f t="shared" si="19"/>
        <v>0</v>
      </c>
      <c r="BL34" s="40">
        <f t="shared" si="20"/>
        <v>0</v>
      </c>
      <c r="BO34" s="40">
        <f t="shared" si="21"/>
        <v>0</v>
      </c>
      <c r="BR34" s="40">
        <f t="shared" si="22"/>
        <v>0</v>
      </c>
      <c r="BU34" s="40">
        <f t="shared" si="23"/>
        <v>0</v>
      </c>
      <c r="BX34" s="40">
        <f t="shared" si="24"/>
        <v>0</v>
      </c>
      <c r="CA34" s="40">
        <f t="shared" si="25"/>
        <v>0</v>
      </c>
      <c r="CD34" s="40">
        <f t="shared" si="26"/>
        <v>0</v>
      </c>
      <c r="CG34" s="40">
        <f t="shared" si="27"/>
        <v>0</v>
      </c>
      <c r="CJ34" s="40">
        <f t="shared" si="28"/>
        <v>0</v>
      </c>
      <c r="CM34" s="40">
        <f t="shared" si="29"/>
        <v>0</v>
      </c>
      <c r="CP34" s="40">
        <f t="shared" si="30"/>
        <v>0</v>
      </c>
      <c r="CS34" s="40">
        <f t="shared" si="31"/>
        <v>0</v>
      </c>
      <c r="CV34" s="40">
        <f t="shared" si="32"/>
        <v>0</v>
      </c>
      <c r="CY34" s="40">
        <f t="shared" si="33"/>
        <v>0</v>
      </c>
      <c r="DB34" s="40">
        <f t="shared" si="34"/>
        <v>0</v>
      </c>
      <c r="DE34" s="40">
        <f t="shared" si="35"/>
        <v>0</v>
      </c>
      <c r="DH34" s="40">
        <f t="shared" si="36"/>
        <v>0</v>
      </c>
      <c r="DK34" s="40">
        <f t="shared" si="37"/>
        <v>0</v>
      </c>
      <c r="DN34" s="40">
        <f t="shared" si="38"/>
        <v>0</v>
      </c>
      <c r="DQ34" s="40">
        <f t="shared" si="39"/>
        <v>0</v>
      </c>
      <c r="DT34" s="40">
        <f t="shared" si="40"/>
        <v>0</v>
      </c>
      <c r="DW34" s="40">
        <f t="shared" si="41"/>
        <v>0</v>
      </c>
      <c r="DZ34" s="40"/>
      <c r="EA34" s="40"/>
      <c r="EB34" s="75">
        <f t="shared" si="42"/>
        <v>383225000</v>
      </c>
      <c r="EC34" s="75">
        <f t="shared" si="43"/>
        <v>0</v>
      </c>
      <c r="ED34" s="40">
        <f t="shared" si="44"/>
        <v>2367.6458333333335</v>
      </c>
      <c r="EE34" s="41">
        <f t="shared" si="45"/>
        <v>2.2241568269293498E-3</v>
      </c>
      <c r="EG34" s="75">
        <f t="shared" si="46"/>
        <v>0</v>
      </c>
      <c r="EH34" s="40">
        <f t="shared" si="47"/>
        <v>0</v>
      </c>
      <c r="EI34" s="41">
        <f t="shared" si="48"/>
        <v>0</v>
      </c>
      <c r="EJ34" s="41"/>
      <c r="EK34" s="75">
        <f t="shared" si="49"/>
        <v>383225000</v>
      </c>
      <c r="EL34" s="75">
        <f t="shared" si="50"/>
        <v>0</v>
      </c>
      <c r="EM34" s="75">
        <f t="shared" si="51"/>
        <v>2367.6458333333335</v>
      </c>
      <c r="EN34" s="41">
        <f t="shared" si="52"/>
        <v>2.2241568269293498E-3</v>
      </c>
      <c r="EP34" s="40"/>
    </row>
    <row r="35" spans="1:147" x14ac:dyDescent="0.25">
      <c r="A35" s="25">
        <f t="shared" si="53"/>
        <v>44586</v>
      </c>
      <c r="B35" s="40">
        <v>0</v>
      </c>
      <c r="C35" s="41">
        <v>2.1478500000000002E-3</v>
      </c>
      <c r="D35" s="40">
        <f t="shared" si="2"/>
        <v>0</v>
      </c>
      <c r="G35" s="40">
        <f t="shared" si="3"/>
        <v>0</v>
      </c>
      <c r="J35" s="40">
        <f t="shared" si="4"/>
        <v>0</v>
      </c>
      <c r="M35" s="40">
        <f t="shared" si="5"/>
        <v>0</v>
      </c>
      <c r="P35" s="40">
        <f t="shared" si="6"/>
        <v>0</v>
      </c>
      <c r="S35" s="40">
        <f t="shared" si="7"/>
        <v>0</v>
      </c>
      <c r="V35" s="40">
        <f t="shared" si="8"/>
        <v>0</v>
      </c>
      <c r="Y35" s="40">
        <f t="shared" si="9"/>
        <v>0</v>
      </c>
      <c r="AB35" s="40">
        <f t="shared" si="10"/>
        <v>0</v>
      </c>
      <c r="AE35" s="40">
        <v>0</v>
      </c>
      <c r="AH35" s="40">
        <v>0</v>
      </c>
      <c r="AI35" s="172">
        <v>49425000</v>
      </c>
      <c r="AJ35" s="173">
        <v>1.6000000000000001E-3</v>
      </c>
      <c r="AK35" s="40">
        <f t="shared" si="11"/>
        <v>219.66666666666666</v>
      </c>
      <c r="AL35" s="172">
        <v>45000000</v>
      </c>
      <c r="AM35" s="173">
        <v>2.2000000000000001E-3</v>
      </c>
      <c r="AN35" s="40">
        <f t="shared" si="12"/>
        <v>275</v>
      </c>
      <c r="AO35" s="172">
        <f t="shared" si="1"/>
        <v>75000000</v>
      </c>
      <c r="AP35" s="173">
        <v>2.5000000000000001E-3</v>
      </c>
      <c r="AQ35" s="40">
        <f t="shared" si="13"/>
        <v>520.83333333333337</v>
      </c>
      <c r="AR35" s="172">
        <v>96875000</v>
      </c>
      <c r="AS35" s="173">
        <v>2.0999999999999999E-3</v>
      </c>
      <c r="AT35" s="40">
        <f t="shared" si="14"/>
        <v>565.10416666666663</v>
      </c>
      <c r="AU35" s="172">
        <f t="shared" si="55"/>
        <v>46100000</v>
      </c>
      <c r="AV35" s="173">
        <v>2.8E-3</v>
      </c>
      <c r="AW35" s="40">
        <f t="shared" si="15"/>
        <v>358.55555555555554</v>
      </c>
      <c r="AX35" s="172">
        <v>8900000</v>
      </c>
      <c r="AY35" s="173">
        <v>2.2000000000000001E-3</v>
      </c>
      <c r="AZ35" s="40">
        <f t="shared" si="16"/>
        <v>54.388888888888886</v>
      </c>
      <c r="BA35" s="172">
        <f t="shared" si="54"/>
        <v>59325000</v>
      </c>
      <c r="BB35" s="173">
        <v>2.2000000000000001E-3</v>
      </c>
      <c r="BC35" s="40">
        <f t="shared" si="17"/>
        <v>362.54166666666669</v>
      </c>
      <c r="BD35" s="172"/>
      <c r="BE35" s="173"/>
      <c r="BF35" s="40">
        <f t="shared" si="18"/>
        <v>0</v>
      </c>
      <c r="BI35" s="40">
        <f t="shared" si="19"/>
        <v>0</v>
      </c>
      <c r="BL35" s="40">
        <f t="shared" si="20"/>
        <v>0</v>
      </c>
      <c r="BO35" s="40">
        <f t="shared" si="21"/>
        <v>0</v>
      </c>
      <c r="BR35" s="40">
        <f t="shared" si="22"/>
        <v>0</v>
      </c>
      <c r="BU35" s="40">
        <f t="shared" si="23"/>
        <v>0</v>
      </c>
      <c r="BX35" s="40">
        <f t="shared" si="24"/>
        <v>0</v>
      </c>
      <c r="CA35" s="40">
        <f t="shared" si="25"/>
        <v>0</v>
      </c>
      <c r="CD35" s="40">
        <f t="shared" si="26"/>
        <v>0</v>
      </c>
      <c r="CG35" s="40">
        <f t="shared" si="27"/>
        <v>0</v>
      </c>
      <c r="CJ35" s="40">
        <f t="shared" si="28"/>
        <v>0</v>
      </c>
      <c r="CM35" s="40">
        <f t="shared" si="29"/>
        <v>0</v>
      </c>
      <c r="CP35" s="40">
        <f t="shared" si="30"/>
        <v>0</v>
      </c>
      <c r="CS35" s="40">
        <f t="shared" si="31"/>
        <v>0</v>
      </c>
      <c r="CV35" s="40">
        <f t="shared" si="32"/>
        <v>0</v>
      </c>
      <c r="CY35" s="40">
        <f t="shared" si="33"/>
        <v>0</v>
      </c>
      <c r="DB35" s="40">
        <f t="shared" si="34"/>
        <v>0</v>
      </c>
      <c r="DE35" s="40">
        <f t="shared" si="35"/>
        <v>0</v>
      </c>
      <c r="DH35" s="40">
        <f t="shared" si="36"/>
        <v>0</v>
      </c>
      <c r="DK35" s="40">
        <f t="shared" si="37"/>
        <v>0</v>
      </c>
      <c r="DN35" s="40">
        <f t="shared" si="38"/>
        <v>0</v>
      </c>
      <c r="DQ35" s="40">
        <f t="shared" si="39"/>
        <v>0</v>
      </c>
      <c r="DT35" s="40">
        <f t="shared" si="40"/>
        <v>0</v>
      </c>
      <c r="DW35" s="40">
        <f t="shared" si="41"/>
        <v>0</v>
      </c>
      <c r="DZ35" s="40"/>
      <c r="EA35" s="40"/>
      <c r="EB35" s="75">
        <f t="shared" si="42"/>
        <v>380625000</v>
      </c>
      <c r="EC35" s="75">
        <f t="shared" si="43"/>
        <v>0</v>
      </c>
      <c r="ED35" s="40">
        <f t="shared" si="44"/>
        <v>2356.0902777777778</v>
      </c>
      <c r="EE35" s="41">
        <f t="shared" si="45"/>
        <v>2.2284203612479474E-3</v>
      </c>
      <c r="EG35" s="75">
        <f t="shared" si="46"/>
        <v>0</v>
      </c>
      <c r="EH35" s="40">
        <f t="shared" si="47"/>
        <v>0</v>
      </c>
      <c r="EI35" s="41">
        <f t="shared" si="48"/>
        <v>0</v>
      </c>
      <c r="EJ35" s="41"/>
      <c r="EK35" s="75">
        <f t="shared" si="49"/>
        <v>380625000</v>
      </c>
      <c r="EL35" s="75">
        <f t="shared" si="50"/>
        <v>0</v>
      </c>
      <c r="EM35" s="75">
        <f t="shared" si="51"/>
        <v>2356.0902777777778</v>
      </c>
      <c r="EN35" s="41">
        <f t="shared" si="52"/>
        <v>2.2284203612479474E-3</v>
      </c>
      <c r="EP35" s="40"/>
    </row>
    <row r="36" spans="1:147" x14ac:dyDescent="0.25">
      <c r="A36" s="25">
        <f t="shared" si="53"/>
        <v>44587</v>
      </c>
      <c r="B36" s="40">
        <v>0</v>
      </c>
      <c r="C36" s="41">
        <v>2.1376099999999999E-3</v>
      </c>
      <c r="D36" s="40">
        <f t="shared" si="2"/>
        <v>0</v>
      </c>
      <c r="G36" s="40">
        <f t="shared" si="3"/>
        <v>0</v>
      </c>
      <c r="J36" s="40">
        <f t="shared" si="4"/>
        <v>0</v>
      </c>
      <c r="M36" s="40">
        <f t="shared" si="5"/>
        <v>0</v>
      </c>
      <c r="P36" s="40">
        <f t="shared" si="6"/>
        <v>0</v>
      </c>
      <c r="S36" s="40">
        <f t="shared" si="7"/>
        <v>0</v>
      </c>
      <c r="V36" s="40">
        <f t="shared" si="8"/>
        <v>0</v>
      </c>
      <c r="Y36" s="40">
        <f t="shared" si="9"/>
        <v>0</v>
      </c>
      <c r="AB36" s="40">
        <f t="shared" si="10"/>
        <v>0</v>
      </c>
      <c r="AE36" s="40">
        <v>0</v>
      </c>
      <c r="AH36" s="40">
        <v>0</v>
      </c>
      <c r="AI36" s="172">
        <v>44000000</v>
      </c>
      <c r="AJ36" s="173">
        <v>1.6000000000000001E-3</v>
      </c>
      <c r="AK36" s="40">
        <f t="shared" si="11"/>
        <v>195.55555555555554</v>
      </c>
      <c r="AL36" s="172">
        <v>45000000</v>
      </c>
      <c r="AM36" s="173">
        <v>2.2000000000000001E-3</v>
      </c>
      <c r="AN36" s="40">
        <f t="shared" si="12"/>
        <v>275</v>
      </c>
      <c r="AO36" s="172">
        <f t="shared" si="1"/>
        <v>75000000</v>
      </c>
      <c r="AP36" s="173">
        <v>2.5000000000000001E-3</v>
      </c>
      <c r="AQ36" s="40">
        <f t="shared" si="13"/>
        <v>520.83333333333337</v>
      </c>
      <c r="AR36" s="172">
        <v>96875000</v>
      </c>
      <c r="AS36" s="173">
        <v>2.0999999999999999E-3</v>
      </c>
      <c r="AT36" s="40">
        <f t="shared" si="14"/>
        <v>565.10416666666663</v>
      </c>
      <c r="AU36" s="172">
        <f t="shared" si="55"/>
        <v>46100000</v>
      </c>
      <c r="AV36" s="173">
        <v>2.8E-3</v>
      </c>
      <c r="AW36" s="40">
        <f t="shared" si="15"/>
        <v>358.55555555555554</v>
      </c>
      <c r="AX36" s="172">
        <v>8900000</v>
      </c>
      <c r="AY36" s="173">
        <v>2.2000000000000001E-3</v>
      </c>
      <c r="AZ36" s="40">
        <f t="shared" si="16"/>
        <v>54.388888888888886</v>
      </c>
      <c r="BA36" s="172">
        <f t="shared" si="54"/>
        <v>59325000</v>
      </c>
      <c r="BB36" s="173">
        <v>2.2000000000000001E-3</v>
      </c>
      <c r="BC36" s="40">
        <f t="shared" si="17"/>
        <v>362.54166666666669</v>
      </c>
      <c r="BD36" s="172"/>
      <c r="BE36" s="173"/>
      <c r="BF36" s="40">
        <f t="shared" si="18"/>
        <v>0</v>
      </c>
      <c r="BI36" s="40">
        <f t="shared" si="19"/>
        <v>0</v>
      </c>
      <c r="BL36" s="40">
        <f t="shared" si="20"/>
        <v>0</v>
      </c>
      <c r="BO36" s="40">
        <f t="shared" si="21"/>
        <v>0</v>
      </c>
      <c r="BR36" s="40">
        <f t="shared" si="22"/>
        <v>0</v>
      </c>
      <c r="BU36" s="40">
        <f t="shared" si="23"/>
        <v>0</v>
      </c>
      <c r="BX36" s="40">
        <f t="shared" si="24"/>
        <v>0</v>
      </c>
      <c r="CA36" s="40">
        <f t="shared" si="25"/>
        <v>0</v>
      </c>
      <c r="CD36" s="40">
        <f t="shared" si="26"/>
        <v>0</v>
      </c>
      <c r="CG36" s="40">
        <f t="shared" si="27"/>
        <v>0</v>
      </c>
      <c r="CJ36" s="40">
        <f t="shared" si="28"/>
        <v>0</v>
      </c>
      <c r="CM36" s="40">
        <f t="shared" si="29"/>
        <v>0</v>
      </c>
      <c r="CP36" s="40">
        <f t="shared" si="30"/>
        <v>0</v>
      </c>
      <c r="CS36" s="40">
        <f t="shared" si="31"/>
        <v>0</v>
      </c>
      <c r="CV36" s="40">
        <f t="shared" si="32"/>
        <v>0</v>
      </c>
      <c r="CY36" s="40">
        <f t="shared" si="33"/>
        <v>0</v>
      </c>
      <c r="DB36" s="40">
        <f t="shared" si="34"/>
        <v>0</v>
      </c>
      <c r="DE36" s="40">
        <f t="shared" si="35"/>
        <v>0</v>
      </c>
      <c r="DH36" s="40">
        <f t="shared" si="36"/>
        <v>0</v>
      </c>
      <c r="DK36" s="40">
        <f t="shared" si="37"/>
        <v>0</v>
      </c>
      <c r="DN36" s="40">
        <f t="shared" si="38"/>
        <v>0</v>
      </c>
      <c r="DQ36" s="40">
        <f t="shared" si="39"/>
        <v>0</v>
      </c>
      <c r="DT36" s="40">
        <f t="shared" si="40"/>
        <v>0</v>
      </c>
      <c r="DW36" s="40">
        <f t="shared" si="41"/>
        <v>0</v>
      </c>
      <c r="DZ36" s="40"/>
      <c r="EA36" s="40"/>
      <c r="EB36" s="75">
        <f t="shared" si="42"/>
        <v>375200000</v>
      </c>
      <c r="EC36" s="75">
        <f t="shared" si="43"/>
        <v>0</v>
      </c>
      <c r="ED36" s="40">
        <f t="shared" si="44"/>
        <v>2331.979166666667</v>
      </c>
      <c r="EE36" s="41">
        <f t="shared" si="45"/>
        <v>2.2375066631130066E-3</v>
      </c>
      <c r="EG36" s="75">
        <f t="shared" si="46"/>
        <v>0</v>
      </c>
      <c r="EH36" s="40">
        <f t="shared" si="47"/>
        <v>0</v>
      </c>
      <c r="EI36" s="41">
        <f t="shared" si="48"/>
        <v>0</v>
      </c>
      <c r="EJ36" s="41"/>
      <c r="EK36" s="75">
        <f t="shared" si="49"/>
        <v>375200000</v>
      </c>
      <c r="EL36" s="75">
        <f t="shared" si="50"/>
        <v>0</v>
      </c>
      <c r="EM36" s="75">
        <f t="shared" si="51"/>
        <v>2331.979166666667</v>
      </c>
      <c r="EN36" s="41">
        <f t="shared" si="52"/>
        <v>2.2375066631130066E-3</v>
      </c>
      <c r="EP36" s="40"/>
    </row>
    <row r="37" spans="1:147" x14ac:dyDescent="0.25">
      <c r="A37" s="25">
        <f t="shared" si="53"/>
        <v>44588</v>
      </c>
      <c r="B37" s="40">
        <v>0</v>
      </c>
      <c r="C37" s="41">
        <v>2.1395200000000002E-3</v>
      </c>
      <c r="D37" s="40">
        <f t="shared" si="2"/>
        <v>0</v>
      </c>
      <c r="G37" s="40">
        <f t="shared" si="3"/>
        <v>0</v>
      </c>
      <c r="J37" s="40">
        <f t="shared" si="4"/>
        <v>0</v>
      </c>
      <c r="M37" s="40">
        <f t="shared" si="5"/>
        <v>0</v>
      </c>
      <c r="P37" s="40">
        <f t="shared" si="6"/>
        <v>0</v>
      </c>
      <c r="S37" s="40">
        <f t="shared" si="7"/>
        <v>0</v>
      </c>
      <c r="V37" s="40">
        <f t="shared" si="8"/>
        <v>0</v>
      </c>
      <c r="Y37" s="40">
        <f t="shared" si="9"/>
        <v>0</v>
      </c>
      <c r="AB37" s="40">
        <f t="shared" si="10"/>
        <v>0</v>
      </c>
      <c r="AE37" s="40">
        <v>0</v>
      </c>
      <c r="AH37" s="40">
        <v>0</v>
      </c>
      <c r="AI37" s="172">
        <v>41100000</v>
      </c>
      <c r="AJ37" s="173">
        <v>1.6000000000000001E-3</v>
      </c>
      <c r="AK37" s="40">
        <f t="shared" si="11"/>
        <v>182.66666666666666</v>
      </c>
      <c r="AL37" s="172">
        <v>45000000</v>
      </c>
      <c r="AM37" s="173">
        <v>2.2000000000000001E-3</v>
      </c>
      <c r="AN37" s="40">
        <f t="shared" si="12"/>
        <v>275</v>
      </c>
      <c r="AO37" s="172">
        <f t="shared" si="1"/>
        <v>75000000</v>
      </c>
      <c r="AP37" s="173">
        <v>2.5000000000000001E-3</v>
      </c>
      <c r="AQ37" s="40">
        <f t="shared" si="13"/>
        <v>520.83333333333337</v>
      </c>
      <c r="AR37" s="172">
        <v>96875000</v>
      </c>
      <c r="AS37" s="173">
        <v>2.0999999999999999E-3</v>
      </c>
      <c r="AT37" s="40">
        <f t="shared" si="14"/>
        <v>565.10416666666663</v>
      </c>
      <c r="AU37" s="172">
        <f t="shared" si="55"/>
        <v>46100000</v>
      </c>
      <c r="AV37" s="173">
        <v>2.8E-3</v>
      </c>
      <c r="AW37" s="40">
        <f t="shared" si="15"/>
        <v>358.55555555555554</v>
      </c>
      <c r="AX37" s="172">
        <v>8900000</v>
      </c>
      <c r="AY37" s="173">
        <v>2.2000000000000001E-3</v>
      </c>
      <c r="AZ37" s="40">
        <f t="shared" si="16"/>
        <v>54.388888888888886</v>
      </c>
      <c r="BA37" s="172">
        <f t="shared" si="54"/>
        <v>59325000</v>
      </c>
      <c r="BB37" s="173">
        <v>2.2000000000000001E-3</v>
      </c>
      <c r="BC37" s="40">
        <f t="shared" si="17"/>
        <v>362.54166666666669</v>
      </c>
      <c r="BD37" s="172"/>
      <c r="BE37" s="173"/>
      <c r="BF37" s="40">
        <f t="shared" si="18"/>
        <v>0</v>
      </c>
      <c r="BI37" s="40">
        <f t="shared" si="19"/>
        <v>0</v>
      </c>
      <c r="BL37" s="40">
        <f t="shared" si="20"/>
        <v>0</v>
      </c>
      <c r="BO37" s="40">
        <f t="shared" si="21"/>
        <v>0</v>
      </c>
      <c r="BR37" s="40">
        <f t="shared" si="22"/>
        <v>0</v>
      </c>
      <c r="BU37" s="40">
        <f t="shared" si="23"/>
        <v>0</v>
      </c>
      <c r="BX37" s="40">
        <f t="shared" si="24"/>
        <v>0</v>
      </c>
      <c r="CA37" s="40">
        <f t="shared" si="25"/>
        <v>0</v>
      </c>
      <c r="CD37" s="40">
        <f t="shared" si="26"/>
        <v>0</v>
      </c>
      <c r="CG37" s="40">
        <f t="shared" si="27"/>
        <v>0</v>
      </c>
      <c r="CJ37" s="40">
        <f t="shared" si="28"/>
        <v>0</v>
      </c>
      <c r="CM37" s="40">
        <f t="shared" si="29"/>
        <v>0</v>
      </c>
      <c r="CP37" s="40">
        <f t="shared" si="30"/>
        <v>0</v>
      </c>
      <c r="CS37" s="40">
        <f t="shared" si="31"/>
        <v>0</v>
      </c>
      <c r="CV37" s="40">
        <f t="shared" si="32"/>
        <v>0</v>
      </c>
      <c r="CY37" s="40">
        <f t="shared" si="33"/>
        <v>0</v>
      </c>
      <c r="DB37" s="40">
        <f t="shared" si="34"/>
        <v>0</v>
      </c>
      <c r="DE37" s="40">
        <f t="shared" si="35"/>
        <v>0</v>
      </c>
      <c r="DH37" s="40">
        <f t="shared" si="36"/>
        <v>0</v>
      </c>
      <c r="DK37" s="40">
        <f t="shared" si="37"/>
        <v>0</v>
      </c>
      <c r="DN37" s="40">
        <f t="shared" si="38"/>
        <v>0</v>
      </c>
      <c r="DQ37" s="40">
        <f t="shared" si="39"/>
        <v>0</v>
      </c>
      <c r="DT37" s="40">
        <f t="shared" si="40"/>
        <v>0</v>
      </c>
      <c r="DW37" s="40">
        <f t="shared" si="41"/>
        <v>0</v>
      </c>
      <c r="DZ37" s="40"/>
      <c r="EA37" s="40"/>
      <c r="EB37" s="75">
        <f t="shared" si="42"/>
        <v>372300000</v>
      </c>
      <c r="EC37" s="75">
        <f t="shared" si="43"/>
        <v>0</v>
      </c>
      <c r="ED37" s="40">
        <f t="shared" si="44"/>
        <v>2319.0902777777778</v>
      </c>
      <c r="EE37" s="41">
        <f t="shared" si="45"/>
        <v>2.2424724684394306E-3</v>
      </c>
      <c r="EG37" s="75">
        <f t="shared" si="46"/>
        <v>0</v>
      </c>
      <c r="EH37" s="40">
        <f t="shared" si="47"/>
        <v>0</v>
      </c>
      <c r="EI37" s="41">
        <f t="shared" si="48"/>
        <v>0</v>
      </c>
      <c r="EJ37" s="41"/>
      <c r="EK37" s="75">
        <f t="shared" si="49"/>
        <v>372300000</v>
      </c>
      <c r="EL37" s="75">
        <f t="shared" si="50"/>
        <v>0</v>
      </c>
      <c r="EM37" s="75">
        <f t="shared" si="51"/>
        <v>2319.0902777777778</v>
      </c>
      <c r="EN37" s="41">
        <f t="shared" si="52"/>
        <v>2.2424724684394306E-3</v>
      </c>
      <c r="EP37" s="40"/>
    </row>
    <row r="38" spans="1:147" x14ac:dyDescent="0.25">
      <c r="A38" s="25">
        <f t="shared" si="53"/>
        <v>44589</v>
      </c>
      <c r="B38" s="40">
        <v>0</v>
      </c>
      <c r="C38" s="41">
        <v>2.1391299999999999E-3</v>
      </c>
      <c r="D38" s="40">
        <f t="shared" si="2"/>
        <v>0</v>
      </c>
      <c r="G38" s="40">
        <f t="shared" si="3"/>
        <v>0</v>
      </c>
      <c r="J38" s="40">
        <f t="shared" si="4"/>
        <v>0</v>
      </c>
      <c r="M38" s="40">
        <f t="shared" si="5"/>
        <v>0</v>
      </c>
      <c r="P38" s="40">
        <f t="shared" si="6"/>
        <v>0</v>
      </c>
      <c r="S38" s="40">
        <f t="shared" si="7"/>
        <v>0</v>
      </c>
      <c r="V38" s="40">
        <f t="shared" si="8"/>
        <v>0</v>
      </c>
      <c r="Y38" s="40">
        <f t="shared" si="9"/>
        <v>0</v>
      </c>
      <c r="AB38" s="40">
        <f t="shared" si="10"/>
        <v>0</v>
      </c>
      <c r="AE38" s="40">
        <v>0</v>
      </c>
      <c r="AH38" s="40">
        <v>0</v>
      </c>
      <c r="AI38" s="172">
        <v>77250000</v>
      </c>
      <c r="AJ38" s="173">
        <v>1.6999999999999999E-3</v>
      </c>
      <c r="AK38" s="40">
        <f t="shared" si="11"/>
        <v>364.79166666666669</v>
      </c>
      <c r="AL38" s="172">
        <v>45000000</v>
      </c>
      <c r="AM38" s="173">
        <v>2.2000000000000001E-3</v>
      </c>
      <c r="AN38" s="40">
        <f t="shared" si="12"/>
        <v>275</v>
      </c>
      <c r="AO38" s="172">
        <f t="shared" si="1"/>
        <v>75000000</v>
      </c>
      <c r="AP38" s="173">
        <v>2.5000000000000001E-3</v>
      </c>
      <c r="AQ38" s="40">
        <f t="shared" si="13"/>
        <v>520.83333333333337</v>
      </c>
      <c r="AR38" s="172">
        <v>96875000</v>
      </c>
      <c r="AS38" s="173">
        <v>2.0999999999999999E-3</v>
      </c>
      <c r="AT38" s="40">
        <f t="shared" si="14"/>
        <v>565.10416666666663</v>
      </c>
      <c r="AU38" s="172">
        <f t="shared" si="55"/>
        <v>46100000</v>
      </c>
      <c r="AV38" s="173">
        <v>2.8E-3</v>
      </c>
      <c r="AW38" s="40">
        <f t="shared" si="15"/>
        <v>358.55555555555554</v>
      </c>
      <c r="AX38" s="172">
        <v>8900000</v>
      </c>
      <c r="AY38" s="173">
        <v>2.2000000000000001E-3</v>
      </c>
      <c r="AZ38" s="40">
        <f t="shared" si="16"/>
        <v>54.388888888888886</v>
      </c>
      <c r="BA38" s="172">
        <f t="shared" si="54"/>
        <v>59325000</v>
      </c>
      <c r="BB38" s="173">
        <v>2.2000000000000001E-3</v>
      </c>
      <c r="BC38" s="40">
        <f t="shared" si="17"/>
        <v>362.54166666666669</v>
      </c>
      <c r="BD38" s="172"/>
      <c r="BE38" s="173"/>
      <c r="BF38" s="40">
        <f t="shared" si="18"/>
        <v>0</v>
      </c>
      <c r="BI38" s="40">
        <f t="shared" si="19"/>
        <v>0</v>
      </c>
      <c r="BL38" s="40">
        <f t="shared" si="20"/>
        <v>0</v>
      </c>
      <c r="BO38" s="40">
        <f t="shared" si="21"/>
        <v>0</v>
      </c>
      <c r="BR38" s="40">
        <f t="shared" si="22"/>
        <v>0</v>
      </c>
      <c r="BU38" s="40">
        <f t="shared" si="23"/>
        <v>0</v>
      </c>
      <c r="BX38" s="40">
        <f t="shared" si="24"/>
        <v>0</v>
      </c>
      <c r="CA38" s="40">
        <f t="shared" si="25"/>
        <v>0</v>
      </c>
      <c r="CD38" s="40">
        <f t="shared" si="26"/>
        <v>0</v>
      </c>
      <c r="CG38" s="40">
        <f t="shared" si="27"/>
        <v>0</v>
      </c>
      <c r="CJ38" s="40">
        <f t="shared" si="28"/>
        <v>0</v>
      </c>
      <c r="CM38" s="40">
        <f t="shared" si="29"/>
        <v>0</v>
      </c>
      <c r="CP38" s="40">
        <f t="shared" si="30"/>
        <v>0</v>
      </c>
      <c r="CS38" s="40">
        <f t="shared" si="31"/>
        <v>0</v>
      </c>
      <c r="CV38" s="40">
        <f t="shared" si="32"/>
        <v>0</v>
      </c>
      <c r="CY38" s="40">
        <f t="shared" si="33"/>
        <v>0</v>
      </c>
      <c r="DB38" s="40">
        <f t="shared" si="34"/>
        <v>0</v>
      </c>
      <c r="DE38" s="40">
        <f t="shared" si="35"/>
        <v>0</v>
      </c>
      <c r="DH38" s="40">
        <f t="shared" si="36"/>
        <v>0</v>
      </c>
      <c r="DK38" s="40">
        <f t="shared" si="37"/>
        <v>0</v>
      </c>
      <c r="DN38" s="40">
        <f t="shared" si="38"/>
        <v>0</v>
      </c>
      <c r="DQ38" s="40">
        <f t="shared" si="39"/>
        <v>0</v>
      </c>
      <c r="DT38" s="40">
        <f t="shared" si="40"/>
        <v>0</v>
      </c>
      <c r="DW38" s="40">
        <f t="shared" si="41"/>
        <v>0</v>
      </c>
      <c r="DZ38" s="40"/>
      <c r="EA38" s="40"/>
      <c r="EB38" s="75">
        <f t="shared" si="42"/>
        <v>408450000</v>
      </c>
      <c r="EC38" s="75">
        <f t="shared" si="43"/>
        <v>0</v>
      </c>
      <c r="ED38" s="40">
        <f t="shared" si="44"/>
        <v>2501.2152777777774</v>
      </c>
      <c r="EE38" s="41">
        <f t="shared" si="45"/>
        <v>2.2045231974537885E-3</v>
      </c>
      <c r="EG38" s="75">
        <f t="shared" si="46"/>
        <v>0</v>
      </c>
      <c r="EH38" s="40">
        <f t="shared" si="47"/>
        <v>0</v>
      </c>
      <c r="EI38" s="41">
        <f t="shared" si="48"/>
        <v>0</v>
      </c>
      <c r="EJ38" s="41"/>
      <c r="EK38" s="75">
        <f t="shared" si="49"/>
        <v>408450000</v>
      </c>
      <c r="EL38" s="75">
        <f t="shared" si="50"/>
        <v>0</v>
      </c>
      <c r="EM38" s="75">
        <f t="shared" si="51"/>
        <v>2501.2152777777778</v>
      </c>
      <c r="EN38" s="41">
        <f t="shared" si="52"/>
        <v>2.2045231974537885E-3</v>
      </c>
      <c r="EP38" s="40"/>
    </row>
    <row r="39" spans="1:147" x14ac:dyDescent="0.25">
      <c r="A39" s="25">
        <f t="shared" si="53"/>
        <v>44590</v>
      </c>
      <c r="B39" s="40">
        <v>0</v>
      </c>
      <c r="C39" s="41">
        <v>2.1391299999999999E-3</v>
      </c>
      <c r="D39" s="40">
        <f t="shared" si="2"/>
        <v>0</v>
      </c>
      <c r="G39" s="40">
        <f t="shared" si="3"/>
        <v>0</v>
      </c>
      <c r="J39" s="40">
        <f t="shared" si="4"/>
        <v>0</v>
      </c>
      <c r="M39" s="40">
        <f t="shared" si="5"/>
        <v>0</v>
      </c>
      <c r="P39" s="40">
        <f t="shared" si="6"/>
        <v>0</v>
      </c>
      <c r="S39" s="40">
        <f t="shared" si="7"/>
        <v>0</v>
      </c>
      <c r="V39" s="40">
        <f t="shared" si="8"/>
        <v>0</v>
      </c>
      <c r="Y39" s="40">
        <f t="shared" si="9"/>
        <v>0</v>
      </c>
      <c r="AB39" s="40">
        <f t="shared" si="10"/>
        <v>0</v>
      </c>
      <c r="AE39" s="40">
        <v>0</v>
      </c>
      <c r="AH39" s="40">
        <v>0</v>
      </c>
      <c r="AI39" s="172">
        <v>77250000</v>
      </c>
      <c r="AJ39" s="173">
        <v>1.6999999999999999E-3</v>
      </c>
      <c r="AK39" s="40">
        <f t="shared" si="11"/>
        <v>364.79166666666669</v>
      </c>
      <c r="AL39" s="172">
        <v>45000000</v>
      </c>
      <c r="AM39" s="173">
        <v>2.2000000000000001E-3</v>
      </c>
      <c r="AN39" s="40">
        <f t="shared" si="12"/>
        <v>275</v>
      </c>
      <c r="AO39" s="172">
        <f t="shared" si="1"/>
        <v>75000000</v>
      </c>
      <c r="AP39" s="173">
        <v>2.5000000000000001E-3</v>
      </c>
      <c r="AQ39" s="40">
        <f t="shared" si="13"/>
        <v>520.83333333333337</v>
      </c>
      <c r="AR39" s="172">
        <v>96875000</v>
      </c>
      <c r="AS39" s="173">
        <v>2.0999999999999999E-3</v>
      </c>
      <c r="AT39" s="40">
        <f t="shared" si="14"/>
        <v>565.10416666666663</v>
      </c>
      <c r="AU39" s="172">
        <f t="shared" si="55"/>
        <v>46100000</v>
      </c>
      <c r="AV39" s="173">
        <v>2.8E-3</v>
      </c>
      <c r="AW39" s="40">
        <f t="shared" si="15"/>
        <v>358.55555555555554</v>
      </c>
      <c r="AX39" s="172">
        <v>8900000</v>
      </c>
      <c r="AY39" s="173">
        <v>2.2000000000000001E-3</v>
      </c>
      <c r="AZ39" s="40">
        <f t="shared" si="16"/>
        <v>54.388888888888886</v>
      </c>
      <c r="BA39" s="172">
        <f t="shared" si="54"/>
        <v>59325000</v>
      </c>
      <c r="BB39" s="173">
        <v>2.2000000000000001E-3</v>
      </c>
      <c r="BC39" s="40">
        <f t="shared" si="17"/>
        <v>362.54166666666669</v>
      </c>
      <c r="BD39" s="172"/>
      <c r="BE39" s="173"/>
      <c r="BF39" s="40">
        <f t="shared" si="18"/>
        <v>0</v>
      </c>
      <c r="BI39" s="40">
        <f t="shared" si="19"/>
        <v>0</v>
      </c>
      <c r="BL39" s="40">
        <f t="shared" si="20"/>
        <v>0</v>
      </c>
      <c r="BO39" s="40">
        <f t="shared" si="21"/>
        <v>0</v>
      </c>
      <c r="BR39" s="40">
        <f t="shared" si="22"/>
        <v>0</v>
      </c>
      <c r="BU39" s="40">
        <f t="shared" si="23"/>
        <v>0</v>
      </c>
      <c r="BX39" s="40">
        <f t="shared" si="24"/>
        <v>0</v>
      </c>
      <c r="CA39" s="40">
        <f t="shared" si="25"/>
        <v>0</v>
      </c>
      <c r="CD39" s="40">
        <f t="shared" si="26"/>
        <v>0</v>
      </c>
      <c r="CG39" s="40">
        <f t="shared" si="27"/>
        <v>0</v>
      </c>
      <c r="CJ39" s="40">
        <f t="shared" si="28"/>
        <v>0</v>
      </c>
      <c r="CM39" s="40">
        <f t="shared" si="29"/>
        <v>0</v>
      </c>
      <c r="CP39" s="40">
        <f t="shared" si="30"/>
        <v>0</v>
      </c>
      <c r="CS39" s="40">
        <f t="shared" si="31"/>
        <v>0</v>
      </c>
      <c r="CV39" s="40">
        <f t="shared" si="32"/>
        <v>0</v>
      </c>
      <c r="CY39" s="40">
        <f t="shared" si="33"/>
        <v>0</v>
      </c>
      <c r="DB39" s="40">
        <f t="shared" si="34"/>
        <v>0</v>
      </c>
      <c r="DE39" s="40">
        <f t="shared" si="35"/>
        <v>0</v>
      </c>
      <c r="DH39" s="40">
        <f t="shared" si="36"/>
        <v>0</v>
      </c>
      <c r="DK39" s="40">
        <f t="shared" si="37"/>
        <v>0</v>
      </c>
      <c r="DN39" s="40">
        <f t="shared" si="38"/>
        <v>0</v>
      </c>
      <c r="DQ39" s="40">
        <f t="shared" si="39"/>
        <v>0</v>
      </c>
      <c r="DT39" s="40">
        <f t="shared" si="40"/>
        <v>0</v>
      </c>
      <c r="DW39" s="40">
        <f t="shared" si="41"/>
        <v>0</v>
      </c>
      <c r="DZ39" s="40"/>
      <c r="EA39" s="40"/>
      <c r="EB39" s="75">
        <f t="shared" si="42"/>
        <v>408450000</v>
      </c>
      <c r="EC39" s="75">
        <f t="shared" si="43"/>
        <v>0</v>
      </c>
      <c r="ED39" s="40">
        <f t="shared" si="44"/>
        <v>2501.2152777777774</v>
      </c>
      <c r="EE39" s="41">
        <f t="shared" si="45"/>
        <v>2.2045231974537885E-3</v>
      </c>
      <c r="EG39" s="75">
        <f t="shared" si="46"/>
        <v>0</v>
      </c>
      <c r="EH39" s="40">
        <f t="shared" si="47"/>
        <v>0</v>
      </c>
      <c r="EI39" s="41">
        <f t="shared" si="48"/>
        <v>0</v>
      </c>
      <c r="EJ39" s="41"/>
      <c r="EK39" s="75">
        <f t="shared" si="49"/>
        <v>408450000</v>
      </c>
      <c r="EL39" s="75">
        <f t="shared" si="50"/>
        <v>0</v>
      </c>
      <c r="EM39" s="75">
        <f t="shared" si="51"/>
        <v>2501.2152777777778</v>
      </c>
      <c r="EN39" s="41">
        <f t="shared" si="52"/>
        <v>2.2045231974537885E-3</v>
      </c>
      <c r="EP39" s="40"/>
    </row>
    <row r="40" spans="1:147" x14ac:dyDescent="0.25">
      <c r="A40" s="25">
        <f t="shared" si="53"/>
        <v>44591</v>
      </c>
      <c r="B40" s="40">
        <v>0</v>
      </c>
      <c r="C40" s="41">
        <v>2.1391299999999999E-3</v>
      </c>
      <c r="D40" s="40">
        <f t="shared" si="2"/>
        <v>0</v>
      </c>
      <c r="G40" s="40">
        <f t="shared" si="3"/>
        <v>0</v>
      </c>
      <c r="J40" s="40">
        <f t="shared" si="4"/>
        <v>0</v>
      </c>
      <c r="M40" s="40">
        <f t="shared" si="5"/>
        <v>0</v>
      </c>
      <c r="P40" s="40">
        <f t="shared" si="6"/>
        <v>0</v>
      </c>
      <c r="S40" s="40">
        <f t="shared" si="7"/>
        <v>0</v>
      </c>
      <c r="V40" s="40">
        <f t="shared" si="8"/>
        <v>0</v>
      </c>
      <c r="Y40" s="40">
        <f t="shared" si="9"/>
        <v>0</v>
      </c>
      <c r="AB40" s="40">
        <f t="shared" si="10"/>
        <v>0</v>
      </c>
      <c r="AE40" s="40">
        <v>0</v>
      </c>
      <c r="AH40" s="40">
        <v>0</v>
      </c>
      <c r="AI40" s="172">
        <v>77250000</v>
      </c>
      <c r="AJ40" s="173">
        <v>1.6999999999999999E-3</v>
      </c>
      <c r="AK40" s="40">
        <f t="shared" si="11"/>
        <v>364.79166666666669</v>
      </c>
      <c r="AL40" s="172">
        <v>45000000</v>
      </c>
      <c r="AM40" s="173">
        <v>2.2000000000000001E-3</v>
      </c>
      <c r="AN40" s="40">
        <f t="shared" si="12"/>
        <v>275</v>
      </c>
      <c r="AO40" s="172">
        <f t="shared" si="1"/>
        <v>75000000</v>
      </c>
      <c r="AP40" s="173">
        <v>2.5000000000000001E-3</v>
      </c>
      <c r="AQ40" s="40">
        <f t="shared" si="13"/>
        <v>520.83333333333337</v>
      </c>
      <c r="AR40" s="172">
        <v>96875000</v>
      </c>
      <c r="AS40" s="173">
        <v>2.0999999999999999E-3</v>
      </c>
      <c r="AT40" s="40">
        <f t="shared" si="14"/>
        <v>565.10416666666663</v>
      </c>
      <c r="AU40" s="172">
        <f t="shared" si="55"/>
        <v>46100000</v>
      </c>
      <c r="AV40" s="173">
        <v>2.8E-3</v>
      </c>
      <c r="AW40" s="40">
        <f t="shared" si="15"/>
        <v>358.55555555555554</v>
      </c>
      <c r="AX40" s="172">
        <v>8900000</v>
      </c>
      <c r="AY40" s="173">
        <v>2.2000000000000001E-3</v>
      </c>
      <c r="AZ40" s="40">
        <f t="shared" si="16"/>
        <v>54.388888888888886</v>
      </c>
      <c r="BA40" s="172">
        <f t="shared" si="54"/>
        <v>59325000</v>
      </c>
      <c r="BB40" s="173">
        <v>2.2000000000000001E-3</v>
      </c>
      <c r="BC40" s="40">
        <f t="shared" si="17"/>
        <v>362.54166666666669</v>
      </c>
      <c r="BD40" s="172"/>
      <c r="BE40" s="173"/>
      <c r="BF40" s="40">
        <f t="shared" si="18"/>
        <v>0</v>
      </c>
      <c r="BI40" s="40">
        <f t="shared" si="19"/>
        <v>0</v>
      </c>
      <c r="BL40" s="40">
        <f t="shared" si="20"/>
        <v>0</v>
      </c>
      <c r="BO40" s="40">
        <f t="shared" si="21"/>
        <v>0</v>
      </c>
      <c r="BR40" s="40">
        <f t="shared" si="22"/>
        <v>0</v>
      </c>
      <c r="BU40" s="40">
        <f t="shared" si="23"/>
        <v>0</v>
      </c>
      <c r="BX40" s="40">
        <f t="shared" si="24"/>
        <v>0</v>
      </c>
      <c r="CA40" s="40">
        <f t="shared" si="25"/>
        <v>0</v>
      </c>
      <c r="CD40" s="40">
        <f t="shared" si="26"/>
        <v>0</v>
      </c>
      <c r="CG40" s="40">
        <f t="shared" si="27"/>
        <v>0</v>
      </c>
      <c r="CJ40" s="40">
        <f t="shared" si="28"/>
        <v>0</v>
      </c>
      <c r="CM40" s="40">
        <f t="shared" si="29"/>
        <v>0</v>
      </c>
      <c r="CP40" s="40">
        <f t="shared" si="30"/>
        <v>0</v>
      </c>
      <c r="CS40" s="40">
        <f t="shared" si="31"/>
        <v>0</v>
      </c>
      <c r="CV40" s="40">
        <f t="shared" si="32"/>
        <v>0</v>
      </c>
      <c r="CY40" s="40">
        <f t="shared" si="33"/>
        <v>0</v>
      </c>
      <c r="DB40" s="40">
        <f t="shared" si="34"/>
        <v>0</v>
      </c>
      <c r="DE40" s="40">
        <f t="shared" si="35"/>
        <v>0</v>
      </c>
      <c r="DH40" s="40">
        <f t="shared" si="36"/>
        <v>0</v>
      </c>
      <c r="DK40" s="40">
        <f t="shared" si="37"/>
        <v>0</v>
      </c>
      <c r="DN40" s="40">
        <f t="shared" si="38"/>
        <v>0</v>
      </c>
      <c r="DQ40" s="40">
        <f t="shared" si="39"/>
        <v>0</v>
      </c>
      <c r="DT40" s="40">
        <f t="shared" si="40"/>
        <v>0</v>
      </c>
      <c r="DW40" s="40">
        <f t="shared" si="41"/>
        <v>0</v>
      </c>
      <c r="DZ40" s="40"/>
      <c r="EA40" s="40"/>
      <c r="EB40" s="75">
        <f t="shared" si="42"/>
        <v>408450000</v>
      </c>
      <c r="EC40" s="75">
        <f t="shared" si="43"/>
        <v>0</v>
      </c>
      <c r="ED40" s="40">
        <f t="shared" si="44"/>
        <v>2501.2152777777774</v>
      </c>
      <c r="EE40" s="41">
        <f t="shared" si="45"/>
        <v>2.2045231974537885E-3</v>
      </c>
      <c r="EG40" s="75">
        <f t="shared" si="46"/>
        <v>0</v>
      </c>
      <c r="EH40" s="40">
        <f t="shared" si="47"/>
        <v>0</v>
      </c>
      <c r="EI40" s="41">
        <f t="shared" si="48"/>
        <v>0</v>
      </c>
      <c r="EJ40" s="41"/>
      <c r="EK40" s="75">
        <f t="shared" si="49"/>
        <v>408450000</v>
      </c>
      <c r="EL40" s="75">
        <f t="shared" si="50"/>
        <v>0</v>
      </c>
      <c r="EM40" s="75">
        <f t="shared" si="51"/>
        <v>2501.2152777777778</v>
      </c>
      <c r="EN40" s="41">
        <f t="shared" si="52"/>
        <v>2.2045231974537885E-3</v>
      </c>
      <c r="EP40" s="40"/>
    </row>
    <row r="41" spans="1:147" x14ac:dyDescent="0.25">
      <c r="A41" s="25">
        <f t="shared" si="53"/>
        <v>44592</v>
      </c>
      <c r="B41" s="40">
        <v>0</v>
      </c>
      <c r="C41" s="41">
        <v>2.1319899999999998E-3</v>
      </c>
      <c r="D41" s="40">
        <f t="shared" si="2"/>
        <v>0</v>
      </c>
      <c r="G41" s="40">
        <f t="shared" si="3"/>
        <v>0</v>
      </c>
      <c r="J41" s="40">
        <f t="shared" si="4"/>
        <v>0</v>
      </c>
      <c r="M41" s="40">
        <f t="shared" si="5"/>
        <v>0</v>
      </c>
      <c r="P41" s="40">
        <f t="shared" si="6"/>
        <v>0</v>
      </c>
      <c r="S41" s="40">
        <f t="shared" si="7"/>
        <v>0</v>
      </c>
      <c r="V41" s="40">
        <f t="shared" si="8"/>
        <v>0</v>
      </c>
      <c r="Y41" s="40">
        <f t="shared" si="9"/>
        <v>0</v>
      </c>
      <c r="AB41" s="40">
        <f t="shared" si="10"/>
        <v>0</v>
      </c>
      <c r="AE41" s="40">
        <v>0</v>
      </c>
      <c r="AH41" s="40">
        <v>0</v>
      </c>
      <c r="AI41" s="172">
        <f>74300000</f>
        <v>74300000</v>
      </c>
      <c r="AJ41" s="173">
        <v>1.6000000000000001E-3</v>
      </c>
      <c r="AK41" s="40">
        <f t="shared" si="11"/>
        <v>330.22222222222223</v>
      </c>
      <c r="AL41" s="172">
        <v>45000000</v>
      </c>
      <c r="AM41" s="173">
        <v>2.2000000000000001E-3</v>
      </c>
      <c r="AN41" s="40">
        <f t="shared" si="12"/>
        <v>275</v>
      </c>
      <c r="AO41" s="172">
        <f t="shared" si="1"/>
        <v>75000000</v>
      </c>
      <c r="AP41" s="173">
        <v>2.5000000000000001E-3</v>
      </c>
      <c r="AQ41" s="40">
        <f t="shared" si="13"/>
        <v>520.83333333333337</v>
      </c>
      <c r="AR41" s="172">
        <v>96875000</v>
      </c>
      <c r="AS41" s="173">
        <v>2.0999999999999999E-3</v>
      </c>
      <c r="AT41" s="40">
        <f t="shared" si="14"/>
        <v>565.10416666666663</v>
      </c>
      <c r="AU41" s="172">
        <f t="shared" si="55"/>
        <v>46100000</v>
      </c>
      <c r="AV41" s="173">
        <v>2.8E-3</v>
      </c>
      <c r="AW41" s="40">
        <f t="shared" si="15"/>
        <v>358.55555555555554</v>
      </c>
      <c r="AX41" s="172">
        <v>8900000</v>
      </c>
      <c r="AY41" s="173">
        <v>2.2000000000000001E-3</v>
      </c>
      <c r="AZ41" s="40">
        <f t="shared" si="16"/>
        <v>54.388888888888886</v>
      </c>
      <c r="BA41" s="172">
        <f t="shared" si="54"/>
        <v>59325000</v>
      </c>
      <c r="BB41" s="173">
        <v>2.2000000000000001E-3</v>
      </c>
      <c r="BC41" s="40">
        <f t="shared" si="17"/>
        <v>362.54166666666669</v>
      </c>
      <c r="BD41" s="172">
        <f>25000000</f>
        <v>25000000</v>
      </c>
      <c r="BE41" s="173">
        <v>2.7000000000000001E-3</v>
      </c>
      <c r="BF41" s="40">
        <f t="shared" si="18"/>
        <v>187.5</v>
      </c>
      <c r="BI41" s="40">
        <f t="shared" si="19"/>
        <v>0</v>
      </c>
      <c r="BL41" s="40">
        <f t="shared" si="20"/>
        <v>0</v>
      </c>
      <c r="BO41" s="40">
        <f t="shared" si="21"/>
        <v>0</v>
      </c>
      <c r="BR41" s="40">
        <f t="shared" si="22"/>
        <v>0</v>
      </c>
      <c r="BU41" s="40">
        <f t="shared" si="23"/>
        <v>0</v>
      </c>
      <c r="BX41" s="40">
        <f t="shared" si="24"/>
        <v>0</v>
      </c>
      <c r="CA41" s="40">
        <f t="shared" si="25"/>
        <v>0</v>
      </c>
      <c r="CD41" s="40">
        <f t="shared" si="26"/>
        <v>0</v>
      </c>
      <c r="CG41" s="40">
        <f t="shared" si="27"/>
        <v>0</v>
      </c>
      <c r="CJ41" s="40">
        <f t="shared" si="28"/>
        <v>0</v>
      </c>
      <c r="CM41" s="40">
        <f t="shared" si="29"/>
        <v>0</v>
      </c>
      <c r="CP41" s="40">
        <f t="shared" si="30"/>
        <v>0</v>
      </c>
      <c r="CS41" s="40">
        <f t="shared" si="31"/>
        <v>0</v>
      </c>
      <c r="CV41" s="40">
        <f t="shared" si="32"/>
        <v>0</v>
      </c>
      <c r="CY41" s="40">
        <f t="shared" si="33"/>
        <v>0</v>
      </c>
      <c r="DB41" s="40">
        <f t="shared" si="34"/>
        <v>0</v>
      </c>
      <c r="DE41" s="40">
        <f t="shared" si="35"/>
        <v>0</v>
      </c>
      <c r="DH41" s="40">
        <f t="shared" si="36"/>
        <v>0</v>
      </c>
      <c r="DK41" s="40">
        <f t="shared" si="37"/>
        <v>0</v>
      </c>
      <c r="DN41" s="40">
        <f t="shared" si="38"/>
        <v>0</v>
      </c>
      <c r="DQ41" s="40">
        <f t="shared" si="39"/>
        <v>0</v>
      </c>
      <c r="DT41" s="40">
        <f t="shared" si="40"/>
        <v>0</v>
      </c>
      <c r="DW41" s="40">
        <f t="shared" si="41"/>
        <v>0</v>
      </c>
      <c r="DZ41" s="40"/>
      <c r="EA41" s="40"/>
      <c r="EB41" s="75">
        <f t="shared" si="42"/>
        <v>430500000</v>
      </c>
      <c r="EC41" s="75">
        <f t="shared" si="43"/>
        <v>0</v>
      </c>
      <c r="ED41" s="40">
        <f t="shared" si="44"/>
        <v>2654.145833333333</v>
      </c>
      <c r="EE41" s="41">
        <f t="shared" si="45"/>
        <v>2.2194947735191635E-3</v>
      </c>
      <c r="EG41" s="75">
        <f t="shared" si="46"/>
        <v>0</v>
      </c>
      <c r="EH41" s="40">
        <f t="shared" si="47"/>
        <v>0</v>
      </c>
      <c r="EI41" s="41">
        <f t="shared" si="48"/>
        <v>0</v>
      </c>
      <c r="EJ41" s="41"/>
      <c r="EK41" s="75">
        <f t="shared" si="49"/>
        <v>430500000</v>
      </c>
      <c r="EL41" s="75">
        <f t="shared" si="50"/>
        <v>0</v>
      </c>
      <c r="EM41" s="75">
        <f t="shared" si="51"/>
        <v>2654.1458333333335</v>
      </c>
      <c r="EN41" s="41">
        <f t="shared" si="52"/>
        <v>2.2194947735191639E-3</v>
      </c>
      <c r="EO41" s="78"/>
      <c r="EP41" s="40"/>
      <c r="EQ41" s="40"/>
    </row>
    <row r="42" spans="1:147" x14ac:dyDescent="0.25">
      <c r="A42" s="76" t="s">
        <v>75</v>
      </c>
      <c r="D42" s="77">
        <f>SUM(D11:D41)</f>
        <v>167.27815972222223</v>
      </c>
      <c r="G42" s="77">
        <f>SUM(G11:G41)</f>
        <v>0</v>
      </c>
      <c r="J42" s="77">
        <f>SUM(J11:J41)</f>
        <v>0</v>
      </c>
      <c r="M42" s="77">
        <f>SUM(M11:M41)</f>
        <v>0</v>
      </c>
      <c r="P42" s="77">
        <f>SUM(P11:P41)</f>
        <v>0</v>
      </c>
      <c r="S42" s="77">
        <f>SUM(S11:S41)</f>
        <v>0</v>
      </c>
      <c r="V42" s="77">
        <f>SUM(V11:V41)</f>
        <v>0</v>
      </c>
      <c r="Y42" s="77">
        <f>SUM(Y11:Y41)</f>
        <v>0</v>
      </c>
      <c r="AB42" s="77">
        <f>SUM(AB11:AB41)</f>
        <v>0</v>
      </c>
      <c r="AE42" s="77">
        <f>SUM(AE11:AE41)</f>
        <v>0</v>
      </c>
      <c r="AH42" s="77">
        <f>SUM(AH11:AH41)</f>
        <v>0</v>
      </c>
      <c r="AK42" s="77">
        <f>SUM(AK11:AK41)</f>
        <v>6639.4583333333358</v>
      </c>
      <c r="AN42" s="77">
        <f>SUM(AN11:AN41)</f>
        <v>8092.5</v>
      </c>
      <c r="AQ42" s="77">
        <f>SUM(AQ11:AQ41)</f>
        <v>19895.833333333328</v>
      </c>
      <c r="AT42" s="77">
        <f>SUM(AT11:AT41)</f>
        <v>12026.687499999998</v>
      </c>
      <c r="AW42" s="77">
        <f>SUM(AW11:AW41)</f>
        <v>5262.9652777777783</v>
      </c>
      <c r="AZ42" s="77">
        <f>SUM(AZ11:AZ41)</f>
        <v>1468.5000000000005</v>
      </c>
      <c r="BC42" s="77">
        <f>SUM(BC11:BC41)</f>
        <v>9426.0833333333339</v>
      </c>
      <c r="BF42" s="77">
        <f>SUM(BF11:BF41)</f>
        <v>187.5</v>
      </c>
      <c r="BI42" s="77">
        <f>SUM(BI11:BI41)</f>
        <v>0</v>
      </c>
      <c r="BL42" s="77">
        <f>SUM(BL11:BL41)</f>
        <v>0</v>
      </c>
      <c r="BO42" s="77">
        <f>SUM(BO11:BO41)</f>
        <v>0</v>
      </c>
      <c r="BR42" s="77">
        <f>SUM(BR11:BR41)</f>
        <v>0</v>
      </c>
      <c r="BU42" s="77">
        <f>SUM(BU11:BU41)</f>
        <v>0</v>
      </c>
      <c r="BX42" s="77">
        <f>SUM(BX11:BX41)</f>
        <v>0</v>
      </c>
      <c r="CA42" s="77">
        <f>SUM(CA11:CA41)</f>
        <v>0</v>
      </c>
      <c r="CD42" s="77">
        <f>SUM(CD11:CD41)</f>
        <v>0</v>
      </c>
      <c r="CG42" s="77">
        <f>SUM(CG11:CG41)</f>
        <v>0</v>
      </c>
      <c r="CJ42" s="77">
        <f>SUM(CJ11:CJ41)</f>
        <v>0</v>
      </c>
      <c r="CM42" s="77">
        <f>SUM(CM11:CM41)</f>
        <v>0</v>
      </c>
      <c r="CP42" s="77">
        <f>SUM(CP11:CP41)</f>
        <v>0</v>
      </c>
      <c r="CS42" s="77">
        <f>SUM(CS11:CS41)</f>
        <v>0</v>
      </c>
      <c r="CV42" s="77">
        <f>SUM(CV11:CV41)</f>
        <v>0</v>
      </c>
      <c r="CY42" s="77">
        <f>SUM(CY11:CY41)</f>
        <v>0</v>
      </c>
      <c r="DB42" s="77">
        <f>SUM(DB11:DB41)</f>
        <v>0</v>
      </c>
      <c r="DE42" s="77">
        <f>SUM(DE11:DE41)</f>
        <v>0</v>
      </c>
      <c r="DH42" s="77">
        <f>SUM(DH11:DH41)</f>
        <v>0</v>
      </c>
      <c r="DK42" s="77">
        <f>SUM(DK11:DK41)</f>
        <v>0</v>
      </c>
      <c r="DN42" s="77">
        <f>SUM(DN11:DN41)</f>
        <v>0</v>
      </c>
      <c r="DQ42" s="77">
        <f>SUM(DQ11:DQ41)</f>
        <v>0</v>
      </c>
      <c r="DT42" s="77">
        <f>SUM(DT11:DT41)</f>
        <v>0</v>
      </c>
      <c r="DW42" s="77">
        <f>SUM(DW11:DW41)</f>
        <v>0</v>
      </c>
      <c r="DZ42" s="40"/>
      <c r="EA42" s="40"/>
      <c r="EB42" s="40"/>
      <c r="EC42" s="40"/>
      <c r="ED42" s="77">
        <f>SUM(ED11:ED41)</f>
        <v>63166.805937500023</v>
      </c>
      <c r="EE42" s="41"/>
      <c r="EG42" s="40"/>
      <c r="EH42" s="77">
        <f>SUM(EH11:EH41)</f>
        <v>0</v>
      </c>
      <c r="EI42" s="41"/>
      <c r="EJ42" s="41"/>
      <c r="EK42" s="40"/>
      <c r="EL42" s="40"/>
      <c r="EM42" s="77">
        <f>SUM(EM11:EM41)</f>
        <v>62999.527777777796</v>
      </c>
      <c r="EN42" s="41"/>
      <c r="EP42" s="78"/>
      <c r="EQ42" s="78"/>
    </row>
    <row r="43" spans="1:147" x14ac:dyDescent="0.25">
      <c r="EP43" s="40"/>
      <c r="EQ43" s="40"/>
    </row>
    <row r="44" spans="1:147" x14ac:dyDescent="0.25">
      <c r="EM44" s="78"/>
    </row>
    <row r="45" spans="1:147" x14ac:dyDescent="0.25">
      <c r="EM45" s="78"/>
    </row>
    <row r="46" spans="1:147" x14ac:dyDescent="0.25">
      <c r="EM46" s="40"/>
    </row>
    <row r="47" spans="1:147" x14ac:dyDescent="0.25">
      <c r="EM47" s="40"/>
    </row>
    <row r="48" spans="1:147" x14ac:dyDescent="0.25">
      <c r="EM48" s="4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6"/>
  <dimension ref="A1:EQ45"/>
  <sheetViews>
    <sheetView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ColWidth="8.7109375" defaultRowHeight="12.75" x14ac:dyDescent="0.2"/>
  <cols>
    <col min="1" max="1" width="14.5703125" style="182" bestFit="1" customWidth="1"/>
    <col min="2" max="2" width="15.5703125" style="183" bestFit="1" customWidth="1"/>
    <col min="3" max="3" width="15.42578125" style="185" bestFit="1" customWidth="1"/>
    <col min="4" max="4" width="15.42578125" style="182" bestFit="1" customWidth="1"/>
    <col min="5" max="5" width="15.5703125" style="183" bestFit="1" customWidth="1"/>
    <col min="6" max="6" width="12.28515625" style="185" bestFit="1" customWidth="1"/>
    <col min="7" max="7" width="15.42578125" style="182" bestFit="1" customWidth="1"/>
    <col min="8" max="8" width="15.42578125" style="183" hidden="1" customWidth="1"/>
    <col min="9" max="9" width="10.28515625" style="185" hidden="1" customWidth="1"/>
    <col min="10" max="10" width="13.42578125" style="182" hidden="1" customWidth="1"/>
    <col min="11" max="11" width="14.42578125" style="183" hidden="1" customWidth="1"/>
    <col min="12" max="12" width="10.28515625" style="185" hidden="1" customWidth="1"/>
    <col min="13" max="13" width="11.7109375" style="182" hidden="1" customWidth="1"/>
    <col min="14" max="14" width="14.42578125" style="183" hidden="1" customWidth="1"/>
    <col min="15" max="15" width="10.28515625" style="185" hidden="1" customWidth="1"/>
    <col min="16" max="16" width="11.7109375" style="182" hidden="1" customWidth="1"/>
    <col min="17" max="17" width="15.42578125" style="183" hidden="1" customWidth="1"/>
    <col min="18" max="18" width="10.28515625" style="185" hidden="1" customWidth="1"/>
    <col min="19" max="19" width="11.7109375" style="182" hidden="1" customWidth="1"/>
    <col min="20" max="20" width="15.42578125" style="183" hidden="1" customWidth="1"/>
    <col min="21" max="21" width="10.28515625" style="185" hidden="1" customWidth="1"/>
    <col min="22" max="22" width="11.7109375" style="182" hidden="1" customWidth="1"/>
    <col min="23" max="23" width="15.42578125" style="183" hidden="1" customWidth="1"/>
    <col min="24" max="24" width="10.28515625" style="185" hidden="1" customWidth="1"/>
    <col min="25" max="25" width="11.7109375" style="182" hidden="1" customWidth="1"/>
    <col min="26" max="26" width="15.42578125" style="183" hidden="1" customWidth="1"/>
    <col min="27" max="27" width="10.28515625" style="185" hidden="1" customWidth="1"/>
    <col min="28" max="28" width="11.7109375" style="182" hidden="1" customWidth="1"/>
    <col min="29" max="29" width="15.42578125" style="183" hidden="1" customWidth="1"/>
    <col min="30" max="30" width="10.28515625" style="185" hidden="1" customWidth="1"/>
    <col min="31" max="31" width="11.7109375" style="182" hidden="1" customWidth="1"/>
    <col min="32" max="32" width="14.42578125" style="183" hidden="1" customWidth="1"/>
    <col min="33" max="33" width="10.28515625" style="185" hidden="1" customWidth="1"/>
    <col min="34" max="34" width="10.7109375" style="182" hidden="1" customWidth="1"/>
    <col min="35" max="35" width="14.42578125" style="183" customWidth="1"/>
    <col min="36" max="36" width="10.28515625" style="185" customWidth="1"/>
    <col min="37" max="37" width="11.7109375" style="182" bestFit="1" customWidth="1"/>
    <col min="38" max="38" width="14.42578125" style="183" customWidth="1"/>
    <col min="39" max="39" width="10.28515625" style="185" customWidth="1"/>
    <col min="40" max="40" width="10.7109375" style="182" customWidth="1"/>
    <col min="41" max="41" width="15.42578125" style="183" bestFit="1" customWidth="1"/>
    <col min="42" max="42" width="12.28515625" style="185" bestFit="1" customWidth="1"/>
    <col min="43" max="43" width="11.7109375" style="182" bestFit="1" customWidth="1"/>
    <col min="44" max="44" width="15.42578125" style="183" bestFit="1" customWidth="1"/>
    <col min="45" max="45" width="10.28515625" style="185" bestFit="1" customWidth="1"/>
    <col min="46" max="46" width="11.7109375" style="182" bestFit="1" customWidth="1"/>
    <col min="47" max="47" width="14.42578125" style="183" customWidth="1"/>
    <col min="48" max="48" width="10.28515625" style="185" customWidth="1"/>
    <col min="49" max="49" width="10.7109375" style="182" customWidth="1"/>
    <col min="50" max="50" width="14.42578125" style="183" customWidth="1"/>
    <col min="51" max="51" width="10.28515625" style="185" customWidth="1"/>
    <col min="52" max="52" width="10.7109375" style="182" customWidth="1"/>
    <col min="53" max="53" width="14.42578125" style="183" customWidth="1"/>
    <col min="54" max="54" width="10.28515625" style="185" customWidth="1"/>
    <col min="55" max="55" width="10.7109375" style="182" customWidth="1"/>
    <col min="56" max="56" width="14.42578125" style="183" customWidth="1"/>
    <col min="57" max="57" width="10.28515625" style="185" customWidth="1"/>
    <col min="58" max="58" width="10.7109375" style="182" customWidth="1"/>
    <col min="59" max="59" width="14.42578125" style="183" customWidth="1"/>
    <col min="60" max="60" width="10.28515625" style="185" customWidth="1"/>
    <col min="61" max="61" width="10.7109375" style="182" customWidth="1"/>
    <col min="62" max="62" width="14.42578125" style="183" customWidth="1"/>
    <col min="63" max="63" width="10.28515625" style="185" customWidth="1"/>
    <col min="64" max="64" width="10.7109375" style="182" customWidth="1"/>
    <col min="65" max="65" width="14.42578125" style="183" hidden="1" customWidth="1"/>
    <col min="66" max="66" width="10.28515625" style="185" hidden="1" customWidth="1"/>
    <col min="67" max="67" width="10.7109375" style="182" hidden="1" customWidth="1"/>
    <col min="68" max="68" width="14.42578125" style="183" hidden="1" customWidth="1"/>
    <col min="69" max="69" width="10.28515625" style="185" hidden="1" customWidth="1"/>
    <col min="70" max="70" width="10.7109375" style="182" hidden="1" customWidth="1"/>
    <col min="71" max="71" width="14.42578125" style="183" hidden="1" customWidth="1"/>
    <col min="72" max="72" width="10.28515625" style="185" hidden="1" customWidth="1"/>
    <col min="73" max="73" width="10.7109375" style="182" hidden="1" customWidth="1"/>
    <col min="74" max="74" width="14.42578125" style="183" hidden="1" customWidth="1"/>
    <col min="75" max="75" width="10.28515625" style="185" hidden="1" customWidth="1"/>
    <col min="76" max="76" width="10.7109375" style="182" hidden="1" customWidth="1"/>
    <col min="77" max="77" width="14.42578125" style="183" hidden="1" customWidth="1"/>
    <col min="78" max="78" width="10.28515625" style="185" hidden="1" customWidth="1"/>
    <col min="79" max="79" width="10.7109375" style="182" hidden="1" customWidth="1"/>
    <col min="80" max="80" width="14.42578125" style="183" hidden="1" customWidth="1"/>
    <col min="81" max="81" width="10.28515625" style="185" hidden="1" customWidth="1"/>
    <col min="82" max="82" width="10.7109375" style="182" hidden="1" customWidth="1"/>
    <col min="83" max="83" width="14.42578125" style="183" hidden="1" customWidth="1"/>
    <col min="84" max="84" width="10.28515625" style="185" hidden="1" customWidth="1"/>
    <col min="85" max="85" width="10.7109375" style="182" hidden="1" customWidth="1"/>
    <col min="86" max="86" width="14.42578125" style="183" hidden="1" customWidth="1"/>
    <col min="87" max="87" width="10.28515625" style="185" hidden="1" customWidth="1"/>
    <col min="88" max="88" width="10.7109375" style="182" hidden="1" customWidth="1"/>
    <col min="89" max="89" width="14.42578125" style="183" hidden="1" customWidth="1"/>
    <col min="90" max="90" width="10.28515625" style="185" hidden="1" customWidth="1"/>
    <col min="91" max="91" width="10.7109375" style="182" hidden="1" customWidth="1"/>
    <col min="92" max="92" width="14.42578125" style="183" hidden="1" customWidth="1"/>
    <col min="93" max="93" width="10.28515625" style="185" hidden="1" customWidth="1"/>
    <col min="94" max="94" width="10.7109375" style="182" hidden="1" customWidth="1"/>
    <col min="95" max="95" width="14.42578125" style="183" hidden="1" customWidth="1"/>
    <col min="96" max="96" width="10.28515625" style="185" hidden="1" customWidth="1"/>
    <col min="97" max="97" width="10.7109375" style="182" hidden="1" customWidth="1"/>
    <col min="98" max="98" width="14.42578125" style="183" hidden="1" customWidth="1"/>
    <col min="99" max="99" width="10.28515625" style="185" hidden="1" customWidth="1"/>
    <col min="100" max="100" width="10.7109375" style="182" hidden="1" customWidth="1"/>
    <col min="101" max="101" width="14.42578125" style="183" hidden="1" customWidth="1"/>
    <col min="102" max="102" width="10.28515625" style="185" hidden="1" customWidth="1"/>
    <col min="103" max="103" width="10.7109375" style="182" hidden="1" customWidth="1"/>
    <col min="104" max="104" width="14.42578125" style="183" hidden="1" customWidth="1"/>
    <col min="105" max="105" width="10.28515625" style="185" hidden="1" customWidth="1"/>
    <col min="106" max="106" width="10.7109375" style="182" hidden="1" customWidth="1"/>
    <col min="107" max="107" width="14.42578125" style="183" hidden="1" customWidth="1"/>
    <col min="108" max="108" width="10.28515625" style="185" hidden="1" customWidth="1"/>
    <col min="109" max="109" width="10.7109375" style="182" hidden="1" customWidth="1"/>
    <col min="110" max="110" width="14.42578125" style="183" hidden="1" customWidth="1"/>
    <col min="111" max="111" width="10.28515625" style="185" hidden="1" customWidth="1"/>
    <col min="112" max="112" width="10.7109375" style="182" hidden="1" customWidth="1"/>
    <col min="113" max="113" width="14.42578125" style="183" hidden="1" customWidth="1"/>
    <col min="114" max="114" width="10.28515625" style="185" hidden="1" customWidth="1"/>
    <col min="115" max="115" width="10.7109375" style="182" hidden="1" customWidth="1"/>
    <col min="116" max="116" width="14.42578125" style="183" hidden="1" customWidth="1"/>
    <col min="117" max="117" width="10.28515625" style="185" hidden="1" customWidth="1"/>
    <col min="118" max="118" width="10.7109375" style="182" hidden="1" customWidth="1"/>
    <col min="119" max="119" width="14.42578125" style="183" hidden="1" customWidth="1"/>
    <col min="120" max="120" width="10.28515625" style="185" hidden="1" customWidth="1"/>
    <col min="121" max="121" width="10.7109375" style="182" hidden="1" customWidth="1"/>
    <col min="122" max="122" width="14.42578125" style="183" hidden="1" customWidth="1"/>
    <col min="123" max="123" width="10.28515625" style="185" hidden="1" customWidth="1"/>
    <col min="124" max="124" width="10.7109375" style="182" hidden="1" customWidth="1"/>
    <col min="125" max="125" width="14.42578125" style="183" hidden="1" customWidth="1"/>
    <col min="126" max="126" width="10.28515625" style="185" hidden="1" customWidth="1"/>
    <col min="127" max="127" width="10.7109375" style="182" hidden="1" customWidth="1"/>
    <col min="128" max="128" width="14.42578125" style="183" hidden="1" customWidth="1"/>
    <col min="129" max="129" width="10.28515625" style="185" hidden="1" customWidth="1"/>
    <col min="130" max="130" width="10.7109375" style="182" hidden="1" customWidth="1"/>
    <col min="131" max="131" width="2.7109375" style="182" customWidth="1"/>
    <col min="132" max="132" width="15.42578125" style="182" bestFit="1" customWidth="1"/>
    <col min="133" max="133" width="15.42578125" style="182" hidden="1" customWidth="1"/>
    <col min="134" max="134" width="14.42578125" style="182" bestFit="1" customWidth="1"/>
    <col min="135" max="135" width="17.7109375" style="182" bestFit="1" customWidth="1"/>
    <col min="136" max="136" width="2.7109375" style="182" customWidth="1"/>
    <col min="137" max="137" width="15.42578125" style="182" hidden="1" customWidth="1"/>
    <col min="138" max="138" width="14.42578125" style="182" hidden="1" customWidth="1"/>
    <col min="139" max="139" width="12.42578125" style="182" hidden="1" customWidth="1"/>
    <col min="140" max="140" width="2.7109375" style="182" hidden="1" customWidth="1"/>
    <col min="141" max="141" width="15.42578125" style="182" bestFit="1" customWidth="1"/>
    <col min="142" max="142" width="15.42578125" style="182" hidden="1" customWidth="1"/>
    <col min="143" max="143" width="14.42578125" style="182" bestFit="1" customWidth="1"/>
    <col min="144" max="144" width="15.42578125" style="182" bestFit="1" customWidth="1"/>
    <col min="145" max="145" width="42.85546875" style="182" bestFit="1" customWidth="1"/>
    <col min="146" max="146" width="15.28515625" style="182" bestFit="1" customWidth="1"/>
    <col min="147" max="147" width="23.140625" style="182" bestFit="1" customWidth="1"/>
    <col min="148" max="16384" width="8.7109375" style="182"/>
  </cols>
  <sheetData>
    <row r="1" spans="1:147" s="177" customFormat="1" ht="15.75" x14ac:dyDescent="0.25">
      <c r="A1" s="174" t="s">
        <v>0</v>
      </c>
      <c r="B1" s="175"/>
      <c r="C1" s="176"/>
      <c r="E1" s="175"/>
      <c r="F1" s="176"/>
      <c r="H1" s="175"/>
      <c r="I1" s="176"/>
      <c r="K1" s="175"/>
      <c r="L1" s="176"/>
      <c r="N1" s="175"/>
      <c r="O1" s="176"/>
      <c r="Q1" s="175"/>
      <c r="R1" s="176"/>
      <c r="T1" s="175"/>
      <c r="U1" s="176"/>
      <c r="W1" s="175"/>
      <c r="X1" s="176"/>
      <c r="Z1" s="175"/>
      <c r="AA1" s="176"/>
      <c r="AC1" s="175"/>
      <c r="AD1" s="176"/>
      <c r="AF1" s="175"/>
      <c r="AG1" s="176"/>
      <c r="AI1" s="175"/>
      <c r="AJ1" s="176"/>
      <c r="AL1" s="175"/>
      <c r="AM1" s="176"/>
      <c r="AO1" s="175"/>
      <c r="AP1" s="176"/>
      <c r="AR1" s="175"/>
      <c r="AS1" s="176"/>
      <c r="AU1" s="175"/>
      <c r="AV1" s="176"/>
      <c r="AX1" s="175"/>
      <c r="AY1" s="176"/>
      <c r="BA1" s="175"/>
      <c r="BB1" s="176"/>
      <c r="BD1" s="175"/>
      <c r="BE1" s="176"/>
      <c r="BG1" s="175"/>
      <c r="BH1" s="176"/>
      <c r="BJ1" s="175"/>
      <c r="BK1" s="176"/>
      <c r="BM1" s="175"/>
      <c r="BN1" s="176"/>
      <c r="BP1" s="175"/>
      <c r="BQ1" s="176"/>
      <c r="BS1" s="175"/>
      <c r="BT1" s="176"/>
      <c r="BV1" s="175"/>
      <c r="BW1" s="176"/>
      <c r="BY1" s="175"/>
      <c r="BZ1" s="176"/>
      <c r="CB1" s="175"/>
      <c r="CC1" s="176"/>
      <c r="CE1" s="175"/>
      <c r="CF1" s="176"/>
      <c r="CH1" s="175"/>
      <c r="CI1" s="176"/>
      <c r="CK1" s="175"/>
      <c r="CL1" s="176"/>
      <c r="CN1" s="175"/>
      <c r="CO1" s="176"/>
      <c r="CQ1" s="175"/>
      <c r="CR1" s="176"/>
      <c r="CT1" s="175"/>
      <c r="CU1" s="176"/>
      <c r="CW1" s="175"/>
      <c r="CX1" s="176"/>
      <c r="CZ1" s="175"/>
      <c r="DA1" s="176"/>
      <c r="DC1" s="175"/>
      <c r="DD1" s="176"/>
      <c r="DF1" s="175"/>
      <c r="DG1" s="176"/>
      <c r="DI1" s="175"/>
      <c r="DJ1" s="176"/>
      <c r="DL1" s="175"/>
      <c r="DM1" s="176"/>
      <c r="DO1" s="175"/>
      <c r="DP1" s="176"/>
      <c r="DR1" s="175"/>
      <c r="DS1" s="176"/>
      <c r="DU1" s="175"/>
      <c r="DV1" s="176"/>
      <c r="DX1" s="175"/>
      <c r="DY1" s="176"/>
      <c r="DZ1" s="178"/>
      <c r="ED1" s="179"/>
      <c r="EE1" s="180" t="s">
        <v>91</v>
      </c>
      <c r="EI1" s="179" t="s">
        <v>92</v>
      </c>
      <c r="EM1" s="179"/>
      <c r="EN1" s="179" t="s">
        <v>93</v>
      </c>
      <c r="EO1" s="174" t="s">
        <v>94</v>
      </c>
      <c r="EP1" s="174" t="s">
        <v>95</v>
      </c>
      <c r="EQ1" s="174" t="s">
        <v>96</v>
      </c>
    </row>
    <row r="2" spans="1:147" s="177" customFormat="1" ht="16.5" thickBot="1" x14ac:dyDescent="0.3">
      <c r="A2" s="174" t="s">
        <v>97</v>
      </c>
      <c r="B2" s="175"/>
      <c r="C2" s="176"/>
      <c r="E2" s="181"/>
      <c r="F2" s="176"/>
      <c r="G2" s="179"/>
      <c r="H2" s="175"/>
      <c r="I2" s="176"/>
      <c r="K2" s="175"/>
      <c r="L2" s="176"/>
      <c r="N2" s="175"/>
      <c r="O2" s="176"/>
      <c r="Q2" s="175"/>
      <c r="R2" s="176"/>
      <c r="T2" s="175"/>
      <c r="U2" s="176"/>
      <c r="W2" s="175"/>
      <c r="X2" s="176"/>
      <c r="Z2" s="175"/>
      <c r="AA2" s="176"/>
      <c r="AC2" s="175"/>
      <c r="AD2" s="176"/>
      <c r="AF2" s="175"/>
      <c r="AG2" s="176"/>
      <c r="AI2" s="175"/>
      <c r="AJ2" s="176"/>
      <c r="AL2" s="175"/>
      <c r="AM2" s="176"/>
      <c r="AO2" s="175"/>
      <c r="AP2" s="176"/>
      <c r="AR2" s="175"/>
      <c r="AS2" s="176"/>
      <c r="AU2" s="175"/>
      <c r="AV2" s="176"/>
      <c r="AX2" s="175"/>
      <c r="AY2" s="176"/>
      <c r="BA2" s="175"/>
      <c r="BB2" s="176"/>
      <c r="BD2" s="175"/>
      <c r="BE2" s="176"/>
      <c r="BG2" s="175"/>
      <c r="BH2" s="176"/>
      <c r="BJ2" s="175"/>
      <c r="BK2" s="176"/>
      <c r="BM2" s="175"/>
      <c r="BN2" s="176"/>
      <c r="BP2" s="175"/>
      <c r="BQ2" s="176"/>
      <c r="BS2" s="175"/>
      <c r="BT2" s="176"/>
      <c r="BV2" s="175"/>
      <c r="BW2" s="176"/>
      <c r="BY2" s="175"/>
      <c r="BZ2" s="176"/>
      <c r="CB2" s="175"/>
      <c r="CC2" s="176"/>
      <c r="CE2" s="175"/>
      <c r="CF2" s="176"/>
      <c r="CH2" s="175"/>
      <c r="CI2" s="176"/>
      <c r="CK2" s="175"/>
      <c r="CL2" s="176"/>
      <c r="CN2" s="175"/>
      <c r="CO2" s="176"/>
      <c r="CQ2" s="175"/>
      <c r="CR2" s="176"/>
      <c r="CT2" s="175"/>
      <c r="CU2" s="176"/>
      <c r="CW2" s="175"/>
      <c r="CX2" s="176"/>
      <c r="CZ2" s="175"/>
      <c r="DA2" s="176"/>
      <c r="DC2" s="175"/>
      <c r="DD2" s="176"/>
      <c r="DF2" s="175"/>
      <c r="DG2" s="176"/>
      <c r="DI2" s="175"/>
      <c r="DJ2" s="176"/>
      <c r="DL2" s="175"/>
      <c r="DM2" s="176"/>
      <c r="DO2" s="175"/>
      <c r="DP2" s="176"/>
      <c r="DR2" s="175"/>
      <c r="DS2" s="176"/>
      <c r="DU2" s="175"/>
      <c r="DV2" s="176"/>
      <c r="DX2" s="175"/>
      <c r="DY2" s="176"/>
      <c r="EB2" s="182" t="s">
        <v>98</v>
      </c>
      <c r="EC2" s="182"/>
      <c r="ED2" s="183"/>
      <c r="EE2" s="183">
        <f>EB38</f>
        <v>429050000</v>
      </c>
      <c r="EI2" s="183" t="e">
        <f>#REF!</f>
        <v>#REF!</v>
      </c>
      <c r="EM2" s="183"/>
      <c r="EN2" s="183">
        <f>EK38</f>
        <v>429050000</v>
      </c>
      <c r="EO2" s="175">
        <v>0</v>
      </c>
      <c r="EP2" s="175">
        <f>EN2+EO2</f>
        <v>429050000</v>
      </c>
      <c r="EQ2" s="175">
        <f>EE2+EO2</f>
        <v>429050000</v>
      </c>
    </row>
    <row r="3" spans="1:147" ht="16.5" thickTop="1" x14ac:dyDescent="0.25">
      <c r="A3" s="184" t="s">
        <v>235</v>
      </c>
      <c r="E3" s="186" t="s">
        <v>100</v>
      </c>
      <c r="F3" s="187"/>
      <c r="G3" s="188"/>
      <c r="EB3" s="182" t="s">
        <v>101</v>
      </c>
      <c r="ED3" s="183"/>
      <c r="EE3" s="183">
        <f>AVERAGE(EB11:EB38)</f>
        <v>423625000</v>
      </c>
      <c r="EI3" s="183">
        <f>AVERAGE(EG11:EG38)</f>
        <v>0</v>
      </c>
      <c r="EM3" s="183"/>
      <c r="EN3" s="183">
        <f>AVERAGE(EK11:EK38)</f>
        <v>423625000</v>
      </c>
    </row>
    <row r="4" spans="1:147" x14ac:dyDescent="0.2">
      <c r="E4" s="189" t="s">
        <v>98</v>
      </c>
      <c r="F4" s="183"/>
      <c r="G4" s="190">
        <f>EQ2</f>
        <v>429050000</v>
      </c>
      <c r="AI4" s="191" t="s">
        <v>102</v>
      </c>
      <c r="EB4" s="182" t="s">
        <v>103</v>
      </c>
      <c r="ED4" s="185"/>
      <c r="EE4" s="185">
        <f>IF(EE3=0,0,360*(AVERAGE(ED11:ED38)/EE3))</f>
        <v>2.9584856468406178E-3</v>
      </c>
      <c r="EI4" s="185">
        <f>IF(EI3=0,0,360*(AVERAGE(EH11:EH38)/EI3))</f>
        <v>0</v>
      </c>
      <c r="EM4" s="185"/>
      <c r="EN4" s="185">
        <f>IF(EN3=0,0,360*(AVERAGE(EM11:EM38)/EN3))</f>
        <v>2.9584856468406182E-3</v>
      </c>
      <c r="EO4" s="192" t="s">
        <v>104</v>
      </c>
      <c r="EQ4" s="193" t="s">
        <v>102</v>
      </c>
    </row>
    <row r="5" spans="1:147" ht="15.75" x14ac:dyDescent="0.25">
      <c r="E5" s="189" t="s">
        <v>101</v>
      </c>
      <c r="F5" s="183"/>
      <c r="G5" s="190">
        <f>EE3</f>
        <v>423625000</v>
      </c>
      <c r="AI5" s="194" t="s">
        <v>93</v>
      </c>
      <c r="EB5" s="182" t="s">
        <v>105</v>
      </c>
      <c r="ED5" s="183"/>
      <c r="EE5" s="183">
        <f>MAX(EB11:EB38)</f>
        <v>438775000</v>
      </c>
      <c r="EI5" s="183">
        <f>MAX(EG11:EG38)</f>
        <v>0</v>
      </c>
      <c r="EM5" s="183"/>
      <c r="EN5" s="183">
        <f>MAX(EK11:EK38)</f>
        <v>438775000</v>
      </c>
    </row>
    <row r="6" spans="1:147" x14ac:dyDescent="0.2">
      <c r="E6" s="189" t="s">
        <v>103</v>
      </c>
      <c r="F6" s="183"/>
      <c r="G6" s="195">
        <f>EE4</f>
        <v>2.9584856468406178E-3</v>
      </c>
    </row>
    <row r="7" spans="1:147" ht="16.5" thickBot="1" x14ac:dyDescent="0.3">
      <c r="E7" s="196" t="s">
        <v>105</v>
      </c>
      <c r="F7" s="197"/>
      <c r="G7" s="198">
        <f>EE5</f>
        <v>438775000</v>
      </c>
      <c r="AI7" s="194" t="s">
        <v>93</v>
      </c>
      <c r="EB7" s="199" t="s">
        <v>106</v>
      </c>
      <c r="EC7" s="199"/>
      <c r="ED7" s="200"/>
      <c r="EE7" s="200"/>
      <c r="EG7" s="199" t="s">
        <v>107</v>
      </c>
      <c r="EH7" s="200"/>
      <c r="EI7" s="200"/>
      <c r="EJ7" s="201"/>
      <c r="EK7" s="199" t="s">
        <v>108</v>
      </c>
      <c r="EL7" s="199"/>
      <c r="EM7" s="200"/>
      <c r="EN7" s="200"/>
    </row>
    <row r="8" spans="1:147" ht="13.5" thickTop="1" x14ac:dyDescent="0.2">
      <c r="AI8" s="178" t="s">
        <v>109</v>
      </c>
      <c r="AL8" s="178" t="s">
        <v>109</v>
      </c>
      <c r="AO8" s="178" t="s">
        <v>109</v>
      </c>
      <c r="AR8" s="178" t="s">
        <v>109</v>
      </c>
      <c r="AU8" s="178" t="s">
        <v>109</v>
      </c>
      <c r="AX8" s="178" t="s">
        <v>109</v>
      </c>
      <c r="BA8" s="178" t="s">
        <v>109</v>
      </c>
      <c r="BD8" s="178" t="s">
        <v>109</v>
      </c>
      <c r="BG8" s="178" t="s">
        <v>109</v>
      </c>
      <c r="BJ8" s="178" t="s">
        <v>109</v>
      </c>
      <c r="BM8" s="178" t="s">
        <v>109</v>
      </c>
      <c r="BP8" s="178" t="s">
        <v>109</v>
      </c>
      <c r="BS8" s="178" t="s">
        <v>109</v>
      </c>
      <c r="BV8" s="178" t="s">
        <v>109</v>
      </c>
      <c r="BY8" s="178" t="s">
        <v>109</v>
      </c>
      <c r="CB8" s="178" t="s">
        <v>109</v>
      </c>
      <c r="CE8" s="178" t="s">
        <v>109</v>
      </c>
      <c r="CH8" s="178" t="s">
        <v>109</v>
      </c>
      <c r="CK8" s="178" t="s">
        <v>109</v>
      </c>
      <c r="CN8" s="178" t="s">
        <v>109</v>
      </c>
      <c r="CQ8" s="178" t="s">
        <v>109</v>
      </c>
      <c r="CT8" s="178" t="s">
        <v>109</v>
      </c>
      <c r="CW8" s="178" t="s">
        <v>109</v>
      </c>
      <c r="CZ8" s="178" t="s">
        <v>109</v>
      </c>
      <c r="DC8" s="178" t="s">
        <v>109</v>
      </c>
      <c r="DF8" s="178" t="s">
        <v>109</v>
      </c>
      <c r="DI8" s="178" t="s">
        <v>109</v>
      </c>
      <c r="DL8" s="178" t="s">
        <v>109</v>
      </c>
      <c r="DO8" s="178" t="s">
        <v>109</v>
      </c>
      <c r="DR8" s="178" t="s">
        <v>109</v>
      </c>
      <c r="EB8" s="202"/>
      <c r="EC8" s="202"/>
      <c r="ED8" s="202"/>
      <c r="EE8" s="202" t="s">
        <v>110</v>
      </c>
      <c r="EG8" s="202"/>
      <c r="EH8" s="203" t="s">
        <v>92</v>
      </c>
      <c r="EI8" s="202" t="s">
        <v>110</v>
      </c>
      <c r="EJ8" s="202"/>
      <c r="EK8" s="193" t="s">
        <v>111</v>
      </c>
      <c r="EL8" s="193" t="s">
        <v>112</v>
      </c>
      <c r="EM8" s="203" t="s">
        <v>113</v>
      </c>
      <c r="EN8" s="202" t="s">
        <v>110</v>
      </c>
    </row>
    <row r="9" spans="1:147" x14ac:dyDescent="0.2">
      <c r="B9" s="204" t="s">
        <v>114</v>
      </c>
      <c r="C9" s="205"/>
      <c r="D9" s="200"/>
      <c r="E9" s="204" t="s">
        <v>115</v>
      </c>
      <c r="F9" s="205"/>
      <c r="G9" s="200"/>
      <c r="H9" s="204" t="s">
        <v>116</v>
      </c>
      <c r="I9" s="205"/>
      <c r="J9" s="200"/>
      <c r="K9" s="204" t="s">
        <v>117</v>
      </c>
      <c r="L9" s="205"/>
      <c r="M9" s="200"/>
      <c r="N9" s="204" t="s">
        <v>118</v>
      </c>
      <c r="O9" s="205"/>
      <c r="P9" s="200"/>
      <c r="Q9" s="204" t="s">
        <v>119</v>
      </c>
      <c r="R9" s="205"/>
      <c r="S9" s="200"/>
      <c r="T9" s="204" t="s">
        <v>120</v>
      </c>
      <c r="U9" s="205"/>
      <c r="V9" s="200"/>
      <c r="W9" s="204" t="s">
        <v>121</v>
      </c>
      <c r="X9" s="205"/>
      <c r="Y9" s="200"/>
      <c r="Z9" s="204" t="s">
        <v>122</v>
      </c>
      <c r="AA9" s="205"/>
      <c r="AB9" s="200"/>
      <c r="AC9" s="206" t="s">
        <v>123</v>
      </c>
      <c r="AD9" s="205"/>
      <c r="AE9" s="200"/>
      <c r="AF9" s="206" t="s">
        <v>124</v>
      </c>
      <c r="AG9" s="205"/>
      <c r="AH9" s="200"/>
      <c r="AI9" s="204" t="s">
        <v>125</v>
      </c>
      <c r="AJ9" s="205"/>
      <c r="AK9" s="200"/>
      <c r="AL9" s="204" t="s">
        <v>126</v>
      </c>
      <c r="AM9" s="205"/>
      <c r="AN9" s="200"/>
      <c r="AO9" s="204" t="s">
        <v>127</v>
      </c>
      <c r="AP9" s="205"/>
      <c r="AQ9" s="200"/>
      <c r="AR9" s="204" t="s">
        <v>128</v>
      </c>
      <c r="AS9" s="205"/>
      <c r="AT9" s="200"/>
      <c r="AU9" s="204" t="s">
        <v>129</v>
      </c>
      <c r="AV9" s="205"/>
      <c r="AW9" s="200"/>
      <c r="AX9" s="204" t="s">
        <v>130</v>
      </c>
      <c r="AY9" s="205"/>
      <c r="AZ9" s="200"/>
      <c r="BA9" s="204" t="s">
        <v>131</v>
      </c>
      <c r="BB9" s="205"/>
      <c r="BC9" s="200"/>
      <c r="BD9" s="204" t="s">
        <v>132</v>
      </c>
      <c r="BE9" s="205"/>
      <c r="BF9" s="200"/>
      <c r="BG9" s="204" t="s">
        <v>133</v>
      </c>
      <c r="BH9" s="205"/>
      <c r="BI9" s="200"/>
      <c r="BJ9" s="204" t="s">
        <v>134</v>
      </c>
      <c r="BK9" s="205"/>
      <c r="BL9" s="200"/>
      <c r="BM9" s="204" t="s">
        <v>135</v>
      </c>
      <c r="BN9" s="205"/>
      <c r="BO9" s="200"/>
      <c r="BP9" s="204" t="s">
        <v>136</v>
      </c>
      <c r="BQ9" s="205"/>
      <c r="BR9" s="200"/>
      <c r="BS9" s="204" t="s">
        <v>137</v>
      </c>
      <c r="BT9" s="205"/>
      <c r="BU9" s="200"/>
      <c r="BV9" s="204" t="s">
        <v>138</v>
      </c>
      <c r="BW9" s="205"/>
      <c r="BX9" s="200"/>
      <c r="BY9" s="204" t="s">
        <v>139</v>
      </c>
      <c r="BZ9" s="205"/>
      <c r="CA9" s="200"/>
      <c r="CB9" s="204" t="s">
        <v>140</v>
      </c>
      <c r="CC9" s="205"/>
      <c r="CD9" s="200"/>
      <c r="CE9" s="204" t="s">
        <v>141</v>
      </c>
      <c r="CF9" s="205"/>
      <c r="CG9" s="200"/>
      <c r="CH9" s="204" t="s">
        <v>142</v>
      </c>
      <c r="CI9" s="205"/>
      <c r="CJ9" s="200"/>
      <c r="CK9" s="204" t="s">
        <v>143</v>
      </c>
      <c r="CL9" s="205"/>
      <c r="CM9" s="200"/>
      <c r="CN9" s="204" t="s">
        <v>144</v>
      </c>
      <c r="CO9" s="205"/>
      <c r="CP9" s="200"/>
      <c r="CQ9" s="204" t="s">
        <v>145</v>
      </c>
      <c r="CR9" s="205"/>
      <c r="CS9" s="200"/>
      <c r="CT9" s="204" t="s">
        <v>146</v>
      </c>
      <c r="CU9" s="205"/>
      <c r="CV9" s="200"/>
      <c r="CW9" s="204" t="s">
        <v>147</v>
      </c>
      <c r="CX9" s="205"/>
      <c r="CY9" s="200"/>
      <c r="CZ9" s="204" t="s">
        <v>148</v>
      </c>
      <c r="DA9" s="205"/>
      <c r="DB9" s="200"/>
      <c r="DC9" s="204" t="s">
        <v>149</v>
      </c>
      <c r="DD9" s="205"/>
      <c r="DE9" s="200"/>
      <c r="DF9" s="204" t="s">
        <v>150</v>
      </c>
      <c r="DG9" s="205"/>
      <c r="DH9" s="200"/>
      <c r="DI9" s="204" t="s">
        <v>151</v>
      </c>
      <c r="DJ9" s="205"/>
      <c r="DK9" s="200"/>
      <c r="DL9" s="204" t="s">
        <v>152</v>
      </c>
      <c r="DM9" s="205"/>
      <c r="DN9" s="200"/>
      <c r="DO9" s="204" t="s">
        <v>153</v>
      </c>
      <c r="DP9" s="205"/>
      <c r="DQ9" s="200"/>
      <c r="DR9" s="204" t="s">
        <v>154</v>
      </c>
      <c r="DS9" s="205"/>
      <c r="DT9" s="200"/>
      <c r="DU9" s="204" t="s">
        <v>155</v>
      </c>
      <c r="DV9" s="205"/>
      <c r="DW9" s="200"/>
      <c r="DX9" s="207" t="s">
        <v>156</v>
      </c>
      <c r="DY9" s="205"/>
      <c r="DZ9" s="200"/>
      <c r="EA9" s="201"/>
      <c r="EB9" s="193" t="s">
        <v>157</v>
      </c>
      <c r="EC9" s="193" t="s">
        <v>158</v>
      </c>
      <c r="ED9" s="202" t="s">
        <v>159</v>
      </c>
      <c r="EE9" s="202" t="s">
        <v>160</v>
      </c>
      <c r="EG9" s="203" t="s">
        <v>161</v>
      </c>
      <c r="EH9" s="202" t="s">
        <v>159</v>
      </c>
      <c r="EI9" s="202" t="s">
        <v>160</v>
      </c>
      <c r="EJ9" s="202"/>
      <c r="EK9" s="203" t="s">
        <v>113</v>
      </c>
      <c r="EL9" s="203" t="s">
        <v>113</v>
      </c>
      <c r="EM9" s="202" t="s">
        <v>159</v>
      </c>
      <c r="EN9" s="202" t="s">
        <v>160</v>
      </c>
    </row>
    <row r="10" spans="1:147" x14ac:dyDescent="0.2">
      <c r="A10" s="202" t="s">
        <v>162</v>
      </c>
      <c r="B10" s="208" t="s">
        <v>163</v>
      </c>
      <c r="C10" s="209" t="s">
        <v>164</v>
      </c>
      <c r="D10" s="210" t="s">
        <v>19</v>
      </c>
      <c r="E10" s="208" t="s">
        <v>163</v>
      </c>
      <c r="F10" s="209" t="s">
        <v>164</v>
      </c>
      <c r="G10" s="210" t="s">
        <v>19</v>
      </c>
      <c r="H10" s="208" t="s">
        <v>163</v>
      </c>
      <c r="I10" s="209" t="s">
        <v>164</v>
      </c>
      <c r="J10" s="210" t="s">
        <v>19</v>
      </c>
      <c r="K10" s="208" t="s">
        <v>163</v>
      </c>
      <c r="L10" s="209" t="s">
        <v>164</v>
      </c>
      <c r="M10" s="210" t="s">
        <v>19</v>
      </c>
      <c r="N10" s="208" t="s">
        <v>163</v>
      </c>
      <c r="O10" s="209" t="s">
        <v>164</v>
      </c>
      <c r="P10" s="210" t="s">
        <v>19</v>
      </c>
      <c r="Q10" s="208" t="s">
        <v>163</v>
      </c>
      <c r="R10" s="209" t="s">
        <v>164</v>
      </c>
      <c r="S10" s="210" t="s">
        <v>19</v>
      </c>
      <c r="T10" s="208" t="s">
        <v>163</v>
      </c>
      <c r="U10" s="209" t="s">
        <v>164</v>
      </c>
      <c r="V10" s="210" t="s">
        <v>19</v>
      </c>
      <c r="W10" s="208" t="s">
        <v>163</v>
      </c>
      <c r="X10" s="209" t="s">
        <v>164</v>
      </c>
      <c r="Y10" s="210" t="s">
        <v>19</v>
      </c>
      <c r="Z10" s="208" t="s">
        <v>163</v>
      </c>
      <c r="AA10" s="209" t="s">
        <v>164</v>
      </c>
      <c r="AB10" s="210" t="s">
        <v>19</v>
      </c>
      <c r="AC10" s="208" t="s">
        <v>163</v>
      </c>
      <c r="AD10" s="209" t="s">
        <v>164</v>
      </c>
      <c r="AE10" s="210" t="s">
        <v>19</v>
      </c>
      <c r="AF10" s="208" t="s">
        <v>163</v>
      </c>
      <c r="AG10" s="209" t="s">
        <v>164</v>
      </c>
      <c r="AH10" s="210" t="s">
        <v>19</v>
      </c>
      <c r="AI10" s="208" t="s">
        <v>163</v>
      </c>
      <c r="AJ10" s="209" t="s">
        <v>164</v>
      </c>
      <c r="AK10" s="210" t="s">
        <v>19</v>
      </c>
      <c r="AL10" s="208" t="s">
        <v>163</v>
      </c>
      <c r="AM10" s="209" t="s">
        <v>164</v>
      </c>
      <c r="AN10" s="210" t="s">
        <v>19</v>
      </c>
      <c r="AO10" s="208" t="s">
        <v>163</v>
      </c>
      <c r="AP10" s="209" t="s">
        <v>164</v>
      </c>
      <c r="AQ10" s="210" t="s">
        <v>19</v>
      </c>
      <c r="AR10" s="208" t="s">
        <v>163</v>
      </c>
      <c r="AS10" s="209" t="s">
        <v>164</v>
      </c>
      <c r="AT10" s="210" t="s">
        <v>19</v>
      </c>
      <c r="AU10" s="208" t="s">
        <v>163</v>
      </c>
      <c r="AV10" s="209" t="s">
        <v>164</v>
      </c>
      <c r="AW10" s="210" t="s">
        <v>19</v>
      </c>
      <c r="AX10" s="208" t="s">
        <v>163</v>
      </c>
      <c r="AY10" s="209" t="s">
        <v>164</v>
      </c>
      <c r="AZ10" s="210" t="s">
        <v>19</v>
      </c>
      <c r="BA10" s="208" t="s">
        <v>163</v>
      </c>
      <c r="BB10" s="209" t="s">
        <v>164</v>
      </c>
      <c r="BC10" s="210" t="s">
        <v>19</v>
      </c>
      <c r="BD10" s="208" t="s">
        <v>163</v>
      </c>
      <c r="BE10" s="209" t="s">
        <v>164</v>
      </c>
      <c r="BF10" s="210" t="s">
        <v>19</v>
      </c>
      <c r="BG10" s="208" t="s">
        <v>163</v>
      </c>
      <c r="BH10" s="209" t="s">
        <v>164</v>
      </c>
      <c r="BI10" s="210" t="s">
        <v>19</v>
      </c>
      <c r="BJ10" s="208" t="s">
        <v>163</v>
      </c>
      <c r="BK10" s="209" t="s">
        <v>164</v>
      </c>
      <c r="BL10" s="210" t="s">
        <v>19</v>
      </c>
      <c r="BM10" s="208" t="s">
        <v>163</v>
      </c>
      <c r="BN10" s="209" t="s">
        <v>164</v>
      </c>
      <c r="BO10" s="210" t="s">
        <v>19</v>
      </c>
      <c r="BP10" s="208" t="s">
        <v>163</v>
      </c>
      <c r="BQ10" s="209" t="s">
        <v>164</v>
      </c>
      <c r="BR10" s="210" t="s">
        <v>19</v>
      </c>
      <c r="BS10" s="208" t="s">
        <v>163</v>
      </c>
      <c r="BT10" s="209" t="s">
        <v>164</v>
      </c>
      <c r="BU10" s="210" t="s">
        <v>19</v>
      </c>
      <c r="BV10" s="208" t="s">
        <v>163</v>
      </c>
      <c r="BW10" s="209" t="s">
        <v>164</v>
      </c>
      <c r="BX10" s="210" t="s">
        <v>19</v>
      </c>
      <c r="BY10" s="208" t="s">
        <v>163</v>
      </c>
      <c r="BZ10" s="209" t="s">
        <v>164</v>
      </c>
      <c r="CA10" s="210" t="s">
        <v>19</v>
      </c>
      <c r="CB10" s="208" t="s">
        <v>163</v>
      </c>
      <c r="CC10" s="209" t="s">
        <v>164</v>
      </c>
      <c r="CD10" s="210" t="s">
        <v>19</v>
      </c>
      <c r="CE10" s="208" t="s">
        <v>163</v>
      </c>
      <c r="CF10" s="209" t="s">
        <v>164</v>
      </c>
      <c r="CG10" s="210" t="s">
        <v>19</v>
      </c>
      <c r="CH10" s="208" t="s">
        <v>163</v>
      </c>
      <c r="CI10" s="209" t="s">
        <v>164</v>
      </c>
      <c r="CJ10" s="210" t="s">
        <v>19</v>
      </c>
      <c r="CK10" s="208" t="s">
        <v>163</v>
      </c>
      <c r="CL10" s="209" t="s">
        <v>164</v>
      </c>
      <c r="CM10" s="210" t="s">
        <v>19</v>
      </c>
      <c r="CN10" s="208" t="s">
        <v>163</v>
      </c>
      <c r="CO10" s="209" t="s">
        <v>164</v>
      </c>
      <c r="CP10" s="210" t="s">
        <v>19</v>
      </c>
      <c r="CQ10" s="208" t="s">
        <v>163</v>
      </c>
      <c r="CR10" s="209" t="s">
        <v>164</v>
      </c>
      <c r="CS10" s="210" t="s">
        <v>19</v>
      </c>
      <c r="CT10" s="208" t="s">
        <v>163</v>
      </c>
      <c r="CU10" s="209" t="s">
        <v>164</v>
      </c>
      <c r="CV10" s="210" t="s">
        <v>19</v>
      </c>
      <c r="CW10" s="208" t="s">
        <v>163</v>
      </c>
      <c r="CX10" s="209" t="s">
        <v>164</v>
      </c>
      <c r="CY10" s="210" t="s">
        <v>19</v>
      </c>
      <c r="CZ10" s="208" t="s">
        <v>163</v>
      </c>
      <c r="DA10" s="209" t="s">
        <v>164</v>
      </c>
      <c r="DB10" s="210" t="s">
        <v>19</v>
      </c>
      <c r="DC10" s="208" t="s">
        <v>163</v>
      </c>
      <c r="DD10" s="209" t="s">
        <v>164</v>
      </c>
      <c r="DE10" s="210" t="s">
        <v>19</v>
      </c>
      <c r="DF10" s="208" t="s">
        <v>163</v>
      </c>
      <c r="DG10" s="209" t="s">
        <v>164</v>
      </c>
      <c r="DH10" s="210" t="s">
        <v>19</v>
      </c>
      <c r="DI10" s="208" t="s">
        <v>163</v>
      </c>
      <c r="DJ10" s="209" t="s">
        <v>164</v>
      </c>
      <c r="DK10" s="210" t="s">
        <v>19</v>
      </c>
      <c r="DL10" s="208" t="s">
        <v>163</v>
      </c>
      <c r="DM10" s="209" t="s">
        <v>164</v>
      </c>
      <c r="DN10" s="210" t="s">
        <v>19</v>
      </c>
      <c r="DO10" s="208" t="s">
        <v>163</v>
      </c>
      <c r="DP10" s="209" t="s">
        <v>164</v>
      </c>
      <c r="DQ10" s="210" t="s">
        <v>19</v>
      </c>
      <c r="DR10" s="208" t="s">
        <v>163</v>
      </c>
      <c r="DS10" s="209" t="s">
        <v>164</v>
      </c>
      <c r="DT10" s="210" t="s">
        <v>19</v>
      </c>
      <c r="DU10" s="208" t="s">
        <v>163</v>
      </c>
      <c r="DV10" s="209" t="s">
        <v>164</v>
      </c>
      <c r="DW10" s="210" t="s">
        <v>19</v>
      </c>
      <c r="DX10" s="208" t="s">
        <v>163</v>
      </c>
      <c r="DY10" s="209"/>
      <c r="DZ10" s="210"/>
      <c r="EA10" s="210"/>
      <c r="EB10" s="210" t="s">
        <v>165</v>
      </c>
      <c r="EC10" s="210" t="s">
        <v>165</v>
      </c>
      <c r="ED10" s="210" t="s">
        <v>19</v>
      </c>
      <c r="EE10" s="210" t="s">
        <v>164</v>
      </c>
      <c r="EG10" s="210" t="s">
        <v>165</v>
      </c>
      <c r="EH10" s="210" t="s">
        <v>19</v>
      </c>
      <c r="EI10" s="210" t="s">
        <v>164</v>
      </c>
      <c r="EJ10" s="210"/>
      <c r="EK10" s="210" t="s">
        <v>165</v>
      </c>
      <c r="EL10" s="210" t="s">
        <v>165</v>
      </c>
      <c r="EM10" s="210" t="s">
        <v>19</v>
      </c>
      <c r="EN10" s="210" t="s">
        <v>164</v>
      </c>
    </row>
    <row r="11" spans="1:147" x14ac:dyDescent="0.2">
      <c r="A11" s="211">
        <v>44593</v>
      </c>
      <c r="B11" s="183">
        <v>0</v>
      </c>
      <c r="C11" s="185">
        <v>2.1111199999999998E-3</v>
      </c>
      <c r="D11" s="183">
        <f>(B11*C11)/360</f>
        <v>0</v>
      </c>
      <c r="G11" s="183">
        <f>(E11*F11)/360</f>
        <v>0</v>
      </c>
      <c r="J11" s="183">
        <f>(H11*I11)/360</f>
        <v>0</v>
      </c>
      <c r="M11" s="183">
        <f>(K11*L11)/360</f>
        <v>0</v>
      </c>
      <c r="P11" s="183">
        <f>(N11*O11)/360</f>
        <v>0</v>
      </c>
      <c r="S11" s="183">
        <f>(Q11*R11)/360</f>
        <v>0</v>
      </c>
      <c r="V11" s="183">
        <f>(T11*U11)/360</f>
        <v>0</v>
      </c>
      <c r="Y11" s="183">
        <f>(W11*X11)/360</f>
        <v>0</v>
      </c>
      <c r="AB11" s="183">
        <f>(Z11*AA11)/360</f>
        <v>0</v>
      </c>
      <c r="AE11" s="183">
        <v>0</v>
      </c>
      <c r="AH11" s="183">
        <v>0</v>
      </c>
      <c r="AI11" s="212">
        <v>81375000</v>
      </c>
      <c r="AJ11" s="213">
        <v>1.6999999999999999E-3</v>
      </c>
      <c r="AK11" s="183">
        <f>(AI11*AJ11)/360</f>
        <v>384.27083333333331</v>
      </c>
      <c r="AL11" s="212">
        <v>96875000</v>
      </c>
      <c r="AM11" s="213">
        <v>2.0999999999999999E-3</v>
      </c>
      <c r="AN11" s="183">
        <f>(AL11*AM11)/360</f>
        <v>565.10416666666663</v>
      </c>
      <c r="AO11" s="212">
        <v>113225000</v>
      </c>
      <c r="AP11" s="213">
        <v>2.2000000000000001E-3</v>
      </c>
      <c r="AQ11" s="183">
        <f>(AO11*AP11)/360</f>
        <v>691.93055555555566</v>
      </c>
      <c r="AR11" s="212">
        <v>75000000</v>
      </c>
      <c r="AS11" s="213">
        <v>2.5000000000000001E-3</v>
      </c>
      <c r="AT11" s="183">
        <f>(AR11*AS11)/360</f>
        <v>520.83333333333337</v>
      </c>
      <c r="AU11" s="183">
        <v>25000000</v>
      </c>
      <c r="AV11" s="185">
        <v>2.7000000000000001E-3</v>
      </c>
      <c r="AW11" s="183">
        <f>(AU11*AV11)/360</f>
        <v>187.5</v>
      </c>
      <c r="AX11" s="183">
        <v>46100000</v>
      </c>
      <c r="AY11" s="185">
        <v>2.8E-3</v>
      </c>
      <c r="AZ11" s="183">
        <f>(AX11*AY11)/360</f>
        <v>358.55555555555554</v>
      </c>
      <c r="BC11" s="183">
        <f>(BA11*BB11)/360</f>
        <v>0</v>
      </c>
      <c r="BF11" s="183">
        <f>(BD11*BE11)/360</f>
        <v>0</v>
      </c>
      <c r="BI11" s="183">
        <f>(BG11*BH11)/360</f>
        <v>0</v>
      </c>
      <c r="BL11" s="183">
        <f>(BJ11*BK11)/360</f>
        <v>0</v>
      </c>
      <c r="BO11" s="183">
        <f>(BM11*BN11)/360</f>
        <v>0</v>
      </c>
      <c r="BR11" s="183">
        <f>(BP11*BQ11)/360</f>
        <v>0</v>
      </c>
      <c r="BU11" s="183">
        <f>(BS11*BT11)/360</f>
        <v>0</v>
      </c>
      <c r="BX11" s="183">
        <f>(BV11*BW11)/360</f>
        <v>0</v>
      </c>
      <c r="CA11" s="183">
        <f>(BY11*BZ11)/360</f>
        <v>0</v>
      </c>
      <c r="CD11" s="183">
        <f>(CB11*CC11)/360</f>
        <v>0</v>
      </c>
      <c r="CG11" s="183">
        <f>(CE11*CF11)/360</f>
        <v>0</v>
      </c>
      <c r="CJ11" s="183">
        <f>(CH11*CI11)/360</f>
        <v>0</v>
      </c>
      <c r="CM11" s="183">
        <f>(CK11*CL11)/360</f>
        <v>0</v>
      </c>
      <c r="CP11" s="183">
        <f>(CN11*CO11)/360</f>
        <v>0</v>
      </c>
      <c r="CS11" s="183">
        <f>(CQ11*CR11)/360</f>
        <v>0</v>
      </c>
      <c r="CV11" s="183">
        <f>(CT11*CU11)/360</f>
        <v>0</v>
      </c>
      <c r="CY11" s="183">
        <f>(CW11*CX11)/360</f>
        <v>0</v>
      </c>
      <c r="DB11" s="183">
        <f>(CZ11*DA11)/360</f>
        <v>0</v>
      </c>
      <c r="DE11" s="183">
        <f>(DC11*DD11)/360</f>
        <v>0</v>
      </c>
      <c r="DH11" s="183">
        <f>(DF11*DG11)/360</f>
        <v>0</v>
      </c>
      <c r="DK11" s="183">
        <f>(DI11*DJ11)/360</f>
        <v>0</v>
      </c>
      <c r="DN11" s="183">
        <f>(DL11*DM11)/360</f>
        <v>0</v>
      </c>
      <c r="DQ11" s="183">
        <f>(DO11*DP11)/360</f>
        <v>0</v>
      </c>
      <c r="DT11" s="183">
        <f>(DR11*DS11)/360</f>
        <v>0</v>
      </c>
      <c r="DW11" s="183">
        <f>(DU11*DV11)/360</f>
        <v>0</v>
      </c>
      <c r="DZ11" s="183"/>
      <c r="EA11" s="183"/>
      <c r="EB11" s="214">
        <f>B11+E11+H11+K11+N11+Q11+T11+W11+Z11+AC11+AF11+AL11+AO11+AR11+AU11+AX11+BA11+BD11+BG11+DU11+AI11+DR11+DO11+DL11+DI11+DF11+DC11+CZ11+CW11+CT11+CQ11+CN11+CK11+CH11+CE11+CB11+BY11+BV11+BS11+BP11+BM11+BJ11</f>
        <v>437575000</v>
      </c>
      <c r="EC11" s="214">
        <f>EB11-EK11+EL11</f>
        <v>0</v>
      </c>
      <c r="ED11" s="183">
        <f>D11+G11+J11+M11+P11+S11+V11+Y11+AB11+AE11+AH11+AK11+AN11+AQ11+AT11+AW11+AZ11+BC11+BF11+BI11+DW11+DT11+DQ11+DN11+DK11+DH11+DE11+DB11+CY11+CV11+CS11+CP11+CM11+CJ11+CG11+CD11+CA11+BX11+BU11+BR11+BO11+BL11</f>
        <v>2708.1944444444448</v>
      </c>
      <c r="EE11" s="185">
        <f>IF(EB11&lt;&gt;0,((ED11/EB11)*360),0)</f>
        <v>2.2280751871107812E-3</v>
      </c>
      <c r="EG11" s="214">
        <f>Q11+T11+W11+Z11+AC11+AF11</f>
        <v>0</v>
      </c>
      <c r="EH11" s="183">
        <f>S11+V11+Y11+AB11+AE11+AH11</f>
        <v>0</v>
      </c>
      <c r="EI11" s="185">
        <f>IF(EG11&lt;&gt;0,((EH11/EG11)*360),0)</f>
        <v>0</v>
      </c>
      <c r="EJ11" s="185"/>
      <c r="EK11" s="214">
        <f>DR11+DL11+DI11+DF11+DC11+CZ11+CW11+CT11+CQ11+CN11+CK11+CH11+CE11+CB11+BY11+BV11+BS11+BP11+BM11+BJ11+BG11+BD11+BA11+AX11+AU11+AR11+AO11+AL11+AI11+DO11</f>
        <v>437575000</v>
      </c>
      <c r="EL11" s="214">
        <f>DX11</f>
        <v>0</v>
      </c>
      <c r="EM11" s="214">
        <f>DT11+DQ11+DN11+DK11+DH11+DE11+DB11+CY11+CV11+CS11+CP11+CM11+CJ11+CG11+CD11+CA11+BX11+BU11+BR11+BO11+BL11+BI11+BF11+BC11+AZ11+AW11+AT11+AQ11+AN11+AK11</f>
        <v>2708.1944444444448</v>
      </c>
      <c r="EN11" s="185">
        <f>IF(EK11&lt;&gt;0,((EM11/EK11)*360),0)</f>
        <v>2.2280751871107812E-3</v>
      </c>
      <c r="EP11" s="183"/>
    </row>
    <row r="12" spans="1:147" x14ac:dyDescent="0.2">
      <c r="A12" s="211">
        <f>1+A11</f>
        <v>44594</v>
      </c>
      <c r="B12" s="183">
        <v>0</v>
      </c>
      <c r="C12" s="185">
        <v>2.10217E-3</v>
      </c>
      <c r="D12" s="183">
        <f t="shared" ref="D12:D38" si="0">(B12*C12)/360</f>
        <v>0</v>
      </c>
      <c r="G12" s="183">
        <f t="shared" ref="G12:G38" si="1">(E12*F12)/360</f>
        <v>0</v>
      </c>
      <c r="J12" s="183">
        <f t="shared" ref="J12:J38" si="2">(H12*I12)/360</f>
        <v>0</v>
      </c>
      <c r="M12" s="183">
        <f t="shared" ref="M12:M38" si="3">(K12*L12)/360</f>
        <v>0</v>
      </c>
      <c r="P12" s="183">
        <f t="shared" ref="P12:P38" si="4">(N12*O12)/360</f>
        <v>0</v>
      </c>
      <c r="S12" s="183">
        <f t="shared" ref="S12:S38" si="5">(Q12*R12)/360</f>
        <v>0</v>
      </c>
      <c r="V12" s="183">
        <f t="shared" ref="V12:V38" si="6">(T12*U12)/360</f>
        <v>0</v>
      </c>
      <c r="Y12" s="183">
        <f t="shared" ref="Y12:Y38" si="7">(W12*X12)/360</f>
        <v>0</v>
      </c>
      <c r="AB12" s="183">
        <f t="shared" ref="AB12:AB38" si="8">(Z12*AA12)/360</f>
        <v>0</v>
      </c>
      <c r="AE12" s="183">
        <v>0</v>
      </c>
      <c r="AH12" s="183">
        <v>0</v>
      </c>
      <c r="AI12" s="212">
        <v>72750000</v>
      </c>
      <c r="AJ12" s="213">
        <v>1.6999999999999999E-3</v>
      </c>
      <c r="AK12" s="183">
        <f t="shared" ref="AK12:AK38" si="9">(AI12*AJ12)/360</f>
        <v>343.54166666666669</v>
      </c>
      <c r="AL12" s="212">
        <v>96875000</v>
      </c>
      <c r="AM12" s="213">
        <v>2.0999999999999999E-3</v>
      </c>
      <c r="AN12" s="183">
        <f t="shared" ref="AN12:AN38" si="10">(AL12*AM12)/360</f>
        <v>565.10416666666663</v>
      </c>
      <c r="AO12" s="212">
        <v>113225000</v>
      </c>
      <c r="AP12" s="213">
        <v>2.2000000000000001E-3</v>
      </c>
      <c r="AQ12" s="183">
        <f t="shared" ref="AQ12:AQ38" si="11">(AO12*AP12)/360</f>
        <v>691.93055555555566</v>
      </c>
      <c r="AR12" s="212">
        <v>75000000</v>
      </c>
      <c r="AS12" s="213">
        <v>2.5000000000000001E-3</v>
      </c>
      <c r="AT12" s="183">
        <f t="shared" ref="AT12:AT38" si="12">(AR12*AS12)/360</f>
        <v>520.83333333333337</v>
      </c>
      <c r="AU12" s="183">
        <v>25000000</v>
      </c>
      <c r="AV12" s="185">
        <v>2.7000000000000001E-3</v>
      </c>
      <c r="AW12" s="183">
        <f t="shared" ref="AW12:AW38" si="13">(AU12*AV12)/360</f>
        <v>187.5</v>
      </c>
      <c r="AX12" s="183">
        <v>46100000</v>
      </c>
      <c r="AY12" s="185">
        <v>2.8E-3</v>
      </c>
      <c r="AZ12" s="183">
        <f t="shared" ref="AZ12:AZ38" si="14">(AX12*AY12)/360</f>
        <v>358.55555555555554</v>
      </c>
      <c r="BC12" s="183">
        <f t="shared" ref="BC12:BC38" si="15">(BA12*BB12)/360</f>
        <v>0</v>
      </c>
      <c r="BF12" s="183">
        <f t="shared" ref="BF12:BF38" si="16">(BD12*BE12)/360</f>
        <v>0</v>
      </c>
      <c r="BI12" s="183">
        <f t="shared" ref="BI12:BI38" si="17">(BG12*BH12)/360</f>
        <v>0</v>
      </c>
      <c r="BL12" s="183">
        <f t="shared" ref="BL12:BL38" si="18">(BJ12*BK12)/360</f>
        <v>0</v>
      </c>
      <c r="BO12" s="183">
        <f t="shared" ref="BO12:BO38" si="19">(BM12*BN12)/360</f>
        <v>0</v>
      </c>
      <c r="BR12" s="183">
        <f t="shared" ref="BR12:BR38" si="20">(BP12*BQ12)/360</f>
        <v>0</v>
      </c>
      <c r="BU12" s="183">
        <f t="shared" ref="BU12:BU38" si="21">(BS12*BT12)/360</f>
        <v>0</v>
      </c>
      <c r="BX12" s="183">
        <f t="shared" ref="BX12:BX38" si="22">(BV12*BW12)/360</f>
        <v>0</v>
      </c>
      <c r="CA12" s="183">
        <f t="shared" ref="CA12:CA38" si="23">(BY12*BZ12)/360</f>
        <v>0</v>
      </c>
      <c r="CD12" s="183">
        <f t="shared" ref="CD12:CD38" si="24">(CB12*CC12)/360</f>
        <v>0</v>
      </c>
      <c r="CG12" s="183">
        <f t="shared" ref="CG12:CG38" si="25">(CE12*CF12)/360</f>
        <v>0</v>
      </c>
      <c r="CJ12" s="183">
        <f t="shared" ref="CJ12:CJ38" si="26">(CH12*CI12)/360</f>
        <v>0</v>
      </c>
      <c r="CM12" s="183">
        <f t="shared" ref="CM12:CM38" si="27">(CK12*CL12)/360</f>
        <v>0</v>
      </c>
      <c r="CP12" s="183">
        <f t="shared" ref="CP12:CP38" si="28">(CN12*CO12)/360</f>
        <v>0</v>
      </c>
      <c r="CS12" s="183">
        <f t="shared" ref="CS12:CS38" si="29">(CQ12*CR12)/360</f>
        <v>0</v>
      </c>
      <c r="CV12" s="183">
        <f t="shared" ref="CV12:CV38" si="30">(CT12*CU12)/360</f>
        <v>0</v>
      </c>
      <c r="CY12" s="183">
        <f t="shared" ref="CY12:CY38" si="31">(CW12*CX12)/360</f>
        <v>0</v>
      </c>
      <c r="DB12" s="183">
        <f t="shared" ref="DB12:DB38" si="32">(CZ12*DA12)/360</f>
        <v>0</v>
      </c>
      <c r="DE12" s="183">
        <f t="shared" ref="DE12:DE38" si="33">(DC12*DD12)/360</f>
        <v>0</v>
      </c>
      <c r="DH12" s="183">
        <f t="shared" ref="DH12:DH38" si="34">(DF12*DG12)/360</f>
        <v>0</v>
      </c>
      <c r="DK12" s="183">
        <f t="shared" ref="DK12:DK38" si="35">(DI12*DJ12)/360</f>
        <v>0</v>
      </c>
      <c r="DN12" s="183">
        <f t="shared" ref="DN12:DN38" si="36">(DL12*DM12)/360</f>
        <v>0</v>
      </c>
      <c r="DQ12" s="183">
        <f t="shared" ref="DQ12:DQ38" si="37">(DO12*DP12)/360</f>
        <v>0</v>
      </c>
      <c r="DT12" s="183">
        <f t="shared" ref="DT12:DT38" si="38">(DR12*DS12)/360</f>
        <v>0</v>
      </c>
      <c r="DW12" s="183">
        <f t="shared" ref="DW12:DW38" si="39">(DU12*DV12)/360</f>
        <v>0</v>
      </c>
      <c r="DZ12" s="183"/>
      <c r="EA12" s="183"/>
      <c r="EB12" s="214">
        <f t="shared" ref="EB12:EB38" si="40">B12+E12+H12+K12+N12+Q12+T12+W12+Z12+AC12+AF12+AL12+AO12+AR12+AU12+AX12+BA12+BD12+BG12+DU12+AI12+DR12+DO12+DL12+DI12+DF12+DC12+CZ12+CW12+CT12+CQ12+CN12+CK12+CH12+CE12+CB12+BY12+BV12+BS12+BP12+BM12+BJ12</f>
        <v>428950000</v>
      </c>
      <c r="EC12" s="214">
        <f t="shared" ref="EC12:EC38" si="41">EB12-EK12+EL12</f>
        <v>0</v>
      </c>
      <c r="ED12" s="183">
        <f t="shared" ref="ED12:ED38" si="42">D12+G12+J12+M12+P12+S12+V12+Y12+AB12+AE12+AH12+AK12+AN12+AQ12+AT12+AW12+AZ12+BC12+BF12+BI12+DW12+DT12+DQ12+DN12+DK12+DH12+DE12+DB12+CY12+CV12+CS12+CP12+CM12+CJ12+CG12+CD12+CA12+BX12+BU12+BR12+BO12+BL12</f>
        <v>2667.4652777777778</v>
      </c>
      <c r="EE12" s="185">
        <f t="shared" ref="EE12:EE38" si="43">IF(EB12&lt;&gt;0,((ED12/EB12)*360),0)</f>
        <v>2.2386933208998721E-3</v>
      </c>
      <c r="EG12" s="214">
        <f t="shared" ref="EG12:EG38" si="44">Q12+T12+W12+Z12+AC12+AF12</f>
        <v>0</v>
      </c>
      <c r="EH12" s="183">
        <f t="shared" ref="EH12:EH38" si="45">S12+V12+Y12+AB12+AE12+AH12</f>
        <v>0</v>
      </c>
      <c r="EI12" s="185">
        <f t="shared" ref="EI12:EI38" si="46">IF(EG12&lt;&gt;0,((EH12/EG12)*360),0)</f>
        <v>0</v>
      </c>
      <c r="EJ12" s="185"/>
      <c r="EK12" s="214">
        <f t="shared" ref="EK12:EK38" si="47">DR12+DL12+DI12+DF12+DC12+CZ12+CW12+CT12+CQ12+CN12+CK12+CH12+CE12+CB12+BY12+BV12+BS12+BP12+BM12+BJ12+BG12+BD12+BA12+AX12+AU12+AR12+AO12+AL12+AI12+DO12</f>
        <v>428950000</v>
      </c>
      <c r="EL12" s="214">
        <f t="shared" ref="EL12:EL38" si="48">DX12</f>
        <v>0</v>
      </c>
      <c r="EM12" s="214">
        <f t="shared" ref="EM12:EM38" si="49">DT12+DQ12+DN12+DK12+DH12+DE12+DB12+CY12+CV12+CS12+CP12+CM12+CJ12+CG12+CD12+CA12+BX12+BU12+BR12+BO12+BL12+BI12+BF12+BC12+AZ12+AW12+AT12+AQ12+AN12+AK12</f>
        <v>2667.4652777777778</v>
      </c>
      <c r="EN12" s="185">
        <f t="shared" ref="EN12:EN38" si="50">IF(EK12&lt;&gt;0,((EM12/EK12)*360),0)</f>
        <v>2.2386933208998721E-3</v>
      </c>
      <c r="EP12" s="183"/>
    </row>
    <row r="13" spans="1:147" x14ac:dyDescent="0.2">
      <c r="A13" s="211">
        <f t="shared" ref="A13:A38" si="51">1+A12</f>
        <v>44595</v>
      </c>
      <c r="B13" s="183">
        <v>0</v>
      </c>
      <c r="C13" s="185">
        <v>2.0984100000000002E-3</v>
      </c>
      <c r="D13" s="183">
        <f t="shared" si="0"/>
        <v>0</v>
      </c>
      <c r="G13" s="183">
        <f t="shared" si="1"/>
        <v>0</v>
      </c>
      <c r="J13" s="183">
        <f t="shared" si="2"/>
        <v>0</v>
      </c>
      <c r="M13" s="183">
        <f t="shared" si="3"/>
        <v>0</v>
      </c>
      <c r="P13" s="183">
        <f t="shared" si="4"/>
        <v>0</v>
      </c>
      <c r="S13" s="183">
        <f t="shared" si="5"/>
        <v>0</v>
      </c>
      <c r="V13" s="183">
        <f t="shared" si="6"/>
        <v>0</v>
      </c>
      <c r="Y13" s="183">
        <f t="shared" si="7"/>
        <v>0</v>
      </c>
      <c r="AB13" s="183">
        <f t="shared" si="8"/>
        <v>0</v>
      </c>
      <c r="AE13" s="183">
        <v>0</v>
      </c>
      <c r="AH13" s="183">
        <v>0</v>
      </c>
      <c r="AI13" s="212">
        <v>16475000</v>
      </c>
      <c r="AJ13" s="213">
        <v>1.6999999999999999E-3</v>
      </c>
      <c r="AK13" s="183">
        <f t="shared" si="9"/>
        <v>77.798611111111114</v>
      </c>
      <c r="AL13" s="212">
        <v>96875000</v>
      </c>
      <c r="AM13" s="213">
        <v>2.0999999999999999E-3</v>
      </c>
      <c r="AN13" s="183">
        <f t="shared" si="10"/>
        <v>565.10416666666663</v>
      </c>
      <c r="AO13" s="212">
        <v>113225000</v>
      </c>
      <c r="AP13" s="213">
        <v>2.2000000000000001E-3</v>
      </c>
      <c r="AQ13" s="183">
        <f t="shared" si="11"/>
        <v>691.93055555555566</v>
      </c>
      <c r="AR13" s="212">
        <v>75000000</v>
      </c>
      <c r="AS13" s="213">
        <v>2.5000000000000001E-3</v>
      </c>
      <c r="AT13" s="183">
        <f t="shared" si="12"/>
        <v>520.83333333333337</v>
      </c>
      <c r="AU13" s="183">
        <v>25000000</v>
      </c>
      <c r="AV13" s="185">
        <v>2.7000000000000001E-3</v>
      </c>
      <c r="AW13" s="183">
        <f t="shared" si="13"/>
        <v>187.5</v>
      </c>
      <c r="AX13" s="183">
        <v>46100000</v>
      </c>
      <c r="AY13" s="185">
        <v>2.8E-3</v>
      </c>
      <c r="AZ13" s="183">
        <f t="shared" si="14"/>
        <v>358.55555555555554</v>
      </c>
      <c r="BA13" s="183">
        <v>60000000</v>
      </c>
      <c r="BB13" s="185">
        <v>3.3E-3</v>
      </c>
      <c r="BC13" s="183">
        <f t="shared" si="15"/>
        <v>550</v>
      </c>
      <c r="BF13" s="183">
        <f t="shared" si="16"/>
        <v>0</v>
      </c>
      <c r="BI13" s="183">
        <f t="shared" si="17"/>
        <v>0</v>
      </c>
      <c r="BL13" s="183">
        <f t="shared" si="18"/>
        <v>0</v>
      </c>
      <c r="BO13" s="183">
        <f t="shared" si="19"/>
        <v>0</v>
      </c>
      <c r="BR13" s="183">
        <f t="shared" si="20"/>
        <v>0</v>
      </c>
      <c r="BU13" s="183">
        <f t="shared" si="21"/>
        <v>0</v>
      </c>
      <c r="BX13" s="183">
        <f t="shared" si="22"/>
        <v>0</v>
      </c>
      <c r="CA13" s="183">
        <f t="shared" si="23"/>
        <v>0</v>
      </c>
      <c r="CD13" s="183">
        <f t="shared" si="24"/>
        <v>0</v>
      </c>
      <c r="CG13" s="183">
        <f t="shared" si="25"/>
        <v>0</v>
      </c>
      <c r="CJ13" s="183">
        <f t="shared" si="26"/>
        <v>0</v>
      </c>
      <c r="CM13" s="183">
        <f t="shared" si="27"/>
        <v>0</v>
      </c>
      <c r="CP13" s="183">
        <f t="shared" si="28"/>
        <v>0</v>
      </c>
      <c r="CS13" s="183">
        <f t="shared" si="29"/>
        <v>0</v>
      </c>
      <c r="CV13" s="183">
        <f t="shared" si="30"/>
        <v>0</v>
      </c>
      <c r="CY13" s="183">
        <f t="shared" si="31"/>
        <v>0</v>
      </c>
      <c r="DB13" s="183">
        <f t="shared" si="32"/>
        <v>0</v>
      </c>
      <c r="DE13" s="183">
        <f t="shared" si="33"/>
        <v>0</v>
      </c>
      <c r="DH13" s="183">
        <f t="shared" si="34"/>
        <v>0</v>
      </c>
      <c r="DK13" s="183">
        <f t="shared" si="35"/>
        <v>0</v>
      </c>
      <c r="DN13" s="183">
        <f t="shared" si="36"/>
        <v>0</v>
      </c>
      <c r="DQ13" s="183">
        <f t="shared" si="37"/>
        <v>0</v>
      </c>
      <c r="DT13" s="183">
        <f t="shared" si="38"/>
        <v>0</v>
      </c>
      <c r="DW13" s="183">
        <f t="shared" si="39"/>
        <v>0</v>
      </c>
      <c r="DZ13" s="183"/>
      <c r="EA13" s="183"/>
      <c r="EB13" s="214">
        <f t="shared" si="40"/>
        <v>432675000</v>
      </c>
      <c r="EC13" s="214">
        <f t="shared" si="41"/>
        <v>0</v>
      </c>
      <c r="ED13" s="183">
        <f t="shared" si="42"/>
        <v>2951.7222222222226</v>
      </c>
      <c r="EE13" s="185">
        <f t="shared" si="43"/>
        <v>2.4559311261339346E-3</v>
      </c>
      <c r="EG13" s="214">
        <f t="shared" si="44"/>
        <v>0</v>
      </c>
      <c r="EH13" s="183">
        <f t="shared" si="45"/>
        <v>0</v>
      </c>
      <c r="EI13" s="185">
        <f t="shared" si="46"/>
        <v>0</v>
      </c>
      <c r="EJ13" s="185"/>
      <c r="EK13" s="214">
        <f t="shared" si="47"/>
        <v>432675000</v>
      </c>
      <c r="EL13" s="214">
        <f t="shared" si="48"/>
        <v>0</v>
      </c>
      <c r="EM13" s="214">
        <f t="shared" si="49"/>
        <v>2951.7222222222226</v>
      </c>
      <c r="EN13" s="185">
        <f t="shared" si="50"/>
        <v>2.4559311261339346E-3</v>
      </c>
      <c r="EP13" s="183"/>
    </row>
    <row r="14" spans="1:147" x14ac:dyDescent="0.2">
      <c r="A14" s="211">
        <f t="shared" si="51"/>
        <v>44596</v>
      </c>
      <c r="B14" s="183">
        <v>0</v>
      </c>
      <c r="C14" s="185">
        <v>2.4204999999999999E-3</v>
      </c>
      <c r="D14" s="183">
        <f t="shared" si="0"/>
        <v>0</v>
      </c>
      <c r="G14" s="183">
        <f t="shared" si="1"/>
        <v>0</v>
      </c>
      <c r="J14" s="183">
        <f t="shared" si="2"/>
        <v>0</v>
      </c>
      <c r="M14" s="183">
        <f t="shared" si="3"/>
        <v>0</v>
      </c>
      <c r="P14" s="183">
        <f t="shared" si="4"/>
        <v>0</v>
      </c>
      <c r="S14" s="183">
        <f t="shared" si="5"/>
        <v>0</v>
      </c>
      <c r="V14" s="183">
        <f t="shared" si="6"/>
        <v>0</v>
      </c>
      <c r="Y14" s="183">
        <f t="shared" si="7"/>
        <v>0</v>
      </c>
      <c r="AB14" s="183">
        <f t="shared" si="8"/>
        <v>0</v>
      </c>
      <c r="AE14" s="183">
        <v>0</v>
      </c>
      <c r="AH14" s="183">
        <v>0</v>
      </c>
      <c r="AI14" s="212"/>
      <c r="AJ14" s="213"/>
      <c r="AK14" s="183">
        <f t="shared" si="9"/>
        <v>0</v>
      </c>
      <c r="AL14" s="212">
        <v>96875000</v>
      </c>
      <c r="AM14" s="213">
        <v>2.0999999999999999E-3</v>
      </c>
      <c r="AN14" s="183">
        <f t="shared" si="10"/>
        <v>565.10416666666663</v>
      </c>
      <c r="AO14" s="212">
        <v>104325000</v>
      </c>
      <c r="AP14" s="213">
        <v>2.2000000000000001E-3</v>
      </c>
      <c r="AQ14" s="183">
        <f t="shared" si="11"/>
        <v>637.54166666666663</v>
      </c>
      <c r="AR14" s="212">
        <v>75000000</v>
      </c>
      <c r="AS14" s="213">
        <v>2.5000000000000001E-3</v>
      </c>
      <c r="AT14" s="183">
        <f t="shared" si="12"/>
        <v>520.83333333333337</v>
      </c>
      <c r="AU14" s="183">
        <v>25000000</v>
      </c>
      <c r="AV14" s="185">
        <v>2.7000000000000001E-3</v>
      </c>
      <c r="AW14" s="183">
        <f t="shared" si="13"/>
        <v>187.5</v>
      </c>
      <c r="AX14" s="183">
        <v>46100000</v>
      </c>
      <c r="AY14" s="185">
        <v>2.8E-3</v>
      </c>
      <c r="AZ14" s="183">
        <f t="shared" si="14"/>
        <v>358.55555555555554</v>
      </c>
      <c r="BA14" s="183">
        <v>84350000</v>
      </c>
      <c r="BB14" s="185">
        <v>3.3E-3</v>
      </c>
      <c r="BC14" s="183">
        <f t="shared" si="15"/>
        <v>773.20833333333337</v>
      </c>
      <c r="BF14" s="183">
        <f t="shared" si="16"/>
        <v>0</v>
      </c>
      <c r="BI14" s="183">
        <f t="shared" si="17"/>
        <v>0</v>
      </c>
      <c r="BL14" s="183">
        <f t="shared" si="18"/>
        <v>0</v>
      </c>
      <c r="BO14" s="183">
        <f t="shared" si="19"/>
        <v>0</v>
      </c>
      <c r="BR14" s="183">
        <f t="shared" si="20"/>
        <v>0</v>
      </c>
      <c r="BU14" s="183">
        <f t="shared" si="21"/>
        <v>0</v>
      </c>
      <c r="BX14" s="183">
        <f t="shared" si="22"/>
        <v>0</v>
      </c>
      <c r="CA14" s="183">
        <f t="shared" si="23"/>
        <v>0</v>
      </c>
      <c r="CD14" s="183">
        <f t="shared" si="24"/>
        <v>0</v>
      </c>
      <c r="CG14" s="183">
        <f t="shared" si="25"/>
        <v>0</v>
      </c>
      <c r="CJ14" s="183">
        <f t="shared" si="26"/>
        <v>0</v>
      </c>
      <c r="CM14" s="183">
        <f t="shared" si="27"/>
        <v>0</v>
      </c>
      <c r="CP14" s="183">
        <f t="shared" si="28"/>
        <v>0</v>
      </c>
      <c r="CS14" s="183">
        <f t="shared" si="29"/>
        <v>0</v>
      </c>
      <c r="CV14" s="183">
        <f t="shared" si="30"/>
        <v>0</v>
      </c>
      <c r="CY14" s="183">
        <f t="shared" si="31"/>
        <v>0</v>
      </c>
      <c r="DB14" s="183">
        <f t="shared" si="32"/>
        <v>0</v>
      </c>
      <c r="DE14" s="183">
        <f t="shared" si="33"/>
        <v>0</v>
      </c>
      <c r="DH14" s="183">
        <f t="shared" si="34"/>
        <v>0</v>
      </c>
      <c r="DK14" s="183">
        <f t="shared" si="35"/>
        <v>0</v>
      </c>
      <c r="DN14" s="183">
        <f t="shared" si="36"/>
        <v>0</v>
      </c>
      <c r="DQ14" s="183">
        <f t="shared" si="37"/>
        <v>0</v>
      </c>
      <c r="DT14" s="183">
        <f t="shared" si="38"/>
        <v>0</v>
      </c>
      <c r="DW14" s="183">
        <f t="shared" si="39"/>
        <v>0</v>
      </c>
      <c r="DZ14" s="183"/>
      <c r="EA14" s="183"/>
      <c r="EB14" s="214">
        <f t="shared" si="40"/>
        <v>431650000</v>
      </c>
      <c r="EC14" s="214">
        <f t="shared" si="41"/>
        <v>0</v>
      </c>
      <c r="ED14" s="183">
        <f t="shared" si="42"/>
        <v>3042.7430555555557</v>
      </c>
      <c r="EE14" s="185">
        <f t="shared" si="43"/>
        <v>2.5376751998146649E-3</v>
      </c>
      <c r="EG14" s="214">
        <f t="shared" si="44"/>
        <v>0</v>
      </c>
      <c r="EH14" s="183">
        <f t="shared" si="45"/>
        <v>0</v>
      </c>
      <c r="EI14" s="185">
        <f t="shared" si="46"/>
        <v>0</v>
      </c>
      <c r="EJ14" s="185"/>
      <c r="EK14" s="214">
        <f t="shared" si="47"/>
        <v>431650000</v>
      </c>
      <c r="EL14" s="214">
        <f t="shared" si="48"/>
        <v>0</v>
      </c>
      <c r="EM14" s="214">
        <f t="shared" si="49"/>
        <v>3042.7430555555552</v>
      </c>
      <c r="EN14" s="185">
        <f t="shared" si="50"/>
        <v>2.537675199814664E-3</v>
      </c>
      <c r="EP14" s="183"/>
    </row>
    <row r="15" spans="1:147" x14ac:dyDescent="0.2">
      <c r="A15" s="211">
        <f t="shared" si="51"/>
        <v>44597</v>
      </c>
      <c r="B15" s="183">
        <v>0</v>
      </c>
      <c r="C15" s="185">
        <v>2.4204999999999999E-3</v>
      </c>
      <c r="D15" s="183">
        <f t="shared" si="0"/>
        <v>0</v>
      </c>
      <c r="G15" s="183">
        <f t="shared" si="1"/>
        <v>0</v>
      </c>
      <c r="J15" s="183">
        <f t="shared" si="2"/>
        <v>0</v>
      </c>
      <c r="M15" s="183">
        <f t="shared" si="3"/>
        <v>0</v>
      </c>
      <c r="P15" s="183">
        <f t="shared" si="4"/>
        <v>0</v>
      </c>
      <c r="S15" s="183">
        <f t="shared" si="5"/>
        <v>0</v>
      </c>
      <c r="V15" s="183">
        <f t="shared" si="6"/>
        <v>0</v>
      </c>
      <c r="Y15" s="183">
        <f t="shared" si="7"/>
        <v>0</v>
      </c>
      <c r="AB15" s="183">
        <f t="shared" si="8"/>
        <v>0</v>
      </c>
      <c r="AE15" s="183">
        <v>0</v>
      </c>
      <c r="AH15" s="183">
        <v>0</v>
      </c>
      <c r="AI15" s="212"/>
      <c r="AJ15" s="213"/>
      <c r="AK15" s="183">
        <f t="shared" si="9"/>
        <v>0</v>
      </c>
      <c r="AL15" s="212">
        <v>96875000</v>
      </c>
      <c r="AM15" s="213">
        <v>2.0999999999999999E-3</v>
      </c>
      <c r="AN15" s="183">
        <f t="shared" si="10"/>
        <v>565.10416666666663</v>
      </c>
      <c r="AO15" s="212">
        <v>104325000</v>
      </c>
      <c r="AP15" s="213">
        <v>2.2000000000000001E-3</v>
      </c>
      <c r="AQ15" s="183">
        <f t="shared" si="11"/>
        <v>637.54166666666663</v>
      </c>
      <c r="AR15" s="212">
        <v>75000000</v>
      </c>
      <c r="AS15" s="213">
        <v>2.5000000000000001E-3</v>
      </c>
      <c r="AT15" s="183">
        <f t="shared" si="12"/>
        <v>520.83333333333337</v>
      </c>
      <c r="AU15" s="183">
        <v>25000000</v>
      </c>
      <c r="AV15" s="185">
        <v>2.7000000000000001E-3</v>
      </c>
      <c r="AW15" s="183">
        <f t="shared" si="13"/>
        <v>187.5</v>
      </c>
      <c r="AX15" s="183">
        <v>46100000</v>
      </c>
      <c r="AY15" s="185">
        <v>2.8E-3</v>
      </c>
      <c r="AZ15" s="183">
        <f t="shared" si="14"/>
        <v>358.55555555555554</v>
      </c>
      <c r="BA15" s="183">
        <v>84350000</v>
      </c>
      <c r="BB15" s="185">
        <v>3.3E-3</v>
      </c>
      <c r="BC15" s="183">
        <f t="shared" si="15"/>
        <v>773.20833333333337</v>
      </c>
      <c r="BF15" s="183">
        <f t="shared" si="16"/>
        <v>0</v>
      </c>
      <c r="BI15" s="183">
        <f t="shared" si="17"/>
        <v>0</v>
      </c>
      <c r="BL15" s="183">
        <f t="shared" si="18"/>
        <v>0</v>
      </c>
      <c r="BO15" s="183">
        <f t="shared" si="19"/>
        <v>0</v>
      </c>
      <c r="BR15" s="183">
        <f t="shared" si="20"/>
        <v>0</v>
      </c>
      <c r="BU15" s="183">
        <f t="shared" si="21"/>
        <v>0</v>
      </c>
      <c r="BX15" s="183">
        <f t="shared" si="22"/>
        <v>0</v>
      </c>
      <c r="CA15" s="183">
        <f t="shared" si="23"/>
        <v>0</v>
      </c>
      <c r="CD15" s="183">
        <f t="shared" si="24"/>
        <v>0</v>
      </c>
      <c r="CG15" s="183">
        <f t="shared" si="25"/>
        <v>0</v>
      </c>
      <c r="CJ15" s="183">
        <f t="shared" si="26"/>
        <v>0</v>
      </c>
      <c r="CM15" s="183">
        <f t="shared" si="27"/>
        <v>0</v>
      </c>
      <c r="CP15" s="183">
        <f t="shared" si="28"/>
        <v>0</v>
      </c>
      <c r="CS15" s="183">
        <f t="shared" si="29"/>
        <v>0</v>
      </c>
      <c r="CV15" s="183">
        <f t="shared" si="30"/>
        <v>0</v>
      </c>
      <c r="CY15" s="183">
        <f t="shared" si="31"/>
        <v>0</v>
      </c>
      <c r="DB15" s="183">
        <f t="shared" si="32"/>
        <v>0</v>
      </c>
      <c r="DE15" s="183">
        <f t="shared" si="33"/>
        <v>0</v>
      </c>
      <c r="DH15" s="183">
        <f t="shared" si="34"/>
        <v>0</v>
      </c>
      <c r="DK15" s="183">
        <f t="shared" si="35"/>
        <v>0</v>
      </c>
      <c r="DN15" s="183">
        <f t="shared" si="36"/>
        <v>0</v>
      </c>
      <c r="DQ15" s="183">
        <f t="shared" si="37"/>
        <v>0</v>
      </c>
      <c r="DT15" s="183">
        <f t="shared" si="38"/>
        <v>0</v>
      </c>
      <c r="DW15" s="183">
        <f t="shared" si="39"/>
        <v>0</v>
      </c>
      <c r="DZ15" s="183"/>
      <c r="EA15" s="183"/>
      <c r="EB15" s="214">
        <f t="shared" si="40"/>
        <v>431650000</v>
      </c>
      <c r="EC15" s="214">
        <f t="shared" si="41"/>
        <v>0</v>
      </c>
      <c r="ED15" s="183">
        <f t="shared" si="42"/>
        <v>3042.7430555555557</v>
      </c>
      <c r="EE15" s="185">
        <f t="shared" si="43"/>
        <v>2.5376751998146649E-3</v>
      </c>
      <c r="EG15" s="214">
        <f t="shared" si="44"/>
        <v>0</v>
      </c>
      <c r="EH15" s="183">
        <f t="shared" si="45"/>
        <v>0</v>
      </c>
      <c r="EI15" s="185">
        <f t="shared" si="46"/>
        <v>0</v>
      </c>
      <c r="EJ15" s="185"/>
      <c r="EK15" s="214">
        <f t="shared" si="47"/>
        <v>431650000</v>
      </c>
      <c r="EL15" s="214">
        <f t="shared" si="48"/>
        <v>0</v>
      </c>
      <c r="EM15" s="214">
        <f t="shared" si="49"/>
        <v>3042.7430555555552</v>
      </c>
      <c r="EN15" s="185">
        <f t="shared" si="50"/>
        <v>2.537675199814664E-3</v>
      </c>
      <c r="EP15" s="183"/>
    </row>
    <row r="16" spans="1:147" x14ac:dyDescent="0.2">
      <c r="A16" s="211">
        <f t="shared" si="51"/>
        <v>44598</v>
      </c>
      <c r="B16" s="183">
        <v>0</v>
      </c>
      <c r="C16" s="185">
        <v>2.4204999999999999E-3</v>
      </c>
      <c r="D16" s="183">
        <f t="shared" si="0"/>
        <v>0</v>
      </c>
      <c r="G16" s="183">
        <f t="shared" si="1"/>
        <v>0</v>
      </c>
      <c r="J16" s="183">
        <f t="shared" si="2"/>
        <v>0</v>
      </c>
      <c r="M16" s="183">
        <f t="shared" si="3"/>
        <v>0</v>
      </c>
      <c r="P16" s="183">
        <f t="shared" si="4"/>
        <v>0</v>
      </c>
      <c r="S16" s="183">
        <f t="shared" si="5"/>
        <v>0</v>
      </c>
      <c r="V16" s="183">
        <f t="shared" si="6"/>
        <v>0</v>
      </c>
      <c r="Y16" s="183">
        <f t="shared" si="7"/>
        <v>0</v>
      </c>
      <c r="AB16" s="183">
        <f t="shared" si="8"/>
        <v>0</v>
      </c>
      <c r="AE16" s="183">
        <v>0</v>
      </c>
      <c r="AH16" s="183">
        <v>0</v>
      </c>
      <c r="AI16" s="212"/>
      <c r="AJ16" s="213"/>
      <c r="AK16" s="183">
        <f t="shared" si="9"/>
        <v>0</v>
      </c>
      <c r="AL16" s="212">
        <v>96875000</v>
      </c>
      <c r="AM16" s="213">
        <v>2.0999999999999999E-3</v>
      </c>
      <c r="AN16" s="183">
        <f t="shared" si="10"/>
        <v>565.10416666666663</v>
      </c>
      <c r="AO16" s="212">
        <v>104325000</v>
      </c>
      <c r="AP16" s="213">
        <v>2.2000000000000001E-3</v>
      </c>
      <c r="AQ16" s="183">
        <f t="shared" si="11"/>
        <v>637.54166666666663</v>
      </c>
      <c r="AR16" s="212">
        <v>75000000</v>
      </c>
      <c r="AS16" s="213">
        <v>2.5000000000000001E-3</v>
      </c>
      <c r="AT16" s="183">
        <f t="shared" si="12"/>
        <v>520.83333333333337</v>
      </c>
      <c r="AU16" s="183">
        <v>25000000</v>
      </c>
      <c r="AV16" s="185">
        <v>2.7000000000000001E-3</v>
      </c>
      <c r="AW16" s="183">
        <f t="shared" si="13"/>
        <v>187.5</v>
      </c>
      <c r="AX16" s="183">
        <v>46100000</v>
      </c>
      <c r="AY16" s="185">
        <v>2.8E-3</v>
      </c>
      <c r="AZ16" s="183">
        <f t="shared" si="14"/>
        <v>358.55555555555554</v>
      </c>
      <c r="BA16" s="183">
        <v>84350000</v>
      </c>
      <c r="BB16" s="185">
        <v>3.3E-3</v>
      </c>
      <c r="BC16" s="183">
        <f t="shared" si="15"/>
        <v>773.20833333333337</v>
      </c>
      <c r="BF16" s="183">
        <f t="shared" si="16"/>
        <v>0</v>
      </c>
      <c r="BI16" s="183">
        <f t="shared" si="17"/>
        <v>0</v>
      </c>
      <c r="BL16" s="183">
        <f t="shared" si="18"/>
        <v>0</v>
      </c>
      <c r="BO16" s="183">
        <f t="shared" si="19"/>
        <v>0</v>
      </c>
      <c r="BR16" s="183">
        <f t="shared" si="20"/>
        <v>0</v>
      </c>
      <c r="BU16" s="183">
        <f t="shared" si="21"/>
        <v>0</v>
      </c>
      <c r="BX16" s="183">
        <f t="shared" si="22"/>
        <v>0</v>
      </c>
      <c r="CA16" s="183">
        <f t="shared" si="23"/>
        <v>0</v>
      </c>
      <c r="CD16" s="183">
        <f t="shared" si="24"/>
        <v>0</v>
      </c>
      <c r="CG16" s="183">
        <f t="shared" si="25"/>
        <v>0</v>
      </c>
      <c r="CJ16" s="183">
        <f t="shared" si="26"/>
        <v>0</v>
      </c>
      <c r="CM16" s="183">
        <f t="shared" si="27"/>
        <v>0</v>
      </c>
      <c r="CP16" s="183">
        <f t="shared" si="28"/>
        <v>0</v>
      </c>
      <c r="CS16" s="183">
        <f t="shared" si="29"/>
        <v>0</v>
      </c>
      <c r="CV16" s="183">
        <f t="shared" si="30"/>
        <v>0</v>
      </c>
      <c r="CY16" s="183">
        <f t="shared" si="31"/>
        <v>0</v>
      </c>
      <c r="DB16" s="183">
        <f t="shared" si="32"/>
        <v>0</v>
      </c>
      <c r="DE16" s="183">
        <f t="shared" si="33"/>
        <v>0</v>
      </c>
      <c r="DH16" s="183">
        <f t="shared" si="34"/>
        <v>0</v>
      </c>
      <c r="DK16" s="183">
        <f t="shared" si="35"/>
        <v>0</v>
      </c>
      <c r="DN16" s="183">
        <f t="shared" si="36"/>
        <v>0</v>
      </c>
      <c r="DQ16" s="183">
        <f t="shared" si="37"/>
        <v>0</v>
      </c>
      <c r="DT16" s="183">
        <f t="shared" si="38"/>
        <v>0</v>
      </c>
      <c r="DW16" s="183">
        <f t="shared" si="39"/>
        <v>0</v>
      </c>
      <c r="DZ16" s="183"/>
      <c r="EA16" s="183"/>
      <c r="EB16" s="214">
        <f t="shared" si="40"/>
        <v>431650000</v>
      </c>
      <c r="EC16" s="214">
        <f t="shared" si="41"/>
        <v>0</v>
      </c>
      <c r="ED16" s="183">
        <f t="shared" si="42"/>
        <v>3042.7430555555557</v>
      </c>
      <c r="EE16" s="185">
        <f t="shared" si="43"/>
        <v>2.5376751998146649E-3</v>
      </c>
      <c r="EG16" s="214">
        <f t="shared" si="44"/>
        <v>0</v>
      </c>
      <c r="EH16" s="183">
        <f t="shared" si="45"/>
        <v>0</v>
      </c>
      <c r="EI16" s="185">
        <f t="shared" si="46"/>
        <v>0</v>
      </c>
      <c r="EJ16" s="185"/>
      <c r="EK16" s="214">
        <f t="shared" si="47"/>
        <v>431650000</v>
      </c>
      <c r="EL16" s="214">
        <f t="shared" si="48"/>
        <v>0</v>
      </c>
      <c r="EM16" s="214">
        <f t="shared" si="49"/>
        <v>3042.7430555555552</v>
      </c>
      <c r="EN16" s="185">
        <f t="shared" si="50"/>
        <v>2.537675199814664E-3</v>
      </c>
      <c r="EP16" s="183"/>
    </row>
    <row r="17" spans="1:146" x14ac:dyDescent="0.2">
      <c r="A17" s="211">
        <f t="shared" si="51"/>
        <v>44599</v>
      </c>
      <c r="B17" s="183">
        <v>0</v>
      </c>
      <c r="C17" s="185">
        <v>2.3270499999999998E-3</v>
      </c>
      <c r="D17" s="183">
        <f t="shared" si="0"/>
        <v>0</v>
      </c>
      <c r="G17" s="183">
        <f t="shared" si="1"/>
        <v>0</v>
      </c>
      <c r="J17" s="183">
        <f t="shared" si="2"/>
        <v>0</v>
      </c>
      <c r="M17" s="183">
        <f t="shared" si="3"/>
        <v>0</v>
      </c>
      <c r="P17" s="183">
        <f t="shared" si="4"/>
        <v>0</v>
      </c>
      <c r="S17" s="183">
        <f t="shared" si="5"/>
        <v>0</v>
      </c>
      <c r="V17" s="183">
        <f t="shared" si="6"/>
        <v>0</v>
      </c>
      <c r="Y17" s="183">
        <f t="shared" si="7"/>
        <v>0</v>
      </c>
      <c r="AB17" s="183">
        <f t="shared" si="8"/>
        <v>0</v>
      </c>
      <c r="AE17" s="183">
        <v>0</v>
      </c>
      <c r="AH17" s="183">
        <v>0</v>
      </c>
      <c r="AI17" s="212">
        <v>52925000</v>
      </c>
      <c r="AJ17" s="213">
        <v>1.6999999999999999E-3</v>
      </c>
      <c r="AK17" s="183">
        <f t="shared" si="9"/>
        <v>249.92361111111111</v>
      </c>
      <c r="AL17" s="212">
        <v>96875000</v>
      </c>
      <c r="AM17" s="213">
        <v>2.0999999999999999E-3</v>
      </c>
      <c r="AN17" s="183">
        <f t="shared" si="10"/>
        <v>565.10416666666663</v>
      </c>
      <c r="AO17" s="212">
        <v>45000000</v>
      </c>
      <c r="AP17" s="213">
        <v>2.2000000000000001E-3</v>
      </c>
      <c r="AQ17" s="183">
        <f t="shared" si="11"/>
        <v>275</v>
      </c>
      <c r="AR17" s="212">
        <v>75000000</v>
      </c>
      <c r="AS17" s="213">
        <v>2.5000000000000001E-3</v>
      </c>
      <c r="AT17" s="183">
        <f t="shared" si="12"/>
        <v>520.83333333333337</v>
      </c>
      <c r="AU17" s="183">
        <v>25000000</v>
      </c>
      <c r="AV17" s="185">
        <v>2.7000000000000001E-3</v>
      </c>
      <c r="AW17" s="183">
        <f t="shared" si="13"/>
        <v>187.5</v>
      </c>
      <c r="AX17" s="183">
        <v>46100000</v>
      </c>
      <c r="AY17" s="185">
        <v>2.8E-3</v>
      </c>
      <c r="AZ17" s="183">
        <f t="shared" si="14"/>
        <v>358.55555555555554</v>
      </c>
      <c r="BA17" s="183">
        <v>84350000</v>
      </c>
      <c r="BB17" s="185">
        <v>3.3E-3</v>
      </c>
      <c r="BC17" s="183">
        <f t="shared" si="15"/>
        <v>773.20833333333337</v>
      </c>
      <c r="BF17" s="183">
        <f t="shared" si="16"/>
        <v>0</v>
      </c>
      <c r="BI17" s="183">
        <f t="shared" si="17"/>
        <v>0</v>
      </c>
      <c r="BL17" s="183">
        <f t="shared" si="18"/>
        <v>0</v>
      </c>
      <c r="BO17" s="183">
        <f t="shared" si="19"/>
        <v>0</v>
      </c>
      <c r="BR17" s="183">
        <f t="shared" si="20"/>
        <v>0</v>
      </c>
      <c r="BU17" s="183">
        <f t="shared" si="21"/>
        <v>0</v>
      </c>
      <c r="BX17" s="183">
        <f t="shared" si="22"/>
        <v>0</v>
      </c>
      <c r="CA17" s="183">
        <f t="shared" si="23"/>
        <v>0</v>
      </c>
      <c r="CD17" s="183">
        <f t="shared" si="24"/>
        <v>0</v>
      </c>
      <c r="CG17" s="183">
        <f t="shared" si="25"/>
        <v>0</v>
      </c>
      <c r="CJ17" s="183">
        <f t="shared" si="26"/>
        <v>0</v>
      </c>
      <c r="CM17" s="183">
        <f t="shared" si="27"/>
        <v>0</v>
      </c>
      <c r="CP17" s="183">
        <f t="shared" si="28"/>
        <v>0</v>
      </c>
      <c r="CS17" s="183">
        <f t="shared" si="29"/>
        <v>0</v>
      </c>
      <c r="CV17" s="183">
        <f t="shared" si="30"/>
        <v>0</v>
      </c>
      <c r="CY17" s="183">
        <f t="shared" si="31"/>
        <v>0</v>
      </c>
      <c r="DB17" s="183">
        <f t="shared" si="32"/>
        <v>0</v>
      </c>
      <c r="DE17" s="183">
        <f t="shared" si="33"/>
        <v>0</v>
      </c>
      <c r="DH17" s="183">
        <f t="shared" si="34"/>
        <v>0</v>
      </c>
      <c r="DK17" s="183">
        <f t="shared" si="35"/>
        <v>0</v>
      </c>
      <c r="DN17" s="183">
        <f t="shared" si="36"/>
        <v>0</v>
      </c>
      <c r="DQ17" s="183">
        <f t="shared" si="37"/>
        <v>0</v>
      </c>
      <c r="DT17" s="183">
        <f t="shared" si="38"/>
        <v>0</v>
      </c>
      <c r="DW17" s="183">
        <f t="shared" si="39"/>
        <v>0</v>
      </c>
      <c r="DZ17" s="183"/>
      <c r="EA17" s="183"/>
      <c r="EB17" s="214">
        <f t="shared" si="40"/>
        <v>425250000</v>
      </c>
      <c r="EC17" s="214">
        <f t="shared" si="41"/>
        <v>0</v>
      </c>
      <c r="ED17" s="183">
        <f t="shared" si="42"/>
        <v>2930.1250000000005</v>
      </c>
      <c r="EE17" s="185">
        <f t="shared" si="43"/>
        <v>2.4805291005291011E-3</v>
      </c>
      <c r="EG17" s="214">
        <f t="shared" si="44"/>
        <v>0</v>
      </c>
      <c r="EH17" s="183">
        <f t="shared" si="45"/>
        <v>0</v>
      </c>
      <c r="EI17" s="185">
        <f t="shared" si="46"/>
        <v>0</v>
      </c>
      <c r="EJ17" s="185"/>
      <c r="EK17" s="214">
        <f t="shared" si="47"/>
        <v>425250000</v>
      </c>
      <c r="EL17" s="214">
        <f t="shared" si="48"/>
        <v>0</v>
      </c>
      <c r="EM17" s="214">
        <f t="shared" si="49"/>
        <v>2930.125</v>
      </c>
      <c r="EN17" s="185">
        <f t="shared" si="50"/>
        <v>2.4805291005291006E-3</v>
      </c>
      <c r="EP17" s="183"/>
    </row>
    <row r="18" spans="1:146" x14ac:dyDescent="0.2">
      <c r="A18" s="211">
        <f t="shared" si="51"/>
        <v>44600</v>
      </c>
      <c r="B18" s="183">
        <v>0</v>
      </c>
      <c r="C18" s="185">
        <v>2.4515800000000001E-3</v>
      </c>
      <c r="D18" s="183">
        <f t="shared" si="0"/>
        <v>0</v>
      </c>
      <c r="G18" s="183">
        <f t="shared" si="1"/>
        <v>0</v>
      </c>
      <c r="J18" s="183">
        <f t="shared" si="2"/>
        <v>0</v>
      </c>
      <c r="M18" s="183">
        <f t="shared" si="3"/>
        <v>0</v>
      </c>
      <c r="P18" s="183">
        <f t="shared" si="4"/>
        <v>0</v>
      </c>
      <c r="S18" s="183">
        <f t="shared" si="5"/>
        <v>0</v>
      </c>
      <c r="V18" s="183">
        <f t="shared" si="6"/>
        <v>0</v>
      </c>
      <c r="Y18" s="183">
        <f t="shared" si="7"/>
        <v>0</v>
      </c>
      <c r="AB18" s="183">
        <f t="shared" si="8"/>
        <v>0</v>
      </c>
      <c r="AE18" s="183">
        <v>0</v>
      </c>
      <c r="AH18" s="183">
        <v>0</v>
      </c>
      <c r="AI18" s="212">
        <v>90000000</v>
      </c>
      <c r="AJ18" s="213">
        <v>1.6999999999999999E-3</v>
      </c>
      <c r="AK18" s="183">
        <f t="shared" si="9"/>
        <v>425</v>
      </c>
      <c r="AL18" s="212"/>
      <c r="AM18" s="213"/>
      <c r="AN18" s="183">
        <f t="shared" si="10"/>
        <v>0</v>
      </c>
      <c r="AO18" s="212">
        <v>45000000</v>
      </c>
      <c r="AP18" s="213">
        <v>2.2000000000000001E-3</v>
      </c>
      <c r="AQ18" s="183">
        <f t="shared" si="11"/>
        <v>275</v>
      </c>
      <c r="AR18" s="212">
        <v>75000000</v>
      </c>
      <c r="AS18" s="213">
        <v>2.5000000000000001E-3</v>
      </c>
      <c r="AT18" s="183">
        <f t="shared" si="12"/>
        <v>520.83333333333337</v>
      </c>
      <c r="AU18" s="183">
        <v>25000000</v>
      </c>
      <c r="AV18" s="185">
        <v>2.7000000000000001E-3</v>
      </c>
      <c r="AW18" s="183">
        <f t="shared" si="13"/>
        <v>187.5</v>
      </c>
      <c r="AX18" s="183">
        <v>46100000</v>
      </c>
      <c r="AY18" s="185">
        <v>2.8E-3</v>
      </c>
      <c r="AZ18" s="183">
        <f t="shared" si="14"/>
        <v>358.55555555555554</v>
      </c>
      <c r="BA18" s="183">
        <v>84350000</v>
      </c>
      <c r="BB18" s="185">
        <v>3.3E-3</v>
      </c>
      <c r="BC18" s="183">
        <f t="shared" si="15"/>
        <v>773.20833333333337</v>
      </c>
      <c r="BD18" s="183">
        <v>48275000</v>
      </c>
      <c r="BE18" s="185">
        <v>3.0000000000000001E-3</v>
      </c>
      <c r="BF18" s="183">
        <f t="shared" si="16"/>
        <v>402.29166666666669</v>
      </c>
      <c r="BI18" s="183">
        <f t="shared" si="17"/>
        <v>0</v>
      </c>
      <c r="BL18" s="183">
        <f t="shared" si="18"/>
        <v>0</v>
      </c>
      <c r="BO18" s="183">
        <f t="shared" si="19"/>
        <v>0</v>
      </c>
      <c r="BR18" s="183">
        <f t="shared" si="20"/>
        <v>0</v>
      </c>
      <c r="BU18" s="183">
        <f t="shared" si="21"/>
        <v>0</v>
      </c>
      <c r="BX18" s="183">
        <f t="shared" si="22"/>
        <v>0</v>
      </c>
      <c r="CA18" s="183">
        <f t="shared" si="23"/>
        <v>0</v>
      </c>
      <c r="CD18" s="183">
        <f t="shared" si="24"/>
        <v>0</v>
      </c>
      <c r="CG18" s="183">
        <f t="shared" si="25"/>
        <v>0</v>
      </c>
      <c r="CJ18" s="183">
        <f t="shared" si="26"/>
        <v>0</v>
      </c>
      <c r="CM18" s="183">
        <f t="shared" si="27"/>
        <v>0</v>
      </c>
      <c r="CP18" s="183">
        <f t="shared" si="28"/>
        <v>0</v>
      </c>
      <c r="CS18" s="183">
        <f t="shared" si="29"/>
        <v>0</v>
      </c>
      <c r="CV18" s="183">
        <f t="shared" si="30"/>
        <v>0</v>
      </c>
      <c r="CY18" s="183">
        <f t="shared" si="31"/>
        <v>0</v>
      </c>
      <c r="DB18" s="183">
        <f t="shared" si="32"/>
        <v>0</v>
      </c>
      <c r="DE18" s="183">
        <f t="shared" si="33"/>
        <v>0</v>
      </c>
      <c r="DH18" s="183">
        <f t="shared" si="34"/>
        <v>0</v>
      </c>
      <c r="DK18" s="183">
        <f t="shared" si="35"/>
        <v>0</v>
      </c>
      <c r="DN18" s="183">
        <f t="shared" si="36"/>
        <v>0</v>
      </c>
      <c r="DQ18" s="183">
        <f t="shared" si="37"/>
        <v>0</v>
      </c>
      <c r="DT18" s="183">
        <f t="shared" si="38"/>
        <v>0</v>
      </c>
      <c r="DW18" s="183">
        <f t="shared" si="39"/>
        <v>0</v>
      </c>
      <c r="DZ18" s="183"/>
      <c r="EA18" s="183"/>
      <c r="EB18" s="214">
        <f t="shared" si="40"/>
        <v>413725000</v>
      </c>
      <c r="EC18" s="214">
        <f t="shared" si="41"/>
        <v>0</v>
      </c>
      <c r="ED18" s="183">
        <f t="shared" si="42"/>
        <v>2942.3888888888891</v>
      </c>
      <c r="EE18" s="185">
        <f t="shared" si="43"/>
        <v>2.5602997159949242E-3</v>
      </c>
      <c r="EG18" s="214">
        <f t="shared" si="44"/>
        <v>0</v>
      </c>
      <c r="EH18" s="183">
        <f t="shared" si="45"/>
        <v>0</v>
      </c>
      <c r="EI18" s="185">
        <f t="shared" si="46"/>
        <v>0</v>
      </c>
      <c r="EJ18" s="185"/>
      <c r="EK18" s="214">
        <f t="shared" si="47"/>
        <v>413725000</v>
      </c>
      <c r="EL18" s="214">
        <f t="shared" si="48"/>
        <v>0</v>
      </c>
      <c r="EM18" s="214">
        <f t="shared" si="49"/>
        <v>2942.3888888888891</v>
      </c>
      <c r="EN18" s="185">
        <f t="shared" si="50"/>
        <v>2.5602997159949242E-3</v>
      </c>
      <c r="EP18" s="183"/>
    </row>
    <row r="19" spans="1:146" x14ac:dyDescent="0.2">
      <c r="A19" s="211">
        <f t="shared" si="51"/>
        <v>44601</v>
      </c>
      <c r="B19" s="183">
        <v>0</v>
      </c>
      <c r="C19" s="185">
        <v>2.4297199999999998E-3</v>
      </c>
      <c r="D19" s="183">
        <f t="shared" si="0"/>
        <v>0</v>
      </c>
      <c r="G19" s="183">
        <f t="shared" si="1"/>
        <v>0</v>
      </c>
      <c r="J19" s="183">
        <f t="shared" si="2"/>
        <v>0</v>
      </c>
      <c r="M19" s="183">
        <f t="shared" si="3"/>
        <v>0</v>
      </c>
      <c r="P19" s="183">
        <f t="shared" si="4"/>
        <v>0</v>
      </c>
      <c r="S19" s="183">
        <f t="shared" si="5"/>
        <v>0</v>
      </c>
      <c r="V19" s="183">
        <f t="shared" si="6"/>
        <v>0</v>
      </c>
      <c r="Y19" s="183">
        <f t="shared" si="7"/>
        <v>0</v>
      </c>
      <c r="AB19" s="183">
        <f t="shared" si="8"/>
        <v>0</v>
      </c>
      <c r="AE19" s="183">
        <v>0</v>
      </c>
      <c r="AH19" s="183">
        <v>0</v>
      </c>
      <c r="AI19" s="212">
        <v>81525000</v>
      </c>
      <c r="AJ19" s="213">
        <v>1.6999999999999999E-3</v>
      </c>
      <c r="AK19" s="183">
        <f t="shared" si="9"/>
        <v>384.97916666666669</v>
      </c>
      <c r="AL19" s="212"/>
      <c r="AM19" s="213"/>
      <c r="AN19" s="183">
        <f t="shared" si="10"/>
        <v>0</v>
      </c>
      <c r="AO19" s="212">
        <v>45000000</v>
      </c>
      <c r="AP19" s="213">
        <v>2.2000000000000001E-3</v>
      </c>
      <c r="AQ19" s="183">
        <f t="shared" si="11"/>
        <v>275</v>
      </c>
      <c r="AR19" s="212">
        <v>75000000</v>
      </c>
      <c r="AS19" s="213">
        <v>2.5000000000000001E-3</v>
      </c>
      <c r="AT19" s="183">
        <f t="shared" si="12"/>
        <v>520.83333333333337</v>
      </c>
      <c r="AU19" s="183">
        <v>25000000</v>
      </c>
      <c r="AV19" s="185">
        <v>2.7000000000000001E-3</v>
      </c>
      <c r="AW19" s="183">
        <f t="shared" si="13"/>
        <v>187.5</v>
      </c>
      <c r="AX19" s="183">
        <v>46100000</v>
      </c>
      <c r="AY19" s="185">
        <v>2.8E-3</v>
      </c>
      <c r="AZ19" s="183">
        <f t="shared" si="14"/>
        <v>358.55555555555554</v>
      </c>
      <c r="BA19" s="183">
        <v>84350000</v>
      </c>
      <c r="BB19" s="185">
        <v>3.3E-3</v>
      </c>
      <c r="BC19" s="183">
        <f t="shared" si="15"/>
        <v>773.20833333333337</v>
      </c>
      <c r="BD19" s="183">
        <v>48275000</v>
      </c>
      <c r="BE19" s="185">
        <v>3.0000000000000001E-3</v>
      </c>
      <c r="BF19" s="183">
        <f t="shared" si="16"/>
        <v>402.29166666666669</v>
      </c>
      <c r="BI19" s="183">
        <f t="shared" si="17"/>
        <v>0</v>
      </c>
      <c r="BL19" s="183">
        <f t="shared" si="18"/>
        <v>0</v>
      </c>
      <c r="BO19" s="183">
        <f t="shared" si="19"/>
        <v>0</v>
      </c>
      <c r="BR19" s="183">
        <f t="shared" si="20"/>
        <v>0</v>
      </c>
      <c r="BU19" s="183">
        <f t="shared" si="21"/>
        <v>0</v>
      </c>
      <c r="BX19" s="183">
        <f t="shared" si="22"/>
        <v>0</v>
      </c>
      <c r="CA19" s="183">
        <f t="shared" si="23"/>
        <v>0</v>
      </c>
      <c r="CD19" s="183">
        <f t="shared" si="24"/>
        <v>0</v>
      </c>
      <c r="CG19" s="183">
        <f t="shared" si="25"/>
        <v>0</v>
      </c>
      <c r="CJ19" s="183">
        <f t="shared" si="26"/>
        <v>0</v>
      </c>
      <c r="CM19" s="183">
        <f t="shared" si="27"/>
        <v>0</v>
      </c>
      <c r="CP19" s="183">
        <f t="shared" si="28"/>
        <v>0</v>
      </c>
      <c r="CS19" s="183">
        <f t="shared" si="29"/>
        <v>0</v>
      </c>
      <c r="CV19" s="183">
        <f t="shared" si="30"/>
        <v>0</v>
      </c>
      <c r="CY19" s="183">
        <f t="shared" si="31"/>
        <v>0</v>
      </c>
      <c r="DB19" s="183">
        <f t="shared" si="32"/>
        <v>0</v>
      </c>
      <c r="DE19" s="183">
        <f t="shared" si="33"/>
        <v>0</v>
      </c>
      <c r="DH19" s="183">
        <f t="shared" si="34"/>
        <v>0</v>
      </c>
      <c r="DK19" s="183">
        <f t="shared" si="35"/>
        <v>0</v>
      </c>
      <c r="DN19" s="183">
        <f t="shared" si="36"/>
        <v>0</v>
      </c>
      <c r="DQ19" s="183">
        <f t="shared" si="37"/>
        <v>0</v>
      </c>
      <c r="DT19" s="183">
        <f t="shared" si="38"/>
        <v>0</v>
      </c>
      <c r="DW19" s="183">
        <f t="shared" si="39"/>
        <v>0</v>
      </c>
      <c r="DZ19" s="183"/>
      <c r="EA19" s="183"/>
      <c r="EB19" s="214">
        <f t="shared" si="40"/>
        <v>405250000</v>
      </c>
      <c r="EC19" s="214">
        <f t="shared" si="41"/>
        <v>0</v>
      </c>
      <c r="ED19" s="183">
        <f t="shared" si="42"/>
        <v>2902.3680555555557</v>
      </c>
      <c r="EE19" s="185">
        <f t="shared" si="43"/>
        <v>2.5782911782850091E-3</v>
      </c>
      <c r="EG19" s="214">
        <f t="shared" si="44"/>
        <v>0</v>
      </c>
      <c r="EH19" s="183">
        <f t="shared" si="45"/>
        <v>0</v>
      </c>
      <c r="EI19" s="185">
        <f t="shared" si="46"/>
        <v>0</v>
      </c>
      <c r="EJ19" s="185"/>
      <c r="EK19" s="214">
        <f t="shared" si="47"/>
        <v>405250000</v>
      </c>
      <c r="EL19" s="214">
        <f t="shared" si="48"/>
        <v>0</v>
      </c>
      <c r="EM19" s="214">
        <f t="shared" si="49"/>
        <v>2902.3680555555557</v>
      </c>
      <c r="EN19" s="185">
        <f t="shared" si="50"/>
        <v>2.5782911782850091E-3</v>
      </c>
      <c r="EP19" s="183"/>
    </row>
    <row r="20" spans="1:146" x14ac:dyDescent="0.2">
      <c r="A20" s="211">
        <f t="shared" si="51"/>
        <v>44602</v>
      </c>
      <c r="B20" s="183">
        <v>0</v>
      </c>
      <c r="C20" s="185">
        <v>2.43158E-3</v>
      </c>
      <c r="D20" s="183">
        <f t="shared" si="0"/>
        <v>0</v>
      </c>
      <c r="G20" s="183">
        <f t="shared" si="1"/>
        <v>0</v>
      </c>
      <c r="J20" s="183">
        <f t="shared" si="2"/>
        <v>0</v>
      </c>
      <c r="M20" s="183">
        <f t="shared" si="3"/>
        <v>0</v>
      </c>
      <c r="P20" s="183">
        <f t="shared" si="4"/>
        <v>0</v>
      </c>
      <c r="S20" s="183">
        <f t="shared" si="5"/>
        <v>0</v>
      </c>
      <c r="V20" s="183">
        <f t="shared" si="6"/>
        <v>0</v>
      </c>
      <c r="Y20" s="183">
        <f t="shared" si="7"/>
        <v>0</v>
      </c>
      <c r="AB20" s="183">
        <f t="shared" si="8"/>
        <v>0</v>
      </c>
      <c r="AE20" s="183">
        <v>0</v>
      </c>
      <c r="AH20" s="183">
        <v>0</v>
      </c>
      <c r="AI20" s="212">
        <v>74425000</v>
      </c>
      <c r="AJ20" s="213">
        <v>1.6999999999999999E-3</v>
      </c>
      <c r="AK20" s="183">
        <f t="shared" si="9"/>
        <v>351.45138888888891</v>
      </c>
      <c r="AL20" s="212"/>
      <c r="AM20" s="213"/>
      <c r="AN20" s="183">
        <f t="shared" si="10"/>
        <v>0</v>
      </c>
      <c r="AO20" s="212">
        <v>45000000</v>
      </c>
      <c r="AP20" s="213">
        <v>2.2000000000000001E-3</v>
      </c>
      <c r="AQ20" s="183">
        <f t="shared" si="11"/>
        <v>275</v>
      </c>
      <c r="AR20" s="212">
        <v>75000000</v>
      </c>
      <c r="AS20" s="213">
        <v>2.5000000000000001E-3</v>
      </c>
      <c r="AT20" s="183">
        <f t="shared" si="12"/>
        <v>520.83333333333337</v>
      </c>
      <c r="AU20" s="183">
        <v>25000000</v>
      </c>
      <c r="AV20" s="185">
        <v>2.7000000000000001E-3</v>
      </c>
      <c r="AW20" s="183">
        <f t="shared" si="13"/>
        <v>187.5</v>
      </c>
      <c r="AX20" s="183">
        <v>46100000</v>
      </c>
      <c r="AY20" s="185">
        <v>2.8E-3</v>
      </c>
      <c r="AZ20" s="183">
        <f t="shared" si="14"/>
        <v>358.55555555555554</v>
      </c>
      <c r="BA20" s="183">
        <v>84350000</v>
      </c>
      <c r="BB20" s="185">
        <v>3.3E-3</v>
      </c>
      <c r="BC20" s="183">
        <f t="shared" si="15"/>
        <v>773.20833333333337</v>
      </c>
      <c r="BD20" s="183">
        <v>48275000</v>
      </c>
      <c r="BE20" s="185">
        <v>3.0000000000000001E-3</v>
      </c>
      <c r="BF20" s="183">
        <f t="shared" si="16"/>
        <v>402.29166666666669</v>
      </c>
      <c r="BI20" s="183">
        <f t="shared" si="17"/>
        <v>0</v>
      </c>
      <c r="BL20" s="183">
        <f t="shared" si="18"/>
        <v>0</v>
      </c>
      <c r="BO20" s="183">
        <f t="shared" si="19"/>
        <v>0</v>
      </c>
      <c r="BR20" s="183">
        <f t="shared" si="20"/>
        <v>0</v>
      </c>
      <c r="BU20" s="183">
        <f t="shared" si="21"/>
        <v>0</v>
      </c>
      <c r="BX20" s="183">
        <f t="shared" si="22"/>
        <v>0</v>
      </c>
      <c r="CA20" s="183">
        <f t="shared" si="23"/>
        <v>0</v>
      </c>
      <c r="CD20" s="183">
        <f t="shared" si="24"/>
        <v>0</v>
      </c>
      <c r="CG20" s="183">
        <f t="shared" si="25"/>
        <v>0</v>
      </c>
      <c r="CJ20" s="183">
        <f t="shared" si="26"/>
        <v>0</v>
      </c>
      <c r="CM20" s="183">
        <f t="shared" si="27"/>
        <v>0</v>
      </c>
      <c r="CP20" s="183">
        <f t="shared" si="28"/>
        <v>0</v>
      </c>
      <c r="CS20" s="183">
        <f t="shared" si="29"/>
        <v>0</v>
      </c>
      <c r="CV20" s="183">
        <f t="shared" si="30"/>
        <v>0</v>
      </c>
      <c r="CY20" s="183">
        <f t="shared" si="31"/>
        <v>0</v>
      </c>
      <c r="DB20" s="183">
        <f t="shared" si="32"/>
        <v>0</v>
      </c>
      <c r="DE20" s="183">
        <f t="shared" si="33"/>
        <v>0</v>
      </c>
      <c r="DH20" s="183">
        <f t="shared" si="34"/>
        <v>0</v>
      </c>
      <c r="DK20" s="183">
        <f t="shared" si="35"/>
        <v>0</v>
      </c>
      <c r="DN20" s="183">
        <f t="shared" si="36"/>
        <v>0</v>
      </c>
      <c r="DQ20" s="183">
        <f t="shared" si="37"/>
        <v>0</v>
      </c>
      <c r="DT20" s="183">
        <f t="shared" si="38"/>
        <v>0</v>
      </c>
      <c r="DW20" s="183">
        <f t="shared" si="39"/>
        <v>0</v>
      </c>
      <c r="DZ20" s="183"/>
      <c r="EA20" s="183"/>
      <c r="EB20" s="214">
        <f t="shared" si="40"/>
        <v>398150000</v>
      </c>
      <c r="EC20" s="214">
        <f t="shared" si="41"/>
        <v>0</v>
      </c>
      <c r="ED20" s="183">
        <f t="shared" si="42"/>
        <v>2868.8402777777778</v>
      </c>
      <c r="EE20" s="185">
        <f t="shared" si="43"/>
        <v>2.5939532839382145E-3</v>
      </c>
      <c r="EG20" s="214">
        <f t="shared" si="44"/>
        <v>0</v>
      </c>
      <c r="EH20" s="183">
        <f t="shared" si="45"/>
        <v>0</v>
      </c>
      <c r="EI20" s="185">
        <f t="shared" si="46"/>
        <v>0</v>
      </c>
      <c r="EJ20" s="185"/>
      <c r="EK20" s="214">
        <f t="shared" si="47"/>
        <v>398150000</v>
      </c>
      <c r="EL20" s="214">
        <f t="shared" si="48"/>
        <v>0</v>
      </c>
      <c r="EM20" s="214">
        <f t="shared" si="49"/>
        <v>2868.8402777777783</v>
      </c>
      <c r="EN20" s="185">
        <f t="shared" si="50"/>
        <v>2.5939532839382145E-3</v>
      </c>
      <c r="EP20" s="183"/>
    </row>
    <row r="21" spans="1:146" x14ac:dyDescent="0.2">
      <c r="A21" s="211">
        <f t="shared" si="51"/>
        <v>44603</v>
      </c>
      <c r="B21" s="183">
        <v>0</v>
      </c>
      <c r="C21" s="185">
        <v>2.418E-3</v>
      </c>
      <c r="D21" s="183">
        <f t="shared" si="0"/>
        <v>0</v>
      </c>
      <c r="G21" s="183">
        <f t="shared" si="1"/>
        <v>0</v>
      </c>
      <c r="J21" s="183">
        <f t="shared" si="2"/>
        <v>0</v>
      </c>
      <c r="M21" s="183">
        <f t="shared" si="3"/>
        <v>0</v>
      </c>
      <c r="P21" s="183">
        <f t="shared" si="4"/>
        <v>0</v>
      </c>
      <c r="S21" s="183">
        <f t="shared" si="5"/>
        <v>0</v>
      </c>
      <c r="V21" s="183">
        <f t="shared" si="6"/>
        <v>0</v>
      </c>
      <c r="Y21" s="183">
        <f t="shared" si="7"/>
        <v>0</v>
      </c>
      <c r="AB21" s="183">
        <f t="shared" si="8"/>
        <v>0</v>
      </c>
      <c r="AE21" s="183">
        <v>0</v>
      </c>
      <c r="AH21" s="183">
        <v>0</v>
      </c>
      <c r="AI21" s="212">
        <v>85925000</v>
      </c>
      <c r="AJ21" s="213">
        <v>1.6999999999999999E-3</v>
      </c>
      <c r="AK21" s="183">
        <f t="shared" si="9"/>
        <v>405.75694444444446</v>
      </c>
      <c r="AL21" s="212"/>
      <c r="AM21" s="213"/>
      <c r="AN21" s="183">
        <f t="shared" si="10"/>
        <v>0</v>
      </c>
      <c r="AO21" s="212">
        <v>45000000</v>
      </c>
      <c r="AP21" s="213">
        <v>2.2000000000000001E-3</v>
      </c>
      <c r="AQ21" s="183">
        <f t="shared" si="11"/>
        <v>275</v>
      </c>
      <c r="AR21" s="212">
        <v>75000000</v>
      </c>
      <c r="AS21" s="213">
        <v>2.5000000000000001E-3</v>
      </c>
      <c r="AT21" s="183">
        <f t="shared" si="12"/>
        <v>520.83333333333337</v>
      </c>
      <c r="AU21" s="183">
        <v>25000000</v>
      </c>
      <c r="AV21" s="185">
        <v>2.7000000000000001E-3</v>
      </c>
      <c r="AW21" s="183">
        <f t="shared" si="13"/>
        <v>187.5</v>
      </c>
      <c r="AX21" s="183">
        <v>46100000</v>
      </c>
      <c r="AY21" s="185">
        <v>2.8E-3</v>
      </c>
      <c r="AZ21" s="183">
        <f t="shared" si="14"/>
        <v>358.55555555555554</v>
      </c>
      <c r="BA21" s="183">
        <v>84350000</v>
      </c>
      <c r="BB21" s="185">
        <v>3.3E-3</v>
      </c>
      <c r="BC21" s="183">
        <f t="shared" si="15"/>
        <v>773.20833333333337</v>
      </c>
      <c r="BD21" s="183">
        <v>48275000</v>
      </c>
      <c r="BE21" s="185">
        <v>3.0000000000000001E-3</v>
      </c>
      <c r="BF21" s="183">
        <f t="shared" si="16"/>
        <v>402.29166666666669</v>
      </c>
      <c r="BI21" s="183">
        <f t="shared" si="17"/>
        <v>0</v>
      </c>
      <c r="BL21" s="183">
        <f t="shared" si="18"/>
        <v>0</v>
      </c>
      <c r="BO21" s="183">
        <f t="shared" si="19"/>
        <v>0</v>
      </c>
      <c r="BR21" s="183">
        <f t="shared" si="20"/>
        <v>0</v>
      </c>
      <c r="BU21" s="183">
        <f t="shared" si="21"/>
        <v>0</v>
      </c>
      <c r="BX21" s="183">
        <f t="shared" si="22"/>
        <v>0</v>
      </c>
      <c r="CA21" s="183">
        <f t="shared" si="23"/>
        <v>0</v>
      </c>
      <c r="CD21" s="183">
        <f t="shared" si="24"/>
        <v>0</v>
      </c>
      <c r="CG21" s="183">
        <f t="shared" si="25"/>
        <v>0</v>
      </c>
      <c r="CJ21" s="183">
        <f t="shared" si="26"/>
        <v>0</v>
      </c>
      <c r="CM21" s="183">
        <f t="shared" si="27"/>
        <v>0</v>
      </c>
      <c r="CP21" s="183">
        <f t="shared" si="28"/>
        <v>0</v>
      </c>
      <c r="CS21" s="183">
        <f t="shared" si="29"/>
        <v>0</v>
      </c>
      <c r="CV21" s="183">
        <f t="shared" si="30"/>
        <v>0</v>
      </c>
      <c r="CY21" s="183">
        <f t="shared" si="31"/>
        <v>0</v>
      </c>
      <c r="DB21" s="183">
        <f t="shared" si="32"/>
        <v>0</v>
      </c>
      <c r="DE21" s="183">
        <f t="shared" si="33"/>
        <v>0</v>
      </c>
      <c r="DH21" s="183">
        <f t="shared" si="34"/>
        <v>0</v>
      </c>
      <c r="DK21" s="183">
        <f t="shared" si="35"/>
        <v>0</v>
      </c>
      <c r="DN21" s="183">
        <f t="shared" si="36"/>
        <v>0</v>
      </c>
      <c r="DQ21" s="183">
        <f t="shared" si="37"/>
        <v>0</v>
      </c>
      <c r="DT21" s="183">
        <f t="shared" si="38"/>
        <v>0</v>
      </c>
      <c r="DW21" s="183">
        <f t="shared" si="39"/>
        <v>0</v>
      </c>
      <c r="DZ21" s="183"/>
      <c r="EA21" s="183"/>
      <c r="EB21" s="214">
        <f t="shared" si="40"/>
        <v>409650000</v>
      </c>
      <c r="EC21" s="214">
        <f t="shared" si="41"/>
        <v>0</v>
      </c>
      <c r="ED21" s="183">
        <f t="shared" si="42"/>
        <v>2923.1458333333335</v>
      </c>
      <c r="EE21" s="185">
        <f t="shared" si="43"/>
        <v>2.5688575613328451E-3</v>
      </c>
      <c r="EG21" s="214">
        <f t="shared" si="44"/>
        <v>0</v>
      </c>
      <c r="EH21" s="183">
        <f t="shared" si="45"/>
        <v>0</v>
      </c>
      <c r="EI21" s="185">
        <f t="shared" si="46"/>
        <v>0</v>
      </c>
      <c r="EJ21" s="185"/>
      <c r="EK21" s="214">
        <f t="shared" si="47"/>
        <v>409650000</v>
      </c>
      <c r="EL21" s="214">
        <f t="shared" si="48"/>
        <v>0</v>
      </c>
      <c r="EM21" s="214">
        <f t="shared" si="49"/>
        <v>2923.1458333333335</v>
      </c>
      <c r="EN21" s="185">
        <f t="shared" si="50"/>
        <v>2.5688575613328451E-3</v>
      </c>
      <c r="EP21" s="183"/>
    </row>
    <row r="22" spans="1:146" x14ac:dyDescent="0.2">
      <c r="A22" s="211">
        <f t="shared" si="51"/>
        <v>44604</v>
      </c>
      <c r="B22" s="183">
        <v>0</v>
      </c>
      <c r="C22" s="185">
        <v>2.418E-3</v>
      </c>
      <c r="D22" s="183">
        <f t="shared" si="0"/>
        <v>0</v>
      </c>
      <c r="G22" s="183">
        <f t="shared" si="1"/>
        <v>0</v>
      </c>
      <c r="J22" s="183">
        <f t="shared" si="2"/>
        <v>0</v>
      </c>
      <c r="M22" s="183">
        <f t="shared" si="3"/>
        <v>0</v>
      </c>
      <c r="P22" s="183">
        <f t="shared" si="4"/>
        <v>0</v>
      </c>
      <c r="S22" s="183">
        <f t="shared" si="5"/>
        <v>0</v>
      </c>
      <c r="V22" s="183">
        <f t="shared" si="6"/>
        <v>0</v>
      </c>
      <c r="Y22" s="183">
        <f t="shared" si="7"/>
        <v>0</v>
      </c>
      <c r="AB22" s="183">
        <f t="shared" si="8"/>
        <v>0</v>
      </c>
      <c r="AE22" s="183">
        <v>0</v>
      </c>
      <c r="AH22" s="183">
        <v>0</v>
      </c>
      <c r="AI22" s="212">
        <v>85925000</v>
      </c>
      <c r="AJ22" s="213">
        <v>1.6999999999999999E-3</v>
      </c>
      <c r="AK22" s="183">
        <f t="shared" si="9"/>
        <v>405.75694444444446</v>
      </c>
      <c r="AL22" s="212"/>
      <c r="AM22" s="213"/>
      <c r="AN22" s="183">
        <f t="shared" si="10"/>
        <v>0</v>
      </c>
      <c r="AO22" s="212">
        <v>45000000</v>
      </c>
      <c r="AP22" s="213">
        <v>2.2000000000000001E-3</v>
      </c>
      <c r="AQ22" s="183">
        <f t="shared" si="11"/>
        <v>275</v>
      </c>
      <c r="AR22" s="212">
        <v>75000000</v>
      </c>
      <c r="AS22" s="213">
        <v>2.5000000000000001E-3</v>
      </c>
      <c r="AT22" s="183">
        <f t="shared" si="12"/>
        <v>520.83333333333337</v>
      </c>
      <c r="AU22" s="183">
        <v>25000000</v>
      </c>
      <c r="AV22" s="185">
        <v>2.7000000000000001E-3</v>
      </c>
      <c r="AW22" s="183">
        <f t="shared" si="13"/>
        <v>187.5</v>
      </c>
      <c r="AX22" s="183">
        <v>46100000</v>
      </c>
      <c r="AY22" s="185">
        <v>2.8E-3</v>
      </c>
      <c r="AZ22" s="183">
        <f t="shared" si="14"/>
        <v>358.55555555555554</v>
      </c>
      <c r="BA22" s="183">
        <v>84350000</v>
      </c>
      <c r="BB22" s="185">
        <v>3.3E-3</v>
      </c>
      <c r="BC22" s="183">
        <f t="shared" si="15"/>
        <v>773.20833333333337</v>
      </c>
      <c r="BD22" s="183">
        <v>48275000</v>
      </c>
      <c r="BE22" s="185">
        <v>3.0000000000000001E-3</v>
      </c>
      <c r="BF22" s="183">
        <f t="shared" si="16"/>
        <v>402.29166666666669</v>
      </c>
      <c r="BI22" s="183">
        <f t="shared" si="17"/>
        <v>0</v>
      </c>
      <c r="BL22" s="183">
        <f t="shared" si="18"/>
        <v>0</v>
      </c>
      <c r="BO22" s="183">
        <f t="shared" si="19"/>
        <v>0</v>
      </c>
      <c r="BR22" s="183">
        <f t="shared" si="20"/>
        <v>0</v>
      </c>
      <c r="BU22" s="183">
        <f t="shared" si="21"/>
        <v>0</v>
      </c>
      <c r="BX22" s="183">
        <f t="shared" si="22"/>
        <v>0</v>
      </c>
      <c r="CA22" s="183">
        <f t="shared" si="23"/>
        <v>0</v>
      </c>
      <c r="CD22" s="183">
        <f t="shared" si="24"/>
        <v>0</v>
      </c>
      <c r="CG22" s="183">
        <f t="shared" si="25"/>
        <v>0</v>
      </c>
      <c r="CJ22" s="183">
        <f t="shared" si="26"/>
        <v>0</v>
      </c>
      <c r="CM22" s="183">
        <f t="shared" si="27"/>
        <v>0</v>
      </c>
      <c r="CP22" s="183">
        <f t="shared" si="28"/>
        <v>0</v>
      </c>
      <c r="CS22" s="183">
        <f t="shared" si="29"/>
        <v>0</v>
      </c>
      <c r="CV22" s="183">
        <f t="shared" si="30"/>
        <v>0</v>
      </c>
      <c r="CY22" s="183">
        <f t="shared" si="31"/>
        <v>0</v>
      </c>
      <c r="DB22" s="183">
        <f t="shared" si="32"/>
        <v>0</v>
      </c>
      <c r="DE22" s="183">
        <f t="shared" si="33"/>
        <v>0</v>
      </c>
      <c r="DH22" s="183">
        <f t="shared" si="34"/>
        <v>0</v>
      </c>
      <c r="DK22" s="183">
        <f t="shared" si="35"/>
        <v>0</v>
      </c>
      <c r="DN22" s="183">
        <f t="shared" si="36"/>
        <v>0</v>
      </c>
      <c r="DQ22" s="183">
        <f t="shared" si="37"/>
        <v>0</v>
      </c>
      <c r="DT22" s="183">
        <f t="shared" si="38"/>
        <v>0</v>
      </c>
      <c r="DW22" s="183">
        <f t="shared" si="39"/>
        <v>0</v>
      </c>
      <c r="DZ22" s="183"/>
      <c r="EA22" s="183"/>
      <c r="EB22" s="214">
        <f t="shared" si="40"/>
        <v>409650000</v>
      </c>
      <c r="EC22" s="214">
        <f t="shared" si="41"/>
        <v>0</v>
      </c>
      <c r="ED22" s="183">
        <f t="shared" si="42"/>
        <v>2923.1458333333335</v>
      </c>
      <c r="EE22" s="185">
        <f t="shared" si="43"/>
        <v>2.5688575613328451E-3</v>
      </c>
      <c r="EG22" s="214">
        <f t="shared" si="44"/>
        <v>0</v>
      </c>
      <c r="EH22" s="183">
        <f t="shared" si="45"/>
        <v>0</v>
      </c>
      <c r="EI22" s="185">
        <f t="shared" si="46"/>
        <v>0</v>
      </c>
      <c r="EJ22" s="185"/>
      <c r="EK22" s="214">
        <f t="shared" si="47"/>
        <v>409650000</v>
      </c>
      <c r="EL22" s="214">
        <f t="shared" si="48"/>
        <v>0</v>
      </c>
      <c r="EM22" s="214">
        <f t="shared" si="49"/>
        <v>2923.1458333333335</v>
      </c>
      <c r="EN22" s="185">
        <f t="shared" si="50"/>
        <v>2.5688575613328451E-3</v>
      </c>
      <c r="EP22" s="183"/>
    </row>
    <row r="23" spans="1:146" x14ac:dyDescent="0.2">
      <c r="A23" s="211">
        <f t="shared" si="51"/>
        <v>44605</v>
      </c>
      <c r="B23" s="183">
        <v>0</v>
      </c>
      <c r="C23" s="185">
        <v>2.418E-3</v>
      </c>
      <c r="D23" s="183">
        <f t="shared" si="0"/>
        <v>0</v>
      </c>
      <c r="G23" s="183">
        <f t="shared" si="1"/>
        <v>0</v>
      </c>
      <c r="J23" s="183">
        <f t="shared" si="2"/>
        <v>0</v>
      </c>
      <c r="M23" s="183">
        <f t="shared" si="3"/>
        <v>0</v>
      </c>
      <c r="P23" s="183">
        <f t="shared" si="4"/>
        <v>0</v>
      </c>
      <c r="S23" s="183">
        <f t="shared" si="5"/>
        <v>0</v>
      </c>
      <c r="V23" s="183">
        <f t="shared" si="6"/>
        <v>0</v>
      </c>
      <c r="Y23" s="183">
        <f t="shared" si="7"/>
        <v>0</v>
      </c>
      <c r="AB23" s="183">
        <f t="shared" si="8"/>
        <v>0</v>
      </c>
      <c r="AE23" s="183">
        <v>0</v>
      </c>
      <c r="AH23" s="183">
        <v>0</v>
      </c>
      <c r="AI23" s="212">
        <v>85925000</v>
      </c>
      <c r="AJ23" s="213">
        <v>1.6999999999999999E-3</v>
      </c>
      <c r="AK23" s="183">
        <f t="shared" si="9"/>
        <v>405.75694444444446</v>
      </c>
      <c r="AL23" s="212"/>
      <c r="AM23" s="213"/>
      <c r="AN23" s="183">
        <f t="shared" si="10"/>
        <v>0</v>
      </c>
      <c r="AO23" s="212">
        <v>45000000</v>
      </c>
      <c r="AP23" s="213">
        <v>2.2000000000000001E-3</v>
      </c>
      <c r="AQ23" s="183">
        <f t="shared" si="11"/>
        <v>275</v>
      </c>
      <c r="AR23" s="212">
        <v>75000000</v>
      </c>
      <c r="AS23" s="213">
        <v>2.5000000000000001E-3</v>
      </c>
      <c r="AT23" s="183">
        <f t="shared" si="12"/>
        <v>520.83333333333337</v>
      </c>
      <c r="AU23" s="183">
        <v>25000000</v>
      </c>
      <c r="AV23" s="185">
        <v>2.7000000000000001E-3</v>
      </c>
      <c r="AW23" s="183">
        <f t="shared" si="13"/>
        <v>187.5</v>
      </c>
      <c r="AX23" s="183">
        <v>46100000</v>
      </c>
      <c r="AY23" s="185">
        <v>2.8E-3</v>
      </c>
      <c r="AZ23" s="183">
        <f t="shared" si="14"/>
        <v>358.55555555555554</v>
      </c>
      <c r="BA23" s="183">
        <v>84350000</v>
      </c>
      <c r="BB23" s="185">
        <v>3.3E-3</v>
      </c>
      <c r="BC23" s="183">
        <f t="shared" si="15"/>
        <v>773.20833333333337</v>
      </c>
      <c r="BD23" s="183">
        <v>48275000</v>
      </c>
      <c r="BE23" s="185">
        <v>3.0000000000000001E-3</v>
      </c>
      <c r="BF23" s="183">
        <f t="shared" si="16"/>
        <v>402.29166666666669</v>
      </c>
      <c r="BI23" s="183">
        <f t="shared" si="17"/>
        <v>0</v>
      </c>
      <c r="BL23" s="183">
        <f t="shared" si="18"/>
        <v>0</v>
      </c>
      <c r="BO23" s="183">
        <f t="shared" si="19"/>
        <v>0</v>
      </c>
      <c r="BR23" s="183">
        <f t="shared" si="20"/>
        <v>0</v>
      </c>
      <c r="BU23" s="183">
        <f t="shared" si="21"/>
        <v>0</v>
      </c>
      <c r="BX23" s="183">
        <f t="shared" si="22"/>
        <v>0</v>
      </c>
      <c r="CA23" s="183">
        <f t="shared" si="23"/>
        <v>0</v>
      </c>
      <c r="CD23" s="183">
        <f t="shared" si="24"/>
        <v>0</v>
      </c>
      <c r="CG23" s="183">
        <f t="shared" si="25"/>
        <v>0</v>
      </c>
      <c r="CJ23" s="183">
        <f t="shared" si="26"/>
        <v>0</v>
      </c>
      <c r="CM23" s="183">
        <f t="shared" si="27"/>
        <v>0</v>
      </c>
      <c r="CP23" s="183">
        <f t="shared" si="28"/>
        <v>0</v>
      </c>
      <c r="CS23" s="183">
        <f t="shared" si="29"/>
        <v>0</v>
      </c>
      <c r="CV23" s="183">
        <f t="shared" si="30"/>
        <v>0</v>
      </c>
      <c r="CY23" s="183">
        <f t="shared" si="31"/>
        <v>0</v>
      </c>
      <c r="DB23" s="183">
        <f t="shared" si="32"/>
        <v>0</v>
      </c>
      <c r="DE23" s="183">
        <f t="shared" si="33"/>
        <v>0</v>
      </c>
      <c r="DH23" s="183">
        <f t="shared" si="34"/>
        <v>0</v>
      </c>
      <c r="DK23" s="183">
        <f t="shared" si="35"/>
        <v>0</v>
      </c>
      <c r="DN23" s="183">
        <f t="shared" si="36"/>
        <v>0</v>
      </c>
      <c r="DQ23" s="183">
        <f t="shared" si="37"/>
        <v>0</v>
      </c>
      <c r="DT23" s="183">
        <f t="shared" si="38"/>
        <v>0</v>
      </c>
      <c r="DW23" s="183">
        <f t="shared" si="39"/>
        <v>0</v>
      </c>
      <c r="DZ23" s="183"/>
      <c r="EA23" s="183"/>
      <c r="EB23" s="214">
        <f t="shared" si="40"/>
        <v>409650000</v>
      </c>
      <c r="EC23" s="214">
        <f t="shared" si="41"/>
        <v>0</v>
      </c>
      <c r="ED23" s="183">
        <f t="shared" si="42"/>
        <v>2923.1458333333335</v>
      </c>
      <c r="EE23" s="185">
        <f t="shared" si="43"/>
        <v>2.5688575613328451E-3</v>
      </c>
      <c r="EG23" s="214">
        <f t="shared" si="44"/>
        <v>0</v>
      </c>
      <c r="EH23" s="183">
        <f t="shared" si="45"/>
        <v>0</v>
      </c>
      <c r="EI23" s="185">
        <f t="shared" si="46"/>
        <v>0</v>
      </c>
      <c r="EJ23" s="185"/>
      <c r="EK23" s="214">
        <f t="shared" si="47"/>
        <v>409650000</v>
      </c>
      <c r="EL23" s="214">
        <f t="shared" si="48"/>
        <v>0</v>
      </c>
      <c r="EM23" s="214">
        <f t="shared" si="49"/>
        <v>2923.1458333333335</v>
      </c>
      <c r="EN23" s="185">
        <f t="shared" si="50"/>
        <v>2.5688575613328451E-3</v>
      </c>
      <c r="EP23" s="183"/>
    </row>
    <row r="24" spans="1:146" x14ac:dyDescent="0.2">
      <c r="A24" s="211">
        <f t="shared" si="51"/>
        <v>44606</v>
      </c>
      <c r="B24" s="183">
        <v>0</v>
      </c>
      <c r="C24" s="185">
        <v>2.9228500000000003E-3</v>
      </c>
      <c r="D24" s="183">
        <f t="shared" si="0"/>
        <v>0</v>
      </c>
      <c r="G24" s="183">
        <f t="shared" si="1"/>
        <v>0</v>
      </c>
      <c r="J24" s="183">
        <f t="shared" si="2"/>
        <v>0</v>
      </c>
      <c r="M24" s="183">
        <f t="shared" si="3"/>
        <v>0</v>
      </c>
      <c r="P24" s="183">
        <f t="shared" si="4"/>
        <v>0</v>
      </c>
      <c r="S24" s="183">
        <f t="shared" si="5"/>
        <v>0</v>
      </c>
      <c r="V24" s="183">
        <f t="shared" si="6"/>
        <v>0</v>
      </c>
      <c r="Y24" s="183">
        <f t="shared" si="7"/>
        <v>0</v>
      </c>
      <c r="AB24" s="183">
        <f t="shared" si="8"/>
        <v>0</v>
      </c>
      <c r="AE24" s="183">
        <v>0</v>
      </c>
      <c r="AH24" s="183">
        <v>0</v>
      </c>
      <c r="AI24" s="212">
        <v>57000000</v>
      </c>
      <c r="AJ24" s="213">
        <v>1.6999999999999999E-3</v>
      </c>
      <c r="AK24" s="183">
        <f t="shared" si="9"/>
        <v>269.16666666666669</v>
      </c>
      <c r="AL24" s="212"/>
      <c r="AM24" s="213"/>
      <c r="AN24" s="183">
        <f t="shared" si="10"/>
        <v>0</v>
      </c>
      <c r="AO24" s="212"/>
      <c r="AP24" s="213"/>
      <c r="AQ24" s="183">
        <f t="shared" si="11"/>
        <v>0</v>
      </c>
      <c r="AR24" s="212">
        <v>75000000</v>
      </c>
      <c r="AS24" s="213">
        <v>2.5000000000000001E-3</v>
      </c>
      <c r="AT24" s="183">
        <f t="shared" si="12"/>
        <v>520.83333333333337</v>
      </c>
      <c r="AU24" s="183">
        <v>25000000</v>
      </c>
      <c r="AV24" s="185">
        <v>2.7000000000000001E-3</v>
      </c>
      <c r="AW24" s="183">
        <f t="shared" si="13"/>
        <v>187.5</v>
      </c>
      <c r="AX24" s="183">
        <v>46100000</v>
      </c>
      <c r="AY24" s="185">
        <v>2.8E-3</v>
      </c>
      <c r="AZ24" s="183">
        <f t="shared" si="14"/>
        <v>358.55555555555554</v>
      </c>
      <c r="BA24" s="183">
        <v>84350000</v>
      </c>
      <c r="BB24" s="185">
        <v>3.3E-3</v>
      </c>
      <c r="BC24" s="183">
        <f t="shared" si="15"/>
        <v>773.20833333333337</v>
      </c>
      <c r="BD24" s="183">
        <v>48275000</v>
      </c>
      <c r="BE24" s="185">
        <v>3.0000000000000001E-3</v>
      </c>
      <c r="BF24" s="183">
        <f t="shared" si="16"/>
        <v>402.29166666666669</v>
      </c>
      <c r="BG24" s="183">
        <v>85000000</v>
      </c>
      <c r="BH24" s="185">
        <v>3.8999999999999998E-3</v>
      </c>
      <c r="BI24" s="183">
        <f t="shared" si="17"/>
        <v>920.83333333333337</v>
      </c>
      <c r="BL24" s="183">
        <f t="shared" si="18"/>
        <v>0</v>
      </c>
      <c r="BO24" s="183">
        <f t="shared" si="19"/>
        <v>0</v>
      </c>
      <c r="BR24" s="183">
        <f t="shared" si="20"/>
        <v>0</v>
      </c>
      <c r="BU24" s="183">
        <f t="shared" si="21"/>
        <v>0</v>
      </c>
      <c r="BX24" s="183">
        <f t="shared" si="22"/>
        <v>0</v>
      </c>
      <c r="CA24" s="183">
        <f t="shared" si="23"/>
        <v>0</v>
      </c>
      <c r="CD24" s="183">
        <f t="shared" si="24"/>
        <v>0</v>
      </c>
      <c r="CG24" s="183">
        <f t="shared" si="25"/>
        <v>0</v>
      </c>
      <c r="CJ24" s="183">
        <f t="shared" si="26"/>
        <v>0</v>
      </c>
      <c r="CM24" s="183">
        <f t="shared" si="27"/>
        <v>0</v>
      </c>
      <c r="CP24" s="183">
        <f t="shared" si="28"/>
        <v>0</v>
      </c>
      <c r="CS24" s="183">
        <f t="shared" si="29"/>
        <v>0</v>
      </c>
      <c r="CV24" s="183">
        <f t="shared" si="30"/>
        <v>0</v>
      </c>
      <c r="CY24" s="183">
        <f t="shared" si="31"/>
        <v>0</v>
      </c>
      <c r="DB24" s="183">
        <f t="shared" si="32"/>
        <v>0</v>
      </c>
      <c r="DE24" s="183">
        <f t="shared" si="33"/>
        <v>0</v>
      </c>
      <c r="DH24" s="183">
        <f t="shared" si="34"/>
        <v>0</v>
      </c>
      <c r="DK24" s="183">
        <f t="shared" si="35"/>
        <v>0</v>
      </c>
      <c r="DN24" s="183">
        <f t="shared" si="36"/>
        <v>0</v>
      </c>
      <c r="DQ24" s="183">
        <f t="shared" si="37"/>
        <v>0</v>
      </c>
      <c r="DT24" s="183">
        <f t="shared" si="38"/>
        <v>0</v>
      </c>
      <c r="DW24" s="183">
        <f t="shared" si="39"/>
        <v>0</v>
      </c>
      <c r="DZ24" s="183"/>
      <c r="EA24" s="183"/>
      <c r="EB24" s="214">
        <f t="shared" si="40"/>
        <v>420725000</v>
      </c>
      <c r="EC24" s="214">
        <f t="shared" si="41"/>
        <v>0</v>
      </c>
      <c r="ED24" s="183">
        <f t="shared" si="42"/>
        <v>3432.3888888888891</v>
      </c>
      <c r="EE24" s="185">
        <f t="shared" si="43"/>
        <v>2.9369778358785429E-3</v>
      </c>
      <c r="EG24" s="214">
        <f t="shared" si="44"/>
        <v>0</v>
      </c>
      <c r="EH24" s="183">
        <f t="shared" si="45"/>
        <v>0</v>
      </c>
      <c r="EI24" s="185">
        <f t="shared" si="46"/>
        <v>0</v>
      </c>
      <c r="EJ24" s="185"/>
      <c r="EK24" s="214">
        <f t="shared" si="47"/>
        <v>420725000</v>
      </c>
      <c r="EL24" s="214">
        <f t="shared" si="48"/>
        <v>0</v>
      </c>
      <c r="EM24" s="214">
        <f t="shared" si="49"/>
        <v>3432.3888888888891</v>
      </c>
      <c r="EN24" s="185">
        <f t="shared" si="50"/>
        <v>2.9369778358785429E-3</v>
      </c>
      <c r="EP24" s="183"/>
    </row>
    <row r="25" spans="1:146" x14ac:dyDescent="0.2">
      <c r="A25" s="211">
        <f t="shared" si="51"/>
        <v>44607</v>
      </c>
      <c r="B25" s="183">
        <v>0</v>
      </c>
      <c r="C25" s="185">
        <v>3.02396E-3</v>
      </c>
      <c r="D25" s="183">
        <f t="shared" si="0"/>
        <v>0</v>
      </c>
      <c r="G25" s="183">
        <f t="shared" si="1"/>
        <v>0</v>
      </c>
      <c r="J25" s="183">
        <f t="shared" si="2"/>
        <v>0</v>
      </c>
      <c r="M25" s="183">
        <f t="shared" si="3"/>
        <v>0</v>
      </c>
      <c r="P25" s="183">
        <f t="shared" si="4"/>
        <v>0</v>
      </c>
      <c r="S25" s="183">
        <f t="shared" si="5"/>
        <v>0</v>
      </c>
      <c r="V25" s="183">
        <f t="shared" si="6"/>
        <v>0</v>
      </c>
      <c r="Y25" s="183">
        <f t="shared" si="7"/>
        <v>0</v>
      </c>
      <c r="AB25" s="183">
        <f t="shared" si="8"/>
        <v>0</v>
      </c>
      <c r="AE25" s="183">
        <v>0</v>
      </c>
      <c r="AH25" s="183">
        <v>0</v>
      </c>
      <c r="AI25" s="212">
        <v>44675000</v>
      </c>
      <c r="AJ25" s="213">
        <v>1.8E-3</v>
      </c>
      <c r="AK25" s="183">
        <f t="shared" si="9"/>
        <v>223.375</v>
      </c>
      <c r="AL25" s="212"/>
      <c r="AM25" s="213"/>
      <c r="AN25" s="183">
        <f t="shared" si="10"/>
        <v>0</v>
      </c>
      <c r="AO25" s="212"/>
      <c r="AP25" s="213"/>
      <c r="AQ25" s="183">
        <f t="shared" si="11"/>
        <v>0</v>
      </c>
      <c r="AR25" s="212">
        <v>75000000</v>
      </c>
      <c r="AS25" s="213">
        <v>2.5000000000000001E-3</v>
      </c>
      <c r="AT25" s="183">
        <f t="shared" si="12"/>
        <v>520.83333333333337</v>
      </c>
      <c r="AU25" s="183">
        <v>25000000</v>
      </c>
      <c r="AV25" s="185">
        <v>2.7000000000000001E-3</v>
      </c>
      <c r="AW25" s="183">
        <f t="shared" si="13"/>
        <v>187.5</v>
      </c>
      <c r="AX25" s="183">
        <v>46100000</v>
      </c>
      <c r="AY25" s="185">
        <v>2.8E-3</v>
      </c>
      <c r="AZ25" s="183">
        <f t="shared" si="14"/>
        <v>358.55555555555554</v>
      </c>
      <c r="BA25" s="183">
        <v>84350000</v>
      </c>
      <c r="BB25" s="185">
        <v>3.3E-3</v>
      </c>
      <c r="BC25" s="183">
        <f t="shared" si="15"/>
        <v>773.20833333333337</v>
      </c>
      <c r="BD25" s="183">
        <v>48275000</v>
      </c>
      <c r="BE25" s="185">
        <v>3.0000000000000001E-3</v>
      </c>
      <c r="BF25" s="183">
        <f t="shared" si="16"/>
        <v>402.29166666666669</v>
      </c>
      <c r="BG25" s="183">
        <v>85000000</v>
      </c>
      <c r="BH25" s="185">
        <v>3.8999999999999998E-3</v>
      </c>
      <c r="BI25" s="183">
        <f t="shared" si="17"/>
        <v>920.83333333333337</v>
      </c>
      <c r="BL25" s="183">
        <f t="shared" si="18"/>
        <v>0</v>
      </c>
      <c r="BO25" s="183">
        <f t="shared" si="19"/>
        <v>0</v>
      </c>
      <c r="BR25" s="183">
        <f t="shared" si="20"/>
        <v>0</v>
      </c>
      <c r="BU25" s="183">
        <f t="shared" si="21"/>
        <v>0</v>
      </c>
      <c r="BX25" s="183">
        <f t="shared" si="22"/>
        <v>0</v>
      </c>
      <c r="CA25" s="183">
        <f t="shared" si="23"/>
        <v>0</v>
      </c>
      <c r="CD25" s="183">
        <f t="shared" si="24"/>
        <v>0</v>
      </c>
      <c r="CG25" s="183">
        <f t="shared" si="25"/>
        <v>0</v>
      </c>
      <c r="CJ25" s="183">
        <f t="shared" si="26"/>
        <v>0</v>
      </c>
      <c r="CM25" s="183">
        <f t="shared" si="27"/>
        <v>0</v>
      </c>
      <c r="CP25" s="183">
        <f t="shared" si="28"/>
        <v>0</v>
      </c>
      <c r="CS25" s="183">
        <f t="shared" si="29"/>
        <v>0</v>
      </c>
      <c r="CV25" s="183">
        <f t="shared" si="30"/>
        <v>0</v>
      </c>
      <c r="CY25" s="183">
        <f t="shared" si="31"/>
        <v>0</v>
      </c>
      <c r="DB25" s="183">
        <f t="shared" si="32"/>
        <v>0</v>
      </c>
      <c r="DE25" s="183">
        <f t="shared" si="33"/>
        <v>0</v>
      </c>
      <c r="DH25" s="183">
        <f t="shared" si="34"/>
        <v>0</v>
      </c>
      <c r="DK25" s="183">
        <f t="shared" si="35"/>
        <v>0</v>
      </c>
      <c r="DN25" s="183">
        <f t="shared" si="36"/>
        <v>0</v>
      </c>
      <c r="DQ25" s="183">
        <f t="shared" si="37"/>
        <v>0</v>
      </c>
      <c r="DT25" s="183">
        <f t="shared" si="38"/>
        <v>0</v>
      </c>
      <c r="DW25" s="183">
        <f t="shared" si="39"/>
        <v>0</v>
      </c>
      <c r="DZ25" s="183"/>
      <c r="EA25" s="183"/>
      <c r="EB25" s="214">
        <f t="shared" si="40"/>
        <v>408400000</v>
      </c>
      <c r="EC25" s="214">
        <f t="shared" si="41"/>
        <v>0</v>
      </c>
      <c r="ED25" s="183">
        <f t="shared" si="42"/>
        <v>3386.5972222222222</v>
      </c>
      <c r="EE25" s="185">
        <f t="shared" si="43"/>
        <v>2.9852473065621939E-3</v>
      </c>
      <c r="EG25" s="214">
        <f t="shared" si="44"/>
        <v>0</v>
      </c>
      <c r="EH25" s="183">
        <f t="shared" si="45"/>
        <v>0</v>
      </c>
      <c r="EI25" s="185">
        <f t="shared" si="46"/>
        <v>0</v>
      </c>
      <c r="EJ25" s="185"/>
      <c r="EK25" s="214">
        <f t="shared" si="47"/>
        <v>408400000</v>
      </c>
      <c r="EL25" s="214">
        <f t="shared" si="48"/>
        <v>0</v>
      </c>
      <c r="EM25" s="214">
        <f t="shared" si="49"/>
        <v>3386.5972222222226</v>
      </c>
      <c r="EN25" s="185">
        <f t="shared" si="50"/>
        <v>2.9852473065621944E-3</v>
      </c>
      <c r="EP25" s="183"/>
    </row>
    <row r="26" spans="1:146" x14ac:dyDescent="0.2">
      <c r="A26" s="211">
        <f t="shared" si="51"/>
        <v>44608</v>
      </c>
      <c r="B26" s="183">
        <v>0</v>
      </c>
      <c r="C26" s="185">
        <v>3.4383500000000002E-3</v>
      </c>
      <c r="D26" s="183">
        <f t="shared" si="0"/>
        <v>0</v>
      </c>
      <c r="G26" s="183">
        <f t="shared" si="1"/>
        <v>0</v>
      </c>
      <c r="J26" s="183">
        <f t="shared" si="2"/>
        <v>0</v>
      </c>
      <c r="M26" s="183">
        <f t="shared" si="3"/>
        <v>0</v>
      </c>
      <c r="P26" s="183">
        <f t="shared" si="4"/>
        <v>0</v>
      </c>
      <c r="S26" s="183">
        <f t="shared" si="5"/>
        <v>0</v>
      </c>
      <c r="V26" s="183">
        <f t="shared" si="6"/>
        <v>0</v>
      </c>
      <c r="Y26" s="183">
        <f t="shared" si="7"/>
        <v>0</v>
      </c>
      <c r="AB26" s="183">
        <f t="shared" si="8"/>
        <v>0</v>
      </c>
      <c r="AE26" s="183">
        <v>0</v>
      </c>
      <c r="AH26" s="183">
        <v>0</v>
      </c>
      <c r="AI26" s="212">
        <v>63100000</v>
      </c>
      <c r="AJ26" s="213">
        <v>2E-3</v>
      </c>
      <c r="AK26" s="183">
        <f t="shared" si="9"/>
        <v>350.55555555555554</v>
      </c>
      <c r="AL26" s="212"/>
      <c r="AM26" s="213"/>
      <c r="AN26" s="183">
        <f t="shared" si="10"/>
        <v>0</v>
      </c>
      <c r="AO26" s="212"/>
      <c r="AP26" s="213"/>
      <c r="AQ26" s="183">
        <f t="shared" si="11"/>
        <v>0</v>
      </c>
      <c r="AR26" s="212">
        <v>75000000</v>
      </c>
      <c r="AS26" s="213">
        <v>2.5000000000000001E-3</v>
      </c>
      <c r="AT26" s="183">
        <f t="shared" si="12"/>
        <v>520.83333333333337</v>
      </c>
      <c r="AU26" s="183">
        <v>25000000</v>
      </c>
      <c r="AV26" s="185">
        <v>2.7000000000000001E-3</v>
      </c>
      <c r="AW26" s="183">
        <f t="shared" si="13"/>
        <v>187.5</v>
      </c>
      <c r="AX26" s="183">
        <v>46100000</v>
      </c>
      <c r="AY26" s="185">
        <v>2.8E-3</v>
      </c>
      <c r="AZ26" s="183">
        <f t="shared" si="14"/>
        <v>358.55555555555554</v>
      </c>
      <c r="BA26" s="183">
        <v>84350000</v>
      </c>
      <c r="BB26" s="185">
        <v>3.3E-3</v>
      </c>
      <c r="BC26" s="183">
        <f t="shared" si="15"/>
        <v>773.20833333333337</v>
      </c>
      <c r="BD26" s="183">
        <v>48275000</v>
      </c>
      <c r="BE26" s="185">
        <v>3.0000000000000001E-3</v>
      </c>
      <c r="BF26" s="183">
        <f t="shared" si="16"/>
        <v>402.29166666666669</v>
      </c>
      <c r="BG26" s="183">
        <v>85000000</v>
      </c>
      <c r="BH26" s="185">
        <v>3.8999999999999998E-3</v>
      </c>
      <c r="BI26" s="183">
        <f t="shared" si="17"/>
        <v>920.83333333333337</v>
      </c>
      <c r="BL26" s="183">
        <f t="shared" si="18"/>
        <v>0</v>
      </c>
      <c r="BO26" s="183">
        <f t="shared" si="19"/>
        <v>0</v>
      </c>
      <c r="BR26" s="183">
        <f t="shared" si="20"/>
        <v>0</v>
      </c>
      <c r="BU26" s="183">
        <f t="shared" si="21"/>
        <v>0</v>
      </c>
      <c r="BX26" s="183">
        <f t="shared" si="22"/>
        <v>0</v>
      </c>
      <c r="CA26" s="183">
        <f t="shared" si="23"/>
        <v>0</v>
      </c>
      <c r="CD26" s="183">
        <f t="shared" si="24"/>
        <v>0</v>
      </c>
      <c r="CG26" s="183">
        <f t="shared" si="25"/>
        <v>0</v>
      </c>
      <c r="CJ26" s="183">
        <f t="shared" si="26"/>
        <v>0</v>
      </c>
      <c r="CM26" s="183">
        <f t="shared" si="27"/>
        <v>0</v>
      </c>
      <c r="CP26" s="183">
        <f t="shared" si="28"/>
        <v>0</v>
      </c>
      <c r="CS26" s="183">
        <f t="shared" si="29"/>
        <v>0</v>
      </c>
      <c r="CV26" s="183">
        <f t="shared" si="30"/>
        <v>0</v>
      </c>
      <c r="CY26" s="183">
        <f t="shared" si="31"/>
        <v>0</v>
      </c>
      <c r="DB26" s="183">
        <f t="shared" si="32"/>
        <v>0</v>
      </c>
      <c r="DE26" s="183">
        <f t="shared" si="33"/>
        <v>0</v>
      </c>
      <c r="DH26" s="183">
        <f t="shared" si="34"/>
        <v>0</v>
      </c>
      <c r="DK26" s="183">
        <f t="shared" si="35"/>
        <v>0</v>
      </c>
      <c r="DN26" s="183">
        <f t="shared" si="36"/>
        <v>0</v>
      </c>
      <c r="DQ26" s="183">
        <f t="shared" si="37"/>
        <v>0</v>
      </c>
      <c r="DT26" s="183">
        <f t="shared" si="38"/>
        <v>0</v>
      </c>
      <c r="DW26" s="183">
        <f t="shared" si="39"/>
        <v>0</v>
      </c>
      <c r="DZ26" s="183"/>
      <c r="EA26" s="183"/>
      <c r="EB26" s="214">
        <f t="shared" si="40"/>
        <v>426825000</v>
      </c>
      <c r="EC26" s="214">
        <f t="shared" si="41"/>
        <v>0</v>
      </c>
      <c r="ED26" s="183">
        <f t="shared" si="42"/>
        <v>3513.7777777777778</v>
      </c>
      <c r="EE26" s="185">
        <f t="shared" si="43"/>
        <v>2.963650207930651E-3</v>
      </c>
      <c r="EG26" s="214">
        <f t="shared" si="44"/>
        <v>0</v>
      </c>
      <c r="EH26" s="183">
        <f t="shared" si="45"/>
        <v>0</v>
      </c>
      <c r="EI26" s="185">
        <f t="shared" si="46"/>
        <v>0</v>
      </c>
      <c r="EJ26" s="185"/>
      <c r="EK26" s="214">
        <f t="shared" si="47"/>
        <v>426825000</v>
      </c>
      <c r="EL26" s="214">
        <f t="shared" si="48"/>
        <v>0</v>
      </c>
      <c r="EM26" s="214">
        <f t="shared" si="49"/>
        <v>3513.7777777777783</v>
      </c>
      <c r="EN26" s="185">
        <f t="shared" si="50"/>
        <v>2.963650207930651E-3</v>
      </c>
      <c r="EP26" s="183"/>
    </row>
    <row r="27" spans="1:146" x14ac:dyDescent="0.2">
      <c r="A27" s="211">
        <f t="shared" si="51"/>
        <v>44609</v>
      </c>
      <c r="B27" s="183">
        <v>0</v>
      </c>
      <c r="C27" s="185">
        <v>3.44217E-3</v>
      </c>
      <c r="D27" s="183">
        <f t="shared" si="0"/>
        <v>0</v>
      </c>
      <c r="G27" s="183">
        <f t="shared" si="1"/>
        <v>0</v>
      </c>
      <c r="J27" s="183">
        <f t="shared" si="2"/>
        <v>0</v>
      </c>
      <c r="M27" s="183">
        <f t="shared" si="3"/>
        <v>0</v>
      </c>
      <c r="P27" s="183">
        <f t="shared" si="4"/>
        <v>0</v>
      </c>
      <c r="S27" s="183">
        <f t="shared" si="5"/>
        <v>0</v>
      </c>
      <c r="V27" s="183">
        <f t="shared" si="6"/>
        <v>0</v>
      </c>
      <c r="Y27" s="183">
        <f t="shared" si="7"/>
        <v>0</v>
      </c>
      <c r="AB27" s="183">
        <f t="shared" si="8"/>
        <v>0</v>
      </c>
      <c r="AE27" s="183">
        <v>0</v>
      </c>
      <c r="AH27" s="183">
        <v>0</v>
      </c>
      <c r="AI27" s="212">
        <v>60725000</v>
      </c>
      <c r="AJ27" s="213">
        <v>2E-3</v>
      </c>
      <c r="AK27" s="183">
        <f t="shared" si="9"/>
        <v>337.36111111111109</v>
      </c>
      <c r="AL27" s="212"/>
      <c r="AM27" s="213"/>
      <c r="AN27" s="183">
        <f t="shared" si="10"/>
        <v>0</v>
      </c>
      <c r="AO27" s="212"/>
      <c r="AP27" s="213"/>
      <c r="AQ27" s="183">
        <f t="shared" si="11"/>
        <v>0</v>
      </c>
      <c r="AR27" s="212">
        <v>75000000</v>
      </c>
      <c r="AS27" s="213">
        <v>2.5000000000000001E-3</v>
      </c>
      <c r="AT27" s="183">
        <f t="shared" si="12"/>
        <v>520.83333333333337</v>
      </c>
      <c r="AU27" s="183">
        <v>25000000</v>
      </c>
      <c r="AV27" s="185">
        <v>2.7000000000000001E-3</v>
      </c>
      <c r="AW27" s="183">
        <f t="shared" si="13"/>
        <v>187.5</v>
      </c>
      <c r="AX27" s="183">
        <v>46100000</v>
      </c>
      <c r="AY27" s="185">
        <v>2.8E-3</v>
      </c>
      <c r="AZ27" s="183">
        <f t="shared" si="14"/>
        <v>358.55555555555554</v>
      </c>
      <c r="BA27" s="183">
        <v>84350000</v>
      </c>
      <c r="BB27" s="185">
        <v>3.3E-3</v>
      </c>
      <c r="BC27" s="183">
        <f t="shared" si="15"/>
        <v>773.20833333333337</v>
      </c>
      <c r="BD27" s="183">
        <v>48275000</v>
      </c>
      <c r="BE27" s="185">
        <v>3.0000000000000001E-3</v>
      </c>
      <c r="BF27" s="183">
        <f t="shared" si="16"/>
        <v>402.29166666666669</v>
      </c>
      <c r="BG27" s="183">
        <v>85000000</v>
      </c>
      <c r="BH27" s="185">
        <v>3.8999999999999998E-3</v>
      </c>
      <c r="BI27" s="183">
        <f t="shared" si="17"/>
        <v>920.83333333333337</v>
      </c>
      <c r="BL27" s="183">
        <f t="shared" si="18"/>
        <v>0</v>
      </c>
      <c r="BO27" s="183">
        <f t="shared" si="19"/>
        <v>0</v>
      </c>
      <c r="BR27" s="183">
        <f t="shared" si="20"/>
        <v>0</v>
      </c>
      <c r="BU27" s="183">
        <f t="shared" si="21"/>
        <v>0</v>
      </c>
      <c r="BX27" s="183">
        <f t="shared" si="22"/>
        <v>0</v>
      </c>
      <c r="CA27" s="183">
        <f t="shared" si="23"/>
        <v>0</v>
      </c>
      <c r="CD27" s="183">
        <f t="shared" si="24"/>
        <v>0</v>
      </c>
      <c r="CG27" s="183">
        <f t="shared" si="25"/>
        <v>0</v>
      </c>
      <c r="CJ27" s="183">
        <f t="shared" si="26"/>
        <v>0</v>
      </c>
      <c r="CM27" s="183">
        <f t="shared" si="27"/>
        <v>0</v>
      </c>
      <c r="CP27" s="183">
        <f t="shared" si="28"/>
        <v>0</v>
      </c>
      <c r="CS27" s="183">
        <f t="shared" si="29"/>
        <v>0</v>
      </c>
      <c r="CV27" s="183">
        <f t="shared" si="30"/>
        <v>0</v>
      </c>
      <c r="CY27" s="183">
        <f t="shared" si="31"/>
        <v>0</v>
      </c>
      <c r="DB27" s="183">
        <f t="shared" si="32"/>
        <v>0</v>
      </c>
      <c r="DE27" s="183">
        <f t="shared" si="33"/>
        <v>0</v>
      </c>
      <c r="DH27" s="183">
        <f t="shared" si="34"/>
        <v>0</v>
      </c>
      <c r="DK27" s="183">
        <f t="shared" si="35"/>
        <v>0</v>
      </c>
      <c r="DN27" s="183">
        <f t="shared" si="36"/>
        <v>0</v>
      </c>
      <c r="DQ27" s="183">
        <f t="shared" si="37"/>
        <v>0</v>
      </c>
      <c r="DT27" s="183">
        <f t="shared" si="38"/>
        <v>0</v>
      </c>
      <c r="DW27" s="183">
        <f t="shared" si="39"/>
        <v>0</v>
      </c>
      <c r="DZ27" s="183"/>
      <c r="EA27" s="183"/>
      <c r="EB27" s="214">
        <f t="shared" si="40"/>
        <v>424450000</v>
      </c>
      <c r="EC27" s="214">
        <f t="shared" si="41"/>
        <v>0</v>
      </c>
      <c r="ED27" s="183">
        <f t="shared" si="42"/>
        <v>3500.5833333333335</v>
      </c>
      <c r="EE27" s="185">
        <f t="shared" si="43"/>
        <v>2.9690422900223818E-3</v>
      </c>
      <c r="EG27" s="214">
        <f t="shared" si="44"/>
        <v>0</v>
      </c>
      <c r="EH27" s="183">
        <f t="shared" si="45"/>
        <v>0</v>
      </c>
      <c r="EI27" s="185">
        <f t="shared" si="46"/>
        <v>0</v>
      </c>
      <c r="EJ27" s="185"/>
      <c r="EK27" s="214">
        <f t="shared" si="47"/>
        <v>424450000</v>
      </c>
      <c r="EL27" s="214">
        <f t="shared" si="48"/>
        <v>0</v>
      </c>
      <c r="EM27" s="214">
        <f t="shared" si="49"/>
        <v>3500.5833333333339</v>
      </c>
      <c r="EN27" s="185">
        <f t="shared" si="50"/>
        <v>2.9690422900223827E-3</v>
      </c>
      <c r="EP27" s="183"/>
    </row>
    <row r="28" spans="1:146" x14ac:dyDescent="0.2">
      <c r="A28" s="211">
        <f t="shared" si="51"/>
        <v>44610</v>
      </c>
      <c r="B28" s="183">
        <v>0</v>
      </c>
      <c r="C28" s="185">
        <v>3.4372500000000002E-3</v>
      </c>
      <c r="D28" s="183">
        <f t="shared" si="0"/>
        <v>0</v>
      </c>
      <c r="G28" s="183">
        <f t="shared" si="1"/>
        <v>0</v>
      </c>
      <c r="J28" s="183">
        <f t="shared" si="2"/>
        <v>0</v>
      </c>
      <c r="M28" s="183">
        <f t="shared" si="3"/>
        <v>0</v>
      </c>
      <c r="P28" s="183">
        <f t="shared" si="4"/>
        <v>0</v>
      </c>
      <c r="S28" s="183">
        <f t="shared" si="5"/>
        <v>0</v>
      </c>
      <c r="V28" s="183">
        <f t="shared" si="6"/>
        <v>0</v>
      </c>
      <c r="Y28" s="183">
        <f t="shared" si="7"/>
        <v>0</v>
      </c>
      <c r="AB28" s="183">
        <f t="shared" si="8"/>
        <v>0</v>
      </c>
      <c r="AE28" s="183">
        <v>0</v>
      </c>
      <c r="AH28" s="183">
        <v>0</v>
      </c>
      <c r="AI28" s="212"/>
      <c r="AJ28" s="213"/>
      <c r="AK28" s="183">
        <f t="shared" si="9"/>
        <v>0</v>
      </c>
      <c r="AL28" s="212"/>
      <c r="AM28" s="213"/>
      <c r="AN28" s="183">
        <f t="shared" si="10"/>
        <v>0</v>
      </c>
      <c r="AO28" s="212"/>
      <c r="AP28" s="213"/>
      <c r="AQ28" s="183">
        <f t="shared" si="11"/>
        <v>0</v>
      </c>
      <c r="AR28" s="212">
        <v>75000000</v>
      </c>
      <c r="AS28" s="213">
        <v>2.5000000000000001E-3</v>
      </c>
      <c r="AT28" s="183">
        <f t="shared" si="12"/>
        <v>520.83333333333337</v>
      </c>
      <c r="AU28" s="183">
        <v>25000000</v>
      </c>
      <c r="AV28" s="185">
        <v>2.7000000000000001E-3</v>
      </c>
      <c r="AW28" s="183">
        <f t="shared" si="13"/>
        <v>187.5</v>
      </c>
      <c r="AX28" s="183">
        <v>46100000</v>
      </c>
      <c r="AY28" s="185">
        <v>2.8E-3</v>
      </c>
      <c r="AZ28" s="183">
        <f t="shared" si="14"/>
        <v>358.55555555555554</v>
      </c>
      <c r="BA28" s="183">
        <v>84350000</v>
      </c>
      <c r="BB28" s="185">
        <v>3.3E-3</v>
      </c>
      <c r="BC28" s="183">
        <f t="shared" si="15"/>
        <v>773.20833333333337</v>
      </c>
      <c r="BD28" s="183">
        <v>48275000</v>
      </c>
      <c r="BE28" s="185">
        <v>3.0000000000000001E-3</v>
      </c>
      <c r="BF28" s="183">
        <f t="shared" si="16"/>
        <v>402.29166666666669</v>
      </c>
      <c r="BG28" s="183">
        <v>85000000</v>
      </c>
      <c r="BH28" s="185">
        <v>3.8999999999999998E-3</v>
      </c>
      <c r="BI28" s="183">
        <f t="shared" si="17"/>
        <v>920.83333333333337</v>
      </c>
      <c r="BJ28" s="183">
        <v>69550000</v>
      </c>
      <c r="BK28" s="185">
        <v>4.4999999999999997E-3</v>
      </c>
      <c r="BL28" s="183">
        <f t="shared" si="18"/>
        <v>869.375</v>
      </c>
      <c r="BO28" s="183">
        <f t="shared" si="19"/>
        <v>0</v>
      </c>
      <c r="BR28" s="183">
        <f t="shared" si="20"/>
        <v>0</v>
      </c>
      <c r="BU28" s="183">
        <f t="shared" si="21"/>
        <v>0</v>
      </c>
      <c r="BX28" s="183">
        <f t="shared" si="22"/>
        <v>0</v>
      </c>
      <c r="CA28" s="183">
        <f t="shared" si="23"/>
        <v>0</v>
      </c>
      <c r="CD28" s="183">
        <f t="shared" si="24"/>
        <v>0</v>
      </c>
      <c r="CG28" s="183">
        <f t="shared" si="25"/>
        <v>0</v>
      </c>
      <c r="CJ28" s="183">
        <f t="shared" si="26"/>
        <v>0</v>
      </c>
      <c r="CM28" s="183">
        <f t="shared" si="27"/>
        <v>0</v>
      </c>
      <c r="CP28" s="183">
        <f t="shared" si="28"/>
        <v>0</v>
      </c>
      <c r="CS28" s="183">
        <f t="shared" si="29"/>
        <v>0</v>
      </c>
      <c r="CV28" s="183">
        <f t="shared" si="30"/>
        <v>0</v>
      </c>
      <c r="CY28" s="183">
        <f t="shared" si="31"/>
        <v>0</v>
      </c>
      <c r="DB28" s="183">
        <f t="shared" si="32"/>
        <v>0</v>
      </c>
      <c r="DE28" s="183">
        <f t="shared" si="33"/>
        <v>0</v>
      </c>
      <c r="DH28" s="183">
        <f t="shared" si="34"/>
        <v>0</v>
      </c>
      <c r="DK28" s="183">
        <f t="shared" si="35"/>
        <v>0</v>
      </c>
      <c r="DN28" s="183">
        <f t="shared" si="36"/>
        <v>0</v>
      </c>
      <c r="DQ28" s="183">
        <f t="shared" si="37"/>
        <v>0</v>
      </c>
      <c r="DT28" s="183">
        <f t="shared" si="38"/>
        <v>0</v>
      </c>
      <c r="DW28" s="183">
        <f t="shared" si="39"/>
        <v>0</v>
      </c>
      <c r="DZ28" s="183"/>
      <c r="EA28" s="183"/>
      <c r="EB28" s="214">
        <f t="shared" si="40"/>
        <v>433275000</v>
      </c>
      <c r="EC28" s="214">
        <f t="shared" si="41"/>
        <v>0</v>
      </c>
      <c r="ED28" s="183">
        <f t="shared" si="42"/>
        <v>4032.5972222222222</v>
      </c>
      <c r="EE28" s="185">
        <f t="shared" si="43"/>
        <v>3.3506087357913568E-3</v>
      </c>
      <c r="EG28" s="214">
        <f t="shared" si="44"/>
        <v>0</v>
      </c>
      <c r="EH28" s="183">
        <f t="shared" si="45"/>
        <v>0</v>
      </c>
      <c r="EI28" s="185">
        <f t="shared" si="46"/>
        <v>0</v>
      </c>
      <c r="EJ28" s="185"/>
      <c r="EK28" s="214">
        <f t="shared" si="47"/>
        <v>433275000</v>
      </c>
      <c r="EL28" s="214">
        <f t="shared" si="48"/>
        <v>0</v>
      </c>
      <c r="EM28" s="214">
        <f t="shared" si="49"/>
        <v>4032.5972222222226</v>
      </c>
      <c r="EN28" s="185">
        <f t="shared" si="50"/>
        <v>3.3506087357913568E-3</v>
      </c>
      <c r="EP28" s="183"/>
    </row>
    <row r="29" spans="1:146" x14ac:dyDescent="0.2">
      <c r="A29" s="211">
        <f t="shared" si="51"/>
        <v>44611</v>
      </c>
      <c r="B29" s="183">
        <v>0</v>
      </c>
      <c r="C29" s="185">
        <v>3.4372500000000002E-3</v>
      </c>
      <c r="D29" s="183">
        <f t="shared" si="0"/>
        <v>0</v>
      </c>
      <c r="G29" s="183">
        <f t="shared" si="1"/>
        <v>0</v>
      </c>
      <c r="J29" s="183">
        <f t="shared" si="2"/>
        <v>0</v>
      </c>
      <c r="M29" s="183">
        <f t="shared" si="3"/>
        <v>0</v>
      </c>
      <c r="P29" s="183">
        <f t="shared" si="4"/>
        <v>0</v>
      </c>
      <c r="S29" s="183">
        <f t="shared" si="5"/>
        <v>0</v>
      </c>
      <c r="V29" s="183">
        <f t="shared" si="6"/>
        <v>0</v>
      </c>
      <c r="Y29" s="183">
        <f t="shared" si="7"/>
        <v>0</v>
      </c>
      <c r="AB29" s="183">
        <f t="shared" si="8"/>
        <v>0</v>
      </c>
      <c r="AE29" s="183">
        <v>0</v>
      </c>
      <c r="AH29" s="183">
        <v>0</v>
      </c>
      <c r="AI29" s="212"/>
      <c r="AJ29" s="213"/>
      <c r="AK29" s="183">
        <f t="shared" si="9"/>
        <v>0</v>
      </c>
      <c r="AL29" s="212"/>
      <c r="AM29" s="213"/>
      <c r="AN29" s="183">
        <f t="shared" si="10"/>
        <v>0</v>
      </c>
      <c r="AO29" s="212"/>
      <c r="AP29" s="213"/>
      <c r="AQ29" s="183">
        <f t="shared" si="11"/>
        <v>0</v>
      </c>
      <c r="AR29" s="212">
        <v>75000000</v>
      </c>
      <c r="AS29" s="213">
        <v>2.5000000000000001E-3</v>
      </c>
      <c r="AT29" s="183">
        <f t="shared" si="12"/>
        <v>520.83333333333337</v>
      </c>
      <c r="AU29" s="183">
        <v>25000000</v>
      </c>
      <c r="AV29" s="185">
        <v>2.7000000000000001E-3</v>
      </c>
      <c r="AW29" s="183">
        <f t="shared" si="13"/>
        <v>187.5</v>
      </c>
      <c r="AX29" s="183">
        <v>46100000</v>
      </c>
      <c r="AY29" s="185">
        <v>2.8E-3</v>
      </c>
      <c r="AZ29" s="183">
        <f t="shared" si="14"/>
        <v>358.55555555555554</v>
      </c>
      <c r="BA29" s="183">
        <v>84350000</v>
      </c>
      <c r="BB29" s="185">
        <v>3.3E-3</v>
      </c>
      <c r="BC29" s="183">
        <f t="shared" si="15"/>
        <v>773.20833333333337</v>
      </c>
      <c r="BD29" s="183">
        <v>48275000</v>
      </c>
      <c r="BE29" s="185">
        <v>3.0000000000000001E-3</v>
      </c>
      <c r="BF29" s="183">
        <f t="shared" si="16"/>
        <v>402.29166666666669</v>
      </c>
      <c r="BG29" s="183">
        <v>85000000</v>
      </c>
      <c r="BH29" s="185">
        <v>3.8999999999999998E-3</v>
      </c>
      <c r="BI29" s="183">
        <f t="shared" si="17"/>
        <v>920.83333333333337</v>
      </c>
      <c r="BJ29" s="183">
        <v>69550000</v>
      </c>
      <c r="BK29" s="185">
        <v>4.4999999999999997E-3</v>
      </c>
      <c r="BL29" s="183">
        <f t="shared" si="18"/>
        <v>869.375</v>
      </c>
      <c r="BO29" s="183">
        <f t="shared" si="19"/>
        <v>0</v>
      </c>
      <c r="BR29" s="183">
        <f t="shared" si="20"/>
        <v>0</v>
      </c>
      <c r="BU29" s="183">
        <f t="shared" si="21"/>
        <v>0</v>
      </c>
      <c r="BX29" s="183">
        <f t="shared" si="22"/>
        <v>0</v>
      </c>
      <c r="CA29" s="183">
        <f t="shared" si="23"/>
        <v>0</v>
      </c>
      <c r="CD29" s="183">
        <f t="shared" si="24"/>
        <v>0</v>
      </c>
      <c r="CG29" s="183">
        <f t="shared" si="25"/>
        <v>0</v>
      </c>
      <c r="CJ29" s="183">
        <f t="shared" si="26"/>
        <v>0</v>
      </c>
      <c r="CM29" s="183">
        <f t="shared" si="27"/>
        <v>0</v>
      </c>
      <c r="CP29" s="183">
        <f t="shared" si="28"/>
        <v>0</v>
      </c>
      <c r="CS29" s="183">
        <f t="shared" si="29"/>
        <v>0</v>
      </c>
      <c r="CV29" s="183">
        <f t="shared" si="30"/>
        <v>0</v>
      </c>
      <c r="CY29" s="183">
        <f t="shared" si="31"/>
        <v>0</v>
      </c>
      <c r="DB29" s="183">
        <f t="shared" si="32"/>
        <v>0</v>
      </c>
      <c r="DE29" s="183">
        <f t="shared" si="33"/>
        <v>0</v>
      </c>
      <c r="DH29" s="183">
        <f t="shared" si="34"/>
        <v>0</v>
      </c>
      <c r="DK29" s="183">
        <f t="shared" si="35"/>
        <v>0</v>
      </c>
      <c r="DN29" s="183">
        <f t="shared" si="36"/>
        <v>0</v>
      </c>
      <c r="DQ29" s="183">
        <f t="shared" si="37"/>
        <v>0</v>
      </c>
      <c r="DT29" s="183">
        <f t="shared" si="38"/>
        <v>0</v>
      </c>
      <c r="DW29" s="183">
        <f t="shared" si="39"/>
        <v>0</v>
      </c>
      <c r="DZ29" s="183"/>
      <c r="EA29" s="183"/>
      <c r="EB29" s="214">
        <f t="shared" si="40"/>
        <v>433275000</v>
      </c>
      <c r="EC29" s="214">
        <f t="shared" si="41"/>
        <v>0</v>
      </c>
      <c r="ED29" s="183">
        <f t="shared" si="42"/>
        <v>4032.5972222222222</v>
      </c>
      <c r="EE29" s="185">
        <f t="shared" si="43"/>
        <v>3.3506087357913568E-3</v>
      </c>
      <c r="EG29" s="214">
        <f t="shared" si="44"/>
        <v>0</v>
      </c>
      <c r="EH29" s="183">
        <f t="shared" si="45"/>
        <v>0</v>
      </c>
      <c r="EI29" s="185">
        <f t="shared" si="46"/>
        <v>0</v>
      </c>
      <c r="EJ29" s="185"/>
      <c r="EK29" s="214">
        <f t="shared" si="47"/>
        <v>433275000</v>
      </c>
      <c r="EL29" s="214">
        <f t="shared" si="48"/>
        <v>0</v>
      </c>
      <c r="EM29" s="214">
        <f t="shared" si="49"/>
        <v>4032.5972222222226</v>
      </c>
      <c r="EN29" s="185">
        <f t="shared" si="50"/>
        <v>3.3506087357913568E-3</v>
      </c>
      <c r="EP29" s="183"/>
    </row>
    <row r="30" spans="1:146" x14ac:dyDescent="0.2">
      <c r="A30" s="211">
        <f t="shared" si="51"/>
        <v>44612</v>
      </c>
      <c r="B30" s="183">
        <v>0</v>
      </c>
      <c r="C30" s="185">
        <v>3.4372500000000002E-3</v>
      </c>
      <c r="D30" s="183">
        <f t="shared" si="0"/>
        <v>0</v>
      </c>
      <c r="G30" s="183">
        <f t="shared" si="1"/>
        <v>0</v>
      </c>
      <c r="J30" s="183">
        <f t="shared" si="2"/>
        <v>0</v>
      </c>
      <c r="M30" s="183">
        <f t="shared" si="3"/>
        <v>0</v>
      </c>
      <c r="P30" s="183">
        <f t="shared" si="4"/>
        <v>0</v>
      </c>
      <c r="S30" s="183">
        <f t="shared" si="5"/>
        <v>0</v>
      </c>
      <c r="V30" s="183">
        <f t="shared" si="6"/>
        <v>0</v>
      </c>
      <c r="Y30" s="183">
        <f t="shared" si="7"/>
        <v>0</v>
      </c>
      <c r="AB30" s="183">
        <f t="shared" si="8"/>
        <v>0</v>
      </c>
      <c r="AE30" s="183">
        <v>0</v>
      </c>
      <c r="AH30" s="183">
        <v>0</v>
      </c>
      <c r="AI30" s="212"/>
      <c r="AJ30" s="213"/>
      <c r="AK30" s="183">
        <f t="shared" si="9"/>
        <v>0</v>
      </c>
      <c r="AL30" s="212"/>
      <c r="AM30" s="213"/>
      <c r="AN30" s="183">
        <f t="shared" si="10"/>
        <v>0</v>
      </c>
      <c r="AO30" s="212"/>
      <c r="AP30" s="213"/>
      <c r="AQ30" s="183">
        <f t="shared" si="11"/>
        <v>0</v>
      </c>
      <c r="AR30" s="212">
        <v>75000000</v>
      </c>
      <c r="AS30" s="213">
        <v>2.5000000000000001E-3</v>
      </c>
      <c r="AT30" s="183">
        <f t="shared" si="12"/>
        <v>520.83333333333337</v>
      </c>
      <c r="AU30" s="183">
        <v>25000000</v>
      </c>
      <c r="AV30" s="185">
        <v>2.7000000000000001E-3</v>
      </c>
      <c r="AW30" s="183">
        <f t="shared" si="13"/>
        <v>187.5</v>
      </c>
      <c r="AX30" s="183">
        <v>46100000</v>
      </c>
      <c r="AY30" s="185">
        <v>2.8E-3</v>
      </c>
      <c r="AZ30" s="183">
        <f t="shared" si="14"/>
        <v>358.55555555555554</v>
      </c>
      <c r="BA30" s="183">
        <v>84350000</v>
      </c>
      <c r="BB30" s="185">
        <v>3.3E-3</v>
      </c>
      <c r="BC30" s="183">
        <f t="shared" si="15"/>
        <v>773.20833333333337</v>
      </c>
      <c r="BD30" s="183">
        <v>48275000</v>
      </c>
      <c r="BE30" s="185">
        <v>3.0000000000000001E-3</v>
      </c>
      <c r="BF30" s="183">
        <f t="shared" si="16"/>
        <v>402.29166666666669</v>
      </c>
      <c r="BG30" s="183">
        <v>85000000</v>
      </c>
      <c r="BH30" s="185">
        <v>3.8999999999999998E-3</v>
      </c>
      <c r="BI30" s="183">
        <f t="shared" si="17"/>
        <v>920.83333333333337</v>
      </c>
      <c r="BJ30" s="183">
        <v>69550000</v>
      </c>
      <c r="BK30" s="185">
        <v>4.4999999999999997E-3</v>
      </c>
      <c r="BL30" s="183">
        <f t="shared" si="18"/>
        <v>869.375</v>
      </c>
      <c r="BO30" s="183">
        <f t="shared" si="19"/>
        <v>0</v>
      </c>
      <c r="BR30" s="183">
        <f t="shared" si="20"/>
        <v>0</v>
      </c>
      <c r="BU30" s="183">
        <f t="shared" si="21"/>
        <v>0</v>
      </c>
      <c r="BX30" s="183">
        <f t="shared" si="22"/>
        <v>0</v>
      </c>
      <c r="CA30" s="183">
        <f t="shared" si="23"/>
        <v>0</v>
      </c>
      <c r="CD30" s="183">
        <f t="shared" si="24"/>
        <v>0</v>
      </c>
      <c r="CG30" s="183">
        <f t="shared" si="25"/>
        <v>0</v>
      </c>
      <c r="CJ30" s="183">
        <f t="shared" si="26"/>
        <v>0</v>
      </c>
      <c r="CM30" s="183">
        <f t="shared" si="27"/>
        <v>0</v>
      </c>
      <c r="CP30" s="183">
        <f t="shared" si="28"/>
        <v>0</v>
      </c>
      <c r="CS30" s="183">
        <f t="shared" si="29"/>
        <v>0</v>
      </c>
      <c r="CV30" s="183">
        <f t="shared" si="30"/>
        <v>0</v>
      </c>
      <c r="CY30" s="183">
        <f t="shared" si="31"/>
        <v>0</v>
      </c>
      <c r="DB30" s="183">
        <f t="shared" si="32"/>
        <v>0</v>
      </c>
      <c r="DE30" s="183">
        <f t="shared" si="33"/>
        <v>0</v>
      </c>
      <c r="DH30" s="183">
        <f t="shared" si="34"/>
        <v>0</v>
      </c>
      <c r="DK30" s="183">
        <f t="shared" si="35"/>
        <v>0</v>
      </c>
      <c r="DN30" s="183">
        <f t="shared" si="36"/>
        <v>0</v>
      </c>
      <c r="DQ30" s="183">
        <f t="shared" si="37"/>
        <v>0</v>
      </c>
      <c r="DT30" s="183">
        <f t="shared" si="38"/>
        <v>0</v>
      </c>
      <c r="DW30" s="183">
        <f t="shared" si="39"/>
        <v>0</v>
      </c>
      <c r="DZ30" s="183"/>
      <c r="EA30" s="183"/>
      <c r="EB30" s="214">
        <f t="shared" si="40"/>
        <v>433275000</v>
      </c>
      <c r="EC30" s="214">
        <f t="shared" si="41"/>
        <v>0</v>
      </c>
      <c r="ED30" s="183">
        <f t="shared" si="42"/>
        <v>4032.5972222222222</v>
      </c>
      <c r="EE30" s="185">
        <f t="shared" si="43"/>
        <v>3.3506087357913568E-3</v>
      </c>
      <c r="EG30" s="214">
        <f t="shared" si="44"/>
        <v>0</v>
      </c>
      <c r="EH30" s="183">
        <f t="shared" si="45"/>
        <v>0</v>
      </c>
      <c r="EI30" s="185">
        <f t="shared" si="46"/>
        <v>0</v>
      </c>
      <c r="EJ30" s="185"/>
      <c r="EK30" s="214">
        <f t="shared" si="47"/>
        <v>433275000</v>
      </c>
      <c r="EL30" s="214">
        <f t="shared" si="48"/>
        <v>0</v>
      </c>
      <c r="EM30" s="214">
        <f t="shared" si="49"/>
        <v>4032.5972222222226</v>
      </c>
      <c r="EN30" s="185">
        <f t="shared" si="50"/>
        <v>3.3506087357913568E-3</v>
      </c>
      <c r="EP30" s="183"/>
    </row>
    <row r="31" spans="1:146" x14ac:dyDescent="0.2">
      <c r="A31" s="211">
        <f t="shared" si="51"/>
        <v>44613</v>
      </c>
      <c r="B31" s="183">
        <v>0</v>
      </c>
      <c r="C31" s="185">
        <v>3.4372500000000002E-3</v>
      </c>
      <c r="D31" s="183">
        <f t="shared" si="0"/>
        <v>0</v>
      </c>
      <c r="G31" s="183">
        <f t="shared" si="1"/>
        <v>0</v>
      </c>
      <c r="J31" s="183">
        <f t="shared" si="2"/>
        <v>0</v>
      </c>
      <c r="M31" s="183">
        <f t="shared" si="3"/>
        <v>0</v>
      </c>
      <c r="P31" s="183">
        <f t="shared" si="4"/>
        <v>0</v>
      </c>
      <c r="S31" s="183">
        <f t="shared" si="5"/>
        <v>0</v>
      </c>
      <c r="V31" s="183">
        <f t="shared" si="6"/>
        <v>0</v>
      </c>
      <c r="Y31" s="183">
        <f t="shared" si="7"/>
        <v>0</v>
      </c>
      <c r="AB31" s="183">
        <f t="shared" si="8"/>
        <v>0</v>
      </c>
      <c r="AE31" s="183">
        <v>0</v>
      </c>
      <c r="AH31" s="183">
        <v>0</v>
      </c>
      <c r="AI31" s="212"/>
      <c r="AJ31" s="213"/>
      <c r="AK31" s="183">
        <f t="shared" si="9"/>
        <v>0</v>
      </c>
      <c r="AL31" s="212"/>
      <c r="AM31" s="213"/>
      <c r="AN31" s="183">
        <f t="shared" si="10"/>
        <v>0</v>
      </c>
      <c r="AO31" s="212"/>
      <c r="AP31" s="213"/>
      <c r="AQ31" s="183">
        <f t="shared" si="11"/>
        <v>0</v>
      </c>
      <c r="AR31" s="212">
        <v>75000000</v>
      </c>
      <c r="AS31" s="213">
        <v>2.5000000000000001E-3</v>
      </c>
      <c r="AT31" s="183">
        <f t="shared" si="12"/>
        <v>520.83333333333337</v>
      </c>
      <c r="AU31" s="183">
        <v>25000000</v>
      </c>
      <c r="AV31" s="185">
        <v>2.7000000000000001E-3</v>
      </c>
      <c r="AW31" s="183">
        <f t="shared" si="13"/>
        <v>187.5</v>
      </c>
      <c r="AX31" s="183">
        <v>46100000</v>
      </c>
      <c r="AY31" s="185">
        <v>2.8E-3</v>
      </c>
      <c r="AZ31" s="183">
        <f t="shared" si="14"/>
        <v>358.55555555555554</v>
      </c>
      <c r="BA31" s="183">
        <v>84350000</v>
      </c>
      <c r="BB31" s="185">
        <v>3.3E-3</v>
      </c>
      <c r="BC31" s="183">
        <f t="shared" si="15"/>
        <v>773.20833333333337</v>
      </c>
      <c r="BD31" s="183">
        <v>48275000</v>
      </c>
      <c r="BE31" s="185">
        <v>3.0000000000000001E-3</v>
      </c>
      <c r="BF31" s="183">
        <f t="shared" si="16"/>
        <v>402.29166666666669</v>
      </c>
      <c r="BG31" s="183">
        <v>85000000</v>
      </c>
      <c r="BH31" s="185">
        <v>3.8999999999999998E-3</v>
      </c>
      <c r="BI31" s="183">
        <f t="shared" si="17"/>
        <v>920.83333333333337</v>
      </c>
      <c r="BJ31" s="183">
        <v>69550000</v>
      </c>
      <c r="BK31" s="185">
        <v>4.4999999999999997E-3</v>
      </c>
      <c r="BL31" s="183">
        <f t="shared" si="18"/>
        <v>869.375</v>
      </c>
      <c r="BO31" s="183">
        <f t="shared" si="19"/>
        <v>0</v>
      </c>
      <c r="BR31" s="183">
        <f t="shared" si="20"/>
        <v>0</v>
      </c>
      <c r="BU31" s="183">
        <f t="shared" si="21"/>
        <v>0</v>
      </c>
      <c r="BX31" s="183">
        <f t="shared" si="22"/>
        <v>0</v>
      </c>
      <c r="CA31" s="183">
        <f t="shared" si="23"/>
        <v>0</v>
      </c>
      <c r="CD31" s="183">
        <f t="shared" si="24"/>
        <v>0</v>
      </c>
      <c r="CG31" s="183">
        <f t="shared" si="25"/>
        <v>0</v>
      </c>
      <c r="CJ31" s="183">
        <f t="shared" si="26"/>
        <v>0</v>
      </c>
      <c r="CM31" s="183">
        <f t="shared" si="27"/>
        <v>0</v>
      </c>
      <c r="CP31" s="183">
        <f t="shared" si="28"/>
        <v>0</v>
      </c>
      <c r="CS31" s="183">
        <f t="shared" si="29"/>
        <v>0</v>
      </c>
      <c r="CV31" s="183">
        <f t="shared" si="30"/>
        <v>0</v>
      </c>
      <c r="CY31" s="183">
        <f t="shared" si="31"/>
        <v>0</v>
      </c>
      <c r="DB31" s="183">
        <f t="shared" si="32"/>
        <v>0</v>
      </c>
      <c r="DE31" s="183">
        <f t="shared" si="33"/>
        <v>0</v>
      </c>
      <c r="DH31" s="183">
        <f t="shared" si="34"/>
        <v>0</v>
      </c>
      <c r="DK31" s="183">
        <f t="shared" si="35"/>
        <v>0</v>
      </c>
      <c r="DN31" s="183">
        <f t="shared" si="36"/>
        <v>0</v>
      </c>
      <c r="DQ31" s="183">
        <f t="shared" si="37"/>
        <v>0</v>
      </c>
      <c r="DT31" s="183">
        <f t="shared" si="38"/>
        <v>0</v>
      </c>
      <c r="DW31" s="183">
        <f t="shared" si="39"/>
        <v>0</v>
      </c>
      <c r="DZ31" s="183"/>
      <c r="EA31" s="183"/>
      <c r="EB31" s="214">
        <f t="shared" si="40"/>
        <v>433275000</v>
      </c>
      <c r="EC31" s="214">
        <f t="shared" si="41"/>
        <v>0</v>
      </c>
      <c r="ED31" s="183">
        <f t="shared" si="42"/>
        <v>4032.5972222222222</v>
      </c>
      <c r="EE31" s="185">
        <f t="shared" si="43"/>
        <v>3.3506087357913568E-3</v>
      </c>
      <c r="EG31" s="214">
        <f t="shared" si="44"/>
        <v>0</v>
      </c>
      <c r="EH31" s="183">
        <f t="shared" si="45"/>
        <v>0</v>
      </c>
      <c r="EI31" s="185">
        <f t="shared" si="46"/>
        <v>0</v>
      </c>
      <c r="EJ31" s="185"/>
      <c r="EK31" s="214">
        <f t="shared" si="47"/>
        <v>433275000</v>
      </c>
      <c r="EL31" s="214">
        <f t="shared" si="48"/>
        <v>0</v>
      </c>
      <c r="EM31" s="214">
        <f t="shared" si="49"/>
        <v>4032.5972222222226</v>
      </c>
      <c r="EN31" s="185">
        <f t="shared" si="50"/>
        <v>3.3506087357913568E-3</v>
      </c>
      <c r="EP31" s="183"/>
    </row>
    <row r="32" spans="1:146" x14ac:dyDescent="0.2">
      <c r="A32" s="211">
        <f t="shared" si="51"/>
        <v>44614</v>
      </c>
      <c r="B32" s="183">
        <v>0</v>
      </c>
      <c r="C32" s="185">
        <v>3.4505899999999999E-3</v>
      </c>
      <c r="D32" s="183">
        <f t="shared" si="0"/>
        <v>0</v>
      </c>
      <c r="G32" s="183">
        <f t="shared" si="1"/>
        <v>0</v>
      </c>
      <c r="J32" s="183">
        <f t="shared" si="2"/>
        <v>0</v>
      </c>
      <c r="M32" s="183">
        <f t="shared" si="3"/>
        <v>0</v>
      </c>
      <c r="P32" s="183">
        <f t="shared" si="4"/>
        <v>0</v>
      </c>
      <c r="S32" s="183">
        <f t="shared" si="5"/>
        <v>0</v>
      </c>
      <c r="V32" s="183">
        <f t="shared" si="6"/>
        <v>0</v>
      </c>
      <c r="Y32" s="183">
        <f t="shared" si="7"/>
        <v>0</v>
      </c>
      <c r="AB32" s="183">
        <f t="shared" si="8"/>
        <v>0</v>
      </c>
      <c r="AE32" s="183">
        <v>0</v>
      </c>
      <c r="AH32" s="183">
        <v>0</v>
      </c>
      <c r="AI32" s="212">
        <v>51600000</v>
      </c>
      <c r="AJ32" s="213">
        <v>2.3E-3</v>
      </c>
      <c r="AK32" s="183">
        <f t="shared" si="9"/>
        <v>329.66666666666669</v>
      </c>
      <c r="AL32" s="212">
        <v>75000000</v>
      </c>
      <c r="AM32" s="213">
        <v>4.0000000000000001E-3</v>
      </c>
      <c r="AN32" s="183">
        <f t="shared" si="10"/>
        <v>833.33333333333337</v>
      </c>
      <c r="AO32" s="212"/>
      <c r="AP32" s="213"/>
      <c r="AQ32" s="183">
        <f t="shared" si="11"/>
        <v>0</v>
      </c>
      <c r="AR32" s="212"/>
      <c r="AS32" s="213"/>
      <c r="AT32" s="183">
        <f t="shared" si="12"/>
        <v>0</v>
      </c>
      <c r="AU32" s="183">
        <v>25000000</v>
      </c>
      <c r="AV32" s="185">
        <v>2.7000000000000001E-3</v>
      </c>
      <c r="AW32" s="183">
        <f t="shared" si="13"/>
        <v>187.5</v>
      </c>
      <c r="AZ32" s="183">
        <f t="shared" si="14"/>
        <v>0</v>
      </c>
      <c r="BA32" s="183">
        <v>84350000</v>
      </c>
      <c r="BB32" s="185">
        <v>3.3E-3</v>
      </c>
      <c r="BC32" s="183">
        <f t="shared" si="15"/>
        <v>773.20833333333337</v>
      </c>
      <c r="BD32" s="183">
        <v>48275000</v>
      </c>
      <c r="BE32" s="185">
        <v>3.0000000000000001E-3</v>
      </c>
      <c r="BF32" s="183">
        <f t="shared" si="16"/>
        <v>402.29166666666669</v>
      </c>
      <c r="BG32" s="183">
        <v>85000000</v>
      </c>
      <c r="BH32" s="185">
        <v>3.8999999999999998E-3</v>
      </c>
      <c r="BI32" s="183">
        <f t="shared" si="17"/>
        <v>920.83333333333337</v>
      </c>
      <c r="BJ32" s="183">
        <v>69550000</v>
      </c>
      <c r="BK32" s="185">
        <v>4.4999999999999997E-3</v>
      </c>
      <c r="BL32" s="183">
        <f t="shared" si="18"/>
        <v>869.375</v>
      </c>
      <c r="BO32" s="183">
        <f t="shared" si="19"/>
        <v>0</v>
      </c>
      <c r="BR32" s="183">
        <f t="shared" si="20"/>
        <v>0</v>
      </c>
      <c r="BU32" s="183">
        <f t="shared" si="21"/>
        <v>0</v>
      </c>
      <c r="BX32" s="183">
        <f t="shared" si="22"/>
        <v>0</v>
      </c>
      <c r="CA32" s="183">
        <f t="shared" si="23"/>
        <v>0</v>
      </c>
      <c r="CD32" s="183">
        <f t="shared" si="24"/>
        <v>0</v>
      </c>
      <c r="CG32" s="183">
        <f t="shared" si="25"/>
        <v>0</v>
      </c>
      <c r="CJ32" s="183">
        <f t="shared" si="26"/>
        <v>0</v>
      </c>
      <c r="CM32" s="183">
        <f t="shared" si="27"/>
        <v>0</v>
      </c>
      <c r="CP32" s="183">
        <f t="shared" si="28"/>
        <v>0</v>
      </c>
      <c r="CS32" s="183">
        <f t="shared" si="29"/>
        <v>0</v>
      </c>
      <c r="CV32" s="183">
        <f t="shared" si="30"/>
        <v>0</v>
      </c>
      <c r="CY32" s="183">
        <f t="shared" si="31"/>
        <v>0</v>
      </c>
      <c r="DB32" s="183">
        <f t="shared" si="32"/>
        <v>0</v>
      </c>
      <c r="DE32" s="183">
        <f t="shared" si="33"/>
        <v>0</v>
      </c>
      <c r="DH32" s="183">
        <f t="shared" si="34"/>
        <v>0</v>
      </c>
      <c r="DK32" s="183">
        <f t="shared" si="35"/>
        <v>0</v>
      </c>
      <c r="DN32" s="183">
        <f t="shared" si="36"/>
        <v>0</v>
      </c>
      <c r="DQ32" s="183">
        <f t="shared" si="37"/>
        <v>0</v>
      </c>
      <c r="DT32" s="183">
        <f t="shared" si="38"/>
        <v>0</v>
      </c>
      <c r="DW32" s="183">
        <f t="shared" si="39"/>
        <v>0</v>
      </c>
      <c r="DZ32" s="183"/>
      <c r="EA32" s="183"/>
      <c r="EB32" s="214">
        <f t="shared" si="40"/>
        <v>438775000</v>
      </c>
      <c r="EC32" s="214">
        <f t="shared" si="41"/>
        <v>0</v>
      </c>
      <c r="ED32" s="183">
        <f t="shared" si="42"/>
        <v>4316.2083333333339</v>
      </c>
      <c r="EE32" s="185">
        <f t="shared" si="43"/>
        <v>3.5413024898866166E-3</v>
      </c>
      <c r="EG32" s="214">
        <f t="shared" si="44"/>
        <v>0</v>
      </c>
      <c r="EH32" s="183">
        <f t="shared" si="45"/>
        <v>0</v>
      </c>
      <c r="EI32" s="185">
        <f t="shared" si="46"/>
        <v>0</v>
      </c>
      <c r="EJ32" s="185"/>
      <c r="EK32" s="214">
        <f t="shared" si="47"/>
        <v>438775000</v>
      </c>
      <c r="EL32" s="214">
        <f t="shared" si="48"/>
        <v>0</v>
      </c>
      <c r="EM32" s="214">
        <f t="shared" si="49"/>
        <v>4316.2083333333339</v>
      </c>
      <c r="EN32" s="185">
        <f t="shared" si="50"/>
        <v>3.5413024898866166E-3</v>
      </c>
      <c r="EP32" s="183"/>
    </row>
    <row r="33" spans="1:146" x14ac:dyDescent="0.2">
      <c r="A33" s="211">
        <f t="shared" si="51"/>
        <v>44615</v>
      </c>
      <c r="B33" s="183">
        <v>0</v>
      </c>
      <c r="C33" s="185">
        <v>3.49424E-3</v>
      </c>
      <c r="D33" s="183">
        <f t="shared" si="0"/>
        <v>0</v>
      </c>
      <c r="G33" s="183">
        <f t="shared" si="1"/>
        <v>0</v>
      </c>
      <c r="J33" s="183">
        <f t="shared" si="2"/>
        <v>0</v>
      </c>
      <c r="M33" s="183">
        <f t="shared" si="3"/>
        <v>0</v>
      </c>
      <c r="P33" s="183">
        <f t="shared" si="4"/>
        <v>0</v>
      </c>
      <c r="S33" s="183">
        <f t="shared" si="5"/>
        <v>0</v>
      </c>
      <c r="V33" s="183">
        <f t="shared" si="6"/>
        <v>0</v>
      </c>
      <c r="Y33" s="183">
        <f t="shared" si="7"/>
        <v>0</v>
      </c>
      <c r="AB33" s="183">
        <f t="shared" si="8"/>
        <v>0</v>
      </c>
      <c r="AE33" s="183">
        <v>0</v>
      </c>
      <c r="AH33" s="183">
        <v>0</v>
      </c>
      <c r="AI33" s="212">
        <v>36425000</v>
      </c>
      <c r="AJ33" s="213">
        <v>2.3E-3</v>
      </c>
      <c r="AK33" s="183">
        <f t="shared" si="9"/>
        <v>232.71527777777777</v>
      </c>
      <c r="AL33" s="212">
        <v>75000000</v>
      </c>
      <c r="AM33" s="213">
        <v>4.0000000000000001E-3</v>
      </c>
      <c r="AN33" s="183">
        <f t="shared" si="10"/>
        <v>833.33333333333337</v>
      </c>
      <c r="AO33" s="212"/>
      <c r="AP33" s="213"/>
      <c r="AQ33" s="183">
        <f t="shared" si="11"/>
        <v>0</v>
      </c>
      <c r="AR33" s="212"/>
      <c r="AS33" s="213"/>
      <c r="AT33" s="183">
        <f t="shared" si="12"/>
        <v>0</v>
      </c>
      <c r="AU33" s="183">
        <v>25000000</v>
      </c>
      <c r="AV33" s="185">
        <v>2.7000000000000001E-3</v>
      </c>
      <c r="AW33" s="183">
        <f t="shared" si="13"/>
        <v>187.5</v>
      </c>
      <c r="AZ33" s="183">
        <f t="shared" si="14"/>
        <v>0</v>
      </c>
      <c r="BA33" s="183">
        <v>84350000</v>
      </c>
      <c r="BB33" s="185">
        <v>3.3E-3</v>
      </c>
      <c r="BC33" s="183">
        <f t="shared" si="15"/>
        <v>773.20833333333337</v>
      </c>
      <c r="BD33" s="183">
        <v>48275000</v>
      </c>
      <c r="BE33" s="185">
        <v>3.0000000000000001E-3</v>
      </c>
      <c r="BF33" s="183">
        <f t="shared" si="16"/>
        <v>402.29166666666669</v>
      </c>
      <c r="BG33" s="183">
        <v>85000000</v>
      </c>
      <c r="BH33" s="185">
        <v>3.8999999999999998E-3</v>
      </c>
      <c r="BI33" s="183">
        <f t="shared" si="17"/>
        <v>920.83333333333337</v>
      </c>
      <c r="BJ33" s="183">
        <v>69550000</v>
      </c>
      <c r="BK33" s="185">
        <v>4.4999999999999997E-3</v>
      </c>
      <c r="BL33" s="183">
        <f t="shared" si="18"/>
        <v>869.375</v>
      </c>
      <c r="BO33" s="183">
        <f t="shared" si="19"/>
        <v>0</v>
      </c>
      <c r="BR33" s="183">
        <f t="shared" si="20"/>
        <v>0</v>
      </c>
      <c r="BU33" s="183">
        <f t="shared" si="21"/>
        <v>0</v>
      </c>
      <c r="BX33" s="183">
        <f t="shared" si="22"/>
        <v>0</v>
      </c>
      <c r="CA33" s="183">
        <f t="shared" si="23"/>
        <v>0</v>
      </c>
      <c r="CD33" s="183">
        <f t="shared" si="24"/>
        <v>0</v>
      </c>
      <c r="CG33" s="183">
        <f t="shared" si="25"/>
        <v>0</v>
      </c>
      <c r="CJ33" s="183">
        <f t="shared" si="26"/>
        <v>0</v>
      </c>
      <c r="CM33" s="183">
        <f t="shared" si="27"/>
        <v>0</v>
      </c>
      <c r="CP33" s="183">
        <f t="shared" si="28"/>
        <v>0</v>
      </c>
      <c r="CS33" s="183">
        <f t="shared" si="29"/>
        <v>0</v>
      </c>
      <c r="CV33" s="183">
        <f t="shared" si="30"/>
        <v>0</v>
      </c>
      <c r="CY33" s="183">
        <f t="shared" si="31"/>
        <v>0</v>
      </c>
      <c r="DB33" s="183">
        <f t="shared" si="32"/>
        <v>0</v>
      </c>
      <c r="DE33" s="183">
        <f t="shared" si="33"/>
        <v>0</v>
      </c>
      <c r="DH33" s="183">
        <f t="shared" si="34"/>
        <v>0</v>
      </c>
      <c r="DK33" s="183">
        <f t="shared" si="35"/>
        <v>0</v>
      </c>
      <c r="DN33" s="183">
        <f t="shared" si="36"/>
        <v>0</v>
      </c>
      <c r="DQ33" s="183">
        <f t="shared" si="37"/>
        <v>0</v>
      </c>
      <c r="DT33" s="183">
        <f t="shared" si="38"/>
        <v>0</v>
      </c>
      <c r="DW33" s="183">
        <f t="shared" si="39"/>
        <v>0</v>
      </c>
      <c r="DZ33" s="183"/>
      <c r="EA33" s="183"/>
      <c r="EB33" s="214">
        <f t="shared" si="40"/>
        <v>423600000</v>
      </c>
      <c r="EC33" s="214">
        <f t="shared" si="41"/>
        <v>0</v>
      </c>
      <c r="ED33" s="183">
        <f t="shared" si="42"/>
        <v>4219.2569444444443</v>
      </c>
      <c r="EE33" s="185">
        <f t="shared" si="43"/>
        <v>3.585770774315392E-3</v>
      </c>
      <c r="EG33" s="214">
        <f t="shared" si="44"/>
        <v>0</v>
      </c>
      <c r="EH33" s="183">
        <f t="shared" si="45"/>
        <v>0</v>
      </c>
      <c r="EI33" s="185">
        <f t="shared" si="46"/>
        <v>0</v>
      </c>
      <c r="EJ33" s="185"/>
      <c r="EK33" s="214">
        <f t="shared" si="47"/>
        <v>423600000</v>
      </c>
      <c r="EL33" s="214">
        <f t="shared" si="48"/>
        <v>0</v>
      </c>
      <c r="EM33" s="214">
        <f t="shared" si="49"/>
        <v>4219.2569444444443</v>
      </c>
      <c r="EN33" s="185">
        <f t="shared" si="50"/>
        <v>3.585770774315392E-3</v>
      </c>
      <c r="EP33" s="183"/>
    </row>
    <row r="34" spans="1:146" x14ac:dyDescent="0.2">
      <c r="A34" s="211">
        <f t="shared" si="51"/>
        <v>44616</v>
      </c>
      <c r="B34" s="183">
        <v>0</v>
      </c>
      <c r="C34" s="185">
        <v>3.4260900000000001E-3</v>
      </c>
      <c r="D34" s="183">
        <f t="shared" si="0"/>
        <v>0</v>
      </c>
      <c r="G34" s="183">
        <f t="shared" si="1"/>
        <v>0</v>
      </c>
      <c r="J34" s="183">
        <f t="shared" si="2"/>
        <v>0</v>
      </c>
      <c r="M34" s="183">
        <f t="shared" si="3"/>
        <v>0</v>
      </c>
      <c r="P34" s="183">
        <f t="shared" si="4"/>
        <v>0</v>
      </c>
      <c r="S34" s="183">
        <f t="shared" si="5"/>
        <v>0</v>
      </c>
      <c r="V34" s="183">
        <f t="shared" si="6"/>
        <v>0</v>
      </c>
      <c r="Y34" s="183">
        <f t="shared" si="7"/>
        <v>0</v>
      </c>
      <c r="AB34" s="183">
        <f t="shared" si="8"/>
        <v>0</v>
      </c>
      <c r="AE34" s="183">
        <v>0</v>
      </c>
      <c r="AH34" s="183">
        <v>0</v>
      </c>
      <c r="AI34" s="212">
        <v>22325000</v>
      </c>
      <c r="AJ34" s="213">
        <v>2.3E-3</v>
      </c>
      <c r="AK34" s="183">
        <f t="shared" si="9"/>
        <v>142.63194444444446</v>
      </c>
      <c r="AL34" s="212">
        <v>75000000</v>
      </c>
      <c r="AM34" s="213">
        <v>4.0000000000000001E-3</v>
      </c>
      <c r="AN34" s="183">
        <f t="shared" si="10"/>
        <v>833.33333333333337</v>
      </c>
      <c r="AO34" s="212"/>
      <c r="AP34" s="213"/>
      <c r="AQ34" s="183">
        <f t="shared" si="11"/>
        <v>0</v>
      </c>
      <c r="AR34" s="212"/>
      <c r="AS34" s="213"/>
      <c r="AT34" s="183">
        <f t="shared" si="12"/>
        <v>0</v>
      </c>
      <c r="AU34" s="183">
        <v>25000000</v>
      </c>
      <c r="AV34" s="185">
        <v>2.7000000000000001E-3</v>
      </c>
      <c r="AW34" s="183">
        <f t="shared" si="13"/>
        <v>187.5</v>
      </c>
      <c r="AZ34" s="183">
        <f t="shared" si="14"/>
        <v>0</v>
      </c>
      <c r="BA34" s="183">
        <v>84350000</v>
      </c>
      <c r="BB34" s="185">
        <v>3.3E-3</v>
      </c>
      <c r="BC34" s="183">
        <f t="shared" si="15"/>
        <v>773.20833333333337</v>
      </c>
      <c r="BD34" s="183">
        <v>48275000</v>
      </c>
      <c r="BE34" s="185">
        <v>3.0000000000000001E-3</v>
      </c>
      <c r="BF34" s="183">
        <f t="shared" si="16"/>
        <v>402.29166666666669</v>
      </c>
      <c r="BG34" s="183">
        <v>85000000</v>
      </c>
      <c r="BH34" s="185">
        <v>3.8999999999999998E-3</v>
      </c>
      <c r="BI34" s="183">
        <f t="shared" si="17"/>
        <v>920.83333333333337</v>
      </c>
      <c r="BJ34" s="183">
        <v>69550000</v>
      </c>
      <c r="BK34" s="185">
        <v>4.4999999999999997E-3</v>
      </c>
      <c r="BL34" s="183">
        <f t="shared" si="18"/>
        <v>869.375</v>
      </c>
      <c r="BO34" s="183">
        <f t="shared" si="19"/>
        <v>0</v>
      </c>
      <c r="BR34" s="183">
        <f t="shared" si="20"/>
        <v>0</v>
      </c>
      <c r="BU34" s="183">
        <f t="shared" si="21"/>
        <v>0</v>
      </c>
      <c r="BX34" s="183">
        <f t="shared" si="22"/>
        <v>0</v>
      </c>
      <c r="CA34" s="183">
        <f t="shared" si="23"/>
        <v>0</v>
      </c>
      <c r="CD34" s="183">
        <f t="shared" si="24"/>
        <v>0</v>
      </c>
      <c r="CG34" s="183">
        <f t="shared" si="25"/>
        <v>0</v>
      </c>
      <c r="CJ34" s="183">
        <f t="shared" si="26"/>
        <v>0</v>
      </c>
      <c r="CM34" s="183">
        <f t="shared" si="27"/>
        <v>0</v>
      </c>
      <c r="CP34" s="183">
        <f t="shared" si="28"/>
        <v>0</v>
      </c>
      <c r="CS34" s="183">
        <f t="shared" si="29"/>
        <v>0</v>
      </c>
      <c r="CV34" s="183">
        <f t="shared" si="30"/>
        <v>0</v>
      </c>
      <c r="CY34" s="183">
        <f t="shared" si="31"/>
        <v>0</v>
      </c>
      <c r="DB34" s="183">
        <f t="shared" si="32"/>
        <v>0</v>
      </c>
      <c r="DE34" s="183">
        <f t="shared" si="33"/>
        <v>0</v>
      </c>
      <c r="DH34" s="183">
        <f t="shared" si="34"/>
        <v>0</v>
      </c>
      <c r="DK34" s="183">
        <f t="shared" si="35"/>
        <v>0</v>
      </c>
      <c r="DN34" s="183">
        <f t="shared" si="36"/>
        <v>0</v>
      </c>
      <c r="DQ34" s="183">
        <f t="shared" si="37"/>
        <v>0</v>
      </c>
      <c r="DT34" s="183">
        <f t="shared" si="38"/>
        <v>0</v>
      </c>
      <c r="DW34" s="183">
        <f t="shared" si="39"/>
        <v>0</v>
      </c>
      <c r="DZ34" s="183"/>
      <c r="EA34" s="183"/>
      <c r="EB34" s="214">
        <f t="shared" si="40"/>
        <v>409500000</v>
      </c>
      <c r="EC34" s="214">
        <f t="shared" si="41"/>
        <v>0</v>
      </c>
      <c r="ED34" s="183">
        <f t="shared" si="42"/>
        <v>4129.1736111111113</v>
      </c>
      <c r="EE34" s="185">
        <f t="shared" si="43"/>
        <v>3.630042735042735E-3</v>
      </c>
      <c r="EG34" s="214">
        <f t="shared" si="44"/>
        <v>0</v>
      </c>
      <c r="EH34" s="183">
        <f t="shared" si="45"/>
        <v>0</v>
      </c>
      <c r="EI34" s="185">
        <f t="shared" si="46"/>
        <v>0</v>
      </c>
      <c r="EJ34" s="185"/>
      <c r="EK34" s="214">
        <f t="shared" si="47"/>
        <v>409500000</v>
      </c>
      <c r="EL34" s="214">
        <f t="shared" si="48"/>
        <v>0</v>
      </c>
      <c r="EM34" s="214">
        <f t="shared" si="49"/>
        <v>4129.1736111111113</v>
      </c>
      <c r="EN34" s="185">
        <f t="shared" si="50"/>
        <v>3.630042735042735E-3</v>
      </c>
      <c r="EP34" s="183"/>
    </row>
    <row r="35" spans="1:146" x14ac:dyDescent="0.2">
      <c r="A35" s="211">
        <f t="shared" si="51"/>
        <v>44617</v>
      </c>
      <c r="B35" s="183">
        <v>0</v>
      </c>
      <c r="C35" s="185">
        <v>3.4257300000000001E-3</v>
      </c>
      <c r="D35" s="183">
        <f t="shared" si="0"/>
        <v>0</v>
      </c>
      <c r="G35" s="183">
        <f t="shared" si="1"/>
        <v>0</v>
      </c>
      <c r="J35" s="183">
        <f t="shared" si="2"/>
        <v>0</v>
      </c>
      <c r="M35" s="183">
        <f t="shared" si="3"/>
        <v>0</v>
      </c>
      <c r="P35" s="183">
        <f t="shared" si="4"/>
        <v>0</v>
      </c>
      <c r="S35" s="183">
        <f t="shared" si="5"/>
        <v>0</v>
      </c>
      <c r="V35" s="183">
        <f t="shared" si="6"/>
        <v>0</v>
      </c>
      <c r="Y35" s="183">
        <f t="shared" si="7"/>
        <v>0</v>
      </c>
      <c r="AB35" s="183">
        <f t="shared" si="8"/>
        <v>0</v>
      </c>
      <c r="AE35" s="183">
        <v>0</v>
      </c>
      <c r="AH35" s="183">
        <v>0</v>
      </c>
      <c r="AI35" s="212">
        <v>40025000</v>
      </c>
      <c r="AJ35" s="213">
        <v>2.3E-3</v>
      </c>
      <c r="AK35" s="183">
        <f t="shared" si="9"/>
        <v>255.71527777777777</v>
      </c>
      <c r="AL35" s="212">
        <v>75000000</v>
      </c>
      <c r="AM35" s="213">
        <v>4.0000000000000001E-3</v>
      </c>
      <c r="AN35" s="183">
        <f t="shared" si="10"/>
        <v>833.33333333333337</v>
      </c>
      <c r="AO35" s="212"/>
      <c r="AP35" s="213"/>
      <c r="AQ35" s="183">
        <f t="shared" si="11"/>
        <v>0</v>
      </c>
      <c r="AR35" s="212"/>
      <c r="AS35" s="213"/>
      <c r="AT35" s="183">
        <f t="shared" si="12"/>
        <v>0</v>
      </c>
      <c r="AU35" s="183">
        <v>25000000</v>
      </c>
      <c r="AV35" s="185">
        <v>2.7000000000000001E-3</v>
      </c>
      <c r="AW35" s="183">
        <f t="shared" si="13"/>
        <v>187.5</v>
      </c>
      <c r="AZ35" s="183">
        <f t="shared" si="14"/>
        <v>0</v>
      </c>
      <c r="BA35" s="183">
        <v>84350000</v>
      </c>
      <c r="BB35" s="185">
        <v>3.3E-3</v>
      </c>
      <c r="BC35" s="183">
        <f t="shared" si="15"/>
        <v>773.20833333333337</v>
      </c>
      <c r="BD35" s="183">
        <v>48275000</v>
      </c>
      <c r="BE35" s="185">
        <v>3.0000000000000001E-3</v>
      </c>
      <c r="BF35" s="183">
        <f t="shared" si="16"/>
        <v>402.29166666666669</v>
      </c>
      <c r="BG35" s="183">
        <v>85000000</v>
      </c>
      <c r="BH35" s="185">
        <v>3.8999999999999998E-3</v>
      </c>
      <c r="BI35" s="183">
        <f t="shared" si="17"/>
        <v>920.83333333333337</v>
      </c>
      <c r="BJ35" s="183">
        <v>69550000</v>
      </c>
      <c r="BK35" s="185">
        <v>4.4999999999999997E-3</v>
      </c>
      <c r="BL35" s="183">
        <f t="shared" si="18"/>
        <v>869.375</v>
      </c>
      <c r="BO35" s="183">
        <f t="shared" si="19"/>
        <v>0</v>
      </c>
      <c r="BR35" s="183">
        <f t="shared" si="20"/>
        <v>0</v>
      </c>
      <c r="BU35" s="183">
        <f t="shared" si="21"/>
        <v>0</v>
      </c>
      <c r="BX35" s="183">
        <f t="shared" si="22"/>
        <v>0</v>
      </c>
      <c r="CA35" s="183">
        <f t="shared" si="23"/>
        <v>0</v>
      </c>
      <c r="CD35" s="183">
        <f t="shared" si="24"/>
        <v>0</v>
      </c>
      <c r="CG35" s="183">
        <f t="shared" si="25"/>
        <v>0</v>
      </c>
      <c r="CJ35" s="183">
        <f t="shared" si="26"/>
        <v>0</v>
      </c>
      <c r="CM35" s="183">
        <f t="shared" si="27"/>
        <v>0</v>
      </c>
      <c r="CP35" s="183">
        <f t="shared" si="28"/>
        <v>0</v>
      </c>
      <c r="CS35" s="183">
        <f t="shared" si="29"/>
        <v>0</v>
      </c>
      <c r="CV35" s="183">
        <f t="shared" si="30"/>
        <v>0</v>
      </c>
      <c r="CY35" s="183">
        <f t="shared" si="31"/>
        <v>0</v>
      </c>
      <c r="DB35" s="183">
        <f t="shared" si="32"/>
        <v>0</v>
      </c>
      <c r="DE35" s="183">
        <f t="shared" si="33"/>
        <v>0</v>
      </c>
      <c r="DH35" s="183">
        <f t="shared" si="34"/>
        <v>0</v>
      </c>
      <c r="DK35" s="183">
        <f t="shared" si="35"/>
        <v>0</v>
      </c>
      <c r="DN35" s="183">
        <f t="shared" si="36"/>
        <v>0</v>
      </c>
      <c r="DQ35" s="183">
        <f t="shared" si="37"/>
        <v>0</v>
      </c>
      <c r="DT35" s="183">
        <f t="shared" si="38"/>
        <v>0</v>
      </c>
      <c r="DW35" s="183">
        <f t="shared" si="39"/>
        <v>0</v>
      </c>
      <c r="DZ35" s="183"/>
      <c r="EA35" s="183"/>
      <c r="EB35" s="214">
        <f t="shared" si="40"/>
        <v>427200000</v>
      </c>
      <c r="EC35" s="214">
        <f t="shared" si="41"/>
        <v>0</v>
      </c>
      <c r="ED35" s="183">
        <f t="shared" si="42"/>
        <v>4242.2569444444443</v>
      </c>
      <c r="EE35" s="185">
        <f t="shared" si="43"/>
        <v>3.5749356273408243E-3</v>
      </c>
      <c r="EG35" s="214">
        <f t="shared" si="44"/>
        <v>0</v>
      </c>
      <c r="EH35" s="183">
        <f t="shared" si="45"/>
        <v>0</v>
      </c>
      <c r="EI35" s="185">
        <f t="shared" si="46"/>
        <v>0</v>
      </c>
      <c r="EJ35" s="185"/>
      <c r="EK35" s="214">
        <f t="shared" si="47"/>
        <v>427200000</v>
      </c>
      <c r="EL35" s="214">
        <f t="shared" si="48"/>
        <v>0</v>
      </c>
      <c r="EM35" s="214">
        <f t="shared" si="49"/>
        <v>4242.2569444444443</v>
      </c>
      <c r="EN35" s="185">
        <f t="shared" si="50"/>
        <v>3.5749356273408243E-3</v>
      </c>
      <c r="EP35" s="183"/>
    </row>
    <row r="36" spans="1:146" x14ac:dyDescent="0.2">
      <c r="A36" s="211">
        <f t="shared" si="51"/>
        <v>44618</v>
      </c>
      <c r="B36" s="183">
        <v>0</v>
      </c>
      <c r="C36" s="185">
        <v>3.4257300000000001E-3</v>
      </c>
      <c r="D36" s="183">
        <f t="shared" si="0"/>
        <v>0</v>
      </c>
      <c r="G36" s="183">
        <f t="shared" si="1"/>
        <v>0</v>
      </c>
      <c r="J36" s="183">
        <f t="shared" si="2"/>
        <v>0</v>
      </c>
      <c r="M36" s="183">
        <f t="shared" si="3"/>
        <v>0</v>
      </c>
      <c r="P36" s="183">
        <f t="shared" si="4"/>
        <v>0</v>
      </c>
      <c r="S36" s="183">
        <f t="shared" si="5"/>
        <v>0</v>
      </c>
      <c r="V36" s="183">
        <f t="shared" si="6"/>
        <v>0</v>
      </c>
      <c r="Y36" s="183">
        <f t="shared" si="7"/>
        <v>0</v>
      </c>
      <c r="AB36" s="183">
        <f t="shared" si="8"/>
        <v>0</v>
      </c>
      <c r="AE36" s="183">
        <v>0</v>
      </c>
      <c r="AH36" s="183">
        <v>0</v>
      </c>
      <c r="AI36" s="212">
        <v>40025000</v>
      </c>
      <c r="AJ36" s="213">
        <v>2.3E-3</v>
      </c>
      <c r="AK36" s="183">
        <f t="shared" si="9"/>
        <v>255.71527777777777</v>
      </c>
      <c r="AL36" s="212">
        <v>75000000</v>
      </c>
      <c r="AM36" s="213">
        <v>4.0000000000000001E-3</v>
      </c>
      <c r="AN36" s="183">
        <f t="shared" si="10"/>
        <v>833.33333333333337</v>
      </c>
      <c r="AO36" s="212"/>
      <c r="AP36" s="213"/>
      <c r="AQ36" s="183">
        <f t="shared" si="11"/>
        <v>0</v>
      </c>
      <c r="AR36" s="212"/>
      <c r="AS36" s="213"/>
      <c r="AT36" s="183">
        <f t="shared" si="12"/>
        <v>0</v>
      </c>
      <c r="AU36" s="183">
        <v>25000000</v>
      </c>
      <c r="AV36" s="185">
        <v>2.7000000000000001E-3</v>
      </c>
      <c r="AW36" s="183">
        <f t="shared" si="13"/>
        <v>187.5</v>
      </c>
      <c r="AZ36" s="183">
        <f t="shared" si="14"/>
        <v>0</v>
      </c>
      <c r="BA36" s="183">
        <v>84350000</v>
      </c>
      <c r="BB36" s="185">
        <v>3.3E-3</v>
      </c>
      <c r="BC36" s="183">
        <f t="shared" si="15"/>
        <v>773.20833333333337</v>
      </c>
      <c r="BD36" s="183">
        <v>48275000</v>
      </c>
      <c r="BE36" s="185">
        <v>3.0000000000000001E-3</v>
      </c>
      <c r="BF36" s="183">
        <f t="shared" si="16"/>
        <v>402.29166666666669</v>
      </c>
      <c r="BG36" s="183">
        <v>85000000</v>
      </c>
      <c r="BH36" s="185">
        <v>3.8999999999999998E-3</v>
      </c>
      <c r="BI36" s="183">
        <f t="shared" si="17"/>
        <v>920.83333333333337</v>
      </c>
      <c r="BJ36" s="183">
        <v>69550000</v>
      </c>
      <c r="BK36" s="185">
        <v>4.4999999999999997E-3</v>
      </c>
      <c r="BL36" s="183">
        <f t="shared" si="18"/>
        <v>869.375</v>
      </c>
      <c r="BO36" s="183">
        <f t="shared" si="19"/>
        <v>0</v>
      </c>
      <c r="BR36" s="183">
        <f t="shared" si="20"/>
        <v>0</v>
      </c>
      <c r="BU36" s="183">
        <f t="shared" si="21"/>
        <v>0</v>
      </c>
      <c r="BX36" s="183">
        <f t="shared" si="22"/>
        <v>0</v>
      </c>
      <c r="CA36" s="183">
        <f t="shared" si="23"/>
        <v>0</v>
      </c>
      <c r="CD36" s="183">
        <f t="shared" si="24"/>
        <v>0</v>
      </c>
      <c r="CG36" s="183">
        <f t="shared" si="25"/>
        <v>0</v>
      </c>
      <c r="CJ36" s="183">
        <f t="shared" si="26"/>
        <v>0</v>
      </c>
      <c r="CM36" s="183">
        <f t="shared" si="27"/>
        <v>0</v>
      </c>
      <c r="CP36" s="183">
        <f t="shared" si="28"/>
        <v>0</v>
      </c>
      <c r="CS36" s="183">
        <f t="shared" si="29"/>
        <v>0</v>
      </c>
      <c r="CV36" s="183">
        <f t="shared" si="30"/>
        <v>0</v>
      </c>
      <c r="CY36" s="183">
        <f t="shared" si="31"/>
        <v>0</v>
      </c>
      <c r="DB36" s="183">
        <f t="shared" si="32"/>
        <v>0</v>
      </c>
      <c r="DE36" s="183">
        <f t="shared" si="33"/>
        <v>0</v>
      </c>
      <c r="DH36" s="183">
        <f t="shared" si="34"/>
        <v>0</v>
      </c>
      <c r="DK36" s="183">
        <f t="shared" si="35"/>
        <v>0</v>
      </c>
      <c r="DN36" s="183">
        <f t="shared" si="36"/>
        <v>0</v>
      </c>
      <c r="DQ36" s="183">
        <f t="shared" si="37"/>
        <v>0</v>
      </c>
      <c r="DT36" s="183">
        <f t="shared" si="38"/>
        <v>0</v>
      </c>
      <c r="DW36" s="183">
        <f t="shared" si="39"/>
        <v>0</v>
      </c>
      <c r="DZ36" s="183"/>
      <c r="EA36" s="183"/>
      <c r="EB36" s="214">
        <f t="shared" si="40"/>
        <v>427200000</v>
      </c>
      <c r="EC36" s="214">
        <f t="shared" si="41"/>
        <v>0</v>
      </c>
      <c r="ED36" s="183">
        <f t="shared" si="42"/>
        <v>4242.2569444444443</v>
      </c>
      <c r="EE36" s="185">
        <f t="shared" si="43"/>
        <v>3.5749356273408243E-3</v>
      </c>
      <c r="EG36" s="214">
        <f t="shared" si="44"/>
        <v>0</v>
      </c>
      <c r="EH36" s="183">
        <f t="shared" si="45"/>
        <v>0</v>
      </c>
      <c r="EI36" s="185">
        <f t="shared" si="46"/>
        <v>0</v>
      </c>
      <c r="EJ36" s="185"/>
      <c r="EK36" s="214">
        <f t="shared" si="47"/>
        <v>427200000</v>
      </c>
      <c r="EL36" s="214">
        <f t="shared" si="48"/>
        <v>0</v>
      </c>
      <c r="EM36" s="214">
        <f t="shared" si="49"/>
        <v>4242.2569444444443</v>
      </c>
      <c r="EN36" s="185">
        <f t="shared" si="50"/>
        <v>3.5749356273408243E-3</v>
      </c>
      <c r="EP36" s="183"/>
    </row>
    <row r="37" spans="1:146" x14ac:dyDescent="0.2">
      <c r="A37" s="211">
        <f t="shared" si="51"/>
        <v>44619</v>
      </c>
      <c r="B37" s="183">
        <v>0</v>
      </c>
      <c r="C37" s="185">
        <v>3.4257300000000001E-3</v>
      </c>
      <c r="D37" s="183">
        <f t="shared" si="0"/>
        <v>0</v>
      </c>
      <c r="G37" s="183">
        <f t="shared" si="1"/>
        <v>0</v>
      </c>
      <c r="J37" s="183">
        <f t="shared" si="2"/>
        <v>0</v>
      </c>
      <c r="M37" s="183">
        <f t="shared" si="3"/>
        <v>0</v>
      </c>
      <c r="P37" s="183">
        <f t="shared" si="4"/>
        <v>0</v>
      </c>
      <c r="S37" s="183">
        <f t="shared" si="5"/>
        <v>0</v>
      </c>
      <c r="V37" s="183">
        <f t="shared" si="6"/>
        <v>0</v>
      </c>
      <c r="Y37" s="183">
        <f t="shared" si="7"/>
        <v>0</v>
      </c>
      <c r="AB37" s="183">
        <f t="shared" si="8"/>
        <v>0</v>
      </c>
      <c r="AE37" s="183">
        <v>0</v>
      </c>
      <c r="AH37" s="183">
        <v>0</v>
      </c>
      <c r="AI37" s="212">
        <v>40025000</v>
      </c>
      <c r="AJ37" s="213">
        <v>2.3E-3</v>
      </c>
      <c r="AK37" s="183">
        <f t="shared" si="9"/>
        <v>255.71527777777777</v>
      </c>
      <c r="AL37" s="212">
        <v>75000000</v>
      </c>
      <c r="AM37" s="213">
        <v>4.0000000000000001E-3</v>
      </c>
      <c r="AN37" s="183">
        <f t="shared" si="10"/>
        <v>833.33333333333337</v>
      </c>
      <c r="AO37" s="212"/>
      <c r="AP37" s="213"/>
      <c r="AQ37" s="183">
        <f t="shared" si="11"/>
        <v>0</v>
      </c>
      <c r="AR37" s="212"/>
      <c r="AS37" s="213"/>
      <c r="AT37" s="183">
        <f t="shared" si="12"/>
        <v>0</v>
      </c>
      <c r="AU37" s="183">
        <v>25000000</v>
      </c>
      <c r="AV37" s="185">
        <v>2.7000000000000001E-3</v>
      </c>
      <c r="AW37" s="183">
        <f t="shared" si="13"/>
        <v>187.5</v>
      </c>
      <c r="AZ37" s="183">
        <f t="shared" si="14"/>
        <v>0</v>
      </c>
      <c r="BA37" s="183">
        <v>84350000</v>
      </c>
      <c r="BB37" s="185">
        <v>3.3E-3</v>
      </c>
      <c r="BC37" s="183">
        <f t="shared" si="15"/>
        <v>773.20833333333337</v>
      </c>
      <c r="BD37" s="183">
        <v>48275000</v>
      </c>
      <c r="BE37" s="185">
        <v>3.0000000000000001E-3</v>
      </c>
      <c r="BF37" s="183">
        <f t="shared" si="16"/>
        <v>402.29166666666669</v>
      </c>
      <c r="BG37" s="183">
        <v>85000000</v>
      </c>
      <c r="BH37" s="185">
        <v>3.8999999999999998E-3</v>
      </c>
      <c r="BI37" s="183">
        <f t="shared" si="17"/>
        <v>920.83333333333337</v>
      </c>
      <c r="BJ37" s="183">
        <v>69550000</v>
      </c>
      <c r="BK37" s="185">
        <v>4.4999999999999997E-3</v>
      </c>
      <c r="BL37" s="183">
        <f t="shared" si="18"/>
        <v>869.375</v>
      </c>
      <c r="BO37" s="183">
        <f t="shared" si="19"/>
        <v>0</v>
      </c>
      <c r="BR37" s="183">
        <f t="shared" si="20"/>
        <v>0</v>
      </c>
      <c r="BU37" s="183">
        <f t="shared" si="21"/>
        <v>0</v>
      </c>
      <c r="BX37" s="183">
        <f t="shared" si="22"/>
        <v>0</v>
      </c>
      <c r="CA37" s="183">
        <f t="shared" si="23"/>
        <v>0</v>
      </c>
      <c r="CD37" s="183">
        <f t="shared" si="24"/>
        <v>0</v>
      </c>
      <c r="CG37" s="183">
        <f t="shared" si="25"/>
        <v>0</v>
      </c>
      <c r="CJ37" s="183">
        <f t="shared" si="26"/>
        <v>0</v>
      </c>
      <c r="CM37" s="183">
        <f t="shared" si="27"/>
        <v>0</v>
      </c>
      <c r="CP37" s="183">
        <f t="shared" si="28"/>
        <v>0</v>
      </c>
      <c r="CS37" s="183">
        <f t="shared" si="29"/>
        <v>0</v>
      </c>
      <c r="CV37" s="183">
        <f t="shared" si="30"/>
        <v>0</v>
      </c>
      <c r="CY37" s="183">
        <f t="shared" si="31"/>
        <v>0</v>
      </c>
      <c r="DB37" s="183">
        <f t="shared" si="32"/>
        <v>0</v>
      </c>
      <c r="DE37" s="183">
        <f t="shared" si="33"/>
        <v>0</v>
      </c>
      <c r="DH37" s="183">
        <f t="shared" si="34"/>
        <v>0</v>
      </c>
      <c r="DK37" s="183">
        <f t="shared" si="35"/>
        <v>0</v>
      </c>
      <c r="DN37" s="183">
        <f t="shared" si="36"/>
        <v>0</v>
      </c>
      <c r="DQ37" s="183">
        <f t="shared" si="37"/>
        <v>0</v>
      </c>
      <c r="DT37" s="183">
        <f t="shared" si="38"/>
        <v>0</v>
      </c>
      <c r="DW37" s="183">
        <f t="shared" si="39"/>
        <v>0</v>
      </c>
      <c r="DZ37" s="183"/>
      <c r="EA37" s="183"/>
      <c r="EB37" s="214">
        <f t="shared" si="40"/>
        <v>427200000</v>
      </c>
      <c r="EC37" s="214">
        <f t="shared" si="41"/>
        <v>0</v>
      </c>
      <c r="ED37" s="183">
        <f t="shared" si="42"/>
        <v>4242.2569444444443</v>
      </c>
      <c r="EE37" s="185">
        <f t="shared" si="43"/>
        <v>3.5749356273408243E-3</v>
      </c>
      <c r="EG37" s="214">
        <f t="shared" si="44"/>
        <v>0</v>
      </c>
      <c r="EH37" s="183">
        <f t="shared" si="45"/>
        <v>0</v>
      </c>
      <c r="EI37" s="185">
        <f t="shared" si="46"/>
        <v>0</v>
      </c>
      <c r="EJ37" s="185"/>
      <c r="EK37" s="214">
        <f t="shared" si="47"/>
        <v>427200000</v>
      </c>
      <c r="EL37" s="214">
        <f t="shared" si="48"/>
        <v>0</v>
      </c>
      <c r="EM37" s="214">
        <f t="shared" si="49"/>
        <v>4242.2569444444443</v>
      </c>
      <c r="EN37" s="185">
        <f t="shared" si="50"/>
        <v>3.5749356273408243E-3</v>
      </c>
      <c r="EP37" s="183"/>
    </row>
    <row r="38" spans="1:146" x14ac:dyDescent="0.2">
      <c r="A38" s="211">
        <f t="shared" si="51"/>
        <v>44620</v>
      </c>
      <c r="B38" s="183">
        <v>0</v>
      </c>
      <c r="C38" s="185">
        <v>3.3051700000000001E-3</v>
      </c>
      <c r="D38" s="183">
        <f t="shared" si="0"/>
        <v>0</v>
      </c>
      <c r="G38" s="183">
        <f t="shared" si="1"/>
        <v>0</v>
      </c>
      <c r="J38" s="183">
        <f t="shared" si="2"/>
        <v>0</v>
      </c>
      <c r="M38" s="183">
        <f t="shared" si="3"/>
        <v>0</v>
      </c>
      <c r="P38" s="183">
        <f t="shared" si="4"/>
        <v>0</v>
      </c>
      <c r="S38" s="183">
        <f t="shared" si="5"/>
        <v>0</v>
      </c>
      <c r="V38" s="183">
        <f t="shared" si="6"/>
        <v>0</v>
      </c>
      <c r="Y38" s="183">
        <f t="shared" si="7"/>
        <v>0</v>
      </c>
      <c r="AB38" s="183">
        <f t="shared" si="8"/>
        <v>0</v>
      </c>
      <c r="AE38" s="183">
        <v>0</v>
      </c>
      <c r="AH38" s="183">
        <v>0</v>
      </c>
      <c r="AI38" s="212">
        <v>41875000</v>
      </c>
      <c r="AJ38" s="213">
        <v>2.3E-3</v>
      </c>
      <c r="AK38" s="183">
        <f t="shared" si="9"/>
        <v>267.53472222222223</v>
      </c>
      <c r="AL38" s="212">
        <v>75000000</v>
      </c>
      <c r="AM38" s="213">
        <v>4.0000000000000001E-3</v>
      </c>
      <c r="AN38" s="183">
        <f t="shared" si="10"/>
        <v>833.33333333333337</v>
      </c>
      <c r="AO38" s="212"/>
      <c r="AP38" s="213"/>
      <c r="AQ38" s="183">
        <f t="shared" si="11"/>
        <v>0</v>
      </c>
      <c r="AR38" s="212"/>
      <c r="AS38" s="213"/>
      <c r="AT38" s="183">
        <f t="shared" si="12"/>
        <v>0</v>
      </c>
      <c r="AU38" s="183">
        <v>25000000</v>
      </c>
      <c r="AV38" s="185">
        <v>2.7000000000000001E-3</v>
      </c>
      <c r="AW38" s="183">
        <f t="shared" si="13"/>
        <v>187.5</v>
      </c>
      <c r="AZ38" s="183">
        <f t="shared" si="14"/>
        <v>0</v>
      </c>
      <c r="BA38" s="183">
        <v>84350000</v>
      </c>
      <c r="BB38" s="185">
        <v>3.3E-3</v>
      </c>
      <c r="BC38" s="183">
        <f t="shared" si="15"/>
        <v>773.20833333333337</v>
      </c>
      <c r="BD38" s="183">
        <v>48275000</v>
      </c>
      <c r="BE38" s="185">
        <v>3.0000000000000001E-3</v>
      </c>
      <c r="BF38" s="183">
        <f t="shared" si="16"/>
        <v>402.29166666666669</v>
      </c>
      <c r="BG38" s="183">
        <v>85000000</v>
      </c>
      <c r="BH38" s="185">
        <v>3.8999999999999998E-3</v>
      </c>
      <c r="BI38" s="183">
        <f t="shared" si="17"/>
        <v>920.83333333333337</v>
      </c>
      <c r="BJ38" s="183">
        <v>69550000</v>
      </c>
      <c r="BK38" s="185">
        <v>4.4999999999999997E-3</v>
      </c>
      <c r="BL38" s="183">
        <f t="shared" si="18"/>
        <v>869.375</v>
      </c>
      <c r="BO38" s="183">
        <f t="shared" si="19"/>
        <v>0</v>
      </c>
      <c r="BR38" s="183">
        <f t="shared" si="20"/>
        <v>0</v>
      </c>
      <c r="BU38" s="183">
        <f t="shared" si="21"/>
        <v>0</v>
      </c>
      <c r="BX38" s="183">
        <f t="shared" si="22"/>
        <v>0</v>
      </c>
      <c r="CA38" s="183">
        <f t="shared" si="23"/>
        <v>0</v>
      </c>
      <c r="CD38" s="183">
        <f t="shared" si="24"/>
        <v>0</v>
      </c>
      <c r="CG38" s="183">
        <f t="shared" si="25"/>
        <v>0</v>
      </c>
      <c r="CJ38" s="183">
        <f t="shared" si="26"/>
        <v>0</v>
      </c>
      <c r="CM38" s="183">
        <f t="shared" si="27"/>
        <v>0</v>
      </c>
      <c r="CP38" s="183">
        <f t="shared" si="28"/>
        <v>0</v>
      </c>
      <c r="CS38" s="183">
        <f t="shared" si="29"/>
        <v>0</v>
      </c>
      <c r="CV38" s="183">
        <f t="shared" si="30"/>
        <v>0</v>
      </c>
      <c r="CY38" s="183">
        <f t="shared" si="31"/>
        <v>0</v>
      </c>
      <c r="DB38" s="183">
        <f t="shared" si="32"/>
        <v>0</v>
      </c>
      <c r="DE38" s="183">
        <f t="shared" si="33"/>
        <v>0</v>
      </c>
      <c r="DH38" s="183">
        <f t="shared" si="34"/>
        <v>0</v>
      </c>
      <c r="DK38" s="183">
        <f t="shared" si="35"/>
        <v>0</v>
      </c>
      <c r="DN38" s="183">
        <f t="shared" si="36"/>
        <v>0</v>
      </c>
      <c r="DQ38" s="183">
        <f t="shared" si="37"/>
        <v>0</v>
      </c>
      <c r="DT38" s="183">
        <f t="shared" si="38"/>
        <v>0</v>
      </c>
      <c r="DW38" s="183">
        <f t="shared" si="39"/>
        <v>0</v>
      </c>
      <c r="DZ38" s="183"/>
      <c r="EA38" s="183"/>
      <c r="EB38" s="214">
        <f t="shared" si="40"/>
        <v>429050000</v>
      </c>
      <c r="EC38" s="214">
        <f t="shared" si="41"/>
        <v>0</v>
      </c>
      <c r="ED38" s="183">
        <f t="shared" si="42"/>
        <v>4254.0763888888887</v>
      </c>
      <c r="EE38" s="185">
        <f t="shared" si="43"/>
        <v>3.5694382939051388E-3</v>
      </c>
      <c r="EG38" s="214">
        <f t="shared" si="44"/>
        <v>0</v>
      </c>
      <c r="EH38" s="183">
        <f t="shared" si="45"/>
        <v>0</v>
      </c>
      <c r="EI38" s="185">
        <f t="shared" si="46"/>
        <v>0</v>
      </c>
      <c r="EJ38" s="185"/>
      <c r="EK38" s="214">
        <f t="shared" si="47"/>
        <v>429050000</v>
      </c>
      <c r="EL38" s="214">
        <f t="shared" si="48"/>
        <v>0</v>
      </c>
      <c r="EM38" s="214">
        <f t="shared" si="49"/>
        <v>4254.0763888888896</v>
      </c>
      <c r="EN38" s="185">
        <f t="shared" si="50"/>
        <v>3.5694382939051401E-3</v>
      </c>
      <c r="EP38" s="183"/>
    </row>
    <row r="39" spans="1:146" x14ac:dyDescent="0.2">
      <c r="A39" s="215" t="s">
        <v>75</v>
      </c>
      <c r="D39" s="216">
        <f>SUM(D11:D38)</f>
        <v>0</v>
      </c>
      <c r="G39" s="216">
        <f>SUM(G11:G38)</f>
        <v>0</v>
      </c>
      <c r="J39" s="216">
        <f>SUM(J11:J38)</f>
        <v>0</v>
      </c>
      <c r="M39" s="216">
        <f>SUM(M11:M38)</f>
        <v>0</v>
      </c>
      <c r="P39" s="216">
        <f>SUM(P11:P38)</f>
        <v>0</v>
      </c>
      <c r="S39" s="216">
        <f>SUM(S11:S38)</f>
        <v>0</v>
      </c>
      <c r="V39" s="216">
        <f>SUM(V11:V38)</f>
        <v>0</v>
      </c>
      <c r="Y39" s="216">
        <f>SUM(Y11:Y38)</f>
        <v>0</v>
      </c>
      <c r="AB39" s="216">
        <f>SUM(AB11:AB38)</f>
        <v>0</v>
      </c>
      <c r="AE39" s="216">
        <f>SUM(AE11:AE38)</f>
        <v>0</v>
      </c>
      <c r="AH39" s="216">
        <f>SUM(AH11:AH38)</f>
        <v>0</v>
      </c>
      <c r="AK39" s="216">
        <f>SUM(AK11:AK38)</f>
        <v>6354.3888888888878</v>
      </c>
      <c r="AN39" s="216">
        <f>SUM(AN11:AN38)</f>
        <v>9789.0624999999982</v>
      </c>
      <c r="AQ39" s="216">
        <f>SUM(AQ11:AQ38)</f>
        <v>5913.4166666666661</v>
      </c>
      <c r="AT39" s="216">
        <f>SUM(AT11:AT38)</f>
        <v>10937.500000000002</v>
      </c>
      <c r="AW39" s="216">
        <f>SUM(AW11:AW38)</f>
        <v>5250</v>
      </c>
      <c r="AZ39" s="216">
        <f>SUM(AZ11:AZ38)</f>
        <v>7529.6666666666679</v>
      </c>
      <c r="BC39" s="216">
        <f>SUM(BC11:BC38)</f>
        <v>19880.208333333332</v>
      </c>
      <c r="BF39" s="216">
        <f>SUM(BF11:BF38)</f>
        <v>8448.1250000000018</v>
      </c>
      <c r="BI39" s="216">
        <f>SUM(BI11:BI38)</f>
        <v>13812.500000000004</v>
      </c>
      <c r="BL39" s="216">
        <f>SUM(BL11:BL38)</f>
        <v>9563.125</v>
      </c>
      <c r="BO39" s="216">
        <f>SUM(BO11:BO38)</f>
        <v>0</v>
      </c>
      <c r="BR39" s="216">
        <f>SUM(BR11:BR38)</f>
        <v>0</v>
      </c>
      <c r="BU39" s="216">
        <f>SUM(BU11:BU38)</f>
        <v>0</v>
      </c>
      <c r="BX39" s="216">
        <f>SUM(BX11:BX38)</f>
        <v>0</v>
      </c>
      <c r="CA39" s="216">
        <f>SUM(CA11:CA38)</f>
        <v>0</v>
      </c>
      <c r="CD39" s="216">
        <f>SUM(CD11:CD38)</f>
        <v>0</v>
      </c>
      <c r="CG39" s="216">
        <f>SUM(CG11:CG38)</f>
        <v>0</v>
      </c>
      <c r="CJ39" s="216">
        <f>SUM(CJ11:CJ38)</f>
        <v>0</v>
      </c>
      <c r="CM39" s="216">
        <f>SUM(CM11:CM38)</f>
        <v>0</v>
      </c>
      <c r="CP39" s="216">
        <f>SUM(CP11:CP38)</f>
        <v>0</v>
      </c>
      <c r="CS39" s="216">
        <f>SUM(CS11:CS38)</f>
        <v>0</v>
      </c>
      <c r="CV39" s="216">
        <f>SUM(CV11:CV38)</f>
        <v>0</v>
      </c>
      <c r="CY39" s="216">
        <f>SUM(CY11:CY38)</f>
        <v>0</v>
      </c>
      <c r="DB39" s="216">
        <f>SUM(DB11:DB38)</f>
        <v>0</v>
      </c>
      <c r="DE39" s="216">
        <f>SUM(DE11:DE38)</f>
        <v>0</v>
      </c>
      <c r="DH39" s="216">
        <f>SUM(DH11:DH38)</f>
        <v>0</v>
      </c>
      <c r="DK39" s="216">
        <f>SUM(DK11:DK38)</f>
        <v>0</v>
      </c>
      <c r="DN39" s="216">
        <f>SUM(DN11:DN38)</f>
        <v>0</v>
      </c>
      <c r="DQ39" s="216">
        <f>SUM(DQ11:DQ38)</f>
        <v>0</v>
      </c>
      <c r="DT39" s="216">
        <f>SUM(DT11:DT38)</f>
        <v>0</v>
      </c>
      <c r="DW39" s="216">
        <f>SUM(DW11:DW38)</f>
        <v>0</v>
      </c>
      <c r="DZ39" s="183"/>
      <c r="EA39" s="183"/>
      <c r="EB39" s="183"/>
      <c r="EC39" s="183"/>
      <c r="ED39" s="216">
        <f>SUM(ED11:ED38)</f>
        <v>97477.993055555518</v>
      </c>
      <c r="EE39" s="185"/>
      <c r="EG39" s="183"/>
      <c r="EH39" s="216">
        <f>SUM(EH11:EH38)</f>
        <v>0</v>
      </c>
      <c r="EI39" s="185"/>
      <c r="EJ39" s="185"/>
      <c r="EK39" s="183"/>
      <c r="EL39" s="183"/>
      <c r="EM39" s="216">
        <f>SUM(EM11:EM38)</f>
        <v>97477.993055555533</v>
      </c>
      <c r="EN39" s="185"/>
    </row>
    <row r="41" spans="1:146" x14ac:dyDescent="0.2">
      <c r="EM41" s="217"/>
    </row>
    <row r="43" spans="1:146" x14ac:dyDescent="0.2">
      <c r="EM43" s="183"/>
    </row>
    <row r="45" spans="1:146" x14ac:dyDescent="0.2">
      <c r="EM45" s="18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7"/>
  <dimension ref="A1:EQ48"/>
  <sheetViews>
    <sheetView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ColWidth="8.7109375" defaultRowHeight="12.75" x14ac:dyDescent="0.2"/>
  <cols>
    <col min="1" max="1" width="14.5703125" style="182" bestFit="1" customWidth="1"/>
    <col min="2" max="2" width="15.5703125" style="183" bestFit="1" customWidth="1"/>
    <col min="3" max="3" width="15.42578125" style="185" bestFit="1" customWidth="1"/>
    <col min="4" max="4" width="15.42578125" style="182" bestFit="1" customWidth="1"/>
    <col min="5" max="5" width="15.5703125" style="183" bestFit="1" customWidth="1"/>
    <col min="6" max="6" width="12.28515625" style="185" bestFit="1" customWidth="1"/>
    <col min="7" max="7" width="15.42578125" style="182" bestFit="1" customWidth="1"/>
    <col min="8" max="8" width="15.42578125" style="183" hidden="1" customWidth="1"/>
    <col min="9" max="9" width="10.28515625" style="185" hidden="1" customWidth="1"/>
    <col min="10" max="10" width="13.42578125" style="182" hidden="1" customWidth="1"/>
    <col min="11" max="11" width="14.42578125" style="183" hidden="1" customWidth="1"/>
    <col min="12" max="12" width="10.28515625" style="185" hidden="1" customWidth="1"/>
    <col min="13" max="13" width="11.7109375" style="182" hidden="1" customWidth="1"/>
    <col min="14" max="14" width="14.42578125" style="183" hidden="1" customWidth="1"/>
    <col min="15" max="15" width="10.28515625" style="185" hidden="1" customWidth="1"/>
    <col min="16" max="16" width="11.7109375" style="182" hidden="1" customWidth="1"/>
    <col min="17" max="17" width="15.42578125" style="183" hidden="1" customWidth="1"/>
    <col min="18" max="18" width="10.28515625" style="185" hidden="1" customWidth="1"/>
    <col min="19" max="19" width="11.7109375" style="182" hidden="1" customWidth="1"/>
    <col min="20" max="20" width="15.42578125" style="183" hidden="1" customWidth="1"/>
    <col min="21" max="21" width="10.28515625" style="185" hidden="1" customWidth="1"/>
    <col min="22" max="22" width="11.7109375" style="182" hidden="1" customWidth="1"/>
    <col min="23" max="23" width="15.42578125" style="183" hidden="1" customWidth="1"/>
    <col min="24" max="24" width="10.28515625" style="185" hidden="1" customWidth="1"/>
    <col min="25" max="25" width="11.7109375" style="182" hidden="1" customWidth="1"/>
    <col min="26" max="26" width="15.42578125" style="183" hidden="1" customWidth="1"/>
    <col min="27" max="27" width="10.28515625" style="185" hidden="1" customWidth="1"/>
    <col min="28" max="28" width="11.7109375" style="182" hidden="1" customWidth="1"/>
    <col min="29" max="29" width="15.42578125" style="183" hidden="1" customWidth="1"/>
    <col min="30" max="30" width="10.28515625" style="185" hidden="1" customWidth="1"/>
    <col min="31" max="31" width="11.7109375" style="182" hidden="1" customWidth="1"/>
    <col min="32" max="32" width="14.42578125" style="183" hidden="1" customWidth="1"/>
    <col min="33" max="33" width="10.28515625" style="185" hidden="1" customWidth="1"/>
    <col min="34" max="34" width="10.7109375" style="182" hidden="1" customWidth="1"/>
    <col min="35" max="35" width="14.42578125" style="183" customWidth="1"/>
    <col min="36" max="36" width="10.28515625" style="185" customWidth="1"/>
    <col min="37" max="37" width="11.7109375" style="182" bestFit="1" customWidth="1"/>
    <col min="38" max="38" width="14.42578125" style="183" customWidth="1"/>
    <col min="39" max="39" width="10.28515625" style="185" customWidth="1"/>
    <col min="40" max="40" width="10.7109375" style="182" customWidth="1"/>
    <col min="41" max="41" width="15.42578125" style="183" bestFit="1" customWidth="1"/>
    <col min="42" max="42" width="12.28515625" style="185" bestFit="1" customWidth="1"/>
    <col min="43" max="43" width="11.7109375" style="182" bestFit="1" customWidth="1"/>
    <col min="44" max="44" width="15.42578125" style="183" bestFit="1" customWidth="1"/>
    <col min="45" max="45" width="10.28515625" style="185" bestFit="1" customWidth="1"/>
    <col min="46" max="46" width="11.7109375" style="182" bestFit="1" customWidth="1"/>
    <col min="47" max="47" width="14.42578125" style="183" customWidth="1"/>
    <col min="48" max="48" width="10.28515625" style="185" customWidth="1"/>
    <col min="49" max="49" width="10.7109375" style="182" customWidth="1"/>
    <col min="50" max="50" width="14.42578125" style="183" customWidth="1"/>
    <col min="51" max="51" width="10.28515625" style="185" customWidth="1"/>
    <col min="52" max="52" width="10.7109375" style="182" customWidth="1"/>
    <col min="53" max="53" width="14.42578125" style="183" customWidth="1"/>
    <col min="54" max="54" width="10.28515625" style="185" customWidth="1"/>
    <col min="55" max="55" width="10.7109375" style="182" customWidth="1"/>
    <col min="56" max="56" width="16.28515625" style="183" customWidth="1"/>
    <col min="57" max="57" width="10.28515625" style="185" customWidth="1"/>
    <col min="58" max="58" width="11.7109375" style="182" bestFit="1" customWidth="1"/>
    <col min="59" max="59" width="15.85546875" style="183" customWidth="1"/>
    <col min="60" max="60" width="10.28515625" style="185" customWidth="1"/>
    <col min="61" max="61" width="10.7109375" style="182" customWidth="1"/>
    <col min="62" max="62" width="16" style="183" customWidth="1"/>
    <col min="63" max="63" width="10.28515625" style="185" customWidth="1"/>
    <col min="64" max="64" width="10.7109375" style="182" customWidth="1"/>
    <col min="65" max="65" width="14.42578125" style="183" hidden="1" customWidth="1"/>
    <col min="66" max="66" width="10.28515625" style="185" hidden="1" customWidth="1"/>
    <col min="67" max="67" width="10.7109375" style="182" hidden="1" customWidth="1"/>
    <col min="68" max="68" width="14.42578125" style="183" hidden="1" customWidth="1"/>
    <col min="69" max="69" width="10.28515625" style="185" hidden="1" customWidth="1"/>
    <col min="70" max="70" width="10.7109375" style="182" hidden="1" customWidth="1"/>
    <col min="71" max="71" width="14.42578125" style="183" hidden="1" customWidth="1"/>
    <col min="72" max="72" width="10.28515625" style="185" hidden="1" customWidth="1"/>
    <col min="73" max="73" width="10.7109375" style="182" hidden="1" customWidth="1"/>
    <col min="74" max="74" width="14.42578125" style="183" hidden="1" customWidth="1"/>
    <col min="75" max="75" width="10.28515625" style="185" hidden="1" customWidth="1"/>
    <col min="76" max="76" width="10.7109375" style="182" hidden="1" customWidth="1"/>
    <col min="77" max="77" width="14.42578125" style="183" hidden="1" customWidth="1"/>
    <col min="78" max="78" width="10.28515625" style="185" hidden="1" customWidth="1"/>
    <col min="79" max="79" width="10.7109375" style="182" hidden="1" customWidth="1"/>
    <col min="80" max="80" width="14.42578125" style="183" hidden="1" customWidth="1"/>
    <col min="81" max="81" width="10.28515625" style="185" hidden="1" customWidth="1"/>
    <col min="82" max="82" width="10.7109375" style="182" hidden="1" customWidth="1"/>
    <col min="83" max="83" width="14.42578125" style="183" hidden="1" customWidth="1"/>
    <col min="84" max="84" width="10.28515625" style="185" hidden="1" customWidth="1"/>
    <col min="85" max="85" width="10.7109375" style="182" hidden="1" customWidth="1"/>
    <col min="86" max="86" width="14.42578125" style="183" hidden="1" customWidth="1"/>
    <col min="87" max="87" width="10.28515625" style="185" hidden="1" customWidth="1"/>
    <col min="88" max="88" width="10.7109375" style="182" hidden="1" customWidth="1"/>
    <col min="89" max="89" width="14.42578125" style="183" hidden="1" customWidth="1"/>
    <col min="90" max="90" width="10.28515625" style="185" hidden="1" customWidth="1"/>
    <col min="91" max="91" width="10.7109375" style="182" hidden="1" customWidth="1"/>
    <col min="92" max="92" width="14.42578125" style="183" hidden="1" customWidth="1"/>
    <col min="93" max="93" width="10.28515625" style="185" hidden="1" customWidth="1"/>
    <col min="94" max="94" width="10.7109375" style="182" hidden="1" customWidth="1"/>
    <col min="95" max="95" width="14.42578125" style="183" hidden="1" customWidth="1"/>
    <col min="96" max="96" width="10.28515625" style="185" hidden="1" customWidth="1"/>
    <col min="97" max="97" width="10.7109375" style="182" hidden="1" customWidth="1"/>
    <col min="98" max="98" width="14.42578125" style="183" hidden="1" customWidth="1"/>
    <col min="99" max="99" width="10.28515625" style="185" hidden="1" customWidth="1"/>
    <col min="100" max="100" width="10.7109375" style="182" hidden="1" customWidth="1"/>
    <col min="101" max="101" width="14.42578125" style="183" hidden="1" customWidth="1"/>
    <col min="102" max="102" width="10.28515625" style="185" hidden="1" customWidth="1"/>
    <col min="103" max="103" width="10.7109375" style="182" hidden="1" customWidth="1"/>
    <col min="104" max="104" width="14.42578125" style="183" hidden="1" customWidth="1"/>
    <col min="105" max="105" width="10.28515625" style="185" hidden="1" customWidth="1"/>
    <col min="106" max="106" width="10.7109375" style="182" hidden="1" customWidth="1"/>
    <col min="107" max="107" width="14.42578125" style="183" hidden="1" customWidth="1"/>
    <col min="108" max="108" width="10.28515625" style="185" hidden="1" customWidth="1"/>
    <col min="109" max="109" width="10.7109375" style="182" hidden="1" customWidth="1"/>
    <col min="110" max="110" width="14.42578125" style="183" hidden="1" customWidth="1"/>
    <col min="111" max="111" width="10.28515625" style="185" hidden="1" customWidth="1"/>
    <col min="112" max="112" width="10.7109375" style="182" hidden="1" customWidth="1"/>
    <col min="113" max="113" width="14.42578125" style="183" hidden="1" customWidth="1"/>
    <col min="114" max="114" width="10.28515625" style="185" hidden="1" customWidth="1"/>
    <col min="115" max="115" width="10.7109375" style="182" hidden="1" customWidth="1"/>
    <col min="116" max="116" width="14.42578125" style="183" hidden="1" customWidth="1"/>
    <col min="117" max="117" width="10.28515625" style="185" hidden="1" customWidth="1"/>
    <col min="118" max="118" width="10.7109375" style="182" hidden="1" customWidth="1"/>
    <col min="119" max="119" width="14.42578125" style="183" hidden="1" customWidth="1"/>
    <col min="120" max="120" width="10.28515625" style="185" hidden="1" customWidth="1"/>
    <col min="121" max="121" width="10.7109375" style="182" hidden="1" customWidth="1"/>
    <col min="122" max="122" width="14.42578125" style="183" hidden="1" customWidth="1"/>
    <col min="123" max="123" width="10.28515625" style="185" hidden="1" customWidth="1"/>
    <col min="124" max="124" width="10.7109375" style="182" hidden="1" customWidth="1"/>
    <col min="125" max="125" width="14.42578125" style="183" hidden="1" customWidth="1"/>
    <col min="126" max="126" width="10.28515625" style="185" hidden="1" customWidth="1"/>
    <col min="127" max="127" width="10.7109375" style="182" hidden="1" customWidth="1"/>
    <col min="128" max="128" width="14.42578125" style="183" hidden="1" customWidth="1"/>
    <col min="129" max="129" width="10.28515625" style="185" hidden="1" customWidth="1"/>
    <col min="130" max="130" width="10.7109375" style="182" hidden="1" customWidth="1"/>
    <col min="131" max="131" width="2.7109375" style="182" customWidth="1"/>
    <col min="132" max="132" width="15.42578125" style="182" bestFit="1" customWidth="1"/>
    <col min="133" max="133" width="15.42578125" style="182" hidden="1" customWidth="1"/>
    <col min="134" max="134" width="14.42578125" style="182" bestFit="1" customWidth="1"/>
    <col min="135" max="135" width="17.7109375" style="182" bestFit="1" customWidth="1"/>
    <col min="136" max="136" width="2.7109375" style="182" customWidth="1"/>
    <col min="137" max="137" width="15.42578125" style="182" hidden="1" customWidth="1"/>
    <col min="138" max="138" width="14.42578125" style="182" hidden="1" customWidth="1"/>
    <col min="139" max="139" width="12.42578125" style="182" hidden="1" customWidth="1"/>
    <col min="140" max="140" width="2.7109375" style="182" hidden="1" customWidth="1"/>
    <col min="141" max="141" width="15.42578125" style="182" bestFit="1" customWidth="1"/>
    <col min="142" max="142" width="15.42578125" style="182" hidden="1" customWidth="1"/>
    <col min="143" max="143" width="14.42578125" style="182" bestFit="1" customWidth="1"/>
    <col min="144" max="144" width="15.42578125" style="182" bestFit="1" customWidth="1"/>
    <col min="145" max="145" width="42.85546875" style="182" bestFit="1" customWidth="1"/>
    <col min="146" max="146" width="15.28515625" style="182" bestFit="1" customWidth="1"/>
    <col min="147" max="147" width="23.140625" style="182" bestFit="1" customWidth="1"/>
    <col min="148" max="16384" width="8.7109375" style="182"/>
  </cols>
  <sheetData>
    <row r="1" spans="1:147" s="177" customFormat="1" ht="15.75" x14ac:dyDescent="0.25">
      <c r="A1" s="174" t="s">
        <v>0</v>
      </c>
      <c r="B1" s="175"/>
      <c r="C1" s="176"/>
      <c r="E1" s="175"/>
      <c r="F1" s="176"/>
      <c r="H1" s="175"/>
      <c r="I1" s="176"/>
      <c r="K1" s="175"/>
      <c r="L1" s="176"/>
      <c r="N1" s="175"/>
      <c r="O1" s="176"/>
      <c r="Q1" s="175"/>
      <c r="R1" s="176"/>
      <c r="T1" s="175"/>
      <c r="U1" s="176"/>
      <c r="W1" s="175"/>
      <c r="X1" s="176"/>
      <c r="Z1" s="175"/>
      <c r="AA1" s="176"/>
      <c r="AC1" s="175"/>
      <c r="AD1" s="176"/>
      <c r="AF1" s="175"/>
      <c r="AG1" s="176"/>
      <c r="AI1" s="175"/>
      <c r="AJ1" s="176"/>
      <c r="AL1" s="175"/>
      <c r="AM1" s="176"/>
      <c r="AO1" s="175"/>
      <c r="AP1" s="176"/>
      <c r="AR1" s="175"/>
      <c r="AS1" s="176"/>
      <c r="AU1" s="175"/>
      <c r="AV1" s="176"/>
      <c r="AX1" s="175"/>
      <c r="AY1" s="176"/>
      <c r="BA1" s="175"/>
      <c r="BB1" s="176"/>
      <c r="BD1" s="175"/>
      <c r="BE1" s="176"/>
      <c r="BG1" s="175"/>
      <c r="BH1" s="176"/>
      <c r="BJ1" s="175"/>
      <c r="BK1" s="176"/>
      <c r="BM1" s="175"/>
      <c r="BN1" s="176"/>
      <c r="BP1" s="175"/>
      <c r="BQ1" s="176"/>
      <c r="BS1" s="175"/>
      <c r="BT1" s="176"/>
      <c r="BV1" s="175"/>
      <c r="BW1" s="176"/>
      <c r="BY1" s="175"/>
      <c r="BZ1" s="176"/>
      <c r="CB1" s="175"/>
      <c r="CC1" s="176"/>
      <c r="CE1" s="175"/>
      <c r="CF1" s="176"/>
      <c r="CH1" s="175"/>
      <c r="CI1" s="176"/>
      <c r="CK1" s="175"/>
      <c r="CL1" s="176"/>
      <c r="CN1" s="175"/>
      <c r="CO1" s="176"/>
      <c r="CQ1" s="175"/>
      <c r="CR1" s="176"/>
      <c r="CT1" s="175"/>
      <c r="CU1" s="176"/>
      <c r="CW1" s="175"/>
      <c r="CX1" s="176"/>
      <c r="CZ1" s="175"/>
      <c r="DA1" s="176"/>
      <c r="DC1" s="175"/>
      <c r="DD1" s="176"/>
      <c r="DF1" s="175"/>
      <c r="DG1" s="176"/>
      <c r="DI1" s="175"/>
      <c r="DJ1" s="176"/>
      <c r="DL1" s="175"/>
      <c r="DM1" s="176"/>
      <c r="DO1" s="175"/>
      <c r="DP1" s="176"/>
      <c r="DR1" s="175"/>
      <c r="DS1" s="176"/>
      <c r="DU1" s="175"/>
      <c r="DV1" s="176"/>
      <c r="DX1" s="175"/>
      <c r="DY1" s="176"/>
      <c r="DZ1" s="178"/>
      <c r="ED1" s="179"/>
      <c r="EE1" s="180" t="s">
        <v>91</v>
      </c>
      <c r="EI1" s="179" t="s">
        <v>92</v>
      </c>
      <c r="EM1" s="179"/>
      <c r="EN1" s="179" t="s">
        <v>93</v>
      </c>
      <c r="EO1" s="174" t="s">
        <v>94</v>
      </c>
      <c r="EP1" s="174" t="s">
        <v>95</v>
      </c>
      <c r="EQ1" s="174" t="s">
        <v>96</v>
      </c>
    </row>
    <row r="2" spans="1:147" s="177" customFormat="1" ht="16.5" thickBot="1" x14ac:dyDescent="0.3">
      <c r="A2" s="174" t="s">
        <v>97</v>
      </c>
      <c r="B2" s="175"/>
      <c r="C2" s="176"/>
      <c r="E2" s="181"/>
      <c r="F2" s="176"/>
      <c r="G2" s="179"/>
      <c r="H2" s="175"/>
      <c r="I2" s="176"/>
      <c r="K2" s="175"/>
      <c r="L2" s="176"/>
      <c r="N2" s="175"/>
      <c r="O2" s="176"/>
      <c r="Q2" s="175"/>
      <c r="R2" s="176"/>
      <c r="T2" s="175"/>
      <c r="U2" s="176"/>
      <c r="W2" s="175"/>
      <c r="X2" s="176"/>
      <c r="Z2" s="175"/>
      <c r="AA2" s="176"/>
      <c r="AC2" s="175"/>
      <c r="AD2" s="176"/>
      <c r="AF2" s="175"/>
      <c r="AG2" s="176"/>
      <c r="AI2" s="175"/>
      <c r="AJ2" s="176"/>
      <c r="AL2" s="175"/>
      <c r="AM2" s="176"/>
      <c r="AO2" s="175"/>
      <c r="AP2" s="176"/>
      <c r="AR2" s="175"/>
      <c r="AS2" s="176"/>
      <c r="AU2" s="175"/>
      <c r="AV2" s="176"/>
      <c r="AX2" s="175"/>
      <c r="AY2" s="176"/>
      <c r="BA2" s="175"/>
      <c r="BB2" s="176"/>
      <c r="BD2" s="175"/>
      <c r="BE2" s="176"/>
      <c r="BG2" s="175"/>
      <c r="BH2" s="176"/>
      <c r="BJ2" s="175"/>
      <c r="BK2" s="176"/>
      <c r="BM2" s="175"/>
      <c r="BN2" s="176"/>
      <c r="BP2" s="175"/>
      <c r="BQ2" s="176"/>
      <c r="BS2" s="175"/>
      <c r="BT2" s="176"/>
      <c r="BV2" s="175"/>
      <c r="BW2" s="176"/>
      <c r="BY2" s="175"/>
      <c r="BZ2" s="176"/>
      <c r="CB2" s="175"/>
      <c r="CC2" s="176"/>
      <c r="CE2" s="175"/>
      <c r="CF2" s="176"/>
      <c r="CH2" s="175"/>
      <c r="CI2" s="176"/>
      <c r="CK2" s="175"/>
      <c r="CL2" s="176"/>
      <c r="CN2" s="175"/>
      <c r="CO2" s="176"/>
      <c r="CQ2" s="175"/>
      <c r="CR2" s="176"/>
      <c r="CT2" s="175"/>
      <c r="CU2" s="176"/>
      <c r="CW2" s="175"/>
      <c r="CX2" s="176"/>
      <c r="CZ2" s="175"/>
      <c r="DA2" s="176"/>
      <c r="DC2" s="175"/>
      <c r="DD2" s="176"/>
      <c r="DF2" s="175"/>
      <c r="DG2" s="176"/>
      <c r="DI2" s="175"/>
      <c r="DJ2" s="176"/>
      <c r="DL2" s="175"/>
      <c r="DM2" s="176"/>
      <c r="DO2" s="175"/>
      <c r="DP2" s="176"/>
      <c r="DR2" s="175"/>
      <c r="DS2" s="176"/>
      <c r="DU2" s="175"/>
      <c r="DV2" s="176"/>
      <c r="DX2" s="175"/>
      <c r="DY2" s="176"/>
      <c r="EB2" s="182" t="s">
        <v>98</v>
      </c>
      <c r="EC2" s="182"/>
      <c r="ED2" s="183"/>
      <c r="EE2" s="183">
        <f>EB41</f>
        <v>527549000</v>
      </c>
      <c r="EI2" s="183">
        <f>EG40</f>
        <v>0</v>
      </c>
      <c r="EM2" s="183"/>
      <c r="EN2" s="183">
        <f>EK41</f>
        <v>527549000</v>
      </c>
      <c r="EO2" s="175">
        <v>0</v>
      </c>
      <c r="EP2" s="175">
        <f>EN2+EO2</f>
        <v>527549000</v>
      </c>
      <c r="EQ2" s="175">
        <f>EE2+EO2</f>
        <v>527549000</v>
      </c>
    </row>
    <row r="3" spans="1:147" ht="16.5" thickTop="1" x14ac:dyDescent="0.25">
      <c r="A3" s="184" t="s">
        <v>236</v>
      </c>
      <c r="E3" s="186" t="s">
        <v>100</v>
      </c>
      <c r="F3" s="187"/>
      <c r="G3" s="188"/>
      <c r="EB3" s="182" t="s">
        <v>101</v>
      </c>
      <c r="ED3" s="183"/>
      <c r="EE3" s="183">
        <f>AVERAGE(EB11:EB41)</f>
        <v>488875322.58064514</v>
      </c>
      <c r="EI3" s="183">
        <f>AVERAGE(EG11:EG40)</f>
        <v>0</v>
      </c>
      <c r="EM3" s="183"/>
      <c r="EN3" s="183">
        <f>AVERAGE(EK11:EK41)</f>
        <v>488875322.58064514</v>
      </c>
    </row>
    <row r="4" spans="1:147" x14ac:dyDescent="0.2">
      <c r="E4" s="189" t="s">
        <v>98</v>
      </c>
      <c r="F4" s="183"/>
      <c r="G4" s="190">
        <f>EQ2</f>
        <v>527549000</v>
      </c>
      <c r="AI4" s="191" t="s">
        <v>102</v>
      </c>
      <c r="EB4" s="182" t="s">
        <v>103</v>
      </c>
      <c r="ED4" s="185"/>
      <c r="EE4" s="185">
        <f>IF(EE3=0,0,360*(AVERAGE(ED11:ED41)/EE3))</f>
        <v>6.882957149507412E-3</v>
      </c>
      <c r="EI4" s="185">
        <f>IF(EI3=0,0,360*(AVERAGE(EH11:EH40)/EI3))</f>
        <v>0</v>
      </c>
      <c r="EM4" s="185"/>
      <c r="EN4" s="185">
        <f>IF(EN3=0,0,360*(AVERAGE(EM11:EM41)/EN3))</f>
        <v>6.882957149507412E-3</v>
      </c>
      <c r="EO4" s="192" t="s">
        <v>104</v>
      </c>
      <c r="EQ4" s="193" t="s">
        <v>102</v>
      </c>
    </row>
    <row r="5" spans="1:147" ht="15.75" x14ac:dyDescent="0.25">
      <c r="E5" s="189" t="s">
        <v>101</v>
      </c>
      <c r="F5" s="183"/>
      <c r="G5" s="190">
        <f>EE3</f>
        <v>488875322.58064514</v>
      </c>
      <c r="AI5" s="194" t="s">
        <v>93</v>
      </c>
      <c r="EB5" s="182" t="s">
        <v>105</v>
      </c>
      <c r="ED5" s="183"/>
      <c r="EE5" s="183">
        <f>MAX(EB11:EB41)</f>
        <v>538599000</v>
      </c>
      <c r="EI5" s="183">
        <f>MAX(EG11:EG40)</f>
        <v>0</v>
      </c>
      <c r="EM5" s="183"/>
      <c r="EN5" s="183">
        <f>MAX(EK11:EK41)</f>
        <v>538599000</v>
      </c>
    </row>
    <row r="6" spans="1:147" x14ac:dyDescent="0.2">
      <c r="E6" s="189" t="s">
        <v>103</v>
      </c>
      <c r="F6" s="183"/>
      <c r="G6" s="195">
        <f>EE4</f>
        <v>6.882957149507412E-3</v>
      </c>
    </row>
    <row r="7" spans="1:147" ht="16.5" thickBot="1" x14ac:dyDescent="0.3">
      <c r="E7" s="196" t="s">
        <v>105</v>
      </c>
      <c r="F7" s="197"/>
      <c r="G7" s="198">
        <f>EE5</f>
        <v>538599000</v>
      </c>
      <c r="AI7" s="194" t="s">
        <v>93</v>
      </c>
      <c r="EB7" s="199" t="s">
        <v>106</v>
      </c>
      <c r="EC7" s="199"/>
      <c r="ED7" s="200"/>
      <c r="EE7" s="200"/>
      <c r="EG7" s="199" t="s">
        <v>107</v>
      </c>
      <c r="EH7" s="200"/>
      <c r="EI7" s="200"/>
      <c r="EJ7" s="201"/>
      <c r="EK7" s="199" t="s">
        <v>108</v>
      </c>
      <c r="EL7" s="199"/>
      <c r="EM7" s="200"/>
      <c r="EN7" s="200"/>
    </row>
    <row r="8" spans="1:147" ht="13.5" thickTop="1" x14ac:dyDescent="0.2">
      <c r="AI8" s="178" t="s">
        <v>109</v>
      </c>
      <c r="AL8" s="178" t="s">
        <v>109</v>
      </c>
      <c r="AO8" s="178" t="s">
        <v>109</v>
      </c>
      <c r="AR8" s="178" t="s">
        <v>109</v>
      </c>
      <c r="AU8" s="178" t="s">
        <v>109</v>
      </c>
      <c r="AX8" s="178" t="s">
        <v>109</v>
      </c>
      <c r="BA8" s="178" t="s">
        <v>109</v>
      </c>
      <c r="BD8" s="178" t="s">
        <v>109</v>
      </c>
      <c r="BG8" s="178" t="s">
        <v>109</v>
      </c>
      <c r="BJ8" s="178" t="s">
        <v>109</v>
      </c>
      <c r="BM8" s="178" t="s">
        <v>109</v>
      </c>
      <c r="BP8" s="178" t="s">
        <v>109</v>
      </c>
      <c r="BS8" s="178" t="s">
        <v>109</v>
      </c>
      <c r="BV8" s="178" t="s">
        <v>109</v>
      </c>
      <c r="BY8" s="178" t="s">
        <v>109</v>
      </c>
      <c r="CB8" s="178" t="s">
        <v>109</v>
      </c>
      <c r="CE8" s="178" t="s">
        <v>109</v>
      </c>
      <c r="CH8" s="178" t="s">
        <v>109</v>
      </c>
      <c r="CK8" s="178" t="s">
        <v>109</v>
      </c>
      <c r="CN8" s="178" t="s">
        <v>109</v>
      </c>
      <c r="CQ8" s="178" t="s">
        <v>109</v>
      </c>
      <c r="CT8" s="178" t="s">
        <v>109</v>
      </c>
      <c r="CW8" s="178" t="s">
        <v>109</v>
      </c>
      <c r="CZ8" s="178" t="s">
        <v>109</v>
      </c>
      <c r="DC8" s="178" t="s">
        <v>109</v>
      </c>
      <c r="DF8" s="178" t="s">
        <v>109</v>
      </c>
      <c r="DI8" s="178" t="s">
        <v>109</v>
      </c>
      <c r="DL8" s="178" t="s">
        <v>109</v>
      </c>
      <c r="DO8" s="178" t="s">
        <v>109</v>
      </c>
      <c r="DR8" s="178" t="s">
        <v>109</v>
      </c>
      <c r="EB8" s="202"/>
      <c r="EC8" s="202"/>
      <c r="ED8" s="202"/>
      <c r="EE8" s="202" t="s">
        <v>110</v>
      </c>
      <c r="EG8" s="202"/>
      <c r="EH8" s="203" t="s">
        <v>92</v>
      </c>
      <c r="EI8" s="202" t="s">
        <v>110</v>
      </c>
      <c r="EJ8" s="202"/>
      <c r="EK8" s="193" t="s">
        <v>111</v>
      </c>
      <c r="EL8" s="193" t="s">
        <v>112</v>
      </c>
      <c r="EM8" s="203" t="s">
        <v>113</v>
      </c>
      <c r="EN8" s="202" t="s">
        <v>110</v>
      </c>
    </row>
    <row r="9" spans="1:147" x14ac:dyDescent="0.2">
      <c r="B9" s="204" t="s">
        <v>114</v>
      </c>
      <c r="C9" s="205"/>
      <c r="D9" s="200"/>
      <c r="E9" s="204" t="s">
        <v>115</v>
      </c>
      <c r="F9" s="205"/>
      <c r="G9" s="200"/>
      <c r="H9" s="204" t="s">
        <v>116</v>
      </c>
      <c r="I9" s="205"/>
      <c r="J9" s="200"/>
      <c r="K9" s="204" t="s">
        <v>117</v>
      </c>
      <c r="L9" s="205"/>
      <c r="M9" s="200"/>
      <c r="N9" s="204" t="s">
        <v>118</v>
      </c>
      <c r="O9" s="205"/>
      <c r="P9" s="200"/>
      <c r="Q9" s="204" t="s">
        <v>119</v>
      </c>
      <c r="R9" s="205"/>
      <c r="S9" s="200"/>
      <c r="T9" s="204" t="s">
        <v>120</v>
      </c>
      <c r="U9" s="205"/>
      <c r="V9" s="200"/>
      <c r="W9" s="204" t="s">
        <v>121</v>
      </c>
      <c r="X9" s="205"/>
      <c r="Y9" s="200"/>
      <c r="Z9" s="204" t="s">
        <v>122</v>
      </c>
      <c r="AA9" s="205"/>
      <c r="AB9" s="200"/>
      <c r="AC9" s="206" t="s">
        <v>123</v>
      </c>
      <c r="AD9" s="205"/>
      <c r="AE9" s="200"/>
      <c r="AF9" s="206" t="s">
        <v>124</v>
      </c>
      <c r="AG9" s="205"/>
      <c r="AH9" s="200"/>
      <c r="AI9" s="204" t="s">
        <v>125</v>
      </c>
      <c r="AJ9" s="205"/>
      <c r="AK9" s="200"/>
      <c r="AL9" s="204" t="s">
        <v>126</v>
      </c>
      <c r="AM9" s="205"/>
      <c r="AN9" s="200"/>
      <c r="AO9" s="204" t="s">
        <v>127</v>
      </c>
      <c r="AP9" s="205"/>
      <c r="AQ9" s="200"/>
      <c r="AR9" s="204" t="s">
        <v>128</v>
      </c>
      <c r="AS9" s="205"/>
      <c r="AT9" s="200"/>
      <c r="AU9" s="204" t="s">
        <v>129</v>
      </c>
      <c r="AV9" s="205"/>
      <c r="AW9" s="200"/>
      <c r="AX9" s="204" t="s">
        <v>130</v>
      </c>
      <c r="AY9" s="205"/>
      <c r="AZ9" s="200"/>
      <c r="BA9" s="204" t="s">
        <v>131</v>
      </c>
      <c r="BB9" s="205"/>
      <c r="BC9" s="200"/>
      <c r="BD9" s="204" t="s">
        <v>132</v>
      </c>
      <c r="BE9" s="205"/>
      <c r="BF9" s="200"/>
      <c r="BG9" s="204" t="s">
        <v>133</v>
      </c>
      <c r="BH9" s="205"/>
      <c r="BI9" s="200"/>
      <c r="BJ9" s="204" t="s">
        <v>134</v>
      </c>
      <c r="BK9" s="205"/>
      <c r="BL9" s="200"/>
      <c r="BM9" s="204" t="s">
        <v>135</v>
      </c>
      <c r="BN9" s="205"/>
      <c r="BO9" s="200"/>
      <c r="BP9" s="204" t="s">
        <v>136</v>
      </c>
      <c r="BQ9" s="205"/>
      <c r="BR9" s="200"/>
      <c r="BS9" s="204" t="s">
        <v>137</v>
      </c>
      <c r="BT9" s="205"/>
      <c r="BU9" s="200"/>
      <c r="BV9" s="204" t="s">
        <v>138</v>
      </c>
      <c r="BW9" s="205"/>
      <c r="BX9" s="200"/>
      <c r="BY9" s="204" t="s">
        <v>139</v>
      </c>
      <c r="BZ9" s="205"/>
      <c r="CA9" s="200"/>
      <c r="CB9" s="204" t="s">
        <v>140</v>
      </c>
      <c r="CC9" s="205"/>
      <c r="CD9" s="200"/>
      <c r="CE9" s="204" t="s">
        <v>141</v>
      </c>
      <c r="CF9" s="205"/>
      <c r="CG9" s="200"/>
      <c r="CH9" s="204" t="s">
        <v>142</v>
      </c>
      <c r="CI9" s="205"/>
      <c r="CJ9" s="200"/>
      <c r="CK9" s="204" t="s">
        <v>143</v>
      </c>
      <c r="CL9" s="205"/>
      <c r="CM9" s="200"/>
      <c r="CN9" s="204" t="s">
        <v>144</v>
      </c>
      <c r="CO9" s="205"/>
      <c r="CP9" s="200"/>
      <c r="CQ9" s="204" t="s">
        <v>145</v>
      </c>
      <c r="CR9" s="205"/>
      <c r="CS9" s="200"/>
      <c r="CT9" s="204" t="s">
        <v>146</v>
      </c>
      <c r="CU9" s="205"/>
      <c r="CV9" s="200"/>
      <c r="CW9" s="204" t="s">
        <v>147</v>
      </c>
      <c r="CX9" s="205"/>
      <c r="CY9" s="200"/>
      <c r="CZ9" s="204" t="s">
        <v>148</v>
      </c>
      <c r="DA9" s="205"/>
      <c r="DB9" s="200"/>
      <c r="DC9" s="204" t="s">
        <v>149</v>
      </c>
      <c r="DD9" s="205"/>
      <c r="DE9" s="200"/>
      <c r="DF9" s="204" t="s">
        <v>150</v>
      </c>
      <c r="DG9" s="205"/>
      <c r="DH9" s="200"/>
      <c r="DI9" s="204" t="s">
        <v>151</v>
      </c>
      <c r="DJ9" s="205"/>
      <c r="DK9" s="200"/>
      <c r="DL9" s="204" t="s">
        <v>152</v>
      </c>
      <c r="DM9" s="205"/>
      <c r="DN9" s="200"/>
      <c r="DO9" s="204" t="s">
        <v>153</v>
      </c>
      <c r="DP9" s="205"/>
      <c r="DQ9" s="200"/>
      <c r="DR9" s="204" t="s">
        <v>154</v>
      </c>
      <c r="DS9" s="205"/>
      <c r="DT9" s="200"/>
      <c r="DU9" s="204" t="s">
        <v>155</v>
      </c>
      <c r="DV9" s="205"/>
      <c r="DW9" s="200"/>
      <c r="DX9" s="207" t="s">
        <v>156</v>
      </c>
      <c r="DY9" s="205"/>
      <c r="DZ9" s="200"/>
      <c r="EA9" s="201"/>
      <c r="EB9" s="193" t="s">
        <v>157</v>
      </c>
      <c r="EC9" s="193" t="s">
        <v>158</v>
      </c>
      <c r="ED9" s="202" t="s">
        <v>159</v>
      </c>
      <c r="EE9" s="202" t="s">
        <v>160</v>
      </c>
      <c r="EG9" s="203" t="s">
        <v>161</v>
      </c>
      <c r="EH9" s="202" t="s">
        <v>159</v>
      </c>
      <c r="EI9" s="202" t="s">
        <v>160</v>
      </c>
      <c r="EJ9" s="202"/>
      <c r="EK9" s="203" t="s">
        <v>113</v>
      </c>
      <c r="EL9" s="203" t="s">
        <v>113</v>
      </c>
      <c r="EM9" s="202" t="s">
        <v>159</v>
      </c>
      <c r="EN9" s="202" t="s">
        <v>160</v>
      </c>
    </row>
    <row r="10" spans="1:147" x14ac:dyDescent="0.2">
      <c r="A10" s="202" t="s">
        <v>162</v>
      </c>
      <c r="B10" s="208" t="s">
        <v>163</v>
      </c>
      <c r="C10" s="209" t="s">
        <v>164</v>
      </c>
      <c r="D10" s="210" t="s">
        <v>19</v>
      </c>
      <c r="E10" s="208" t="s">
        <v>163</v>
      </c>
      <c r="F10" s="209" t="s">
        <v>164</v>
      </c>
      <c r="G10" s="210" t="s">
        <v>19</v>
      </c>
      <c r="H10" s="208" t="s">
        <v>163</v>
      </c>
      <c r="I10" s="209" t="s">
        <v>164</v>
      </c>
      <c r="J10" s="210" t="s">
        <v>19</v>
      </c>
      <c r="K10" s="208" t="s">
        <v>163</v>
      </c>
      <c r="L10" s="209" t="s">
        <v>164</v>
      </c>
      <c r="M10" s="210" t="s">
        <v>19</v>
      </c>
      <c r="N10" s="208" t="s">
        <v>163</v>
      </c>
      <c r="O10" s="209" t="s">
        <v>164</v>
      </c>
      <c r="P10" s="210" t="s">
        <v>19</v>
      </c>
      <c r="Q10" s="208" t="s">
        <v>163</v>
      </c>
      <c r="R10" s="209" t="s">
        <v>164</v>
      </c>
      <c r="S10" s="210" t="s">
        <v>19</v>
      </c>
      <c r="T10" s="208" t="s">
        <v>163</v>
      </c>
      <c r="U10" s="209" t="s">
        <v>164</v>
      </c>
      <c r="V10" s="210" t="s">
        <v>19</v>
      </c>
      <c r="W10" s="208" t="s">
        <v>163</v>
      </c>
      <c r="X10" s="209" t="s">
        <v>164</v>
      </c>
      <c r="Y10" s="210" t="s">
        <v>19</v>
      </c>
      <c r="Z10" s="208" t="s">
        <v>163</v>
      </c>
      <c r="AA10" s="209" t="s">
        <v>164</v>
      </c>
      <c r="AB10" s="210" t="s">
        <v>19</v>
      </c>
      <c r="AC10" s="208" t="s">
        <v>163</v>
      </c>
      <c r="AD10" s="209" t="s">
        <v>164</v>
      </c>
      <c r="AE10" s="210" t="s">
        <v>19</v>
      </c>
      <c r="AF10" s="208" t="s">
        <v>163</v>
      </c>
      <c r="AG10" s="209" t="s">
        <v>164</v>
      </c>
      <c r="AH10" s="210" t="s">
        <v>19</v>
      </c>
      <c r="AI10" s="208" t="s">
        <v>163</v>
      </c>
      <c r="AJ10" s="209" t="s">
        <v>164</v>
      </c>
      <c r="AK10" s="210" t="s">
        <v>19</v>
      </c>
      <c r="AL10" s="208" t="s">
        <v>163</v>
      </c>
      <c r="AM10" s="209" t="s">
        <v>164</v>
      </c>
      <c r="AN10" s="210" t="s">
        <v>19</v>
      </c>
      <c r="AO10" s="208" t="s">
        <v>163</v>
      </c>
      <c r="AP10" s="209" t="s">
        <v>164</v>
      </c>
      <c r="AQ10" s="210" t="s">
        <v>19</v>
      </c>
      <c r="AR10" s="208" t="s">
        <v>163</v>
      </c>
      <c r="AS10" s="209" t="s">
        <v>164</v>
      </c>
      <c r="AT10" s="210" t="s">
        <v>19</v>
      </c>
      <c r="AU10" s="208" t="s">
        <v>163</v>
      </c>
      <c r="AV10" s="209" t="s">
        <v>164</v>
      </c>
      <c r="AW10" s="210" t="s">
        <v>19</v>
      </c>
      <c r="AX10" s="208" t="s">
        <v>163</v>
      </c>
      <c r="AY10" s="209" t="s">
        <v>164</v>
      </c>
      <c r="AZ10" s="210" t="s">
        <v>19</v>
      </c>
      <c r="BA10" s="208" t="s">
        <v>163</v>
      </c>
      <c r="BB10" s="209" t="s">
        <v>164</v>
      </c>
      <c r="BC10" s="210" t="s">
        <v>19</v>
      </c>
      <c r="BD10" s="208" t="s">
        <v>163</v>
      </c>
      <c r="BE10" s="209" t="s">
        <v>164</v>
      </c>
      <c r="BF10" s="210" t="s">
        <v>19</v>
      </c>
      <c r="BG10" s="208" t="s">
        <v>163</v>
      </c>
      <c r="BH10" s="209" t="s">
        <v>164</v>
      </c>
      <c r="BI10" s="210" t="s">
        <v>19</v>
      </c>
      <c r="BJ10" s="208" t="s">
        <v>163</v>
      </c>
      <c r="BK10" s="209" t="s">
        <v>164</v>
      </c>
      <c r="BL10" s="210" t="s">
        <v>19</v>
      </c>
      <c r="BM10" s="208" t="s">
        <v>163</v>
      </c>
      <c r="BN10" s="209" t="s">
        <v>164</v>
      </c>
      <c r="BO10" s="210" t="s">
        <v>19</v>
      </c>
      <c r="BP10" s="208" t="s">
        <v>163</v>
      </c>
      <c r="BQ10" s="209" t="s">
        <v>164</v>
      </c>
      <c r="BR10" s="210" t="s">
        <v>19</v>
      </c>
      <c r="BS10" s="208" t="s">
        <v>163</v>
      </c>
      <c r="BT10" s="209" t="s">
        <v>164</v>
      </c>
      <c r="BU10" s="210" t="s">
        <v>19</v>
      </c>
      <c r="BV10" s="208" t="s">
        <v>163</v>
      </c>
      <c r="BW10" s="209" t="s">
        <v>164</v>
      </c>
      <c r="BX10" s="210" t="s">
        <v>19</v>
      </c>
      <c r="BY10" s="208" t="s">
        <v>163</v>
      </c>
      <c r="BZ10" s="209" t="s">
        <v>164</v>
      </c>
      <c r="CA10" s="210" t="s">
        <v>19</v>
      </c>
      <c r="CB10" s="208" t="s">
        <v>163</v>
      </c>
      <c r="CC10" s="209" t="s">
        <v>164</v>
      </c>
      <c r="CD10" s="210" t="s">
        <v>19</v>
      </c>
      <c r="CE10" s="208" t="s">
        <v>163</v>
      </c>
      <c r="CF10" s="209" t="s">
        <v>164</v>
      </c>
      <c r="CG10" s="210" t="s">
        <v>19</v>
      </c>
      <c r="CH10" s="208" t="s">
        <v>163</v>
      </c>
      <c r="CI10" s="209" t="s">
        <v>164</v>
      </c>
      <c r="CJ10" s="210" t="s">
        <v>19</v>
      </c>
      <c r="CK10" s="208" t="s">
        <v>163</v>
      </c>
      <c r="CL10" s="209" t="s">
        <v>164</v>
      </c>
      <c r="CM10" s="210" t="s">
        <v>19</v>
      </c>
      <c r="CN10" s="208" t="s">
        <v>163</v>
      </c>
      <c r="CO10" s="209" t="s">
        <v>164</v>
      </c>
      <c r="CP10" s="210" t="s">
        <v>19</v>
      </c>
      <c r="CQ10" s="208" t="s">
        <v>163</v>
      </c>
      <c r="CR10" s="209" t="s">
        <v>164</v>
      </c>
      <c r="CS10" s="210" t="s">
        <v>19</v>
      </c>
      <c r="CT10" s="208" t="s">
        <v>163</v>
      </c>
      <c r="CU10" s="209" t="s">
        <v>164</v>
      </c>
      <c r="CV10" s="210" t="s">
        <v>19</v>
      </c>
      <c r="CW10" s="208" t="s">
        <v>163</v>
      </c>
      <c r="CX10" s="209" t="s">
        <v>164</v>
      </c>
      <c r="CY10" s="210" t="s">
        <v>19</v>
      </c>
      <c r="CZ10" s="208" t="s">
        <v>163</v>
      </c>
      <c r="DA10" s="209" t="s">
        <v>164</v>
      </c>
      <c r="DB10" s="210" t="s">
        <v>19</v>
      </c>
      <c r="DC10" s="208" t="s">
        <v>163</v>
      </c>
      <c r="DD10" s="209" t="s">
        <v>164</v>
      </c>
      <c r="DE10" s="210" t="s">
        <v>19</v>
      </c>
      <c r="DF10" s="208" t="s">
        <v>163</v>
      </c>
      <c r="DG10" s="209" t="s">
        <v>164</v>
      </c>
      <c r="DH10" s="210" t="s">
        <v>19</v>
      </c>
      <c r="DI10" s="208" t="s">
        <v>163</v>
      </c>
      <c r="DJ10" s="209" t="s">
        <v>164</v>
      </c>
      <c r="DK10" s="210" t="s">
        <v>19</v>
      </c>
      <c r="DL10" s="208" t="s">
        <v>163</v>
      </c>
      <c r="DM10" s="209" t="s">
        <v>164</v>
      </c>
      <c r="DN10" s="210" t="s">
        <v>19</v>
      </c>
      <c r="DO10" s="208" t="s">
        <v>163</v>
      </c>
      <c r="DP10" s="209" t="s">
        <v>164</v>
      </c>
      <c r="DQ10" s="210" t="s">
        <v>19</v>
      </c>
      <c r="DR10" s="208" t="s">
        <v>163</v>
      </c>
      <c r="DS10" s="209" t="s">
        <v>164</v>
      </c>
      <c r="DT10" s="210" t="s">
        <v>19</v>
      </c>
      <c r="DU10" s="208" t="s">
        <v>163</v>
      </c>
      <c r="DV10" s="209" t="s">
        <v>164</v>
      </c>
      <c r="DW10" s="210" t="s">
        <v>19</v>
      </c>
      <c r="DX10" s="208" t="s">
        <v>163</v>
      </c>
      <c r="DY10" s="209"/>
      <c r="DZ10" s="210"/>
      <c r="EA10" s="210"/>
      <c r="EB10" s="210" t="s">
        <v>165</v>
      </c>
      <c r="EC10" s="210" t="s">
        <v>165</v>
      </c>
      <c r="ED10" s="210" t="s">
        <v>19</v>
      </c>
      <c r="EE10" s="210" t="s">
        <v>164</v>
      </c>
      <c r="EG10" s="210" t="s">
        <v>165</v>
      </c>
      <c r="EH10" s="210" t="s">
        <v>19</v>
      </c>
      <c r="EI10" s="210" t="s">
        <v>164</v>
      </c>
      <c r="EJ10" s="210"/>
      <c r="EK10" s="210" t="s">
        <v>165</v>
      </c>
      <c r="EL10" s="210" t="s">
        <v>165</v>
      </c>
      <c r="EM10" s="210" t="s">
        <v>19</v>
      </c>
      <c r="EN10" s="210" t="s">
        <v>164</v>
      </c>
    </row>
    <row r="11" spans="1:147" x14ac:dyDescent="0.2">
      <c r="A11" s="211">
        <v>44621</v>
      </c>
      <c r="B11" s="183">
        <v>0</v>
      </c>
      <c r="C11" s="185">
        <v>2.5034499999999999E-3</v>
      </c>
      <c r="D11" s="183">
        <f>(B11*C11)/360</f>
        <v>0</v>
      </c>
      <c r="G11" s="183">
        <f>(E11*F11)/360</f>
        <v>0</v>
      </c>
      <c r="J11" s="183">
        <f>(H11*I11)/360</f>
        <v>0</v>
      </c>
      <c r="M11" s="183">
        <f>(K11*L11)/360</f>
        <v>0</v>
      </c>
      <c r="P11" s="183">
        <f>(N11*O11)/360</f>
        <v>0</v>
      </c>
      <c r="S11" s="183">
        <f>(Q11*R11)/360</f>
        <v>0</v>
      </c>
      <c r="V11" s="183">
        <f>(T11*U11)/360</f>
        <v>0</v>
      </c>
      <c r="Y11" s="183">
        <f>(W11*X11)/360</f>
        <v>0</v>
      </c>
      <c r="AB11" s="183">
        <f>(Z11*AA11)/360</f>
        <v>0</v>
      </c>
      <c r="AE11" s="183">
        <v>0</v>
      </c>
      <c r="AH11" s="183">
        <v>0</v>
      </c>
      <c r="AI11" s="212"/>
      <c r="AJ11" s="213"/>
      <c r="AK11" s="183">
        <f>(AI11*AJ11)/360</f>
        <v>0</v>
      </c>
      <c r="AL11" s="212"/>
      <c r="AM11" s="213"/>
      <c r="AN11" s="183">
        <f>(AL11*AM11)/360</f>
        <v>0</v>
      </c>
      <c r="AO11" s="212"/>
      <c r="AP11" s="213"/>
      <c r="AQ11" s="183">
        <f>(AO11*AP11)/360</f>
        <v>0</v>
      </c>
      <c r="AR11" s="212"/>
      <c r="AS11" s="213"/>
      <c r="AT11" s="183">
        <f>(AR11*AS11)/360</f>
        <v>0</v>
      </c>
      <c r="AU11" s="183">
        <v>69550000</v>
      </c>
      <c r="AV11" s="185">
        <v>4.4999999999999997E-3</v>
      </c>
      <c r="AW11" s="183">
        <f>(AU11*AV11)/360</f>
        <v>869.375</v>
      </c>
      <c r="AX11" s="183">
        <v>85000000</v>
      </c>
      <c r="AY11" s="185">
        <v>3.8999999999999998E-3</v>
      </c>
      <c r="AZ11" s="183">
        <f>(AX11*AY11)/360</f>
        <v>920.83333333333337</v>
      </c>
      <c r="BA11" s="183">
        <v>48275000</v>
      </c>
      <c r="BB11" s="185">
        <v>3.0000000000000001E-3</v>
      </c>
      <c r="BC11" s="183">
        <f>(BA11*BB11)/360</f>
        <v>402.29166666666669</v>
      </c>
      <c r="BD11" s="183">
        <v>84350000</v>
      </c>
      <c r="BE11" s="185">
        <v>3.3E-3</v>
      </c>
      <c r="BF11" s="183">
        <f>(BD11*BE11)/360</f>
        <v>773.20833333333337</v>
      </c>
      <c r="BG11" s="183">
        <v>75000000</v>
      </c>
      <c r="BH11" s="185">
        <v>4.0000000000000001E-3</v>
      </c>
      <c r="BI11" s="183">
        <f>(BG11*BH11)/360</f>
        <v>833.33333333333337</v>
      </c>
      <c r="BJ11" s="183">
        <v>92725000</v>
      </c>
      <c r="BK11" s="185">
        <v>2.5000000000000001E-3</v>
      </c>
      <c r="BL11" s="183">
        <f>(BJ11*BK11)/360</f>
        <v>643.92361111111109</v>
      </c>
      <c r="BO11" s="183">
        <f>(BM11*BN11)/360</f>
        <v>0</v>
      </c>
      <c r="BR11" s="183">
        <f>(BP11*BQ11)/360</f>
        <v>0</v>
      </c>
      <c r="BU11" s="183">
        <f>(BS11*BT11)/360</f>
        <v>0</v>
      </c>
      <c r="BX11" s="183">
        <f>(BV11*BW11)/360</f>
        <v>0</v>
      </c>
      <c r="CA11" s="183">
        <f>(BY11*BZ11)/360</f>
        <v>0</v>
      </c>
      <c r="CD11" s="183">
        <f>(CB11*CC11)/360</f>
        <v>0</v>
      </c>
      <c r="CG11" s="183">
        <f>(CE11*CF11)/360</f>
        <v>0</v>
      </c>
      <c r="CJ11" s="183">
        <f>(CH11*CI11)/360</f>
        <v>0</v>
      </c>
      <c r="CM11" s="183">
        <f>(CK11*CL11)/360</f>
        <v>0</v>
      </c>
      <c r="CP11" s="183">
        <f>(CN11*CO11)/360</f>
        <v>0</v>
      </c>
      <c r="CS11" s="183">
        <f>(CQ11*CR11)/360</f>
        <v>0</v>
      </c>
      <c r="CV11" s="183">
        <f>(CT11*CU11)/360</f>
        <v>0</v>
      </c>
      <c r="CY11" s="183">
        <f>(CW11*CX11)/360</f>
        <v>0</v>
      </c>
      <c r="DB11" s="183">
        <f>(CZ11*DA11)/360</f>
        <v>0</v>
      </c>
      <c r="DE11" s="183">
        <f>(DC11*DD11)/360</f>
        <v>0</v>
      </c>
      <c r="DH11" s="183">
        <f>(DF11*DG11)/360</f>
        <v>0</v>
      </c>
      <c r="DK11" s="183">
        <f>(DI11*DJ11)/360</f>
        <v>0</v>
      </c>
      <c r="DN11" s="183">
        <f>(DL11*DM11)/360</f>
        <v>0</v>
      </c>
      <c r="DQ11" s="183">
        <f>(DO11*DP11)/360</f>
        <v>0</v>
      </c>
      <c r="DT11" s="183">
        <f>(DR11*DS11)/360</f>
        <v>0</v>
      </c>
      <c r="DW11" s="183">
        <f>(DU11*DV11)/360</f>
        <v>0</v>
      </c>
      <c r="DZ11" s="183"/>
      <c r="EA11" s="183"/>
      <c r="EB11" s="214">
        <f>B11+E11+H11+K11+N11+Q11+T11+W11+Z11+AC11+AF11+AL11+AO11+AR11+AU11+AX11+BA11+BD11+BG11+DU11+AI11+DR11+DO11+DL11+DI11+DF11+DC11+CZ11+CW11+CT11+CQ11+CN11+CK11+CH11+CE11+CB11+BY11+BV11+BS11+BP11+BM11+BJ11</f>
        <v>454900000</v>
      </c>
      <c r="EC11" s="214">
        <f>EB11-EK11+EL11</f>
        <v>0</v>
      </c>
      <c r="ED11" s="183">
        <f>D11+G11+J11+M11+P11+S11+V11+Y11+AB11+AE11+AH11+AK11+AN11+AQ11+AT11+AW11+AZ11+BC11+BF11+BI11+DW11+DT11+DQ11+DN11+DK11+DH11+DE11+DB11+CY11+CV11+CS11+CP11+CM11+CJ11+CG11+CD11+CA11+BX11+BU11+BR11+BO11+BL11</f>
        <v>4442.9652777777783</v>
      </c>
      <c r="EE11" s="185">
        <f>IF(EB11&lt;&gt;0,((ED11/EB11)*360),0)</f>
        <v>3.516085952956694E-3</v>
      </c>
      <c r="EG11" s="214">
        <f>Q11+T11+W11+Z11+AC11+AF11</f>
        <v>0</v>
      </c>
      <c r="EH11" s="183">
        <f>S11+V11+Y11+AB11+AE11+AH11</f>
        <v>0</v>
      </c>
      <c r="EI11" s="185">
        <f>IF(EG11&lt;&gt;0,((EH11/EG11)*360),0)</f>
        <v>0</v>
      </c>
      <c r="EJ11" s="185"/>
      <c r="EK11" s="214">
        <f>DR11+DL11+DI11+DF11+DC11+CZ11+CW11+CT11+CQ11+CN11+CK11+CH11+CE11+CB11+BY11+BV11+BS11+BP11+BM11+BJ11+BG11+BD11+BA11+AX11+AU11+AR11+AO11+AL11+AI11+DO11</f>
        <v>454900000</v>
      </c>
      <c r="EL11" s="214">
        <f>DX11</f>
        <v>0</v>
      </c>
      <c r="EM11" s="214">
        <f>DT11+DQ11+DN11+DK11+DH11+DE11+DB11+CY11+CV11+CS11+CP11+CM11+CJ11+CG11+CD11+CA11+BX11+BU11+BR11+BO11+BL11+BI11+BF11+BC11+AZ11+AW11+AT11+AQ11+AN11+AK11</f>
        <v>4442.9652777777774</v>
      </c>
      <c r="EN11" s="185">
        <f>IF(EK11&lt;&gt;0,((EM11/EK11)*360),0)</f>
        <v>3.5160859529566931E-3</v>
      </c>
      <c r="EP11" s="183"/>
    </row>
    <row r="12" spans="1:147" x14ac:dyDescent="0.2">
      <c r="A12" s="211">
        <f>1+A11</f>
        <v>44622</v>
      </c>
      <c r="B12" s="183">
        <v>0</v>
      </c>
      <c r="C12" s="185">
        <v>3.24056E-3</v>
      </c>
      <c r="D12" s="183">
        <f t="shared" ref="D12:D41" si="0">(B12*C12)/360</f>
        <v>0</v>
      </c>
      <c r="G12" s="183">
        <f t="shared" ref="G12:G41" si="1">(E12*F12)/360</f>
        <v>0</v>
      </c>
      <c r="J12" s="183">
        <f t="shared" ref="J12:J41" si="2">(H12*I12)/360</f>
        <v>0</v>
      </c>
      <c r="M12" s="183">
        <f t="shared" ref="M12:M41" si="3">(K12*L12)/360</f>
        <v>0</v>
      </c>
      <c r="P12" s="183">
        <f t="shared" ref="P12:P41" si="4">(N12*O12)/360</f>
        <v>0</v>
      </c>
      <c r="S12" s="183">
        <f t="shared" ref="S12:S41" si="5">(Q12*R12)/360</f>
        <v>0</v>
      </c>
      <c r="V12" s="183">
        <f t="shared" ref="V12:V41" si="6">(T12*U12)/360</f>
        <v>0</v>
      </c>
      <c r="Y12" s="183">
        <f t="shared" ref="Y12:Y41" si="7">(W12*X12)/360</f>
        <v>0</v>
      </c>
      <c r="AB12" s="183">
        <f t="shared" ref="AB12:AB41" si="8">(Z12*AA12)/360</f>
        <v>0</v>
      </c>
      <c r="AE12" s="183">
        <v>0</v>
      </c>
      <c r="AH12" s="183">
        <v>0</v>
      </c>
      <c r="AI12" s="212"/>
      <c r="AJ12" s="213"/>
      <c r="AK12" s="183">
        <f t="shared" ref="AK12:AK41" si="9">(AI12*AJ12)/360</f>
        <v>0</v>
      </c>
      <c r="AL12" s="212"/>
      <c r="AM12" s="213"/>
      <c r="AN12" s="183">
        <f t="shared" ref="AN12:AN41" si="10">(AL12*AM12)/360</f>
        <v>0</v>
      </c>
      <c r="AO12" s="212"/>
      <c r="AP12" s="213"/>
      <c r="AQ12" s="183">
        <f t="shared" ref="AQ12:AQ41" si="11">(AO12*AP12)/360</f>
        <v>0</v>
      </c>
      <c r="AR12" s="212">
        <v>43825000</v>
      </c>
      <c r="AS12" s="213">
        <v>4.4999999999999997E-3</v>
      </c>
      <c r="AT12" s="183">
        <f t="shared" ref="AT12:AT41" si="12">(AR12*AS12)/360</f>
        <v>547.81249999999989</v>
      </c>
      <c r="AU12" s="183">
        <v>69550000</v>
      </c>
      <c r="AV12" s="185">
        <v>4.4999999999999997E-3</v>
      </c>
      <c r="AW12" s="183">
        <f t="shared" ref="AW12:AW41" si="13">(AU12*AV12)/360</f>
        <v>869.375</v>
      </c>
      <c r="AX12" s="183">
        <v>85000000</v>
      </c>
      <c r="AY12" s="185">
        <v>3.8999999999999998E-3</v>
      </c>
      <c r="AZ12" s="183">
        <f t="shared" ref="AZ12:AZ41" si="14">(AX12*AY12)/360</f>
        <v>920.83333333333337</v>
      </c>
      <c r="BA12" s="183">
        <v>48275000</v>
      </c>
      <c r="BB12" s="185">
        <v>3.0000000000000001E-3</v>
      </c>
      <c r="BC12" s="183">
        <f t="shared" ref="BC12:BC41" si="15">(BA12*BB12)/360</f>
        <v>402.29166666666669</v>
      </c>
      <c r="BD12" s="183">
        <v>84350000</v>
      </c>
      <c r="BE12" s="185">
        <v>3.3E-3</v>
      </c>
      <c r="BF12" s="183">
        <f t="shared" ref="BF12:BF41" si="16">(BD12*BE12)/360</f>
        <v>773.20833333333337</v>
      </c>
      <c r="BG12" s="183">
        <v>75000000</v>
      </c>
      <c r="BH12" s="185">
        <v>4.0000000000000001E-3</v>
      </c>
      <c r="BI12" s="183">
        <f t="shared" ref="BI12:BI41" si="17">(BG12*BH12)/360</f>
        <v>833.33333333333337</v>
      </c>
      <c r="BJ12" s="183">
        <v>50000000</v>
      </c>
      <c r="BK12" s="185">
        <v>2.5000000000000001E-3</v>
      </c>
      <c r="BL12" s="183">
        <f t="shared" ref="BL12:BL41" si="18">(BJ12*BK12)/360</f>
        <v>347.22222222222223</v>
      </c>
      <c r="BO12" s="183">
        <f t="shared" ref="BO12:BO41" si="19">(BM12*BN12)/360</f>
        <v>0</v>
      </c>
      <c r="BR12" s="183">
        <f t="shared" ref="BR12:BR41" si="20">(BP12*BQ12)/360</f>
        <v>0</v>
      </c>
      <c r="BU12" s="183">
        <f t="shared" ref="BU12:BU41" si="21">(BS12*BT12)/360</f>
        <v>0</v>
      </c>
      <c r="BX12" s="183">
        <f t="shared" ref="BX12:BX41" si="22">(BV12*BW12)/360</f>
        <v>0</v>
      </c>
      <c r="CA12" s="183">
        <f t="shared" ref="CA12:CA41" si="23">(BY12*BZ12)/360</f>
        <v>0</v>
      </c>
      <c r="CD12" s="183">
        <f t="shared" ref="CD12:CD41" si="24">(CB12*CC12)/360</f>
        <v>0</v>
      </c>
      <c r="CG12" s="183">
        <f t="shared" ref="CG12:CG41" si="25">(CE12*CF12)/360</f>
        <v>0</v>
      </c>
      <c r="CJ12" s="183">
        <f t="shared" ref="CJ12:CJ41" si="26">(CH12*CI12)/360</f>
        <v>0</v>
      </c>
      <c r="CM12" s="183">
        <f t="shared" ref="CM12:CM41" si="27">(CK12*CL12)/360</f>
        <v>0</v>
      </c>
      <c r="CP12" s="183">
        <f t="shared" ref="CP12:CP41" si="28">(CN12*CO12)/360</f>
        <v>0</v>
      </c>
      <c r="CS12" s="183">
        <f t="shared" ref="CS12:CS41" si="29">(CQ12*CR12)/360</f>
        <v>0</v>
      </c>
      <c r="CV12" s="183">
        <f t="shared" ref="CV12:CV41" si="30">(CT12*CU12)/360</f>
        <v>0</v>
      </c>
      <c r="CY12" s="183">
        <f t="shared" ref="CY12:CY41" si="31">(CW12*CX12)/360</f>
        <v>0</v>
      </c>
      <c r="DB12" s="183">
        <f t="shared" ref="DB12:DB41" si="32">(CZ12*DA12)/360</f>
        <v>0</v>
      </c>
      <c r="DE12" s="183">
        <f t="shared" ref="DE12:DE41" si="33">(DC12*DD12)/360</f>
        <v>0</v>
      </c>
      <c r="DH12" s="183">
        <f t="shared" ref="DH12:DH41" si="34">(DF12*DG12)/360</f>
        <v>0</v>
      </c>
      <c r="DK12" s="183">
        <f t="shared" ref="DK12:DK41" si="35">(DI12*DJ12)/360</f>
        <v>0</v>
      </c>
      <c r="DN12" s="183">
        <f t="shared" ref="DN12:DN41" si="36">(DL12*DM12)/360</f>
        <v>0</v>
      </c>
      <c r="DQ12" s="183">
        <f t="shared" ref="DQ12:DQ41" si="37">(DO12*DP12)/360</f>
        <v>0</v>
      </c>
      <c r="DT12" s="183">
        <f t="shared" ref="DT12:DT41" si="38">(DR12*DS12)/360</f>
        <v>0</v>
      </c>
      <c r="DW12" s="183">
        <f t="shared" ref="DW12:DW41" si="39">(DU12*DV12)/360</f>
        <v>0</v>
      </c>
      <c r="DZ12" s="183"/>
      <c r="EA12" s="183"/>
      <c r="EB12" s="214">
        <f t="shared" ref="EB12:EB41" si="40">B12+E12+H12+K12+N12+Q12+T12+W12+Z12+AC12+AF12+AL12+AO12+AR12+AU12+AX12+BA12+BD12+BG12+DU12+AI12+DR12+DO12+DL12+DI12+DF12+DC12+CZ12+CW12+CT12+CQ12+CN12+CK12+CH12+CE12+CB12+BY12+BV12+BS12+BP12+BM12+BJ12</f>
        <v>456000000</v>
      </c>
      <c r="EC12" s="214">
        <f t="shared" ref="EC12:EC41" si="41">EB12-EK12+EL12</f>
        <v>0</v>
      </c>
      <c r="ED12" s="183">
        <f t="shared" ref="ED12:ED41" si="42">D12+G12+J12+M12+P12+S12+V12+Y12+AB12+AE12+AH12+AK12+AN12+AQ12+AT12+AW12+AZ12+BC12+BF12+BI12+DW12+DT12+DQ12+DN12+DK12+DH12+DE12+DB12+CY12+CV12+CS12+CP12+CM12+CJ12+CG12+CD12+CA12+BX12+BU12+BR12+BO12+BL12</f>
        <v>4694.0763888888896</v>
      </c>
      <c r="EE12" s="185">
        <f t="shared" ref="EE12:EE41" si="43">IF(EB12&lt;&gt;0,((ED12/EB12)*360),0)</f>
        <v>3.7058497807017552E-3</v>
      </c>
      <c r="EG12" s="214">
        <f t="shared" ref="EG12:EG41" si="44">Q12+T12+W12+Z12+AC12+AF12</f>
        <v>0</v>
      </c>
      <c r="EH12" s="183">
        <f t="shared" ref="EH12:EH41" si="45">S12+V12+Y12+AB12+AE12+AH12</f>
        <v>0</v>
      </c>
      <c r="EI12" s="185">
        <f t="shared" ref="EI12:EI41" si="46">IF(EG12&lt;&gt;0,((EH12/EG12)*360),0)</f>
        <v>0</v>
      </c>
      <c r="EJ12" s="185"/>
      <c r="EK12" s="214">
        <f t="shared" ref="EK12:EK41" si="47">DR12+DL12+DI12+DF12+DC12+CZ12+CW12+CT12+CQ12+CN12+CK12+CH12+CE12+CB12+BY12+BV12+BS12+BP12+BM12+BJ12+BG12+BD12+BA12+AX12+AU12+AR12+AO12+AL12+AI12+DO12</f>
        <v>456000000</v>
      </c>
      <c r="EL12" s="214">
        <f t="shared" ref="EL12:EL41" si="48">DX12</f>
        <v>0</v>
      </c>
      <c r="EM12" s="214">
        <f t="shared" ref="EM12:EM41" si="49">DT12+DQ12+DN12+DK12+DH12+DE12+DB12+CY12+CV12+CS12+CP12+CM12+CJ12+CG12+CD12+CA12+BX12+BU12+BR12+BO12+BL12+BI12+BF12+BC12+AZ12+AW12+AT12+AQ12+AN12+AK12</f>
        <v>4694.0763888888887</v>
      </c>
      <c r="EN12" s="185">
        <f t="shared" ref="EN12:EN41" si="50">IF(EK12&lt;&gt;0,((EM12/EK12)*360),0)</f>
        <v>3.7058497807017543E-3</v>
      </c>
      <c r="EP12" s="183"/>
    </row>
    <row r="13" spans="1:147" x14ac:dyDescent="0.2">
      <c r="A13" s="211">
        <f t="shared" ref="A13:A41" si="51">1+A12</f>
        <v>44623</v>
      </c>
      <c r="B13" s="183">
        <v>0</v>
      </c>
      <c r="C13" s="185">
        <v>3.2279600000000002E-3</v>
      </c>
      <c r="D13" s="183">
        <f t="shared" si="0"/>
        <v>0</v>
      </c>
      <c r="G13" s="183">
        <f t="shared" si="1"/>
        <v>0</v>
      </c>
      <c r="J13" s="183">
        <f t="shared" si="2"/>
        <v>0</v>
      </c>
      <c r="M13" s="183">
        <f t="shared" si="3"/>
        <v>0</v>
      </c>
      <c r="P13" s="183">
        <f t="shared" si="4"/>
        <v>0</v>
      </c>
      <c r="S13" s="183">
        <f t="shared" si="5"/>
        <v>0</v>
      </c>
      <c r="V13" s="183">
        <f t="shared" si="6"/>
        <v>0</v>
      </c>
      <c r="Y13" s="183">
        <f t="shared" si="7"/>
        <v>0</v>
      </c>
      <c r="AB13" s="183">
        <f t="shared" si="8"/>
        <v>0</v>
      </c>
      <c r="AE13" s="183">
        <v>0</v>
      </c>
      <c r="AH13" s="183">
        <v>0</v>
      </c>
      <c r="AI13" s="212"/>
      <c r="AJ13" s="213"/>
      <c r="AK13" s="183">
        <f t="shared" si="9"/>
        <v>0</v>
      </c>
      <c r="AL13" s="212"/>
      <c r="AM13" s="213"/>
      <c r="AN13" s="183">
        <f t="shared" si="10"/>
        <v>0</v>
      </c>
      <c r="AO13" s="212"/>
      <c r="AP13" s="213"/>
      <c r="AQ13" s="183">
        <f t="shared" si="11"/>
        <v>0</v>
      </c>
      <c r="AR13" s="212">
        <v>43825000</v>
      </c>
      <c r="AS13" s="213">
        <v>4.4999999999999997E-3</v>
      </c>
      <c r="AT13" s="183">
        <f t="shared" si="12"/>
        <v>547.81249999999989</v>
      </c>
      <c r="AU13" s="183">
        <v>69550000</v>
      </c>
      <c r="AV13" s="185">
        <v>4.4999999999999997E-3</v>
      </c>
      <c r="AW13" s="183">
        <f t="shared" si="13"/>
        <v>869.375</v>
      </c>
      <c r="AX13" s="183">
        <v>85000000</v>
      </c>
      <c r="AY13" s="185">
        <v>3.8999999999999998E-3</v>
      </c>
      <c r="AZ13" s="183">
        <f t="shared" si="14"/>
        <v>920.83333333333337</v>
      </c>
      <c r="BA13" s="183">
        <v>48275000</v>
      </c>
      <c r="BB13" s="185">
        <v>3.0000000000000001E-3</v>
      </c>
      <c r="BC13" s="183">
        <f t="shared" si="15"/>
        <v>402.29166666666669</v>
      </c>
      <c r="BD13" s="183">
        <v>84350000</v>
      </c>
      <c r="BE13" s="185">
        <v>3.3E-3</v>
      </c>
      <c r="BF13" s="183">
        <f t="shared" si="16"/>
        <v>773.20833333333337</v>
      </c>
      <c r="BG13" s="183">
        <v>75000000</v>
      </c>
      <c r="BH13" s="185">
        <v>4.0000000000000001E-3</v>
      </c>
      <c r="BI13" s="183">
        <f t="shared" si="17"/>
        <v>833.33333333333337</v>
      </c>
      <c r="BJ13" s="183">
        <v>47600000</v>
      </c>
      <c r="BK13" s="185">
        <v>2.5000000000000001E-3</v>
      </c>
      <c r="BL13" s="183">
        <f t="shared" si="18"/>
        <v>330.55555555555554</v>
      </c>
      <c r="BO13" s="183">
        <f t="shared" si="19"/>
        <v>0</v>
      </c>
      <c r="BR13" s="183">
        <f t="shared" si="20"/>
        <v>0</v>
      </c>
      <c r="BU13" s="183">
        <f t="shared" si="21"/>
        <v>0</v>
      </c>
      <c r="BX13" s="183">
        <f t="shared" si="22"/>
        <v>0</v>
      </c>
      <c r="CA13" s="183">
        <f t="shared" si="23"/>
        <v>0</v>
      </c>
      <c r="CD13" s="183">
        <f t="shared" si="24"/>
        <v>0</v>
      </c>
      <c r="CG13" s="183">
        <f t="shared" si="25"/>
        <v>0</v>
      </c>
      <c r="CJ13" s="183">
        <f t="shared" si="26"/>
        <v>0</v>
      </c>
      <c r="CM13" s="183">
        <f t="shared" si="27"/>
        <v>0</v>
      </c>
      <c r="CP13" s="183">
        <f t="shared" si="28"/>
        <v>0</v>
      </c>
      <c r="CS13" s="183">
        <f t="shared" si="29"/>
        <v>0</v>
      </c>
      <c r="CV13" s="183">
        <f t="shared" si="30"/>
        <v>0</v>
      </c>
      <c r="CY13" s="183">
        <f t="shared" si="31"/>
        <v>0</v>
      </c>
      <c r="DB13" s="183">
        <f t="shared" si="32"/>
        <v>0</v>
      </c>
      <c r="DE13" s="183">
        <f t="shared" si="33"/>
        <v>0</v>
      </c>
      <c r="DH13" s="183">
        <f t="shared" si="34"/>
        <v>0</v>
      </c>
      <c r="DK13" s="183">
        <f t="shared" si="35"/>
        <v>0</v>
      </c>
      <c r="DN13" s="183">
        <f t="shared" si="36"/>
        <v>0</v>
      </c>
      <c r="DQ13" s="183">
        <f t="shared" si="37"/>
        <v>0</v>
      </c>
      <c r="DT13" s="183">
        <f t="shared" si="38"/>
        <v>0</v>
      </c>
      <c r="DW13" s="183">
        <f t="shared" si="39"/>
        <v>0</v>
      </c>
      <c r="DZ13" s="183"/>
      <c r="EA13" s="183"/>
      <c r="EB13" s="214">
        <f t="shared" si="40"/>
        <v>453600000</v>
      </c>
      <c r="EC13" s="214">
        <f t="shared" si="41"/>
        <v>0</v>
      </c>
      <c r="ED13" s="183">
        <f t="shared" si="42"/>
        <v>4677.4097222222226</v>
      </c>
      <c r="EE13" s="185">
        <f t="shared" si="43"/>
        <v>3.7122299382716054E-3</v>
      </c>
      <c r="EG13" s="214">
        <f t="shared" si="44"/>
        <v>0</v>
      </c>
      <c r="EH13" s="183">
        <f t="shared" si="45"/>
        <v>0</v>
      </c>
      <c r="EI13" s="185">
        <f t="shared" si="46"/>
        <v>0</v>
      </c>
      <c r="EJ13" s="185"/>
      <c r="EK13" s="214">
        <f t="shared" si="47"/>
        <v>453600000</v>
      </c>
      <c r="EL13" s="214">
        <f t="shared" si="48"/>
        <v>0</v>
      </c>
      <c r="EM13" s="214">
        <f t="shared" si="49"/>
        <v>4677.4097222222226</v>
      </c>
      <c r="EN13" s="185">
        <f t="shared" si="50"/>
        <v>3.7122299382716054E-3</v>
      </c>
      <c r="EP13" s="183"/>
    </row>
    <row r="14" spans="1:147" x14ac:dyDescent="0.2">
      <c r="A14" s="211">
        <f t="shared" si="51"/>
        <v>44624</v>
      </c>
      <c r="B14" s="183">
        <v>0</v>
      </c>
      <c r="C14" s="185">
        <v>4.1620600000000004E-3</v>
      </c>
      <c r="D14" s="183">
        <f t="shared" si="0"/>
        <v>0</v>
      </c>
      <c r="G14" s="183">
        <f t="shared" si="1"/>
        <v>0</v>
      </c>
      <c r="J14" s="183">
        <f t="shared" si="2"/>
        <v>0</v>
      </c>
      <c r="M14" s="183">
        <f t="shared" si="3"/>
        <v>0</v>
      </c>
      <c r="P14" s="183">
        <f t="shared" si="4"/>
        <v>0</v>
      </c>
      <c r="S14" s="183">
        <f t="shared" si="5"/>
        <v>0</v>
      </c>
      <c r="V14" s="183">
        <f t="shared" si="6"/>
        <v>0</v>
      </c>
      <c r="Y14" s="183">
        <f t="shared" si="7"/>
        <v>0</v>
      </c>
      <c r="AB14" s="183">
        <f t="shared" si="8"/>
        <v>0</v>
      </c>
      <c r="AE14" s="183">
        <v>0</v>
      </c>
      <c r="AH14" s="183">
        <v>0</v>
      </c>
      <c r="AI14" s="212"/>
      <c r="AJ14" s="213"/>
      <c r="AK14" s="183">
        <f t="shared" si="9"/>
        <v>0</v>
      </c>
      <c r="AL14" s="212"/>
      <c r="AM14" s="213"/>
      <c r="AN14" s="183">
        <f t="shared" si="10"/>
        <v>0</v>
      </c>
      <c r="AO14" s="212"/>
      <c r="AP14" s="213"/>
      <c r="AQ14" s="183">
        <f t="shared" si="11"/>
        <v>0</v>
      </c>
      <c r="AR14" s="212">
        <v>43825000</v>
      </c>
      <c r="AS14" s="213">
        <v>4.4999999999999997E-3</v>
      </c>
      <c r="AT14" s="183">
        <f t="shared" si="12"/>
        <v>547.81249999999989</v>
      </c>
      <c r="AU14" s="183">
        <v>69550000</v>
      </c>
      <c r="AV14" s="185">
        <v>4.4999999999999997E-3</v>
      </c>
      <c r="AW14" s="183">
        <f t="shared" si="13"/>
        <v>869.375</v>
      </c>
      <c r="AX14" s="183">
        <v>85000000</v>
      </c>
      <c r="AY14" s="185">
        <v>3.8999999999999998E-3</v>
      </c>
      <c r="AZ14" s="183">
        <f t="shared" si="14"/>
        <v>920.83333333333337</v>
      </c>
      <c r="BA14" s="183">
        <v>48275000</v>
      </c>
      <c r="BB14" s="185">
        <v>3.0000000000000001E-3</v>
      </c>
      <c r="BC14" s="183">
        <f t="shared" si="15"/>
        <v>402.29166666666669</v>
      </c>
      <c r="BD14" s="183">
        <v>84350000</v>
      </c>
      <c r="BE14" s="185">
        <v>3.3E-3</v>
      </c>
      <c r="BF14" s="183">
        <f t="shared" si="16"/>
        <v>773.20833333333337</v>
      </c>
      <c r="BG14" s="183">
        <v>75000000</v>
      </c>
      <c r="BH14" s="185">
        <v>4.0000000000000001E-3</v>
      </c>
      <c r="BI14" s="183">
        <f t="shared" si="17"/>
        <v>833.33333333333337</v>
      </c>
      <c r="BL14" s="183">
        <f t="shared" si="18"/>
        <v>0</v>
      </c>
      <c r="BO14" s="183">
        <f t="shared" si="19"/>
        <v>0</v>
      </c>
      <c r="BR14" s="183">
        <f t="shared" si="20"/>
        <v>0</v>
      </c>
      <c r="BU14" s="183">
        <f t="shared" si="21"/>
        <v>0</v>
      </c>
      <c r="BX14" s="183">
        <f t="shared" si="22"/>
        <v>0</v>
      </c>
      <c r="CA14" s="183">
        <f t="shared" si="23"/>
        <v>0</v>
      </c>
      <c r="CD14" s="183">
        <f t="shared" si="24"/>
        <v>0</v>
      </c>
      <c r="CG14" s="183">
        <f t="shared" si="25"/>
        <v>0</v>
      </c>
      <c r="CJ14" s="183">
        <f t="shared" si="26"/>
        <v>0</v>
      </c>
      <c r="CM14" s="183">
        <f t="shared" si="27"/>
        <v>0</v>
      </c>
      <c r="CP14" s="183">
        <f t="shared" si="28"/>
        <v>0</v>
      </c>
      <c r="CS14" s="183">
        <f t="shared" si="29"/>
        <v>0</v>
      </c>
      <c r="CV14" s="183">
        <f t="shared" si="30"/>
        <v>0</v>
      </c>
      <c r="CY14" s="183">
        <f t="shared" si="31"/>
        <v>0</v>
      </c>
      <c r="DB14" s="183">
        <f t="shared" si="32"/>
        <v>0</v>
      </c>
      <c r="DE14" s="183">
        <f t="shared" si="33"/>
        <v>0</v>
      </c>
      <c r="DH14" s="183">
        <f t="shared" si="34"/>
        <v>0</v>
      </c>
      <c r="DK14" s="183">
        <f t="shared" si="35"/>
        <v>0</v>
      </c>
      <c r="DN14" s="183">
        <f t="shared" si="36"/>
        <v>0</v>
      </c>
      <c r="DQ14" s="183">
        <f t="shared" si="37"/>
        <v>0</v>
      </c>
      <c r="DT14" s="183">
        <f t="shared" si="38"/>
        <v>0</v>
      </c>
      <c r="DW14" s="183">
        <f t="shared" si="39"/>
        <v>0</v>
      </c>
      <c r="DZ14" s="183"/>
      <c r="EA14" s="183"/>
      <c r="EB14" s="214">
        <f t="shared" si="40"/>
        <v>406000000</v>
      </c>
      <c r="EC14" s="214">
        <f t="shared" si="41"/>
        <v>0</v>
      </c>
      <c r="ED14" s="183">
        <f t="shared" si="42"/>
        <v>4346.854166666667</v>
      </c>
      <c r="EE14" s="185">
        <f t="shared" si="43"/>
        <v>3.8543534482758626E-3</v>
      </c>
      <c r="EG14" s="214">
        <f t="shared" si="44"/>
        <v>0</v>
      </c>
      <c r="EH14" s="183">
        <f t="shared" si="45"/>
        <v>0</v>
      </c>
      <c r="EI14" s="185">
        <f t="shared" si="46"/>
        <v>0</v>
      </c>
      <c r="EJ14" s="185"/>
      <c r="EK14" s="214">
        <f t="shared" si="47"/>
        <v>406000000</v>
      </c>
      <c r="EL14" s="214">
        <f t="shared" si="48"/>
        <v>0</v>
      </c>
      <c r="EM14" s="214">
        <f t="shared" si="49"/>
        <v>4346.854166666667</v>
      </c>
      <c r="EN14" s="185">
        <f t="shared" si="50"/>
        <v>3.8543534482758626E-3</v>
      </c>
      <c r="EP14" s="183"/>
    </row>
    <row r="15" spans="1:147" x14ac:dyDescent="0.2">
      <c r="A15" s="211">
        <f t="shared" si="51"/>
        <v>44625</v>
      </c>
      <c r="B15" s="183">
        <v>0</v>
      </c>
      <c r="C15" s="185">
        <v>4.1620600000000004E-3</v>
      </c>
      <c r="D15" s="183">
        <f t="shared" si="0"/>
        <v>0</v>
      </c>
      <c r="G15" s="183">
        <f t="shared" si="1"/>
        <v>0</v>
      </c>
      <c r="J15" s="183">
        <f t="shared" si="2"/>
        <v>0</v>
      </c>
      <c r="M15" s="183">
        <f t="shared" si="3"/>
        <v>0</v>
      </c>
      <c r="P15" s="183">
        <f t="shared" si="4"/>
        <v>0</v>
      </c>
      <c r="S15" s="183">
        <f t="shared" si="5"/>
        <v>0</v>
      </c>
      <c r="V15" s="183">
        <f t="shared" si="6"/>
        <v>0</v>
      </c>
      <c r="Y15" s="183">
        <f t="shared" si="7"/>
        <v>0</v>
      </c>
      <c r="AB15" s="183">
        <f t="shared" si="8"/>
        <v>0</v>
      </c>
      <c r="AE15" s="183">
        <v>0</v>
      </c>
      <c r="AH15" s="183">
        <v>0</v>
      </c>
      <c r="AI15" s="212"/>
      <c r="AJ15" s="213"/>
      <c r="AK15" s="183">
        <f t="shared" si="9"/>
        <v>0</v>
      </c>
      <c r="AL15" s="212"/>
      <c r="AM15" s="213"/>
      <c r="AN15" s="183">
        <f t="shared" si="10"/>
        <v>0</v>
      </c>
      <c r="AO15" s="212"/>
      <c r="AP15" s="213"/>
      <c r="AQ15" s="183">
        <f t="shared" si="11"/>
        <v>0</v>
      </c>
      <c r="AR15" s="212">
        <v>43825000</v>
      </c>
      <c r="AS15" s="213">
        <v>4.4999999999999997E-3</v>
      </c>
      <c r="AT15" s="183">
        <f t="shared" si="12"/>
        <v>547.81249999999989</v>
      </c>
      <c r="AU15" s="183">
        <v>69550000</v>
      </c>
      <c r="AV15" s="185">
        <v>4.4999999999999997E-3</v>
      </c>
      <c r="AW15" s="183">
        <f t="shared" si="13"/>
        <v>869.375</v>
      </c>
      <c r="AX15" s="183">
        <v>85000000</v>
      </c>
      <c r="AY15" s="185">
        <v>3.8999999999999998E-3</v>
      </c>
      <c r="AZ15" s="183">
        <f t="shared" si="14"/>
        <v>920.83333333333337</v>
      </c>
      <c r="BA15" s="183">
        <v>48275000</v>
      </c>
      <c r="BB15" s="185">
        <v>3.0000000000000001E-3</v>
      </c>
      <c r="BC15" s="183">
        <f t="shared" si="15"/>
        <v>402.29166666666669</v>
      </c>
      <c r="BD15" s="183">
        <v>84350000</v>
      </c>
      <c r="BE15" s="185">
        <v>3.3E-3</v>
      </c>
      <c r="BF15" s="183">
        <f t="shared" si="16"/>
        <v>773.20833333333337</v>
      </c>
      <c r="BG15" s="183">
        <v>75000000</v>
      </c>
      <c r="BH15" s="185">
        <v>4.0000000000000001E-3</v>
      </c>
      <c r="BI15" s="183">
        <f t="shared" si="17"/>
        <v>833.33333333333337</v>
      </c>
      <c r="BL15" s="183">
        <f t="shared" si="18"/>
        <v>0</v>
      </c>
      <c r="BO15" s="183">
        <f t="shared" si="19"/>
        <v>0</v>
      </c>
      <c r="BR15" s="183">
        <f t="shared" si="20"/>
        <v>0</v>
      </c>
      <c r="BU15" s="183">
        <f t="shared" si="21"/>
        <v>0</v>
      </c>
      <c r="BX15" s="183">
        <f t="shared" si="22"/>
        <v>0</v>
      </c>
      <c r="CA15" s="183">
        <f t="shared" si="23"/>
        <v>0</v>
      </c>
      <c r="CD15" s="183">
        <f t="shared" si="24"/>
        <v>0</v>
      </c>
      <c r="CG15" s="183">
        <f t="shared" si="25"/>
        <v>0</v>
      </c>
      <c r="CJ15" s="183">
        <f t="shared" si="26"/>
        <v>0</v>
      </c>
      <c r="CM15" s="183">
        <f t="shared" si="27"/>
        <v>0</v>
      </c>
      <c r="CP15" s="183">
        <f t="shared" si="28"/>
        <v>0</v>
      </c>
      <c r="CS15" s="183">
        <f t="shared" si="29"/>
        <v>0</v>
      </c>
      <c r="CV15" s="183">
        <f t="shared" si="30"/>
        <v>0</v>
      </c>
      <c r="CY15" s="183">
        <f t="shared" si="31"/>
        <v>0</v>
      </c>
      <c r="DB15" s="183">
        <f t="shared" si="32"/>
        <v>0</v>
      </c>
      <c r="DE15" s="183">
        <f t="shared" si="33"/>
        <v>0</v>
      </c>
      <c r="DH15" s="183">
        <f t="shared" si="34"/>
        <v>0</v>
      </c>
      <c r="DK15" s="183">
        <f t="shared" si="35"/>
        <v>0</v>
      </c>
      <c r="DN15" s="183">
        <f t="shared" si="36"/>
        <v>0</v>
      </c>
      <c r="DQ15" s="183">
        <f t="shared" si="37"/>
        <v>0</v>
      </c>
      <c r="DT15" s="183">
        <f t="shared" si="38"/>
        <v>0</v>
      </c>
      <c r="DW15" s="183">
        <f t="shared" si="39"/>
        <v>0</v>
      </c>
      <c r="DZ15" s="183"/>
      <c r="EA15" s="183"/>
      <c r="EB15" s="214">
        <f t="shared" si="40"/>
        <v>406000000</v>
      </c>
      <c r="EC15" s="214">
        <f t="shared" si="41"/>
        <v>0</v>
      </c>
      <c r="ED15" s="183">
        <f t="shared" si="42"/>
        <v>4346.854166666667</v>
      </c>
      <c r="EE15" s="185">
        <f t="shared" si="43"/>
        <v>3.8543534482758626E-3</v>
      </c>
      <c r="EG15" s="214">
        <f t="shared" si="44"/>
        <v>0</v>
      </c>
      <c r="EH15" s="183">
        <f t="shared" si="45"/>
        <v>0</v>
      </c>
      <c r="EI15" s="185">
        <f t="shared" si="46"/>
        <v>0</v>
      </c>
      <c r="EJ15" s="185"/>
      <c r="EK15" s="214">
        <f t="shared" si="47"/>
        <v>406000000</v>
      </c>
      <c r="EL15" s="214">
        <f t="shared" si="48"/>
        <v>0</v>
      </c>
      <c r="EM15" s="214">
        <f t="shared" si="49"/>
        <v>4346.854166666667</v>
      </c>
      <c r="EN15" s="185">
        <f t="shared" si="50"/>
        <v>3.8543534482758626E-3</v>
      </c>
      <c r="EP15" s="183"/>
    </row>
    <row r="16" spans="1:147" x14ac:dyDescent="0.2">
      <c r="A16" s="211">
        <f t="shared" si="51"/>
        <v>44626</v>
      </c>
      <c r="B16" s="183">
        <v>0</v>
      </c>
      <c r="C16" s="185">
        <v>4.1620600000000004E-3</v>
      </c>
      <c r="D16" s="183">
        <f t="shared" si="0"/>
        <v>0</v>
      </c>
      <c r="G16" s="183">
        <f t="shared" si="1"/>
        <v>0</v>
      </c>
      <c r="J16" s="183">
        <f t="shared" si="2"/>
        <v>0</v>
      </c>
      <c r="M16" s="183">
        <f t="shared" si="3"/>
        <v>0</v>
      </c>
      <c r="P16" s="183">
        <f t="shared" si="4"/>
        <v>0</v>
      </c>
      <c r="S16" s="183">
        <f t="shared" si="5"/>
        <v>0</v>
      </c>
      <c r="V16" s="183">
        <f t="shared" si="6"/>
        <v>0</v>
      </c>
      <c r="Y16" s="183">
        <f t="shared" si="7"/>
        <v>0</v>
      </c>
      <c r="AB16" s="183">
        <f t="shared" si="8"/>
        <v>0</v>
      </c>
      <c r="AE16" s="183">
        <v>0</v>
      </c>
      <c r="AH16" s="183">
        <v>0</v>
      </c>
      <c r="AI16" s="212"/>
      <c r="AJ16" s="213"/>
      <c r="AK16" s="183">
        <f t="shared" si="9"/>
        <v>0</v>
      </c>
      <c r="AL16" s="212"/>
      <c r="AM16" s="213"/>
      <c r="AN16" s="183">
        <f t="shared" si="10"/>
        <v>0</v>
      </c>
      <c r="AO16" s="212"/>
      <c r="AP16" s="213"/>
      <c r="AQ16" s="183">
        <f t="shared" si="11"/>
        <v>0</v>
      </c>
      <c r="AR16" s="212">
        <v>43825000</v>
      </c>
      <c r="AS16" s="213">
        <v>4.4999999999999997E-3</v>
      </c>
      <c r="AT16" s="183">
        <f t="shared" si="12"/>
        <v>547.81249999999989</v>
      </c>
      <c r="AU16" s="183">
        <v>69550000</v>
      </c>
      <c r="AV16" s="185">
        <v>4.4999999999999997E-3</v>
      </c>
      <c r="AW16" s="183">
        <f t="shared" si="13"/>
        <v>869.375</v>
      </c>
      <c r="AX16" s="183">
        <v>85000000</v>
      </c>
      <c r="AY16" s="185">
        <v>3.8999999999999998E-3</v>
      </c>
      <c r="AZ16" s="183">
        <f t="shared" si="14"/>
        <v>920.83333333333337</v>
      </c>
      <c r="BA16" s="183">
        <v>48275000</v>
      </c>
      <c r="BB16" s="185">
        <v>3.0000000000000001E-3</v>
      </c>
      <c r="BC16" s="183">
        <f t="shared" si="15"/>
        <v>402.29166666666669</v>
      </c>
      <c r="BD16" s="183">
        <v>84350000</v>
      </c>
      <c r="BE16" s="185">
        <v>3.3E-3</v>
      </c>
      <c r="BF16" s="183">
        <f t="shared" si="16"/>
        <v>773.20833333333337</v>
      </c>
      <c r="BG16" s="183">
        <v>75000000</v>
      </c>
      <c r="BH16" s="185">
        <v>4.0000000000000001E-3</v>
      </c>
      <c r="BI16" s="183">
        <f t="shared" si="17"/>
        <v>833.33333333333337</v>
      </c>
      <c r="BL16" s="183">
        <f t="shared" si="18"/>
        <v>0</v>
      </c>
      <c r="BO16" s="183">
        <f t="shared" si="19"/>
        <v>0</v>
      </c>
      <c r="BR16" s="183">
        <f t="shared" si="20"/>
        <v>0</v>
      </c>
      <c r="BU16" s="183">
        <f t="shared" si="21"/>
        <v>0</v>
      </c>
      <c r="BX16" s="183">
        <f t="shared" si="22"/>
        <v>0</v>
      </c>
      <c r="CA16" s="183">
        <f t="shared" si="23"/>
        <v>0</v>
      </c>
      <c r="CD16" s="183">
        <f t="shared" si="24"/>
        <v>0</v>
      </c>
      <c r="CG16" s="183">
        <f t="shared" si="25"/>
        <v>0</v>
      </c>
      <c r="CJ16" s="183">
        <f t="shared" si="26"/>
        <v>0</v>
      </c>
      <c r="CM16" s="183">
        <f t="shared" si="27"/>
        <v>0</v>
      </c>
      <c r="CP16" s="183">
        <f t="shared" si="28"/>
        <v>0</v>
      </c>
      <c r="CS16" s="183">
        <f t="shared" si="29"/>
        <v>0</v>
      </c>
      <c r="CV16" s="183">
        <f t="shared" si="30"/>
        <v>0</v>
      </c>
      <c r="CY16" s="183">
        <f t="shared" si="31"/>
        <v>0</v>
      </c>
      <c r="DB16" s="183">
        <f t="shared" si="32"/>
        <v>0</v>
      </c>
      <c r="DE16" s="183">
        <f t="shared" si="33"/>
        <v>0</v>
      </c>
      <c r="DH16" s="183">
        <f t="shared" si="34"/>
        <v>0</v>
      </c>
      <c r="DK16" s="183">
        <f t="shared" si="35"/>
        <v>0</v>
      </c>
      <c r="DN16" s="183">
        <f t="shared" si="36"/>
        <v>0</v>
      </c>
      <c r="DQ16" s="183">
        <f t="shared" si="37"/>
        <v>0</v>
      </c>
      <c r="DT16" s="183">
        <f t="shared" si="38"/>
        <v>0</v>
      </c>
      <c r="DW16" s="183">
        <f t="shared" si="39"/>
        <v>0</v>
      </c>
      <c r="DZ16" s="183"/>
      <c r="EA16" s="183"/>
      <c r="EB16" s="214">
        <f t="shared" si="40"/>
        <v>406000000</v>
      </c>
      <c r="EC16" s="214">
        <f t="shared" si="41"/>
        <v>0</v>
      </c>
      <c r="ED16" s="183">
        <f t="shared" si="42"/>
        <v>4346.854166666667</v>
      </c>
      <c r="EE16" s="185">
        <f t="shared" si="43"/>
        <v>3.8543534482758626E-3</v>
      </c>
      <c r="EG16" s="214">
        <f t="shared" si="44"/>
        <v>0</v>
      </c>
      <c r="EH16" s="183">
        <f t="shared" si="45"/>
        <v>0</v>
      </c>
      <c r="EI16" s="185">
        <f t="shared" si="46"/>
        <v>0</v>
      </c>
      <c r="EJ16" s="185"/>
      <c r="EK16" s="214">
        <f t="shared" si="47"/>
        <v>406000000</v>
      </c>
      <c r="EL16" s="214">
        <f t="shared" si="48"/>
        <v>0</v>
      </c>
      <c r="EM16" s="214">
        <f t="shared" si="49"/>
        <v>4346.854166666667</v>
      </c>
      <c r="EN16" s="185">
        <f t="shared" si="50"/>
        <v>3.8543534482758626E-3</v>
      </c>
      <c r="EP16" s="183"/>
    </row>
    <row r="17" spans="1:146" x14ac:dyDescent="0.2">
      <c r="A17" s="211">
        <f t="shared" si="51"/>
        <v>44627</v>
      </c>
      <c r="B17" s="183">
        <v>0</v>
      </c>
      <c r="C17" s="185">
        <v>4.20346E-3</v>
      </c>
      <c r="D17" s="183">
        <f t="shared" si="0"/>
        <v>0</v>
      </c>
      <c r="G17" s="183">
        <f t="shared" si="1"/>
        <v>0</v>
      </c>
      <c r="J17" s="183">
        <f t="shared" si="2"/>
        <v>0</v>
      </c>
      <c r="M17" s="183">
        <f t="shared" si="3"/>
        <v>0</v>
      </c>
      <c r="P17" s="183">
        <f t="shared" si="4"/>
        <v>0</v>
      </c>
      <c r="S17" s="183">
        <f t="shared" si="5"/>
        <v>0</v>
      </c>
      <c r="V17" s="183">
        <f t="shared" si="6"/>
        <v>0</v>
      </c>
      <c r="Y17" s="183">
        <f t="shared" si="7"/>
        <v>0</v>
      </c>
      <c r="AB17" s="183">
        <f t="shared" si="8"/>
        <v>0</v>
      </c>
      <c r="AE17" s="183">
        <v>0</v>
      </c>
      <c r="AH17" s="183">
        <v>0</v>
      </c>
      <c r="AI17" s="212"/>
      <c r="AJ17" s="213"/>
      <c r="AK17" s="183">
        <f t="shared" si="9"/>
        <v>0</v>
      </c>
      <c r="AL17" s="212"/>
      <c r="AM17" s="213"/>
      <c r="AN17" s="183">
        <f t="shared" si="10"/>
        <v>0</v>
      </c>
      <c r="AO17" s="212">
        <v>60025000</v>
      </c>
      <c r="AP17" s="213">
        <v>6.0000000000000001E-3</v>
      </c>
      <c r="AQ17" s="183">
        <f t="shared" si="11"/>
        <v>1000.4166666666666</v>
      </c>
      <c r="AR17" s="212">
        <v>43825000</v>
      </c>
      <c r="AS17" s="213">
        <v>4.4999999999999997E-3</v>
      </c>
      <c r="AT17" s="183">
        <f t="shared" si="12"/>
        <v>547.81249999999989</v>
      </c>
      <c r="AU17" s="183">
        <v>69550000</v>
      </c>
      <c r="AV17" s="185">
        <v>4.4999999999999997E-3</v>
      </c>
      <c r="AW17" s="183">
        <f t="shared" si="13"/>
        <v>869.375</v>
      </c>
      <c r="AX17" s="183">
        <v>85000000</v>
      </c>
      <c r="AY17" s="185">
        <v>3.8999999999999998E-3</v>
      </c>
      <c r="AZ17" s="183">
        <f t="shared" si="14"/>
        <v>920.83333333333337</v>
      </c>
      <c r="BA17" s="183">
        <v>48275000</v>
      </c>
      <c r="BB17" s="185">
        <v>3.0000000000000001E-3</v>
      </c>
      <c r="BC17" s="183">
        <f t="shared" si="15"/>
        <v>402.29166666666669</v>
      </c>
      <c r="BD17" s="183">
        <v>24350000</v>
      </c>
      <c r="BE17" s="185">
        <v>3.3E-3</v>
      </c>
      <c r="BF17" s="183">
        <f t="shared" si="16"/>
        <v>223.20833333333334</v>
      </c>
      <c r="BG17" s="183">
        <v>75000000</v>
      </c>
      <c r="BH17" s="185">
        <v>4.0000000000000001E-3</v>
      </c>
      <c r="BI17" s="183">
        <f t="shared" si="17"/>
        <v>833.33333333333337</v>
      </c>
      <c r="BJ17" s="183">
        <v>50300000</v>
      </c>
      <c r="BK17" s="185">
        <v>3.0000000000000001E-3</v>
      </c>
      <c r="BL17" s="183">
        <f t="shared" si="18"/>
        <v>419.16666666666669</v>
      </c>
      <c r="BO17" s="183">
        <f t="shared" si="19"/>
        <v>0</v>
      </c>
      <c r="BR17" s="183">
        <f t="shared" si="20"/>
        <v>0</v>
      </c>
      <c r="BU17" s="183">
        <f t="shared" si="21"/>
        <v>0</v>
      </c>
      <c r="BX17" s="183">
        <f t="shared" si="22"/>
        <v>0</v>
      </c>
      <c r="CA17" s="183">
        <f t="shared" si="23"/>
        <v>0</v>
      </c>
      <c r="CD17" s="183">
        <f t="shared" si="24"/>
        <v>0</v>
      </c>
      <c r="CG17" s="183">
        <f t="shared" si="25"/>
        <v>0</v>
      </c>
      <c r="CJ17" s="183">
        <f t="shared" si="26"/>
        <v>0</v>
      </c>
      <c r="CM17" s="183">
        <f t="shared" si="27"/>
        <v>0</v>
      </c>
      <c r="CP17" s="183">
        <f t="shared" si="28"/>
        <v>0</v>
      </c>
      <c r="CS17" s="183">
        <f t="shared" si="29"/>
        <v>0</v>
      </c>
      <c r="CV17" s="183">
        <f t="shared" si="30"/>
        <v>0</v>
      </c>
      <c r="CY17" s="183">
        <f t="shared" si="31"/>
        <v>0</v>
      </c>
      <c r="DB17" s="183">
        <f t="shared" si="32"/>
        <v>0</v>
      </c>
      <c r="DE17" s="183">
        <f t="shared" si="33"/>
        <v>0</v>
      </c>
      <c r="DH17" s="183">
        <f t="shared" si="34"/>
        <v>0</v>
      </c>
      <c r="DK17" s="183">
        <f t="shared" si="35"/>
        <v>0</v>
      </c>
      <c r="DN17" s="183">
        <f t="shared" si="36"/>
        <v>0</v>
      </c>
      <c r="DQ17" s="183">
        <f t="shared" si="37"/>
        <v>0</v>
      </c>
      <c r="DT17" s="183">
        <f t="shared" si="38"/>
        <v>0</v>
      </c>
      <c r="DW17" s="183">
        <f t="shared" si="39"/>
        <v>0</v>
      </c>
      <c r="DZ17" s="183"/>
      <c r="EA17" s="183"/>
      <c r="EB17" s="214">
        <f t="shared" si="40"/>
        <v>456325000</v>
      </c>
      <c r="EC17" s="214">
        <f t="shared" si="41"/>
        <v>0</v>
      </c>
      <c r="ED17" s="183">
        <f t="shared" si="42"/>
        <v>5216.4375</v>
      </c>
      <c r="EE17" s="185">
        <f t="shared" si="43"/>
        <v>4.1153070728099494E-3</v>
      </c>
      <c r="EG17" s="214">
        <f t="shared" si="44"/>
        <v>0</v>
      </c>
      <c r="EH17" s="183">
        <f t="shared" si="45"/>
        <v>0</v>
      </c>
      <c r="EI17" s="185">
        <f t="shared" si="46"/>
        <v>0</v>
      </c>
      <c r="EJ17" s="185"/>
      <c r="EK17" s="214">
        <f t="shared" si="47"/>
        <v>456325000</v>
      </c>
      <c r="EL17" s="214">
        <f t="shared" si="48"/>
        <v>0</v>
      </c>
      <c r="EM17" s="214">
        <f t="shared" si="49"/>
        <v>5216.4375</v>
      </c>
      <c r="EN17" s="185">
        <f t="shared" si="50"/>
        <v>4.1153070728099494E-3</v>
      </c>
      <c r="EP17" s="183"/>
    </row>
    <row r="18" spans="1:146" x14ac:dyDescent="0.2">
      <c r="A18" s="211">
        <f t="shared" si="51"/>
        <v>44628</v>
      </c>
      <c r="B18" s="183">
        <v>0</v>
      </c>
      <c r="C18" s="185">
        <v>5.0801500000000003E-3</v>
      </c>
      <c r="D18" s="183">
        <f t="shared" si="0"/>
        <v>0</v>
      </c>
      <c r="G18" s="183">
        <f t="shared" si="1"/>
        <v>0</v>
      </c>
      <c r="J18" s="183">
        <f t="shared" si="2"/>
        <v>0</v>
      </c>
      <c r="M18" s="183">
        <f t="shared" si="3"/>
        <v>0</v>
      </c>
      <c r="P18" s="183">
        <f t="shared" si="4"/>
        <v>0</v>
      </c>
      <c r="S18" s="183">
        <f t="shared" si="5"/>
        <v>0</v>
      </c>
      <c r="V18" s="183">
        <f t="shared" si="6"/>
        <v>0</v>
      </c>
      <c r="Y18" s="183">
        <f t="shared" si="7"/>
        <v>0</v>
      </c>
      <c r="AB18" s="183">
        <f t="shared" si="8"/>
        <v>0</v>
      </c>
      <c r="AE18" s="183">
        <v>0</v>
      </c>
      <c r="AH18" s="183">
        <v>0</v>
      </c>
      <c r="AI18" s="212"/>
      <c r="AJ18" s="213"/>
      <c r="AK18" s="183">
        <f t="shared" si="9"/>
        <v>0</v>
      </c>
      <c r="AL18" s="212">
        <v>30000000</v>
      </c>
      <c r="AM18" s="213">
        <v>6.4999999999999997E-3</v>
      </c>
      <c r="AN18" s="183">
        <f t="shared" si="10"/>
        <v>541.66666666666663</v>
      </c>
      <c r="AO18" s="212">
        <v>60025000</v>
      </c>
      <c r="AP18" s="213">
        <v>6.0000000000000001E-3</v>
      </c>
      <c r="AQ18" s="183">
        <f t="shared" si="11"/>
        <v>1000.4166666666666</v>
      </c>
      <c r="AR18" s="212">
        <v>43825000</v>
      </c>
      <c r="AS18" s="213">
        <v>4.4999999999999997E-3</v>
      </c>
      <c r="AT18" s="183">
        <f t="shared" si="12"/>
        <v>547.81249999999989</v>
      </c>
      <c r="AU18" s="183">
        <v>69550000</v>
      </c>
      <c r="AV18" s="185">
        <v>4.4999999999999997E-3</v>
      </c>
      <c r="AW18" s="183">
        <f t="shared" si="13"/>
        <v>869.375</v>
      </c>
      <c r="AX18" s="183">
        <v>85000000</v>
      </c>
      <c r="AY18" s="185">
        <v>3.8999999999999998E-3</v>
      </c>
      <c r="AZ18" s="183">
        <f t="shared" si="14"/>
        <v>920.83333333333337</v>
      </c>
      <c r="BA18" s="183">
        <v>48275000</v>
      </c>
      <c r="BB18" s="185">
        <v>3.0000000000000001E-3</v>
      </c>
      <c r="BC18" s="183">
        <f t="shared" si="15"/>
        <v>402.29166666666669</v>
      </c>
      <c r="BF18" s="183">
        <f t="shared" si="16"/>
        <v>0</v>
      </c>
      <c r="BG18" s="183">
        <v>75000000</v>
      </c>
      <c r="BH18" s="185">
        <v>4.0000000000000001E-3</v>
      </c>
      <c r="BI18" s="183">
        <f t="shared" si="17"/>
        <v>833.33333333333337</v>
      </c>
      <c r="BJ18" s="183">
        <v>29100000</v>
      </c>
      <c r="BK18" s="185">
        <v>3.0000000000000001E-3</v>
      </c>
      <c r="BL18" s="183">
        <f t="shared" si="18"/>
        <v>242.5</v>
      </c>
      <c r="BO18" s="183">
        <f t="shared" si="19"/>
        <v>0</v>
      </c>
      <c r="BR18" s="183">
        <f t="shared" si="20"/>
        <v>0</v>
      </c>
      <c r="BU18" s="183">
        <f t="shared" si="21"/>
        <v>0</v>
      </c>
      <c r="BX18" s="183">
        <f t="shared" si="22"/>
        <v>0</v>
      </c>
      <c r="CA18" s="183">
        <f t="shared" si="23"/>
        <v>0</v>
      </c>
      <c r="CD18" s="183">
        <f t="shared" si="24"/>
        <v>0</v>
      </c>
      <c r="CG18" s="183">
        <f t="shared" si="25"/>
        <v>0</v>
      </c>
      <c r="CJ18" s="183">
        <f t="shared" si="26"/>
        <v>0</v>
      </c>
      <c r="CM18" s="183">
        <f t="shared" si="27"/>
        <v>0</v>
      </c>
      <c r="CP18" s="183">
        <f t="shared" si="28"/>
        <v>0</v>
      </c>
      <c r="CS18" s="183">
        <f t="shared" si="29"/>
        <v>0</v>
      </c>
      <c r="CV18" s="183">
        <f t="shared" si="30"/>
        <v>0</v>
      </c>
      <c r="CY18" s="183">
        <f t="shared" si="31"/>
        <v>0</v>
      </c>
      <c r="DB18" s="183">
        <f t="shared" si="32"/>
        <v>0</v>
      </c>
      <c r="DE18" s="183">
        <f t="shared" si="33"/>
        <v>0</v>
      </c>
      <c r="DH18" s="183">
        <f t="shared" si="34"/>
        <v>0</v>
      </c>
      <c r="DK18" s="183">
        <f t="shared" si="35"/>
        <v>0</v>
      </c>
      <c r="DN18" s="183">
        <f t="shared" si="36"/>
        <v>0</v>
      </c>
      <c r="DQ18" s="183">
        <f t="shared" si="37"/>
        <v>0</v>
      </c>
      <c r="DT18" s="183">
        <f t="shared" si="38"/>
        <v>0</v>
      </c>
      <c r="DW18" s="183">
        <f t="shared" si="39"/>
        <v>0</v>
      </c>
      <c r="DZ18" s="183"/>
      <c r="EA18" s="183"/>
      <c r="EB18" s="214">
        <f t="shared" si="40"/>
        <v>440775000</v>
      </c>
      <c r="EC18" s="214">
        <f t="shared" si="41"/>
        <v>0</v>
      </c>
      <c r="ED18" s="183">
        <f t="shared" si="42"/>
        <v>5358.2291666666661</v>
      </c>
      <c r="EE18" s="185">
        <f t="shared" si="43"/>
        <v>4.3762974306619023E-3</v>
      </c>
      <c r="EG18" s="214">
        <f t="shared" si="44"/>
        <v>0</v>
      </c>
      <c r="EH18" s="183">
        <f t="shared" si="45"/>
        <v>0</v>
      </c>
      <c r="EI18" s="185">
        <f t="shared" si="46"/>
        <v>0</v>
      </c>
      <c r="EJ18" s="185"/>
      <c r="EK18" s="214">
        <f t="shared" si="47"/>
        <v>440775000</v>
      </c>
      <c r="EL18" s="214">
        <f t="shared" si="48"/>
        <v>0</v>
      </c>
      <c r="EM18" s="214">
        <f t="shared" si="49"/>
        <v>5358.229166666667</v>
      </c>
      <c r="EN18" s="185">
        <f t="shared" si="50"/>
        <v>4.3762974306619023E-3</v>
      </c>
      <c r="EP18" s="183"/>
    </row>
    <row r="19" spans="1:146" x14ac:dyDescent="0.2">
      <c r="A19" s="211">
        <f t="shared" si="51"/>
        <v>44629</v>
      </c>
      <c r="B19" s="183">
        <v>0</v>
      </c>
      <c r="C19" s="185">
        <v>4.98643E-3</v>
      </c>
      <c r="D19" s="183">
        <f t="shared" si="0"/>
        <v>0</v>
      </c>
      <c r="G19" s="183">
        <f t="shared" si="1"/>
        <v>0</v>
      </c>
      <c r="J19" s="183">
        <f t="shared" si="2"/>
        <v>0</v>
      </c>
      <c r="M19" s="183">
        <f t="shared" si="3"/>
        <v>0</v>
      </c>
      <c r="P19" s="183">
        <f t="shared" si="4"/>
        <v>0</v>
      </c>
      <c r="S19" s="183">
        <f t="shared" si="5"/>
        <v>0</v>
      </c>
      <c r="V19" s="183">
        <f t="shared" si="6"/>
        <v>0</v>
      </c>
      <c r="Y19" s="183">
        <f t="shared" si="7"/>
        <v>0</v>
      </c>
      <c r="AB19" s="183">
        <f t="shared" si="8"/>
        <v>0</v>
      </c>
      <c r="AE19" s="183">
        <v>0</v>
      </c>
      <c r="AH19" s="183">
        <v>0</v>
      </c>
      <c r="AI19" s="212">
        <v>25000000</v>
      </c>
      <c r="AJ19" s="213">
        <v>7.0000000000000001E-3</v>
      </c>
      <c r="AK19" s="183">
        <f t="shared" si="9"/>
        <v>486.11111111111109</v>
      </c>
      <c r="AL19" s="212">
        <v>30000000</v>
      </c>
      <c r="AM19" s="213">
        <v>6.4999999999999997E-3</v>
      </c>
      <c r="AN19" s="183">
        <f t="shared" si="10"/>
        <v>541.66666666666663</v>
      </c>
      <c r="AO19" s="212">
        <v>60025000</v>
      </c>
      <c r="AP19" s="213">
        <v>6.0000000000000001E-3</v>
      </c>
      <c r="AQ19" s="183">
        <f t="shared" si="11"/>
        <v>1000.4166666666666</v>
      </c>
      <c r="AR19" s="212">
        <v>43825000</v>
      </c>
      <c r="AS19" s="213">
        <v>4.4999999999999997E-3</v>
      </c>
      <c r="AT19" s="183">
        <f t="shared" si="12"/>
        <v>547.81249999999989</v>
      </c>
      <c r="AU19" s="183">
        <v>69550000</v>
      </c>
      <c r="AV19" s="185">
        <v>4.4999999999999997E-3</v>
      </c>
      <c r="AW19" s="183">
        <f t="shared" si="13"/>
        <v>869.375</v>
      </c>
      <c r="AX19" s="183">
        <v>85000000</v>
      </c>
      <c r="AY19" s="185">
        <v>3.8999999999999998E-3</v>
      </c>
      <c r="AZ19" s="183">
        <f t="shared" si="14"/>
        <v>920.83333333333337</v>
      </c>
      <c r="BC19" s="183">
        <f t="shared" si="15"/>
        <v>0</v>
      </c>
      <c r="BF19" s="183">
        <f t="shared" si="16"/>
        <v>0</v>
      </c>
      <c r="BG19" s="183">
        <v>75000000</v>
      </c>
      <c r="BH19" s="185">
        <v>4.0000000000000001E-3</v>
      </c>
      <c r="BI19" s="183">
        <f t="shared" si="17"/>
        <v>833.33333333333337</v>
      </c>
      <c r="BJ19" s="183">
        <f>40900000+100000</f>
        <v>41000000</v>
      </c>
      <c r="BK19" s="185">
        <v>3.0000000000000001E-3</v>
      </c>
      <c r="BL19" s="183">
        <f t="shared" si="18"/>
        <v>341.66666666666669</v>
      </c>
      <c r="BO19" s="183">
        <f t="shared" si="19"/>
        <v>0</v>
      </c>
      <c r="BR19" s="183">
        <f t="shared" si="20"/>
        <v>0</v>
      </c>
      <c r="BU19" s="183">
        <f t="shared" si="21"/>
        <v>0</v>
      </c>
      <c r="BX19" s="183">
        <f t="shared" si="22"/>
        <v>0</v>
      </c>
      <c r="CA19" s="183">
        <f t="shared" si="23"/>
        <v>0</v>
      </c>
      <c r="CD19" s="183">
        <f t="shared" si="24"/>
        <v>0</v>
      </c>
      <c r="CG19" s="183">
        <f t="shared" si="25"/>
        <v>0</v>
      </c>
      <c r="CJ19" s="183">
        <f t="shared" si="26"/>
        <v>0</v>
      </c>
      <c r="CM19" s="183">
        <f t="shared" si="27"/>
        <v>0</v>
      </c>
      <c r="CP19" s="183">
        <f t="shared" si="28"/>
        <v>0</v>
      </c>
      <c r="CS19" s="183">
        <f t="shared" si="29"/>
        <v>0</v>
      </c>
      <c r="CV19" s="183">
        <f t="shared" si="30"/>
        <v>0</v>
      </c>
      <c r="CY19" s="183">
        <f t="shared" si="31"/>
        <v>0</v>
      </c>
      <c r="DB19" s="183">
        <f t="shared" si="32"/>
        <v>0</v>
      </c>
      <c r="DE19" s="183">
        <f t="shared" si="33"/>
        <v>0</v>
      </c>
      <c r="DH19" s="183">
        <f t="shared" si="34"/>
        <v>0</v>
      </c>
      <c r="DK19" s="183">
        <f t="shared" si="35"/>
        <v>0</v>
      </c>
      <c r="DN19" s="183">
        <f t="shared" si="36"/>
        <v>0</v>
      </c>
      <c r="DQ19" s="183">
        <f t="shared" si="37"/>
        <v>0</v>
      </c>
      <c r="DT19" s="183">
        <f t="shared" si="38"/>
        <v>0</v>
      </c>
      <c r="DW19" s="183">
        <f t="shared" si="39"/>
        <v>0</v>
      </c>
      <c r="DZ19" s="183"/>
      <c r="EA19" s="183"/>
      <c r="EB19" s="214">
        <f t="shared" si="40"/>
        <v>429400000</v>
      </c>
      <c r="EC19" s="214">
        <f t="shared" si="41"/>
        <v>0</v>
      </c>
      <c r="ED19" s="183">
        <f t="shared" si="42"/>
        <v>5541.2152777777774</v>
      </c>
      <c r="EE19" s="185">
        <f t="shared" si="43"/>
        <v>4.6456392640894274E-3</v>
      </c>
      <c r="EG19" s="214">
        <f t="shared" si="44"/>
        <v>0</v>
      </c>
      <c r="EH19" s="183">
        <f t="shared" si="45"/>
        <v>0</v>
      </c>
      <c r="EI19" s="185">
        <f t="shared" si="46"/>
        <v>0</v>
      </c>
      <c r="EJ19" s="185"/>
      <c r="EK19" s="214">
        <f t="shared" si="47"/>
        <v>429400000</v>
      </c>
      <c r="EL19" s="214">
        <f t="shared" si="48"/>
        <v>0</v>
      </c>
      <c r="EM19" s="214">
        <f t="shared" si="49"/>
        <v>5541.2152777777783</v>
      </c>
      <c r="EN19" s="185">
        <f t="shared" si="50"/>
        <v>4.6456392640894274E-3</v>
      </c>
      <c r="EP19" s="183"/>
    </row>
    <row r="20" spans="1:146" x14ac:dyDescent="0.2">
      <c r="A20" s="211">
        <f t="shared" si="51"/>
        <v>44630</v>
      </c>
      <c r="B20" s="183">
        <v>0</v>
      </c>
      <c r="C20" s="185">
        <v>4.9936900000000003E-3</v>
      </c>
      <c r="D20" s="183">
        <f t="shared" si="0"/>
        <v>0</v>
      </c>
      <c r="G20" s="183">
        <f t="shared" si="1"/>
        <v>0</v>
      </c>
      <c r="J20" s="183">
        <f t="shared" si="2"/>
        <v>0</v>
      </c>
      <c r="M20" s="183">
        <f t="shared" si="3"/>
        <v>0</v>
      </c>
      <c r="P20" s="183">
        <f t="shared" si="4"/>
        <v>0</v>
      </c>
      <c r="S20" s="183">
        <f t="shared" si="5"/>
        <v>0</v>
      </c>
      <c r="V20" s="183">
        <f t="shared" si="6"/>
        <v>0</v>
      </c>
      <c r="Y20" s="183">
        <f t="shared" si="7"/>
        <v>0</v>
      </c>
      <c r="AB20" s="183">
        <f t="shared" si="8"/>
        <v>0</v>
      </c>
      <c r="AE20" s="183">
        <v>0</v>
      </c>
      <c r="AH20" s="183">
        <v>0</v>
      </c>
      <c r="AI20" s="212">
        <v>25000000</v>
      </c>
      <c r="AJ20" s="213">
        <v>7.0000000000000001E-3</v>
      </c>
      <c r="AK20" s="183">
        <f t="shared" si="9"/>
        <v>486.11111111111109</v>
      </c>
      <c r="AL20" s="212">
        <v>30000000</v>
      </c>
      <c r="AM20" s="213">
        <v>6.4999999999999997E-3</v>
      </c>
      <c r="AN20" s="183">
        <f t="shared" si="10"/>
        <v>541.66666666666663</v>
      </c>
      <c r="AO20" s="212">
        <v>60025000</v>
      </c>
      <c r="AP20" s="213">
        <v>6.0000000000000001E-3</v>
      </c>
      <c r="AQ20" s="183">
        <f t="shared" si="11"/>
        <v>1000.4166666666666</v>
      </c>
      <c r="AR20" s="212">
        <v>43825000</v>
      </c>
      <c r="AS20" s="213">
        <v>4.4999999999999997E-3</v>
      </c>
      <c r="AT20" s="183">
        <f t="shared" si="12"/>
        <v>547.81249999999989</v>
      </c>
      <c r="AU20" s="183">
        <v>69550000</v>
      </c>
      <c r="AV20" s="185">
        <v>4.4999999999999997E-3</v>
      </c>
      <c r="AW20" s="183">
        <f t="shared" si="13"/>
        <v>869.375</v>
      </c>
      <c r="AX20" s="183">
        <v>85000000</v>
      </c>
      <c r="AY20" s="185">
        <v>3.8999999999999998E-3</v>
      </c>
      <c r="AZ20" s="183">
        <f t="shared" si="14"/>
        <v>920.83333333333337</v>
      </c>
      <c r="BC20" s="183">
        <f t="shared" si="15"/>
        <v>0</v>
      </c>
      <c r="BF20" s="183">
        <f t="shared" si="16"/>
        <v>0</v>
      </c>
      <c r="BG20" s="183">
        <v>75000000</v>
      </c>
      <c r="BH20" s="185">
        <v>4.0000000000000001E-3</v>
      </c>
      <c r="BI20" s="183">
        <f t="shared" si="17"/>
        <v>833.33333333333337</v>
      </c>
      <c r="BJ20" s="183">
        <f>20000000+13575000</f>
        <v>33575000</v>
      </c>
      <c r="BK20" s="185">
        <v>3.0000000000000001E-3</v>
      </c>
      <c r="BL20" s="183">
        <f t="shared" si="18"/>
        <v>279.79166666666669</v>
      </c>
      <c r="BO20" s="183">
        <f t="shared" si="19"/>
        <v>0</v>
      </c>
      <c r="BR20" s="183">
        <f t="shared" si="20"/>
        <v>0</v>
      </c>
      <c r="BU20" s="183">
        <f t="shared" si="21"/>
        <v>0</v>
      </c>
      <c r="BX20" s="183">
        <f t="shared" si="22"/>
        <v>0</v>
      </c>
      <c r="CA20" s="183">
        <f t="shared" si="23"/>
        <v>0</v>
      </c>
      <c r="CD20" s="183">
        <f t="shared" si="24"/>
        <v>0</v>
      </c>
      <c r="CG20" s="183">
        <f t="shared" si="25"/>
        <v>0</v>
      </c>
      <c r="CJ20" s="183">
        <f t="shared" si="26"/>
        <v>0</v>
      </c>
      <c r="CM20" s="183">
        <f t="shared" si="27"/>
        <v>0</v>
      </c>
      <c r="CP20" s="183">
        <f t="shared" si="28"/>
        <v>0</v>
      </c>
      <c r="CS20" s="183">
        <f t="shared" si="29"/>
        <v>0</v>
      </c>
      <c r="CV20" s="183">
        <f t="shared" si="30"/>
        <v>0</v>
      </c>
      <c r="CY20" s="183">
        <f t="shared" si="31"/>
        <v>0</v>
      </c>
      <c r="DB20" s="183">
        <f t="shared" si="32"/>
        <v>0</v>
      </c>
      <c r="DE20" s="183">
        <f t="shared" si="33"/>
        <v>0</v>
      </c>
      <c r="DH20" s="183">
        <f t="shared" si="34"/>
        <v>0</v>
      </c>
      <c r="DK20" s="183">
        <f t="shared" si="35"/>
        <v>0</v>
      </c>
      <c r="DN20" s="183">
        <f t="shared" si="36"/>
        <v>0</v>
      </c>
      <c r="DQ20" s="183">
        <f t="shared" si="37"/>
        <v>0</v>
      </c>
      <c r="DT20" s="183">
        <f t="shared" si="38"/>
        <v>0</v>
      </c>
      <c r="DW20" s="183">
        <f t="shared" si="39"/>
        <v>0</v>
      </c>
      <c r="DZ20" s="183"/>
      <c r="EA20" s="183"/>
      <c r="EB20" s="214">
        <f t="shared" si="40"/>
        <v>421975000</v>
      </c>
      <c r="EC20" s="214">
        <f t="shared" si="41"/>
        <v>0</v>
      </c>
      <c r="ED20" s="183">
        <f t="shared" si="42"/>
        <v>5479.3402777777774</v>
      </c>
      <c r="EE20" s="185">
        <f t="shared" si="43"/>
        <v>4.6745956514011493E-3</v>
      </c>
      <c r="EG20" s="214">
        <f t="shared" si="44"/>
        <v>0</v>
      </c>
      <c r="EH20" s="183">
        <f t="shared" si="45"/>
        <v>0</v>
      </c>
      <c r="EI20" s="185">
        <f t="shared" si="46"/>
        <v>0</v>
      </c>
      <c r="EJ20" s="185"/>
      <c r="EK20" s="214">
        <f t="shared" si="47"/>
        <v>421975000</v>
      </c>
      <c r="EL20" s="214">
        <f t="shared" si="48"/>
        <v>0</v>
      </c>
      <c r="EM20" s="214">
        <f t="shared" si="49"/>
        <v>5479.3402777777783</v>
      </c>
      <c r="EN20" s="185">
        <f t="shared" si="50"/>
        <v>4.6745956514011493E-3</v>
      </c>
      <c r="EP20" s="183"/>
    </row>
    <row r="21" spans="1:146" x14ac:dyDescent="0.2">
      <c r="A21" s="211">
        <f t="shared" si="51"/>
        <v>44631</v>
      </c>
      <c r="B21" s="183">
        <v>0</v>
      </c>
      <c r="C21" s="185">
        <v>4.8683099999999998E-3</v>
      </c>
      <c r="D21" s="183">
        <f t="shared" si="0"/>
        <v>0</v>
      </c>
      <c r="G21" s="183">
        <f t="shared" si="1"/>
        <v>0</v>
      </c>
      <c r="J21" s="183">
        <f t="shared" si="2"/>
        <v>0</v>
      </c>
      <c r="M21" s="183">
        <f t="shared" si="3"/>
        <v>0</v>
      </c>
      <c r="P21" s="183">
        <f t="shared" si="4"/>
        <v>0</v>
      </c>
      <c r="S21" s="183">
        <f t="shared" si="5"/>
        <v>0</v>
      </c>
      <c r="V21" s="183">
        <f t="shared" si="6"/>
        <v>0</v>
      </c>
      <c r="Y21" s="183">
        <f t="shared" si="7"/>
        <v>0</v>
      </c>
      <c r="AB21" s="183">
        <f t="shared" si="8"/>
        <v>0</v>
      </c>
      <c r="AE21" s="183">
        <v>0</v>
      </c>
      <c r="AH21" s="183">
        <v>0</v>
      </c>
      <c r="AI21" s="212">
        <v>25000000</v>
      </c>
      <c r="AJ21" s="213">
        <v>7.0000000000000001E-3</v>
      </c>
      <c r="AK21" s="183">
        <f t="shared" si="9"/>
        <v>486.11111111111109</v>
      </c>
      <c r="AL21" s="212">
        <v>30000000</v>
      </c>
      <c r="AM21" s="213">
        <v>6.4999999999999997E-3</v>
      </c>
      <c r="AN21" s="183">
        <f t="shared" si="10"/>
        <v>541.66666666666663</v>
      </c>
      <c r="AO21" s="212">
        <v>60025000</v>
      </c>
      <c r="AP21" s="213">
        <v>6.0000000000000001E-3</v>
      </c>
      <c r="AQ21" s="183">
        <f t="shared" si="11"/>
        <v>1000.4166666666666</v>
      </c>
      <c r="AR21" s="212">
        <v>43825000</v>
      </c>
      <c r="AS21" s="213">
        <v>4.4999999999999997E-3</v>
      </c>
      <c r="AT21" s="183">
        <f t="shared" si="12"/>
        <v>547.81249999999989</v>
      </c>
      <c r="AU21" s="183">
        <v>69550000</v>
      </c>
      <c r="AV21" s="185">
        <v>4.4999999999999997E-3</v>
      </c>
      <c r="AW21" s="183">
        <f t="shared" si="13"/>
        <v>869.375</v>
      </c>
      <c r="AX21" s="183">
        <v>85000000</v>
      </c>
      <c r="AY21" s="185">
        <v>3.8999999999999998E-3</v>
      </c>
      <c r="AZ21" s="183">
        <f t="shared" si="14"/>
        <v>920.83333333333337</v>
      </c>
      <c r="BC21" s="183">
        <f t="shared" si="15"/>
        <v>0</v>
      </c>
      <c r="BF21" s="183">
        <f t="shared" si="16"/>
        <v>0</v>
      </c>
      <c r="BG21" s="183">
        <v>75000000</v>
      </c>
      <c r="BH21" s="185">
        <v>4.0000000000000001E-3</v>
      </c>
      <c r="BI21" s="183">
        <f t="shared" si="17"/>
        <v>833.33333333333337</v>
      </c>
      <c r="BJ21" s="183">
        <f>40000000+31875000+2400000</f>
        <v>74275000</v>
      </c>
      <c r="BK21" s="185">
        <v>3.0000000000000001E-3</v>
      </c>
      <c r="BL21" s="183">
        <f t="shared" si="18"/>
        <v>618.95833333333337</v>
      </c>
      <c r="BO21" s="183">
        <f t="shared" si="19"/>
        <v>0</v>
      </c>
      <c r="BR21" s="183">
        <f t="shared" si="20"/>
        <v>0</v>
      </c>
      <c r="BU21" s="183">
        <f t="shared" si="21"/>
        <v>0</v>
      </c>
      <c r="BX21" s="183">
        <f t="shared" si="22"/>
        <v>0</v>
      </c>
      <c r="CA21" s="183">
        <f t="shared" si="23"/>
        <v>0</v>
      </c>
      <c r="CD21" s="183">
        <f t="shared" si="24"/>
        <v>0</v>
      </c>
      <c r="CG21" s="183">
        <f t="shared" si="25"/>
        <v>0</v>
      </c>
      <c r="CJ21" s="183">
        <f t="shared" si="26"/>
        <v>0</v>
      </c>
      <c r="CM21" s="183">
        <f t="shared" si="27"/>
        <v>0</v>
      </c>
      <c r="CP21" s="183">
        <f t="shared" si="28"/>
        <v>0</v>
      </c>
      <c r="CS21" s="183">
        <f t="shared" si="29"/>
        <v>0</v>
      </c>
      <c r="CV21" s="183">
        <f t="shared" si="30"/>
        <v>0</v>
      </c>
      <c r="CY21" s="183">
        <f t="shared" si="31"/>
        <v>0</v>
      </c>
      <c r="DB21" s="183">
        <f t="shared" si="32"/>
        <v>0</v>
      </c>
      <c r="DE21" s="183">
        <f t="shared" si="33"/>
        <v>0</v>
      </c>
      <c r="DH21" s="183">
        <f t="shared" si="34"/>
        <v>0</v>
      </c>
      <c r="DK21" s="183">
        <f t="shared" si="35"/>
        <v>0</v>
      </c>
      <c r="DN21" s="183">
        <f t="shared" si="36"/>
        <v>0</v>
      </c>
      <c r="DQ21" s="183">
        <f t="shared" si="37"/>
        <v>0</v>
      </c>
      <c r="DT21" s="183">
        <f t="shared" si="38"/>
        <v>0</v>
      </c>
      <c r="DW21" s="183">
        <f t="shared" si="39"/>
        <v>0</v>
      </c>
      <c r="DZ21" s="183"/>
      <c r="EA21" s="183"/>
      <c r="EB21" s="214">
        <f t="shared" si="40"/>
        <v>462675000</v>
      </c>
      <c r="EC21" s="214">
        <f t="shared" si="41"/>
        <v>0</v>
      </c>
      <c r="ED21" s="183">
        <f t="shared" si="42"/>
        <v>5818.5069444444434</v>
      </c>
      <c r="EE21" s="185">
        <f t="shared" si="43"/>
        <v>4.5272869724968922E-3</v>
      </c>
      <c r="EG21" s="214">
        <f t="shared" si="44"/>
        <v>0</v>
      </c>
      <c r="EH21" s="183">
        <f t="shared" si="45"/>
        <v>0</v>
      </c>
      <c r="EI21" s="185">
        <f t="shared" si="46"/>
        <v>0</v>
      </c>
      <c r="EJ21" s="185"/>
      <c r="EK21" s="214">
        <f t="shared" si="47"/>
        <v>462675000</v>
      </c>
      <c r="EL21" s="214">
        <f t="shared" si="48"/>
        <v>0</v>
      </c>
      <c r="EM21" s="214">
        <f t="shared" si="49"/>
        <v>5818.5069444444453</v>
      </c>
      <c r="EN21" s="185">
        <f t="shared" si="50"/>
        <v>4.5272869724968939E-3</v>
      </c>
      <c r="EP21" s="183"/>
    </row>
    <row r="22" spans="1:146" x14ac:dyDescent="0.2">
      <c r="A22" s="211">
        <f t="shared" si="51"/>
        <v>44632</v>
      </c>
      <c r="B22" s="183">
        <v>0</v>
      </c>
      <c r="C22" s="185">
        <v>4.8683099999999998E-3</v>
      </c>
      <c r="D22" s="183">
        <f t="shared" si="0"/>
        <v>0</v>
      </c>
      <c r="G22" s="183">
        <f t="shared" si="1"/>
        <v>0</v>
      </c>
      <c r="J22" s="183">
        <f t="shared" si="2"/>
        <v>0</v>
      </c>
      <c r="M22" s="183">
        <f t="shared" si="3"/>
        <v>0</v>
      </c>
      <c r="P22" s="183">
        <f t="shared" si="4"/>
        <v>0</v>
      </c>
      <c r="S22" s="183">
        <f t="shared" si="5"/>
        <v>0</v>
      </c>
      <c r="V22" s="183">
        <f t="shared" si="6"/>
        <v>0</v>
      </c>
      <c r="Y22" s="183">
        <f t="shared" si="7"/>
        <v>0</v>
      </c>
      <c r="AB22" s="183">
        <f t="shared" si="8"/>
        <v>0</v>
      </c>
      <c r="AE22" s="183">
        <v>0</v>
      </c>
      <c r="AH22" s="183">
        <v>0</v>
      </c>
      <c r="AI22" s="212">
        <v>25000000</v>
      </c>
      <c r="AJ22" s="213">
        <v>7.0000000000000001E-3</v>
      </c>
      <c r="AK22" s="183">
        <f t="shared" si="9"/>
        <v>486.11111111111109</v>
      </c>
      <c r="AL22" s="212">
        <v>30000000</v>
      </c>
      <c r="AM22" s="213">
        <v>6.4999999999999997E-3</v>
      </c>
      <c r="AN22" s="183">
        <f t="shared" si="10"/>
        <v>541.66666666666663</v>
      </c>
      <c r="AO22" s="212">
        <v>60025000</v>
      </c>
      <c r="AP22" s="213">
        <v>6.0000000000000001E-3</v>
      </c>
      <c r="AQ22" s="183">
        <f t="shared" si="11"/>
        <v>1000.4166666666666</v>
      </c>
      <c r="AR22" s="212">
        <v>43825000</v>
      </c>
      <c r="AS22" s="213">
        <v>4.4999999999999997E-3</v>
      </c>
      <c r="AT22" s="183">
        <f t="shared" si="12"/>
        <v>547.81249999999989</v>
      </c>
      <c r="AU22" s="183">
        <v>69550000</v>
      </c>
      <c r="AV22" s="185">
        <v>4.4999999999999997E-3</v>
      </c>
      <c r="AW22" s="183">
        <f t="shared" si="13"/>
        <v>869.375</v>
      </c>
      <c r="AX22" s="183">
        <v>85000000</v>
      </c>
      <c r="AY22" s="185">
        <v>3.8999999999999998E-3</v>
      </c>
      <c r="AZ22" s="183">
        <f t="shared" si="14"/>
        <v>920.83333333333337</v>
      </c>
      <c r="BC22" s="183">
        <f t="shared" si="15"/>
        <v>0</v>
      </c>
      <c r="BF22" s="183">
        <f t="shared" si="16"/>
        <v>0</v>
      </c>
      <c r="BG22" s="183">
        <v>75000000</v>
      </c>
      <c r="BH22" s="185">
        <v>4.0000000000000001E-3</v>
      </c>
      <c r="BI22" s="183">
        <f t="shared" si="17"/>
        <v>833.33333333333337</v>
      </c>
      <c r="BJ22" s="183">
        <f>40000000+31875000+2400000</f>
        <v>74275000</v>
      </c>
      <c r="BK22" s="185">
        <v>3.0000000000000001E-3</v>
      </c>
      <c r="BL22" s="183">
        <f t="shared" si="18"/>
        <v>618.95833333333337</v>
      </c>
      <c r="BO22" s="183">
        <f t="shared" si="19"/>
        <v>0</v>
      </c>
      <c r="BR22" s="183">
        <f t="shared" si="20"/>
        <v>0</v>
      </c>
      <c r="BU22" s="183">
        <f t="shared" si="21"/>
        <v>0</v>
      </c>
      <c r="BX22" s="183">
        <f t="shared" si="22"/>
        <v>0</v>
      </c>
      <c r="CA22" s="183">
        <f t="shared" si="23"/>
        <v>0</v>
      </c>
      <c r="CD22" s="183">
        <f t="shared" si="24"/>
        <v>0</v>
      </c>
      <c r="CG22" s="183">
        <f t="shared" si="25"/>
        <v>0</v>
      </c>
      <c r="CJ22" s="183">
        <f t="shared" si="26"/>
        <v>0</v>
      </c>
      <c r="CM22" s="183">
        <f t="shared" si="27"/>
        <v>0</v>
      </c>
      <c r="CP22" s="183">
        <f t="shared" si="28"/>
        <v>0</v>
      </c>
      <c r="CS22" s="183">
        <f t="shared" si="29"/>
        <v>0</v>
      </c>
      <c r="CV22" s="183">
        <f t="shared" si="30"/>
        <v>0</v>
      </c>
      <c r="CY22" s="183">
        <f t="shared" si="31"/>
        <v>0</v>
      </c>
      <c r="DB22" s="183">
        <f t="shared" si="32"/>
        <v>0</v>
      </c>
      <c r="DE22" s="183">
        <f t="shared" si="33"/>
        <v>0</v>
      </c>
      <c r="DH22" s="183">
        <f t="shared" si="34"/>
        <v>0</v>
      </c>
      <c r="DK22" s="183">
        <f t="shared" si="35"/>
        <v>0</v>
      </c>
      <c r="DN22" s="183">
        <f t="shared" si="36"/>
        <v>0</v>
      </c>
      <c r="DQ22" s="183">
        <f t="shared" si="37"/>
        <v>0</v>
      </c>
      <c r="DT22" s="183">
        <f t="shared" si="38"/>
        <v>0</v>
      </c>
      <c r="DW22" s="183">
        <f t="shared" si="39"/>
        <v>0</v>
      </c>
      <c r="DZ22" s="183"/>
      <c r="EA22" s="183"/>
      <c r="EB22" s="214">
        <f t="shared" si="40"/>
        <v>462675000</v>
      </c>
      <c r="EC22" s="214">
        <f t="shared" si="41"/>
        <v>0</v>
      </c>
      <c r="ED22" s="183">
        <f t="shared" si="42"/>
        <v>5818.5069444444434</v>
      </c>
      <c r="EE22" s="185">
        <f t="shared" si="43"/>
        <v>4.5272869724968922E-3</v>
      </c>
      <c r="EG22" s="214">
        <f t="shared" si="44"/>
        <v>0</v>
      </c>
      <c r="EH22" s="183">
        <f t="shared" si="45"/>
        <v>0</v>
      </c>
      <c r="EI22" s="185">
        <f t="shared" si="46"/>
        <v>0</v>
      </c>
      <c r="EJ22" s="185"/>
      <c r="EK22" s="214">
        <f t="shared" si="47"/>
        <v>462675000</v>
      </c>
      <c r="EL22" s="214">
        <f t="shared" si="48"/>
        <v>0</v>
      </c>
      <c r="EM22" s="214">
        <f t="shared" si="49"/>
        <v>5818.5069444444453</v>
      </c>
      <c r="EN22" s="185">
        <f t="shared" si="50"/>
        <v>4.5272869724968939E-3</v>
      </c>
      <c r="EP22" s="183"/>
    </row>
    <row r="23" spans="1:146" x14ac:dyDescent="0.2">
      <c r="A23" s="211">
        <f t="shared" si="51"/>
        <v>44633</v>
      </c>
      <c r="B23" s="183">
        <v>0</v>
      </c>
      <c r="C23" s="185">
        <v>4.8683099999999998E-3</v>
      </c>
      <c r="D23" s="183">
        <f t="shared" si="0"/>
        <v>0</v>
      </c>
      <c r="G23" s="183">
        <f t="shared" si="1"/>
        <v>0</v>
      </c>
      <c r="J23" s="183">
        <f t="shared" si="2"/>
        <v>0</v>
      </c>
      <c r="M23" s="183">
        <f t="shared" si="3"/>
        <v>0</v>
      </c>
      <c r="P23" s="183">
        <f t="shared" si="4"/>
        <v>0</v>
      </c>
      <c r="S23" s="183">
        <f t="shared" si="5"/>
        <v>0</v>
      </c>
      <c r="V23" s="183">
        <f t="shared" si="6"/>
        <v>0</v>
      </c>
      <c r="Y23" s="183">
        <f t="shared" si="7"/>
        <v>0</v>
      </c>
      <c r="AB23" s="183">
        <f t="shared" si="8"/>
        <v>0</v>
      </c>
      <c r="AE23" s="183">
        <v>0</v>
      </c>
      <c r="AH23" s="183">
        <v>0</v>
      </c>
      <c r="AI23" s="212">
        <v>25000000</v>
      </c>
      <c r="AJ23" s="213">
        <v>7.0000000000000001E-3</v>
      </c>
      <c r="AK23" s="183">
        <f t="shared" si="9"/>
        <v>486.11111111111109</v>
      </c>
      <c r="AL23" s="212">
        <v>30000000</v>
      </c>
      <c r="AM23" s="213">
        <v>6.4999999999999997E-3</v>
      </c>
      <c r="AN23" s="183">
        <f t="shared" si="10"/>
        <v>541.66666666666663</v>
      </c>
      <c r="AO23" s="212">
        <v>60025000</v>
      </c>
      <c r="AP23" s="213">
        <v>6.0000000000000001E-3</v>
      </c>
      <c r="AQ23" s="183">
        <f t="shared" si="11"/>
        <v>1000.4166666666666</v>
      </c>
      <c r="AR23" s="212">
        <v>43825000</v>
      </c>
      <c r="AS23" s="213">
        <v>4.4999999999999997E-3</v>
      </c>
      <c r="AT23" s="183">
        <f t="shared" si="12"/>
        <v>547.81249999999989</v>
      </c>
      <c r="AU23" s="183">
        <v>69550000</v>
      </c>
      <c r="AV23" s="185">
        <v>4.4999999999999997E-3</v>
      </c>
      <c r="AW23" s="183">
        <f t="shared" si="13"/>
        <v>869.375</v>
      </c>
      <c r="AX23" s="183">
        <v>85000000</v>
      </c>
      <c r="AY23" s="185">
        <v>3.8999999999999998E-3</v>
      </c>
      <c r="AZ23" s="183">
        <f t="shared" si="14"/>
        <v>920.83333333333337</v>
      </c>
      <c r="BC23" s="183">
        <f t="shared" si="15"/>
        <v>0</v>
      </c>
      <c r="BF23" s="183">
        <f t="shared" si="16"/>
        <v>0</v>
      </c>
      <c r="BG23" s="183">
        <v>75000000</v>
      </c>
      <c r="BH23" s="185">
        <v>4.0000000000000001E-3</v>
      </c>
      <c r="BI23" s="183">
        <f t="shared" si="17"/>
        <v>833.33333333333337</v>
      </c>
      <c r="BJ23" s="183">
        <f>40000000+31875000+2400000</f>
        <v>74275000</v>
      </c>
      <c r="BK23" s="185">
        <v>3.0000000000000001E-3</v>
      </c>
      <c r="BL23" s="183">
        <f t="shared" si="18"/>
        <v>618.95833333333337</v>
      </c>
      <c r="BO23" s="183">
        <f t="shared" si="19"/>
        <v>0</v>
      </c>
      <c r="BR23" s="183">
        <f t="shared" si="20"/>
        <v>0</v>
      </c>
      <c r="BU23" s="183">
        <f t="shared" si="21"/>
        <v>0</v>
      </c>
      <c r="BX23" s="183">
        <f t="shared" si="22"/>
        <v>0</v>
      </c>
      <c r="CA23" s="183">
        <f t="shared" si="23"/>
        <v>0</v>
      </c>
      <c r="CD23" s="183">
        <f t="shared" si="24"/>
        <v>0</v>
      </c>
      <c r="CG23" s="183">
        <f t="shared" si="25"/>
        <v>0</v>
      </c>
      <c r="CJ23" s="183">
        <f t="shared" si="26"/>
        <v>0</v>
      </c>
      <c r="CM23" s="183">
        <f t="shared" si="27"/>
        <v>0</v>
      </c>
      <c r="CP23" s="183">
        <f t="shared" si="28"/>
        <v>0</v>
      </c>
      <c r="CS23" s="183">
        <f t="shared" si="29"/>
        <v>0</v>
      </c>
      <c r="CV23" s="183">
        <f t="shared" si="30"/>
        <v>0</v>
      </c>
      <c r="CY23" s="183">
        <f t="shared" si="31"/>
        <v>0</v>
      </c>
      <c r="DB23" s="183">
        <f t="shared" si="32"/>
        <v>0</v>
      </c>
      <c r="DE23" s="183">
        <f t="shared" si="33"/>
        <v>0</v>
      </c>
      <c r="DH23" s="183">
        <f t="shared" si="34"/>
        <v>0</v>
      </c>
      <c r="DK23" s="183">
        <f t="shared" si="35"/>
        <v>0</v>
      </c>
      <c r="DN23" s="183">
        <f t="shared" si="36"/>
        <v>0</v>
      </c>
      <c r="DQ23" s="183">
        <f t="shared" si="37"/>
        <v>0</v>
      </c>
      <c r="DT23" s="183">
        <f t="shared" si="38"/>
        <v>0</v>
      </c>
      <c r="DW23" s="183">
        <f t="shared" si="39"/>
        <v>0</v>
      </c>
      <c r="DZ23" s="183"/>
      <c r="EA23" s="183"/>
      <c r="EB23" s="214">
        <f t="shared" si="40"/>
        <v>462675000</v>
      </c>
      <c r="EC23" s="214">
        <f t="shared" si="41"/>
        <v>0</v>
      </c>
      <c r="ED23" s="183">
        <f t="shared" si="42"/>
        <v>5818.5069444444434</v>
      </c>
      <c r="EE23" s="185">
        <f t="shared" si="43"/>
        <v>4.5272869724968922E-3</v>
      </c>
      <c r="EG23" s="214">
        <f t="shared" si="44"/>
        <v>0</v>
      </c>
      <c r="EH23" s="183">
        <f t="shared" si="45"/>
        <v>0</v>
      </c>
      <c r="EI23" s="185">
        <f t="shared" si="46"/>
        <v>0</v>
      </c>
      <c r="EJ23" s="185"/>
      <c r="EK23" s="214">
        <f t="shared" si="47"/>
        <v>462675000</v>
      </c>
      <c r="EL23" s="214">
        <f t="shared" si="48"/>
        <v>0</v>
      </c>
      <c r="EM23" s="214">
        <f t="shared" si="49"/>
        <v>5818.5069444444453</v>
      </c>
      <c r="EN23" s="185">
        <f t="shared" si="50"/>
        <v>4.5272869724968939E-3</v>
      </c>
      <c r="EP23" s="183"/>
    </row>
    <row r="24" spans="1:146" x14ac:dyDescent="0.2">
      <c r="A24" s="211">
        <f t="shared" si="51"/>
        <v>44634</v>
      </c>
      <c r="B24" s="183">
        <v>0</v>
      </c>
      <c r="C24" s="185">
        <v>4.7764399999999999E-3</v>
      </c>
      <c r="D24" s="183">
        <f t="shared" si="0"/>
        <v>0</v>
      </c>
      <c r="G24" s="183">
        <f t="shared" si="1"/>
        <v>0</v>
      </c>
      <c r="J24" s="183">
        <f t="shared" si="2"/>
        <v>0</v>
      </c>
      <c r="M24" s="183">
        <f t="shared" si="3"/>
        <v>0</v>
      </c>
      <c r="P24" s="183">
        <f t="shared" si="4"/>
        <v>0</v>
      </c>
      <c r="S24" s="183">
        <f t="shared" si="5"/>
        <v>0</v>
      </c>
      <c r="V24" s="183">
        <f t="shared" si="6"/>
        <v>0</v>
      </c>
      <c r="Y24" s="183">
        <f t="shared" si="7"/>
        <v>0</v>
      </c>
      <c r="AB24" s="183">
        <f t="shared" si="8"/>
        <v>0</v>
      </c>
      <c r="AE24" s="183">
        <v>0</v>
      </c>
      <c r="AH24" s="183">
        <v>0</v>
      </c>
      <c r="AI24" s="212">
        <v>25000000</v>
      </c>
      <c r="AJ24" s="213">
        <v>7.0000000000000001E-3</v>
      </c>
      <c r="AK24" s="183">
        <f t="shared" si="9"/>
        <v>486.11111111111109</v>
      </c>
      <c r="AL24" s="212">
        <v>30000000</v>
      </c>
      <c r="AM24" s="213">
        <v>6.4999999999999997E-3</v>
      </c>
      <c r="AN24" s="183">
        <f t="shared" si="10"/>
        <v>541.66666666666663</v>
      </c>
      <c r="AO24" s="212">
        <v>60025000</v>
      </c>
      <c r="AP24" s="213">
        <v>6.0000000000000001E-3</v>
      </c>
      <c r="AQ24" s="183">
        <f t="shared" si="11"/>
        <v>1000.4166666666666</v>
      </c>
      <c r="AR24" s="212">
        <v>43825000</v>
      </c>
      <c r="AS24" s="213">
        <v>4.4999999999999997E-3</v>
      </c>
      <c r="AT24" s="183">
        <f t="shared" si="12"/>
        <v>547.81249999999989</v>
      </c>
      <c r="AU24" s="183">
        <v>69550000</v>
      </c>
      <c r="AV24" s="185">
        <v>4.4999999999999997E-3</v>
      </c>
      <c r="AW24" s="183">
        <f t="shared" si="13"/>
        <v>869.375</v>
      </c>
      <c r="AX24" s="183">
        <v>85000000</v>
      </c>
      <c r="AY24" s="185">
        <v>3.8999999999999998E-3</v>
      </c>
      <c r="AZ24" s="183">
        <f t="shared" si="14"/>
        <v>920.83333333333337</v>
      </c>
      <c r="BC24" s="183">
        <f t="shared" si="15"/>
        <v>0</v>
      </c>
      <c r="BF24" s="183">
        <f t="shared" si="16"/>
        <v>0</v>
      </c>
      <c r="BG24" s="183">
        <v>75000000</v>
      </c>
      <c r="BH24" s="185">
        <v>4.0000000000000001E-3</v>
      </c>
      <c r="BI24" s="183">
        <f t="shared" si="17"/>
        <v>833.33333333333337</v>
      </c>
      <c r="BJ24" s="183">
        <f>50000000+42975000</f>
        <v>92975000</v>
      </c>
      <c r="BK24" s="185">
        <v>3.0000000000000001E-3</v>
      </c>
      <c r="BL24" s="183">
        <f t="shared" si="18"/>
        <v>774.79166666666663</v>
      </c>
      <c r="BO24" s="183">
        <f t="shared" si="19"/>
        <v>0</v>
      </c>
      <c r="BR24" s="183">
        <f t="shared" si="20"/>
        <v>0</v>
      </c>
      <c r="BU24" s="183">
        <f t="shared" si="21"/>
        <v>0</v>
      </c>
      <c r="BX24" s="183">
        <f t="shared" si="22"/>
        <v>0</v>
      </c>
      <c r="CA24" s="183">
        <f t="shared" si="23"/>
        <v>0</v>
      </c>
      <c r="CD24" s="183">
        <f t="shared" si="24"/>
        <v>0</v>
      </c>
      <c r="CG24" s="183">
        <f t="shared" si="25"/>
        <v>0</v>
      </c>
      <c r="CJ24" s="183">
        <f t="shared" si="26"/>
        <v>0</v>
      </c>
      <c r="CM24" s="183">
        <f t="shared" si="27"/>
        <v>0</v>
      </c>
      <c r="CP24" s="183">
        <f t="shared" si="28"/>
        <v>0</v>
      </c>
      <c r="CS24" s="183">
        <f t="shared" si="29"/>
        <v>0</v>
      </c>
      <c r="CV24" s="183">
        <f t="shared" si="30"/>
        <v>0</v>
      </c>
      <c r="CY24" s="183">
        <f t="shared" si="31"/>
        <v>0</v>
      </c>
      <c r="DB24" s="183">
        <f t="shared" si="32"/>
        <v>0</v>
      </c>
      <c r="DE24" s="183">
        <f t="shared" si="33"/>
        <v>0</v>
      </c>
      <c r="DH24" s="183">
        <f t="shared" si="34"/>
        <v>0</v>
      </c>
      <c r="DK24" s="183">
        <f t="shared" si="35"/>
        <v>0</v>
      </c>
      <c r="DN24" s="183">
        <f t="shared" si="36"/>
        <v>0</v>
      </c>
      <c r="DQ24" s="183">
        <f t="shared" si="37"/>
        <v>0</v>
      </c>
      <c r="DT24" s="183">
        <f t="shared" si="38"/>
        <v>0</v>
      </c>
      <c r="DW24" s="183">
        <f t="shared" si="39"/>
        <v>0</v>
      </c>
      <c r="DZ24" s="183"/>
      <c r="EA24" s="183"/>
      <c r="EB24" s="214">
        <f t="shared" si="40"/>
        <v>481375000</v>
      </c>
      <c r="EC24" s="214">
        <f t="shared" si="41"/>
        <v>0</v>
      </c>
      <c r="ED24" s="183">
        <f t="shared" si="42"/>
        <v>5974.3402777777774</v>
      </c>
      <c r="EE24" s="185">
        <f t="shared" si="43"/>
        <v>4.4679563749675409E-3</v>
      </c>
      <c r="EG24" s="214">
        <f t="shared" si="44"/>
        <v>0</v>
      </c>
      <c r="EH24" s="183">
        <f t="shared" si="45"/>
        <v>0</v>
      </c>
      <c r="EI24" s="185">
        <f t="shared" si="46"/>
        <v>0</v>
      </c>
      <c r="EJ24" s="185"/>
      <c r="EK24" s="214">
        <f t="shared" si="47"/>
        <v>481375000</v>
      </c>
      <c r="EL24" s="214">
        <f t="shared" si="48"/>
        <v>0</v>
      </c>
      <c r="EM24" s="214">
        <f t="shared" si="49"/>
        <v>5974.3402777777783</v>
      </c>
      <c r="EN24" s="185">
        <f t="shared" si="50"/>
        <v>4.4679563749675417E-3</v>
      </c>
      <c r="EP24" s="183"/>
    </row>
    <row r="25" spans="1:146" x14ac:dyDescent="0.2">
      <c r="A25" s="211">
        <f t="shared" si="51"/>
        <v>44635</v>
      </c>
      <c r="B25" s="183">
        <v>0</v>
      </c>
      <c r="C25" s="185">
        <v>4.5550499999999997E-3</v>
      </c>
      <c r="D25" s="183">
        <f t="shared" si="0"/>
        <v>0</v>
      </c>
      <c r="G25" s="183">
        <f t="shared" si="1"/>
        <v>0</v>
      </c>
      <c r="J25" s="183">
        <f t="shared" si="2"/>
        <v>0</v>
      </c>
      <c r="M25" s="183">
        <f t="shared" si="3"/>
        <v>0</v>
      </c>
      <c r="P25" s="183">
        <f t="shared" si="4"/>
        <v>0</v>
      </c>
      <c r="S25" s="183">
        <f t="shared" si="5"/>
        <v>0</v>
      </c>
      <c r="V25" s="183">
        <f t="shared" si="6"/>
        <v>0</v>
      </c>
      <c r="Y25" s="183">
        <f t="shared" si="7"/>
        <v>0</v>
      </c>
      <c r="AB25" s="183">
        <f t="shared" si="8"/>
        <v>0</v>
      </c>
      <c r="AE25" s="183">
        <v>0</v>
      </c>
      <c r="AH25" s="183">
        <v>0</v>
      </c>
      <c r="AI25" s="212">
        <v>25000000</v>
      </c>
      <c r="AJ25" s="213">
        <v>7.0000000000000001E-3</v>
      </c>
      <c r="AK25" s="183">
        <f t="shared" si="9"/>
        <v>486.11111111111109</v>
      </c>
      <c r="AL25" s="212">
        <v>30000000</v>
      </c>
      <c r="AM25" s="213">
        <v>6.4999999999999997E-3</v>
      </c>
      <c r="AN25" s="183">
        <f t="shared" si="10"/>
        <v>541.66666666666663</v>
      </c>
      <c r="AO25" s="212">
        <v>60025000</v>
      </c>
      <c r="AP25" s="213">
        <v>6.0000000000000001E-3</v>
      </c>
      <c r="AQ25" s="183">
        <f t="shared" si="11"/>
        <v>1000.4166666666666</v>
      </c>
      <c r="AR25" s="212"/>
      <c r="AS25" s="213"/>
      <c r="AT25" s="183">
        <f t="shared" si="12"/>
        <v>0</v>
      </c>
      <c r="AW25" s="183">
        <f t="shared" si="13"/>
        <v>0</v>
      </c>
      <c r="AZ25" s="183">
        <f t="shared" si="14"/>
        <v>0</v>
      </c>
      <c r="BC25" s="183">
        <f t="shared" si="15"/>
        <v>0</v>
      </c>
      <c r="BF25" s="183">
        <f t="shared" si="16"/>
        <v>0</v>
      </c>
      <c r="BG25" s="183">
        <v>134800000</v>
      </c>
      <c r="BH25" s="185">
        <v>3.3E-3</v>
      </c>
      <c r="BI25" s="183">
        <f t="shared" si="17"/>
        <v>1235.6666666666667</v>
      </c>
      <c r="BJ25" s="183">
        <f>150000000+25000000+100000000</f>
        <v>275000000</v>
      </c>
      <c r="BK25" s="185">
        <v>3.0000000000000001E-3</v>
      </c>
      <c r="BL25" s="183">
        <f t="shared" si="18"/>
        <v>2291.6666666666665</v>
      </c>
      <c r="BO25" s="183">
        <f t="shared" si="19"/>
        <v>0</v>
      </c>
      <c r="BR25" s="183">
        <f t="shared" si="20"/>
        <v>0</v>
      </c>
      <c r="BU25" s="183">
        <f t="shared" si="21"/>
        <v>0</v>
      </c>
      <c r="BX25" s="183">
        <f t="shared" si="22"/>
        <v>0</v>
      </c>
      <c r="CA25" s="183">
        <f t="shared" si="23"/>
        <v>0</v>
      </c>
      <c r="CD25" s="183">
        <f t="shared" si="24"/>
        <v>0</v>
      </c>
      <c r="CG25" s="183">
        <f t="shared" si="25"/>
        <v>0</v>
      </c>
      <c r="CJ25" s="183">
        <f t="shared" si="26"/>
        <v>0</v>
      </c>
      <c r="CM25" s="183">
        <f t="shared" si="27"/>
        <v>0</v>
      </c>
      <c r="CP25" s="183">
        <f t="shared" si="28"/>
        <v>0</v>
      </c>
      <c r="CS25" s="183">
        <f t="shared" si="29"/>
        <v>0</v>
      </c>
      <c r="CV25" s="183">
        <f t="shared" si="30"/>
        <v>0</v>
      </c>
      <c r="CY25" s="183">
        <f t="shared" si="31"/>
        <v>0</v>
      </c>
      <c r="DB25" s="183">
        <f t="shared" si="32"/>
        <v>0</v>
      </c>
      <c r="DE25" s="183">
        <f t="shared" si="33"/>
        <v>0</v>
      </c>
      <c r="DH25" s="183">
        <f t="shared" si="34"/>
        <v>0</v>
      </c>
      <c r="DK25" s="183">
        <f t="shared" si="35"/>
        <v>0</v>
      </c>
      <c r="DN25" s="183">
        <f t="shared" si="36"/>
        <v>0</v>
      </c>
      <c r="DQ25" s="183">
        <f t="shared" si="37"/>
        <v>0</v>
      </c>
      <c r="DT25" s="183">
        <f t="shared" si="38"/>
        <v>0</v>
      </c>
      <c r="DW25" s="183">
        <f t="shared" si="39"/>
        <v>0</v>
      </c>
      <c r="DZ25" s="183"/>
      <c r="EA25" s="183"/>
      <c r="EB25" s="214">
        <f t="shared" si="40"/>
        <v>524825000</v>
      </c>
      <c r="EC25" s="214">
        <f t="shared" si="41"/>
        <v>0</v>
      </c>
      <c r="ED25" s="183">
        <f t="shared" si="42"/>
        <v>5555.5277777777774</v>
      </c>
      <c r="EE25" s="185">
        <f t="shared" si="43"/>
        <v>3.8107750202448433E-3</v>
      </c>
      <c r="EG25" s="214">
        <f t="shared" si="44"/>
        <v>0</v>
      </c>
      <c r="EH25" s="183">
        <f t="shared" si="45"/>
        <v>0</v>
      </c>
      <c r="EI25" s="185">
        <f t="shared" si="46"/>
        <v>0</v>
      </c>
      <c r="EJ25" s="185"/>
      <c r="EK25" s="214">
        <f t="shared" si="47"/>
        <v>524825000</v>
      </c>
      <c r="EL25" s="214">
        <f t="shared" si="48"/>
        <v>0</v>
      </c>
      <c r="EM25" s="214">
        <f t="shared" si="49"/>
        <v>5555.5277777777783</v>
      </c>
      <c r="EN25" s="185">
        <f t="shared" si="50"/>
        <v>3.8107750202448442E-3</v>
      </c>
      <c r="EP25" s="183"/>
    </row>
    <row r="26" spans="1:146" x14ac:dyDescent="0.2">
      <c r="A26" s="211">
        <f t="shared" si="51"/>
        <v>44636</v>
      </c>
      <c r="B26" s="183">
        <v>0</v>
      </c>
      <c r="C26" s="185">
        <v>6.2054600000000003E-3</v>
      </c>
      <c r="D26" s="183">
        <f t="shared" si="0"/>
        <v>0</v>
      </c>
      <c r="G26" s="183">
        <f t="shared" si="1"/>
        <v>0</v>
      </c>
      <c r="J26" s="183">
        <f t="shared" si="2"/>
        <v>0</v>
      </c>
      <c r="M26" s="183">
        <f t="shared" si="3"/>
        <v>0</v>
      </c>
      <c r="P26" s="183">
        <f t="shared" si="4"/>
        <v>0</v>
      </c>
      <c r="S26" s="183">
        <f t="shared" si="5"/>
        <v>0</v>
      </c>
      <c r="V26" s="183">
        <f t="shared" si="6"/>
        <v>0</v>
      </c>
      <c r="Y26" s="183">
        <f t="shared" si="7"/>
        <v>0</v>
      </c>
      <c r="AB26" s="183">
        <f t="shared" si="8"/>
        <v>0</v>
      </c>
      <c r="AE26" s="183">
        <v>0</v>
      </c>
      <c r="AH26" s="183">
        <v>0</v>
      </c>
      <c r="AI26" s="212">
        <v>25000000</v>
      </c>
      <c r="AJ26" s="213">
        <v>7.0000000000000001E-3</v>
      </c>
      <c r="AK26" s="183">
        <f t="shared" si="9"/>
        <v>486.11111111111109</v>
      </c>
      <c r="AL26" s="212">
        <v>30000000</v>
      </c>
      <c r="AM26" s="213">
        <v>6.4999999999999997E-3</v>
      </c>
      <c r="AN26" s="183">
        <f t="shared" si="10"/>
        <v>541.66666666666663</v>
      </c>
      <c r="AO26" s="212">
        <v>60025000</v>
      </c>
      <c r="AP26" s="213">
        <v>6.0000000000000001E-3</v>
      </c>
      <c r="AQ26" s="183">
        <f t="shared" si="11"/>
        <v>1000.4166666666666</v>
      </c>
      <c r="AR26" s="212"/>
      <c r="AS26" s="213"/>
      <c r="AT26" s="183">
        <f t="shared" si="12"/>
        <v>0</v>
      </c>
      <c r="AW26" s="183">
        <f t="shared" si="13"/>
        <v>0</v>
      </c>
      <c r="AZ26" s="183">
        <f t="shared" si="14"/>
        <v>0</v>
      </c>
      <c r="BC26" s="183">
        <f t="shared" si="15"/>
        <v>0</v>
      </c>
      <c r="BF26" s="183">
        <f t="shared" si="16"/>
        <v>0</v>
      </c>
      <c r="BG26" s="183">
        <v>52749000</v>
      </c>
      <c r="BH26" s="185">
        <v>8.5000000000000006E-3</v>
      </c>
      <c r="BI26" s="183">
        <f t="shared" si="17"/>
        <v>1245.4625000000001</v>
      </c>
      <c r="BJ26" s="183">
        <f>150000000+121175000+72251000</f>
        <v>343426000</v>
      </c>
      <c r="BK26" s="185">
        <v>3.3E-3</v>
      </c>
      <c r="BL26" s="183">
        <f t="shared" si="18"/>
        <v>3148.0716666666667</v>
      </c>
      <c r="BO26" s="183">
        <f t="shared" si="19"/>
        <v>0</v>
      </c>
      <c r="BR26" s="183">
        <f t="shared" si="20"/>
        <v>0</v>
      </c>
      <c r="BU26" s="183">
        <f t="shared" si="21"/>
        <v>0</v>
      </c>
      <c r="BX26" s="183">
        <f t="shared" si="22"/>
        <v>0</v>
      </c>
      <c r="CA26" s="183">
        <f t="shared" si="23"/>
        <v>0</v>
      </c>
      <c r="CD26" s="183">
        <f t="shared" si="24"/>
        <v>0</v>
      </c>
      <c r="CG26" s="183">
        <f t="shared" si="25"/>
        <v>0</v>
      </c>
      <c r="CJ26" s="183">
        <f t="shared" si="26"/>
        <v>0</v>
      </c>
      <c r="CM26" s="183">
        <f t="shared" si="27"/>
        <v>0</v>
      </c>
      <c r="CP26" s="183">
        <f t="shared" si="28"/>
        <v>0</v>
      </c>
      <c r="CS26" s="183">
        <f t="shared" si="29"/>
        <v>0</v>
      </c>
      <c r="CV26" s="183">
        <f t="shared" si="30"/>
        <v>0</v>
      </c>
      <c r="CY26" s="183">
        <f t="shared" si="31"/>
        <v>0</v>
      </c>
      <c r="DB26" s="183">
        <f t="shared" si="32"/>
        <v>0</v>
      </c>
      <c r="DE26" s="183">
        <f t="shared" si="33"/>
        <v>0</v>
      </c>
      <c r="DH26" s="183">
        <f t="shared" si="34"/>
        <v>0</v>
      </c>
      <c r="DK26" s="183">
        <f t="shared" si="35"/>
        <v>0</v>
      </c>
      <c r="DN26" s="183">
        <f t="shared" si="36"/>
        <v>0</v>
      </c>
      <c r="DQ26" s="183">
        <f t="shared" si="37"/>
        <v>0</v>
      </c>
      <c r="DT26" s="183">
        <f t="shared" si="38"/>
        <v>0</v>
      </c>
      <c r="DW26" s="183">
        <f t="shared" si="39"/>
        <v>0</v>
      </c>
      <c r="DZ26" s="183"/>
      <c r="EA26" s="183"/>
      <c r="EB26" s="214">
        <f t="shared" si="40"/>
        <v>511200000</v>
      </c>
      <c r="EC26" s="214">
        <f t="shared" si="41"/>
        <v>0</v>
      </c>
      <c r="ED26" s="183">
        <f t="shared" si="42"/>
        <v>6421.7286111111116</v>
      </c>
      <c r="EE26" s="185">
        <f t="shared" si="43"/>
        <v>4.5223440923317692E-3</v>
      </c>
      <c r="EG26" s="214">
        <f t="shared" si="44"/>
        <v>0</v>
      </c>
      <c r="EH26" s="183">
        <f t="shared" si="45"/>
        <v>0</v>
      </c>
      <c r="EI26" s="185">
        <f t="shared" si="46"/>
        <v>0</v>
      </c>
      <c r="EJ26" s="185"/>
      <c r="EK26" s="214">
        <f t="shared" si="47"/>
        <v>511200000</v>
      </c>
      <c r="EL26" s="214">
        <f t="shared" si="48"/>
        <v>0</v>
      </c>
      <c r="EM26" s="214">
        <f t="shared" si="49"/>
        <v>6421.7286111111116</v>
      </c>
      <c r="EN26" s="185">
        <f t="shared" si="50"/>
        <v>4.5223440923317692E-3</v>
      </c>
      <c r="EP26" s="183"/>
    </row>
    <row r="27" spans="1:146" x14ac:dyDescent="0.2">
      <c r="A27" s="211">
        <f t="shared" si="51"/>
        <v>44637</v>
      </c>
      <c r="B27" s="183">
        <v>0</v>
      </c>
      <c r="C27" s="185">
        <v>8.3542600000000005E-3</v>
      </c>
      <c r="D27" s="183">
        <f t="shared" si="0"/>
        <v>0</v>
      </c>
      <c r="G27" s="183">
        <f t="shared" si="1"/>
        <v>0</v>
      </c>
      <c r="J27" s="183">
        <f t="shared" si="2"/>
        <v>0</v>
      </c>
      <c r="M27" s="183">
        <f t="shared" si="3"/>
        <v>0</v>
      </c>
      <c r="P27" s="183">
        <f t="shared" si="4"/>
        <v>0</v>
      </c>
      <c r="S27" s="183">
        <f t="shared" si="5"/>
        <v>0</v>
      </c>
      <c r="V27" s="183">
        <f t="shared" si="6"/>
        <v>0</v>
      </c>
      <c r="Y27" s="183">
        <f t="shared" si="7"/>
        <v>0</v>
      </c>
      <c r="AB27" s="183">
        <f t="shared" si="8"/>
        <v>0</v>
      </c>
      <c r="AE27" s="183">
        <v>0</v>
      </c>
      <c r="AH27" s="183">
        <v>0</v>
      </c>
      <c r="AI27" s="212">
        <v>25000000</v>
      </c>
      <c r="AJ27" s="213">
        <v>7.0000000000000001E-3</v>
      </c>
      <c r="AK27" s="183">
        <f t="shared" si="9"/>
        <v>486.11111111111109</v>
      </c>
      <c r="AL27" s="212">
        <v>30000000</v>
      </c>
      <c r="AM27" s="213">
        <v>6.4999999999999997E-3</v>
      </c>
      <c r="AN27" s="183">
        <f t="shared" si="10"/>
        <v>541.66666666666663</v>
      </c>
      <c r="AO27" s="212">
        <v>60025000</v>
      </c>
      <c r="AP27" s="213">
        <v>6.0000000000000001E-3</v>
      </c>
      <c r="AQ27" s="183">
        <f t="shared" si="11"/>
        <v>1000.4166666666666</v>
      </c>
      <c r="AR27" s="212"/>
      <c r="AS27" s="213"/>
      <c r="AT27" s="183">
        <f t="shared" si="12"/>
        <v>0</v>
      </c>
      <c r="AW27" s="183">
        <f t="shared" si="13"/>
        <v>0</v>
      </c>
      <c r="AZ27" s="183">
        <f t="shared" si="14"/>
        <v>0</v>
      </c>
      <c r="BA27" s="183">
        <v>90000000</v>
      </c>
      <c r="BB27" s="185">
        <v>1.06E-2</v>
      </c>
      <c r="BC27" s="183">
        <f t="shared" si="15"/>
        <v>2650</v>
      </c>
      <c r="BD27" s="183">
        <v>210000000</v>
      </c>
      <c r="BE27" s="185">
        <v>1.0500000000000001E-2</v>
      </c>
      <c r="BF27" s="183">
        <f t="shared" si="16"/>
        <v>6125</v>
      </c>
      <c r="BG27" s="183">
        <v>52749000</v>
      </c>
      <c r="BH27" s="185">
        <v>8.5000000000000006E-3</v>
      </c>
      <c r="BI27" s="183">
        <f t="shared" si="17"/>
        <v>1245.4625000000001</v>
      </c>
      <c r="BJ27" s="183">
        <f>62400000</f>
        <v>62400000</v>
      </c>
      <c r="BK27" s="185">
        <v>6.0000000000000001E-3</v>
      </c>
      <c r="BL27" s="183">
        <f t="shared" si="18"/>
        <v>1040</v>
      </c>
      <c r="BO27" s="183">
        <f t="shared" si="19"/>
        <v>0</v>
      </c>
      <c r="BR27" s="183">
        <f t="shared" si="20"/>
        <v>0</v>
      </c>
      <c r="BU27" s="183">
        <f t="shared" si="21"/>
        <v>0</v>
      </c>
      <c r="BX27" s="183">
        <f t="shared" si="22"/>
        <v>0</v>
      </c>
      <c r="CA27" s="183">
        <f t="shared" si="23"/>
        <v>0</v>
      </c>
      <c r="CD27" s="183">
        <f t="shared" si="24"/>
        <v>0</v>
      </c>
      <c r="CG27" s="183">
        <f t="shared" si="25"/>
        <v>0</v>
      </c>
      <c r="CJ27" s="183">
        <f t="shared" si="26"/>
        <v>0</v>
      </c>
      <c r="CM27" s="183">
        <f t="shared" si="27"/>
        <v>0</v>
      </c>
      <c r="CP27" s="183">
        <f t="shared" si="28"/>
        <v>0</v>
      </c>
      <c r="CS27" s="183">
        <f t="shared" si="29"/>
        <v>0</v>
      </c>
      <c r="CV27" s="183">
        <f t="shared" si="30"/>
        <v>0</v>
      </c>
      <c r="CY27" s="183">
        <f t="shared" si="31"/>
        <v>0</v>
      </c>
      <c r="DB27" s="183">
        <f t="shared" si="32"/>
        <v>0</v>
      </c>
      <c r="DE27" s="183">
        <f t="shared" si="33"/>
        <v>0</v>
      </c>
      <c r="DH27" s="183">
        <f t="shared" si="34"/>
        <v>0</v>
      </c>
      <c r="DK27" s="183">
        <f t="shared" si="35"/>
        <v>0</v>
      </c>
      <c r="DN27" s="183">
        <f t="shared" si="36"/>
        <v>0</v>
      </c>
      <c r="DQ27" s="183">
        <f t="shared" si="37"/>
        <v>0</v>
      </c>
      <c r="DT27" s="183">
        <f t="shared" si="38"/>
        <v>0</v>
      </c>
      <c r="DW27" s="183">
        <f t="shared" si="39"/>
        <v>0</v>
      </c>
      <c r="DZ27" s="183"/>
      <c r="EA27" s="183"/>
      <c r="EB27" s="214">
        <f t="shared" si="40"/>
        <v>530174000</v>
      </c>
      <c r="EC27" s="214">
        <f t="shared" si="41"/>
        <v>0</v>
      </c>
      <c r="ED27" s="183">
        <f t="shared" si="42"/>
        <v>13088.656944444445</v>
      </c>
      <c r="EE27" s="185">
        <f t="shared" si="43"/>
        <v>8.8874907105968987E-3</v>
      </c>
      <c r="EG27" s="214">
        <f t="shared" si="44"/>
        <v>0</v>
      </c>
      <c r="EH27" s="183">
        <f t="shared" si="45"/>
        <v>0</v>
      </c>
      <c r="EI27" s="185">
        <f t="shared" si="46"/>
        <v>0</v>
      </c>
      <c r="EJ27" s="185"/>
      <c r="EK27" s="214">
        <f t="shared" si="47"/>
        <v>530174000</v>
      </c>
      <c r="EL27" s="214">
        <f t="shared" si="48"/>
        <v>0</v>
      </c>
      <c r="EM27" s="214">
        <f t="shared" si="49"/>
        <v>13088.656944444443</v>
      </c>
      <c r="EN27" s="185">
        <f t="shared" si="50"/>
        <v>8.8874907105968969E-3</v>
      </c>
      <c r="EP27" s="183"/>
    </row>
    <row r="28" spans="1:146" x14ac:dyDescent="0.2">
      <c r="A28" s="211">
        <f t="shared" si="51"/>
        <v>44638</v>
      </c>
      <c r="B28" s="183">
        <v>0</v>
      </c>
      <c r="C28" s="185">
        <v>8.4080100000000005E-3</v>
      </c>
      <c r="D28" s="183">
        <f t="shared" si="0"/>
        <v>0</v>
      </c>
      <c r="G28" s="183">
        <f t="shared" si="1"/>
        <v>0</v>
      </c>
      <c r="J28" s="183">
        <f t="shared" si="2"/>
        <v>0</v>
      </c>
      <c r="M28" s="183">
        <f t="shared" si="3"/>
        <v>0</v>
      </c>
      <c r="P28" s="183">
        <f t="shared" si="4"/>
        <v>0</v>
      </c>
      <c r="S28" s="183">
        <f t="shared" si="5"/>
        <v>0</v>
      </c>
      <c r="V28" s="183">
        <f t="shared" si="6"/>
        <v>0</v>
      </c>
      <c r="Y28" s="183">
        <f t="shared" si="7"/>
        <v>0</v>
      </c>
      <c r="AB28" s="183">
        <f t="shared" si="8"/>
        <v>0</v>
      </c>
      <c r="AE28" s="183">
        <v>0</v>
      </c>
      <c r="AH28" s="183">
        <v>0</v>
      </c>
      <c r="AI28" s="212">
        <v>25000000</v>
      </c>
      <c r="AJ28" s="213">
        <v>7.0000000000000001E-3</v>
      </c>
      <c r="AK28" s="183">
        <f t="shared" si="9"/>
        <v>486.11111111111109</v>
      </c>
      <c r="AL28" s="212">
        <v>30000000</v>
      </c>
      <c r="AM28" s="213">
        <v>6.4999999999999997E-3</v>
      </c>
      <c r="AN28" s="183">
        <f t="shared" si="10"/>
        <v>541.66666666666663</v>
      </c>
      <c r="AO28" s="212">
        <v>60025000</v>
      </c>
      <c r="AP28" s="213">
        <v>6.0000000000000001E-3</v>
      </c>
      <c r="AQ28" s="183">
        <f t="shared" si="11"/>
        <v>1000.4166666666666</v>
      </c>
      <c r="AR28" s="212"/>
      <c r="AS28" s="213"/>
      <c r="AT28" s="183">
        <f t="shared" si="12"/>
        <v>0</v>
      </c>
      <c r="AW28" s="183">
        <f t="shared" si="13"/>
        <v>0</v>
      </c>
      <c r="AZ28" s="183">
        <f t="shared" si="14"/>
        <v>0</v>
      </c>
      <c r="BA28" s="183">
        <v>90000000</v>
      </c>
      <c r="BB28" s="185">
        <v>1.06E-2</v>
      </c>
      <c r="BC28" s="183">
        <f t="shared" si="15"/>
        <v>2650</v>
      </c>
      <c r="BD28" s="183">
        <v>235000000</v>
      </c>
      <c r="BE28" s="185">
        <v>1.0500000000000001E-2</v>
      </c>
      <c r="BF28" s="183">
        <f t="shared" si="16"/>
        <v>6854.166666666667</v>
      </c>
      <c r="BG28" s="183">
        <v>52749000</v>
      </c>
      <c r="BH28" s="185">
        <v>8.5000000000000006E-3</v>
      </c>
      <c r="BI28" s="183">
        <f t="shared" si="17"/>
        <v>1245.4625000000001</v>
      </c>
      <c r="BJ28" s="183">
        <f>45825000</f>
        <v>45825000</v>
      </c>
      <c r="BK28" s="185">
        <v>6.0000000000000001E-3</v>
      </c>
      <c r="BL28" s="183">
        <f t="shared" si="18"/>
        <v>763.75</v>
      </c>
      <c r="BO28" s="183">
        <f t="shared" si="19"/>
        <v>0</v>
      </c>
      <c r="BR28" s="183">
        <f t="shared" si="20"/>
        <v>0</v>
      </c>
      <c r="BU28" s="183">
        <f t="shared" si="21"/>
        <v>0</v>
      </c>
      <c r="BX28" s="183">
        <f t="shared" si="22"/>
        <v>0</v>
      </c>
      <c r="CA28" s="183">
        <f t="shared" si="23"/>
        <v>0</v>
      </c>
      <c r="CD28" s="183">
        <f t="shared" si="24"/>
        <v>0</v>
      </c>
      <c r="CG28" s="183">
        <f t="shared" si="25"/>
        <v>0</v>
      </c>
      <c r="CJ28" s="183">
        <f t="shared" si="26"/>
        <v>0</v>
      </c>
      <c r="CM28" s="183">
        <f t="shared" si="27"/>
        <v>0</v>
      </c>
      <c r="CP28" s="183">
        <f t="shared" si="28"/>
        <v>0</v>
      </c>
      <c r="CS28" s="183">
        <f t="shared" si="29"/>
        <v>0</v>
      </c>
      <c r="CV28" s="183">
        <f t="shared" si="30"/>
        <v>0</v>
      </c>
      <c r="CY28" s="183">
        <f t="shared" si="31"/>
        <v>0</v>
      </c>
      <c r="DB28" s="183">
        <f t="shared" si="32"/>
        <v>0</v>
      </c>
      <c r="DE28" s="183">
        <f t="shared" si="33"/>
        <v>0</v>
      </c>
      <c r="DH28" s="183">
        <f t="shared" si="34"/>
        <v>0</v>
      </c>
      <c r="DK28" s="183">
        <f t="shared" si="35"/>
        <v>0</v>
      </c>
      <c r="DN28" s="183">
        <f t="shared" si="36"/>
        <v>0</v>
      </c>
      <c r="DQ28" s="183">
        <f t="shared" si="37"/>
        <v>0</v>
      </c>
      <c r="DT28" s="183">
        <f t="shared" si="38"/>
        <v>0</v>
      </c>
      <c r="DW28" s="183">
        <f t="shared" si="39"/>
        <v>0</v>
      </c>
      <c r="DZ28" s="183"/>
      <c r="EA28" s="183"/>
      <c r="EB28" s="214">
        <f t="shared" si="40"/>
        <v>538599000</v>
      </c>
      <c r="EC28" s="214">
        <f t="shared" si="41"/>
        <v>0</v>
      </c>
      <c r="ED28" s="183">
        <f t="shared" si="42"/>
        <v>13541.573611111111</v>
      </c>
      <c r="EE28" s="185">
        <f t="shared" si="43"/>
        <v>9.0511985725929677E-3</v>
      </c>
      <c r="EG28" s="214">
        <f t="shared" si="44"/>
        <v>0</v>
      </c>
      <c r="EH28" s="183">
        <f t="shared" si="45"/>
        <v>0</v>
      </c>
      <c r="EI28" s="185">
        <f t="shared" si="46"/>
        <v>0</v>
      </c>
      <c r="EJ28" s="185"/>
      <c r="EK28" s="214">
        <f t="shared" si="47"/>
        <v>538599000</v>
      </c>
      <c r="EL28" s="214">
        <f t="shared" si="48"/>
        <v>0</v>
      </c>
      <c r="EM28" s="214">
        <f t="shared" si="49"/>
        <v>13541.573611111111</v>
      </c>
      <c r="EN28" s="185">
        <f t="shared" si="50"/>
        <v>9.0511985725929677E-3</v>
      </c>
      <c r="EP28" s="183"/>
    </row>
    <row r="29" spans="1:146" x14ac:dyDescent="0.2">
      <c r="A29" s="211">
        <f t="shared" si="51"/>
        <v>44639</v>
      </c>
      <c r="B29" s="183">
        <v>0</v>
      </c>
      <c r="C29" s="185">
        <v>8.4080100000000005E-3</v>
      </c>
      <c r="D29" s="183">
        <f t="shared" si="0"/>
        <v>0</v>
      </c>
      <c r="G29" s="183">
        <f t="shared" si="1"/>
        <v>0</v>
      </c>
      <c r="J29" s="183">
        <f t="shared" si="2"/>
        <v>0</v>
      </c>
      <c r="M29" s="183">
        <f t="shared" si="3"/>
        <v>0</v>
      </c>
      <c r="P29" s="183">
        <f t="shared" si="4"/>
        <v>0</v>
      </c>
      <c r="S29" s="183">
        <f t="shared" si="5"/>
        <v>0</v>
      </c>
      <c r="V29" s="183">
        <f t="shared" si="6"/>
        <v>0</v>
      </c>
      <c r="Y29" s="183">
        <f t="shared" si="7"/>
        <v>0</v>
      </c>
      <c r="AB29" s="183">
        <f t="shared" si="8"/>
        <v>0</v>
      </c>
      <c r="AE29" s="183">
        <v>0</v>
      </c>
      <c r="AH29" s="183">
        <v>0</v>
      </c>
      <c r="AI29" s="212">
        <v>25000000</v>
      </c>
      <c r="AJ29" s="213">
        <v>7.0000000000000001E-3</v>
      </c>
      <c r="AK29" s="183">
        <f t="shared" si="9"/>
        <v>486.11111111111109</v>
      </c>
      <c r="AL29" s="212">
        <v>30000000</v>
      </c>
      <c r="AM29" s="213">
        <v>6.4999999999999997E-3</v>
      </c>
      <c r="AN29" s="183">
        <f t="shared" si="10"/>
        <v>541.66666666666663</v>
      </c>
      <c r="AO29" s="212">
        <v>60025000</v>
      </c>
      <c r="AP29" s="213">
        <v>6.0000000000000001E-3</v>
      </c>
      <c r="AQ29" s="183">
        <f t="shared" si="11"/>
        <v>1000.4166666666666</v>
      </c>
      <c r="AR29" s="212"/>
      <c r="AS29" s="213"/>
      <c r="AT29" s="183">
        <f t="shared" si="12"/>
        <v>0</v>
      </c>
      <c r="AW29" s="183">
        <f t="shared" si="13"/>
        <v>0</v>
      </c>
      <c r="AZ29" s="183">
        <f t="shared" si="14"/>
        <v>0</v>
      </c>
      <c r="BA29" s="183">
        <v>90000000</v>
      </c>
      <c r="BB29" s="185">
        <v>1.06E-2</v>
      </c>
      <c r="BC29" s="183">
        <f t="shared" si="15"/>
        <v>2650</v>
      </c>
      <c r="BD29" s="183">
        <v>235000000</v>
      </c>
      <c r="BE29" s="185">
        <v>1.0500000000000001E-2</v>
      </c>
      <c r="BF29" s="183">
        <f t="shared" si="16"/>
        <v>6854.166666666667</v>
      </c>
      <c r="BG29" s="183">
        <v>52749000</v>
      </c>
      <c r="BH29" s="185">
        <v>8.5000000000000006E-3</v>
      </c>
      <c r="BI29" s="183">
        <f t="shared" si="17"/>
        <v>1245.4625000000001</v>
      </c>
      <c r="BJ29" s="183">
        <f>45825000</f>
        <v>45825000</v>
      </c>
      <c r="BK29" s="185">
        <v>6.0000000000000001E-3</v>
      </c>
      <c r="BL29" s="183">
        <f t="shared" si="18"/>
        <v>763.75</v>
      </c>
      <c r="BO29" s="183">
        <f t="shared" si="19"/>
        <v>0</v>
      </c>
      <c r="BR29" s="183">
        <f t="shared" si="20"/>
        <v>0</v>
      </c>
      <c r="BU29" s="183">
        <f t="shared" si="21"/>
        <v>0</v>
      </c>
      <c r="BX29" s="183">
        <f t="shared" si="22"/>
        <v>0</v>
      </c>
      <c r="CA29" s="183">
        <f t="shared" si="23"/>
        <v>0</v>
      </c>
      <c r="CD29" s="183">
        <f t="shared" si="24"/>
        <v>0</v>
      </c>
      <c r="CG29" s="183">
        <f t="shared" si="25"/>
        <v>0</v>
      </c>
      <c r="CJ29" s="183">
        <f t="shared" si="26"/>
        <v>0</v>
      </c>
      <c r="CM29" s="183">
        <f t="shared" si="27"/>
        <v>0</v>
      </c>
      <c r="CP29" s="183">
        <f t="shared" si="28"/>
        <v>0</v>
      </c>
      <c r="CS29" s="183">
        <f t="shared" si="29"/>
        <v>0</v>
      </c>
      <c r="CV29" s="183">
        <f t="shared" si="30"/>
        <v>0</v>
      </c>
      <c r="CY29" s="183">
        <f t="shared" si="31"/>
        <v>0</v>
      </c>
      <c r="DB29" s="183">
        <f t="shared" si="32"/>
        <v>0</v>
      </c>
      <c r="DE29" s="183">
        <f t="shared" si="33"/>
        <v>0</v>
      </c>
      <c r="DH29" s="183">
        <f t="shared" si="34"/>
        <v>0</v>
      </c>
      <c r="DK29" s="183">
        <f t="shared" si="35"/>
        <v>0</v>
      </c>
      <c r="DN29" s="183">
        <f t="shared" si="36"/>
        <v>0</v>
      </c>
      <c r="DQ29" s="183">
        <f t="shared" si="37"/>
        <v>0</v>
      </c>
      <c r="DT29" s="183">
        <f t="shared" si="38"/>
        <v>0</v>
      </c>
      <c r="DW29" s="183">
        <f t="shared" si="39"/>
        <v>0</v>
      </c>
      <c r="DZ29" s="183"/>
      <c r="EA29" s="183"/>
      <c r="EB29" s="214">
        <f t="shared" si="40"/>
        <v>538599000</v>
      </c>
      <c r="EC29" s="214">
        <f t="shared" si="41"/>
        <v>0</v>
      </c>
      <c r="ED29" s="183">
        <f t="shared" si="42"/>
        <v>13541.573611111111</v>
      </c>
      <c r="EE29" s="185">
        <f t="shared" si="43"/>
        <v>9.0511985725929677E-3</v>
      </c>
      <c r="EG29" s="214">
        <f t="shared" si="44"/>
        <v>0</v>
      </c>
      <c r="EH29" s="183">
        <f t="shared" si="45"/>
        <v>0</v>
      </c>
      <c r="EI29" s="185">
        <f t="shared" si="46"/>
        <v>0</v>
      </c>
      <c r="EJ29" s="185"/>
      <c r="EK29" s="214">
        <f t="shared" si="47"/>
        <v>538599000</v>
      </c>
      <c r="EL29" s="214">
        <f t="shared" si="48"/>
        <v>0</v>
      </c>
      <c r="EM29" s="214">
        <f t="shared" si="49"/>
        <v>13541.573611111111</v>
      </c>
      <c r="EN29" s="185">
        <f t="shared" si="50"/>
        <v>9.0511985725929677E-3</v>
      </c>
      <c r="EP29" s="183"/>
    </row>
    <row r="30" spans="1:146" x14ac:dyDescent="0.2">
      <c r="A30" s="211">
        <f t="shared" si="51"/>
        <v>44640</v>
      </c>
      <c r="B30" s="183">
        <v>0</v>
      </c>
      <c r="C30" s="185">
        <v>8.4080100000000005E-3</v>
      </c>
      <c r="D30" s="183">
        <f t="shared" si="0"/>
        <v>0</v>
      </c>
      <c r="G30" s="183">
        <f t="shared" si="1"/>
        <v>0</v>
      </c>
      <c r="J30" s="183">
        <f t="shared" si="2"/>
        <v>0</v>
      </c>
      <c r="M30" s="183">
        <f t="shared" si="3"/>
        <v>0</v>
      </c>
      <c r="P30" s="183">
        <f t="shared" si="4"/>
        <v>0</v>
      </c>
      <c r="S30" s="183">
        <f t="shared" si="5"/>
        <v>0</v>
      </c>
      <c r="V30" s="183">
        <f t="shared" si="6"/>
        <v>0</v>
      </c>
      <c r="Y30" s="183">
        <f t="shared" si="7"/>
        <v>0</v>
      </c>
      <c r="AB30" s="183">
        <f t="shared" si="8"/>
        <v>0</v>
      </c>
      <c r="AE30" s="183">
        <v>0</v>
      </c>
      <c r="AH30" s="183">
        <v>0</v>
      </c>
      <c r="AI30" s="212">
        <v>25000000</v>
      </c>
      <c r="AJ30" s="213">
        <v>7.0000000000000001E-3</v>
      </c>
      <c r="AK30" s="183">
        <f t="shared" si="9"/>
        <v>486.11111111111109</v>
      </c>
      <c r="AL30" s="212">
        <v>30000000</v>
      </c>
      <c r="AM30" s="213">
        <v>6.4999999999999997E-3</v>
      </c>
      <c r="AN30" s="183">
        <f t="shared" si="10"/>
        <v>541.66666666666663</v>
      </c>
      <c r="AO30" s="212">
        <v>60025000</v>
      </c>
      <c r="AP30" s="213">
        <v>6.0000000000000001E-3</v>
      </c>
      <c r="AQ30" s="183">
        <f t="shared" si="11"/>
        <v>1000.4166666666666</v>
      </c>
      <c r="AR30" s="212"/>
      <c r="AS30" s="213"/>
      <c r="AT30" s="183">
        <f t="shared" si="12"/>
        <v>0</v>
      </c>
      <c r="AW30" s="183">
        <f t="shared" si="13"/>
        <v>0</v>
      </c>
      <c r="AZ30" s="183">
        <f t="shared" si="14"/>
        <v>0</v>
      </c>
      <c r="BA30" s="183">
        <v>90000000</v>
      </c>
      <c r="BB30" s="185">
        <v>1.06E-2</v>
      </c>
      <c r="BC30" s="183">
        <f t="shared" si="15"/>
        <v>2650</v>
      </c>
      <c r="BD30" s="183">
        <v>235000000</v>
      </c>
      <c r="BE30" s="185">
        <v>1.0500000000000001E-2</v>
      </c>
      <c r="BF30" s="183">
        <f t="shared" si="16"/>
        <v>6854.166666666667</v>
      </c>
      <c r="BG30" s="183">
        <v>52749000</v>
      </c>
      <c r="BH30" s="185">
        <v>8.5000000000000006E-3</v>
      </c>
      <c r="BI30" s="183">
        <f t="shared" si="17"/>
        <v>1245.4625000000001</v>
      </c>
      <c r="BJ30" s="183">
        <f>45825000</f>
        <v>45825000</v>
      </c>
      <c r="BK30" s="185">
        <v>6.0000000000000001E-3</v>
      </c>
      <c r="BL30" s="183">
        <f t="shared" si="18"/>
        <v>763.75</v>
      </c>
      <c r="BO30" s="183">
        <f t="shared" si="19"/>
        <v>0</v>
      </c>
      <c r="BR30" s="183">
        <f t="shared" si="20"/>
        <v>0</v>
      </c>
      <c r="BU30" s="183">
        <f t="shared" si="21"/>
        <v>0</v>
      </c>
      <c r="BX30" s="183">
        <f t="shared" si="22"/>
        <v>0</v>
      </c>
      <c r="CA30" s="183">
        <f t="shared" si="23"/>
        <v>0</v>
      </c>
      <c r="CD30" s="183">
        <f t="shared" si="24"/>
        <v>0</v>
      </c>
      <c r="CG30" s="183">
        <f t="shared" si="25"/>
        <v>0</v>
      </c>
      <c r="CJ30" s="183">
        <f t="shared" si="26"/>
        <v>0</v>
      </c>
      <c r="CM30" s="183">
        <f t="shared" si="27"/>
        <v>0</v>
      </c>
      <c r="CP30" s="183">
        <f t="shared" si="28"/>
        <v>0</v>
      </c>
      <c r="CS30" s="183">
        <f t="shared" si="29"/>
        <v>0</v>
      </c>
      <c r="CV30" s="183">
        <f t="shared" si="30"/>
        <v>0</v>
      </c>
      <c r="CY30" s="183">
        <f t="shared" si="31"/>
        <v>0</v>
      </c>
      <c r="DB30" s="183">
        <f t="shared" si="32"/>
        <v>0</v>
      </c>
      <c r="DE30" s="183">
        <f t="shared" si="33"/>
        <v>0</v>
      </c>
      <c r="DH30" s="183">
        <f t="shared" si="34"/>
        <v>0</v>
      </c>
      <c r="DK30" s="183">
        <f t="shared" si="35"/>
        <v>0</v>
      </c>
      <c r="DN30" s="183">
        <f t="shared" si="36"/>
        <v>0</v>
      </c>
      <c r="DQ30" s="183">
        <f t="shared" si="37"/>
        <v>0</v>
      </c>
      <c r="DT30" s="183">
        <f t="shared" si="38"/>
        <v>0</v>
      </c>
      <c r="DW30" s="183">
        <f t="shared" si="39"/>
        <v>0</v>
      </c>
      <c r="DZ30" s="183"/>
      <c r="EA30" s="183"/>
      <c r="EB30" s="214">
        <f t="shared" si="40"/>
        <v>538599000</v>
      </c>
      <c r="EC30" s="214">
        <f t="shared" si="41"/>
        <v>0</v>
      </c>
      <c r="ED30" s="183">
        <f t="shared" si="42"/>
        <v>13541.573611111111</v>
      </c>
      <c r="EE30" s="185">
        <f t="shared" si="43"/>
        <v>9.0511985725929677E-3</v>
      </c>
      <c r="EG30" s="214">
        <f t="shared" si="44"/>
        <v>0</v>
      </c>
      <c r="EH30" s="183">
        <f t="shared" si="45"/>
        <v>0</v>
      </c>
      <c r="EI30" s="185">
        <f t="shared" si="46"/>
        <v>0</v>
      </c>
      <c r="EJ30" s="185"/>
      <c r="EK30" s="214">
        <f t="shared" si="47"/>
        <v>538599000</v>
      </c>
      <c r="EL30" s="214">
        <f t="shared" si="48"/>
        <v>0</v>
      </c>
      <c r="EM30" s="214">
        <f t="shared" si="49"/>
        <v>13541.573611111111</v>
      </c>
      <c r="EN30" s="185">
        <f t="shared" si="50"/>
        <v>9.0511985725929677E-3</v>
      </c>
      <c r="EP30" s="183"/>
    </row>
    <row r="31" spans="1:146" x14ac:dyDescent="0.2">
      <c r="A31" s="211">
        <f t="shared" si="51"/>
        <v>44641</v>
      </c>
      <c r="B31" s="183">
        <v>0</v>
      </c>
      <c r="C31" s="185">
        <v>8.4480300000000005E-3</v>
      </c>
      <c r="D31" s="183">
        <f t="shared" si="0"/>
        <v>0</v>
      </c>
      <c r="G31" s="183">
        <f t="shared" si="1"/>
        <v>0</v>
      </c>
      <c r="J31" s="183">
        <f t="shared" si="2"/>
        <v>0</v>
      </c>
      <c r="M31" s="183">
        <f t="shared" si="3"/>
        <v>0</v>
      </c>
      <c r="P31" s="183">
        <f t="shared" si="4"/>
        <v>0</v>
      </c>
      <c r="S31" s="183">
        <f t="shared" si="5"/>
        <v>0</v>
      </c>
      <c r="V31" s="183">
        <f t="shared" si="6"/>
        <v>0</v>
      </c>
      <c r="Y31" s="183">
        <f t="shared" si="7"/>
        <v>0</v>
      </c>
      <c r="AB31" s="183">
        <f t="shared" si="8"/>
        <v>0</v>
      </c>
      <c r="AE31" s="183">
        <v>0</v>
      </c>
      <c r="AH31" s="183">
        <v>0</v>
      </c>
      <c r="AI31" s="212">
        <v>25000000</v>
      </c>
      <c r="AJ31" s="213">
        <v>7.0000000000000001E-3</v>
      </c>
      <c r="AK31" s="183">
        <f t="shared" si="9"/>
        <v>486.11111111111109</v>
      </c>
      <c r="AL31" s="212">
        <v>30000000</v>
      </c>
      <c r="AM31" s="213">
        <v>6.4999999999999997E-3</v>
      </c>
      <c r="AN31" s="183">
        <f t="shared" si="10"/>
        <v>541.66666666666663</v>
      </c>
      <c r="AO31" s="212"/>
      <c r="AP31" s="213"/>
      <c r="AQ31" s="183">
        <f t="shared" si="11"/>
        <v>0</v>
      </c>
      <c r="AR31" s="212"/>
      <c r="AS31" s="213"/>
      <c r="AT31" s="183">
        <f t="shared" si="12"/>
        <v>0</v>
      </c>
      <c r="AW31" s="183">
        <f t="shared" si="13"/>
        <v>0</v>
      </c>
      <c r="AZ31" s="183">
        <f t="shared" si="14"/>
        <v>0</v>
      </c>
      <c r="BA31" s="183">
        <v>90000000</v>
      </c>
      <c r="BB31" s="185">
        <v>1.06E-2</v>
      </c>
      <c r="BC31" s="183">
        <f t="shared" si="15"/>
        <v>2650</v>
      </c>
      <c r="BD31" s="183">
        <v>235000000</v>
      </c>
      <c r="BE31" s="185">
        <v>1.0500000000000001E-2</v>
      </c>
      <c r="BF31" s="183">
        <f t="shared" si="16"/>
        <v>6854.166666666667</v>
      </c>
      <c r="BG31" s="183">
        <v>52749000</v>
      </c>
      <c r="BH31" s="185">
        <v>8.5000000000000006E-3</v>
      </c>
      <c r="BI31" s="183">
        <f t="shared" si="17"/>
        <v>1245.4625000000001</v>
      </c>
      <c r="BJ31" s="183">
        <f>60000000+45825000</f>
        <v>105825000</v>
      </c>
      <c r="BK31" s="185">
        <v>6.0000000000000001E-3</v>
      </c>
      <c r="BL31" s="183">
        <f t="shared" si="18"/>
        <v>1763.75</v>
      </c>
      <c r="BO31" s="183">
        <f t="shared" si="19"/>
        <v>0</v>
      </c>
      <c r="BR31" s="183">
        <f t="shared" si="20"/>
        <v>0</v>
      </c>
      <c r="BU31" s="183">
        <f t="shared" si="21"/>
        <v>0</v>
      </c>
      <c r="BX31" s="183">
        <f t="shared" si="22"/>
        <v>0</v>
      </c>
      <c r="CA31" s="183">
        <f t="shared" si="23"/>
        <v>0</v>
      </c>
      <c r="CD31" s="183">
        <f t="shared" si="24"/>
        <v>0</v>
      </c>
      <c r="CG31" s="183">
        <f t="shared" si="25"/>
        <v>0</v>
      </c>
      <c r="CJ31" s="183">
        <f t="shared" si="26"/>
        <v>0</v>
      </c>
      <c r="CM31" s="183">
        <f t="shared" si="27"/>
        <v>0</v>
      </c>
      <c r="CP31" s="183">
        <f t="shared" si="28"/>
        <v>0</v>
      </c>
      <c r="CS31" s="183">
        <f t="shared" si="29"/>
        <v>0</v>
      </c>
      <c r="CV31" s="183">
        <f t="shared" si="30"/>
        <v>0</v>
      </c>
      <c r="CY31" s="183">
        <f t="shared" si="31"/>
        <v>0</v>
      </c>
      <c r="DB31" s="183">
        <f t="shared" si="32"/>
        <v>0</v>
      </c>
      <c r="DE31" s="183">
        <f t="shared" si="33"/>
        <v>0</v>
      </c>
      <c r="DH31" s="183">
        <f t="shared" si="34"/>
        <v>0</v>
      </c>
      <c r="DK31" s="183">
        <f t="shared" si="35"/>
        <v>0</v>
      </c>
      <c r="DN31" s="183">
        <f t="shared" si="36"/>
        <v>0</v>
      </c>
      <c r="DQ31" s="183">
        <f t="shared" si="37"/>
        <v>0</v>
      </c>
      <c r="DT31" s="183">
        <f t="shared" si="38"/>
        <v>0</v>
      </c>
      <c r="DW31" s="183">
        <f t="shared" si="39"/>
        <v>0</v>
      </c>
      <c r="DZ31" s="183"/>
      <c r="EA31" s="183"/>
      <c r="EB31" s="214">
        <f t="shared" si="40"/>
        <v>538574000</v>
      </c>
      <c r="EC31" s="214">
        <f t="shared" si="41"/>
        <v>0</v>
      </c>
      <c r="ED31" s="183">
        <f t="shared" si="42"/>
        <v>13541.156944444445</v>
      </c>
      <c r="EE31" s="185">
        <f t="shared" si="43"/>
        <v>9.0513402058027305E-3</v>
      </c>
      <c r="EG31" s="214">
        <f t="shared" si="44"/>
        <v>0</v>
      </c>
      <c r="EH31" s="183">
        <f t="shared" si="45"/>
        <v>0</v>
      </c>
      <c r="EI31" s="185">
        <f t="shared" si="46"/>
        <v>0</v>
      </c>
      <c r="EJ31" s="185"/>
      <c r="EK31" s="214">
        <f t="shared" si="47"/>
        <v>538574000</v>
      </c>
      <c r="EL31" s="214">
        <f t="shared" si="48"/>
        <v>0</v>
      </c>
      <c r="EM31" s="214">
        <f t="shared" si="49"/>
        <v>13541.156944444445</v>
      </c>
      <c r="EN31" s="185">
        <f t="shared" si="50"/>
        <v>9.0513402058027305E-3</v>
      </c>
      <c r="EP31" s="183"/>
    </row>
    <row r="32" spans="1:146" x14ac:dyDescent="0.2">
      <c r="A32" s="211">
        <f t="shared" si="51"/>
        <v>44642</v>
      </c>
      <c r="B32" s="183">
        <v>0</v>
      </c>
      <c r="C32" s="185">
        <v>8.4694100000000001E-3</v>
      </c>
      <c r="D32" s="183">
        <f t="shared" si="0"/>
        <v>0</v>
      </c>
      <c r="G32" s="183">
        <f t="shared" si="1"/>
        <v>0</v>
      </c>
      <c r="J32" s="183">
        <f t="shared" si="2"/>
        <v>0</v>
      </c>
      <c r="M32" s="183">
        <f t="shared" si="3"/>
        <v>0</v>
      </c>
      <c r="P32" s="183">
        <f t="shared" si="4"/>
        <v>0</v>
      </c>
      <c r="S32" s="183">
        <f t="shared" si="5"/>
        <v>0</v>
      </c>
      <c r="V32" s="183">
        <f t="shared" si="6"/>
        <v>0</v>
      </c>
      <c r="Y32" s="183">
        <f t="shared" si="7"/>
        <v>0</v>
      </c>
      <c r="AB32" s="183">
        <f t="shared" si="8"/>
        <v>0</v>
      </c>
      <c r="AE32" s="183">
        <v>0</v>
      </c>
      <c r="AH32" s="183">
        <v>0</v>
      </c>
      <c r="AI32" s="212">
        <v>25000000</v>
      </c>
      <c r="AJ32" s="213">
        <v>7.0000000000000001E-3</v>
      </c>
      <c r="AK32" s="183">
        <f t="shared" si="9"/>
        <v>486.11111111111109</v>
      </c>
      <c r="AL32" s="212"/>
      <c r="AM32" s="213"/>
      <c r="AN32" s="183">
        <f t="shared" si="10"/>
        <v>0</v>
      </c>
      <c r="AO32" s="212"/>
      <c r="AP32" s="213"/>
      <c r="AQ32" s="183">
        <f t="shared" si="11"/>
        <v>0</v>
      </c>
      <c r="AR32" s="212"/>
      <c r="AS32" s="213"/>
      <c r="AT32" s="183">
        <f t="shared" si="12"/>
        <v>0</v>
      </c>
      <c r="AW32" s="183">
        <f t="shared" si="13"/>
        <v>0</v>
      </c>
      <c r="AX32" s="183">
        <v>65000000</v>
      </c>
      <c r="AY32" s="185">
        <v>9.4999999999999998E-3</v>
      </c>
      <c r="AZ32" s="183">
        <f t="shared" si="14"/>
        <v>1715.2777777777778</v>
      </c>
      <c r="BA32" s="183">
        <v>90000000</v>
      </c>
      <c r="BB32" s="185">
        <v>1.06E-2</v>
      </c>
      <c r="BC32" s="183">
        <f t="shared" si="15"/>
        <v>2650</v>
      </c>
      <c r="BD32" s="183">
        <v>235000000</v>
      </c>
      <c r="BE32" s="185">
        <v>1.0500000000000001E-2</v>
      </c>
      <c r="BF32" s="183">
        <f t="shared" si="16"/>
        <v>6854.166666666667</v>
      </c>
      <c r="BG32" s="183">
        <v>52749000</v>
      </c>
      <c r="BH32" s="185">
        <v>8.5000000000000006E-3</v>
      </c>
      <c r="BI32" s="183">
        <f t="shared" si="17"/>
        <v>1245.4625000000001</v>
      </c>
      <c r="BJ32" s="183">
        <f>40000000+20825000</f>
        <v>60825000</v>
      </c>
      <c r="BK32" s="185">
        <v>6.0000000000000001E-3</v>
      </c>
      <c r="BL32" s="183">
        <f t="shared" si="18"/>
        <v>1013.75</v>
      </c>
      <c r="BO32" s="183">
        <f t="shared" si="19"/>
        <v>0</v>
      </c>
      <c r="BR32" s="183">
        <f t="shared" si="20"/>
        <v>0</v>
      </c>
      <c r="BU32" s="183">
        <f t="shared" si="21"/>
        <v>0</v>
      </c>
      <c r="BX32" s="183">
        <f t="shared" si="22"/>
        <v>0</v>
      </c>
      <c r="CA32" s="183">
        <f t="shared" si="23"/>
        <v>0</v>
      </c>
      <c r="CD32" s="183">
        <f t="shared" si="24"/>
        <v>0</v>
      </c>
      <c r="CG32" s="183">
        <f t="shared" si="25"/>
        <v>0</v>
      </c>
      <c r="CJ32" s="183">
        <f t="shared" si="26"/>
        <v>0</v>
      </c>
      <c r="CM32" s="183">
        <f t="shared" si="27"/>
        <v>0</v>
      </c>
      <c r="CP32" s="183">
        <f t="shared" si="28"/>
        <v>0</v>
      </c>
      <c r="CS32" s="183">
        <f t="shared" si="29"/>
        <v>0</v>
      </c>
      <c r="CV32" s="183">
        <f t="shared" si="30"/>
        <v>0</v>
      </c>
      <c r="CY32" s="183">
        <f t="shared" si="31"/>
        <v>0</v>
      </c>
      <c r="DB32" s="183">
        <f t="shared" si="32"/>
        <v>0</v>
      </c>
      <c r="DE32" s="183">
        <f t="shared" si="33"/>
        <v>0</v>
      </c>
      <c r="DH32" s="183">
        <f t="shared" si="34"/>
        <v>0</v>
      </c>
      <c r="DK32" s="183">
        <f t="shared" si="35"/>
        <v>0</v>
      </c>
      <c r="DN32" s="183">
        <f t="shared" si="36"/>
        <v>0</v>
      </c>
      <c r="DQ32" s="183">
        <f t="shared" si="37"/>
        <v>0</v>
      </c>
      <c r="DT32" s="183">
        <f t="shared" si="38"/>
        <v>0</v>
      </c>
      <c r="DW32" s="183">
        <f t="shared" si="39"/>
        <v>0</v>
      </c>
      <c r="DZ32" s="183"/>
      <c r="EA32" s="183"/>
      <c r="EB32" s="214">
        <f t="shared" si="40"/>
        <v>528574000</v>
      </c>
      <c r="EC32" s="214">
        <f t="shared" si="41"/>
        <v>0</v>
      </c>
      <c r="ED32" s="183">
        <f t="shared" si="42"/>
        <v>13964.768055555554</v>
      </c>
      <c r="EE32" s="185">
        <f t="shared" si="43"/>
        <v>9.5110930541418993E-3</v>
      </c>
      <c r="EG32" s="214">
        <f t="shared" si="44"/>
        <v>0</v>
      </c>
      <c r="EH32" s="183">
        <f t="shared" si="45"/>
        <v>0</v>
      </c>
      <c r="EI32" s="185">
        <f t="shared" si="46"/>
        <v>0</v>
      </c>
      <c r="EJ32" s="185"/>
      <c r="EK32" s="214">
        <f t="shared" si="47"/>
        <v>528574000</v>
      </c>
      <c r="EL32" s="214">
        <f t="shared" si="48"/>
        <v>0</v>
      </c>
      <c r="EM32" s="214">
        <f t="shared" si="49"/>
        <v>13964.768055555556</v>
      </c>
      <c r="EN32" s="185">
        <f t="shared" si="50"/>
        <v>9.5110930541418993E-3</v>
      </c>
      <c r="EP32" s="183"/>
    </row>
    <row r="33" spans="1:146" x14ac:dyDescent="0.2">
      <c r="A33" s="211">
        <f t="shared" si="51"/>
        <v>44643</v>
      </c>
      <c r="B33" s="183">
        <v>0</v>
      </c>
      <c r="C33" s="185">
        <v>8.4009800000000006E-3</v>
      </c>
      <c r="D33" s="183">
        <f t="shared" si="0"/>
        <v>0</v>
      </c>
      <c r="G33" s="183">
        <f t="shared" si="1"/>
        <v>0</v>
      </c>
      <c r="J33" s="183">
        <f t="shared" si="2"/>
        <v>0</v>
      </c>
      <c r="M33" s="183">
        <f t="shared" si="3"/>
        <v>0</v>
      </c>
      <c r="P33" s="183">
        <f t="shared" si="4"/>
        <v>0</v>
      </c>
      <c r="S33" s="183">
        <f t="shared" si="5"/>
        <v>0</v>
      </c>
      <c r="V33" s="183">
        <f t="shared" si="6"/>
        <v>0</v>
      </c>
      <c r="Y33" s="183">
        <f t="shared" si="7"/>
        <v>0</v>
      </c>
      <c r="AB33" s="183">
        <f t="shared" si="8"/>
        <v>0</v>
      </c>
      <c r="AE33" s="183">
        <v>0</v>
      </c>
      <c r="AH33" s="183">
        <v>0</v>
      </c>
      <c r="AI33" s="212">
        <v>25000000</v>
      </c>
      <c r="AJ33" s="213">
        <v>7.0000000000000001E-3</v>
      </c>
      <c r="AK33" s="183">
        <f t="shared" si="9"/>
        <v>486.11111111111109</v>
      </c>
      <c r="AL33" s="212"/>
      <c r="AM33" s="213"/>
      <c r="AN33" s="183">
        <f t="shared" si="10"/>
        <v>0</v>
      </c>
      <c r="AO33" s="212"/>
      <c r="AP33" s="213"/>
      <c r="AQ33" s="183">
        <f t="shared" si="11"/>
        <v>0</v>
      </c>
      <c r="AR33" s="212"/>
      <c r="AS33" s="213"/>
      <c r="AT33" s="183">
        <f t="shared" si="12"/>
        <v>0</v>
      </c>
      <c r="AW33" s="183">
        <f t="shared" si="13"/>
        <v>0</v>
      </c>
      <c r="AX33" s="183">
        <v>65000000</v>
      </c>
      <c r="AY33" s="185">
        <v>9.4999999999999998E-3</v>
      </c>
      <c r="AZ33" s="183">
        <f t="shared" si="14"/>
        <v>1715.2777777777778</v>
      </c>
      <c r="BA33" s="183">
        <v>90000000</v>
      </c>
      <c r="BB33" s="185">
        <v>1.06E-2</v>
      </c>
      <c r="BC33" s="183">
        <f t="shared" si="15"/>
        <v>2650</v>
      </c>
      <c r="BD33" s="183">
        <v>235000000</v>
      </c>
      <c r="BE33" s="185">
        <v>1.0500000000000001E-2</v>
      </c>
      <c r="BF33" s="183">
        <f t="shared" si="16"/>
        <v>6854.166666666667</v>
      </c>
      <c r="BG33" s="183">
        <v>52749000</v>
      </c>
      <c r="BH33" s="185">
        <v>8.5000000000000006E-3</v>
      </c>
      <c r="BI33" s="183">
        <f t="shared" si="17"/>
        <v>1245.4625000000001</v>
      </c>
      <c r="BJ33" s="183">
        <f>30000000+24325000</f>
        <v>54325000</v>
      </c>
      <c r="BK33" s="185">
        <v>6.0000000000000001E-3</v>
      </c>
      <c r="BL33" s="183">
        <f t="shared" si="18"/>
        <v>905.41666666666663</v>
      </c>
      <c r="BO33" s="183">
        <f t="shared" si="19"/>
        <v>0</v>
      </c>
      <c r="BR33" s="183">
        <f t="shared" si="20"/>
        <v>0</v>
      </c>
      <c r="BU33" s="183">
        <f t="shared" si="21"/>
        <v>0</v>
      </c>
      <c r="BX33" s="183">
        <f t="shared" si="22"/>
        <v>0</v>
      </c>
      <c r="CA33" s="183">
        <f t="shared" si="23"/>
        <v>0</v>
      </c>
      <c r="CD33" s="183">
        <f t="shared" si="24"/>
        <v>0</v>
      </c>
      <c r="CG33" s="183">
        <f t="shared" si="25"/>
        <v>0</v>
      </c>
      <c r="CJ33" s="183">
        <f t="shared" si="26"/>
        <v>0</v>
      </c>
      <c r="CM33" s="183">
        <f t="shared" si="27"/>
        <v>0</v>
      </c>
      <c r="CP33" s="183">
        <f t="shared" si="28"/>
        <v>0</v>
      </c>
      <c r="CS33" s="183">
        <f t="shared" si="29"/>
        <v>0</v>
      </c>
      <c r="CV33" s="183">
        <f t="shared" si="30"/>
        <v>0</v>
      </c>
      <c r="CY33" s="183">
        <f t="shared" si="31"/>
        <v>0</v>
      </c>
      <c r="DB33" s="183">
        <f t="shared" si="32"/>
        <v>0</v>
      </c>
      <c r="DE33" s="183">
        <f t="shared" si="33"/>
        <v>0</v>
      </c>
      <c r="DH33" s="183">
        <f t="shared" si="34"/>
        <v>0</v>
      </c>
      <c r="DK33" s="183">
        <f t="shared" si="35"/>
        <v>0</v>
      </c>
      <c r="DN33" s="183">
        <f t="shared" si="36"/>
        <v>0</v>
      </c>
      <c r="DQ33" s="183">
        <f t="shared" si="37"/>
        <v>0</v>
      </c>
      <c r="DT33" s="183">
        <f t="shared" si="38"/>
        <v>0</v>
      </c>
      <c r="DW33" s="183">
        <f t="shared" si="39"/>
        <v>0</v>
      </c>
      <c r="DZ33" s="183"/>
      <c r="EA33" s="183"/>
      <c r="EB33" s="214">
        <f t="shared" si="40"/>
        <v>522074000</v>
      </c>
      <c r="EC33" s="214">
        <f t="shared" si="41"/>
        <v>0</v>
      </c>
      <c r="ED33" s="183">
        <f t="shared" si="42"/>
        <v>13856.43472222222</v>
      </c>
      <c r="EE33" s="185">
        <f t="shared" si="43"/>
        <v>9.5548073644732348E-3</v>
      </c>
      <c r="EG33" s="214">
        <f t="shared" si="44"/>
        <v>0</v>
      </c>
      <c r="EH33" s="183">
        <f t="shared" si="45"/>
        <v>0</v>
      </c>
      <c r="EI33" s="185">
        <f t="shared" si="46"/>
        <v>0</v>
      </c>
      <c r="EJ33" s="185"/>
      <c r="EK33" s="214">
        <f t="shared" si="47"/>
        <v>522074000</v>
      </c>
      <c r="EL33" s="214">
        <f t="shared" si="48"/>
        <v>0</v>
      </c>
      <c r="EM33" s="214">
        <f t="shared" si="49"/>
        <v>13856.434722222222</v>
      </c>
      <c r="EN33" s="185">
        <f t="shared" si="50"/>
        <v>9.5548073644732348E-3</v>
      </c>
      <c r="EP33" s="183"/>
    </row>
    <row r="34" spans="1:146" x14ac:dyDescent="0.2">
      <c r="A34" s="211">
        <f t="shared" si="51"/>
        <v>44644</v>
      </c>
      <c r="B34" s="183">
        <v>0</v>
      </c>
      <c r="C34" s="185">
        <v>8.4111199999999994E-3</v>
      </c>
      <c r="D34" s="183">
        <f t="shared" si="0"/>
        <v>0</v>
      </c>
      <c r="G34" s="183">
        <f t="shared" si="1"/>
        <v>0</v>
      </c>
      <c r="J34" s="183">
        <f t="shared" si="2"/>
        <v>0</v>
      </c>
      <c r="M34" s="183">
        <f t="shared" si="3"/>
        <v>0</v>
      </c>
      <c r="P34" s="183">
        <f t="shared" si="4"/>
        <v>0</v>
      </c>
      <c r="S34" s="183">
        <f t="shared" si="5"/>
        <v>0</v>
      </c>
      <c r="V34" s="183">
        <f t="shared" si="6"/>
        <v>0</v>
      </c>
      <c r="Y34" s="183">
        <f t="shared" si="7"/>
        <v>0</v>
      </c>
      <c r="AB34" s="183">
        <f t="shared" si="8"/>
        <v>0</v>
      </c>
      <c r="AE34" s="183">
        <v>0</v>
      </c>
      <c r="AH34" s="183">
        <v>0</v>
      </c>
      <c r="AI34" s="212">
        <v>25000000</v>
      </c>
      <c r="AJ34" s="213">
        <v>7.0000000000000001E-3</v>
      </c>
      <c r="AK34" s="183">
        <f t="shared" si="9"/>
        <v>486.11111111111109</v>
      </c>
      <c r="AL34" s="212"/>
      <c r="AM34" s="213"/>
      <c r="AN34" s="183">
        <f t="shared" si="10"/>
        <v>0</v>
      </c>
      <c r="AO34" s="212"/>
      <c r="AP34" s="213"/>
      <c r="AQ34" s="183">
        <f t="shared" si="11"/>
        <v>0</v>
      </c>
      <c r="AR34" s="212"/>
      <c r="AS34" s="213"/>
      <c r="AT34" s="183">
        <f t="shared" si="12"/>
        <v>0</v>
      </c>
      <c r="AW34" s="183">
        <f t="shared" si="13"/>
        <v>0</v>
      </c>
      <c r="AX34" s="183">
        <v>65000000</v>
      </c>
      <c r="AY34" s="185">
        <v>9.4999999999999998E-3</v>
      </c>
      <c r="AZ34" s="183">
        <f t="shared" si="14"/>
        <v>1715.2777777777778</v>
      </c>
      <c r="BA34" s="183">
        <v>90000000</v>
      </c>
      <c r="BB34" s="185">
        <v>1.06E-2</v>
      </c>
      <c r="BC34" s="183">
        <f t="shared" si="15"/>
        <v>2650</v>
      </c>
      <c r="BD34" s="183">
        <v>235000000</v>
      </c>
      <c r="BE34" s="185">
        <v>1.0500000000000001E-2</v>
      </c>
      <c r="BF34" s="183">
        <f t="shared" si="16"/>
        <v>6854.166666666667</v>
      </c>
      <c r="BG34" s="183">
        <v>52749000</v>
      </c>
      <c r="BH34" s="185">
        <v>8.5000000000000006E-3</v>
      </c>
      <c r="BI34" s="183">
        <f t="shared" si="17"/>
        <v>1245.4625000000001</v>
      </c>
      <c r="BJ34" s="183">
        <f>25000000+15725000</f>
        <v>40725000</v>
      </c>
      <c r="BK34" s="185">
        <v>6.0000000000000001E-3</v>
      </c>
      <c r="BL34" s="183">
        <f t="shared" si="18"/>
        <v>678.75</v>
      </c>
      <c r="BO34" s="183">
        <f t="shared" si="19"/>
        <v>0</v>
      </c>
      <c r="BR34" s="183">
        <f t="shared" si="20"/>
        <v>0</v>
      </c>
      <c r="BU34" s="183">
        <f t="shared" si="21"/>
        <v>0</v>
      </c>
      <c r="BX34" s="183">
        <f t="shared" si="22"/>
        <v>0</v>
      </c>
      <c r="CA34" s="183">
        <f t="shared" si="23"/>
        <v>0</v>
      </c>
      <c r="CD34" s="183">
        <f t="shared" si="24"/>
        <v>0</v>
      </c>
      <c r="CG34" s="183">
        <f t="shared" si="25"/>
        <v>0</v>
      </c>
      <c r="CJ34" s="183">
        <f t="shared" si="26"/>
        <v>0</v>
      </c>
      <c r="CM34" s="183">
        <f t="shared" si="27"/>
        <v>0</v>
      </c>
      <c r="CP34" s="183">
        <f t="shared" si="28"/>
        <v>0</v>
      </c>
      <c r="CS34" s="183">
        <f t="shared" si="29"/>
        <v>0</v>
      </c>
      <c r="CV34" s="183">
        <f t="shared" si="30"/>
        <v>0</v>
      </c>
      <c r="CY34" s="183">
        <f t="shared" si="31"/>
        <v>0</v>
      </c>
      <c r="DB34" s="183">
        <f t="shared" si="32"/>
        <v>0</v>
      </c>
      <c r="DE34" s="183">
        <f t="shared" si="33"/>
        <v>0</v>
      </c>
      <c r="DH34" s="183">
        <f t="shared" si="34"/>
        <v>0</v>
      </c>
      <c r="DK34" s="183">
        <f t="shared" si="35"/>
        <v>0</v>
      </c>
      <c r="DN34" s="183">
        <f t="shared" si="36"/>
        <v>0</v>
      </c>
      <c r="DQ34" s="183">
        <f t="shared" si="37"/>
        <v>0</v>
      </c>
      <c r="DT34" s="183">
        <f t="shared" si="38"/>
        <v>0</v>
      </c>
      <c r="DW34" s="183">
        <f t="shared" si="39"/>
        <v>0</v>
      </c>
      <c r="DZ34" s="183"/>
      <c r="EA34" s="183"/>
      <c r="EB34" s="214">
        <f t="shared" si="40"/>
        <v>508474000</v>
      </c>
      <c r="EC34" s="214">
        <f t="shared" si="41"/>
        <v>0</v>
      </c>
      <c r="ED34" s="183">
        <f t="shared" si="42"/>
        <v>13629.768055555554</v>
      </c>
      <c r="EE34" s="185">
        <f t="shared" si="43"/>
        <v>9.6498867198716153E-3</v>
      </c>
      <c r="EG34" s="214">
        <f t="shared" si="44"/>
        <v>0</v>
      </c>
      <c r="EH34" s="183">
        <f t="shared" si="45"/>
        <v>0</v>
      </c>
      <c r="EI34" s="185">
        <f t="shared" si="46"/>
        <v>0</v>
      </c>
      <c r="EJ34" s="185"/>
      <c r="EK34" s="214">
        <f t="shared" si="47"/>
        <v>508474000</v>
      </c>
      <c r="EL34" s="214">
        <f t="shared" si="48"/>
        <v>0</v>
      </c>
      <c r="EM34" s="214">
        <f t="shared" si="49"/>
        <v>13629.768055555556</v>
      </c>
      <c r="EN34" s="185">
        <f t="shared" si="50"/>
        <v>9.6498867198716171E-3</v>
      </c>
      <c r="EP34" s="183"/>
    </row>
    <row r="35" spans="1:146" x14ac:dyDescent="0.2">
      <c r="A35" s="211">
        <f t="shared" si="51"/>
        <v>44645</v>
      </c>
      <c r="B35" s="183">
        <v>0</v>
      </c>
      <c r="C35" s="185">
        <v>8.4036700000000002E-3</v>
      </c>
      <c r="D35" s="183">
        <f t="shared" si="0"/>
        <v>0</v>
      </c>
      <c r="G35" s="183">
        <f t="shared" si="1"/>
        <v>0</v>
      </c>
      <c r="J35" s="183">
        <f t="shared" si="2"/>
        <v>0</v>
      </c>
      <c r="M35" s="183">
        <f t="shared" si="3"/>
        <v>0</v>
      </c>
      <c r="P35" s="183">
        <f t="shared" si="4"/>
        <v>0</v>
      </c>
      <c r="S35" s="183">
        <f t="shared" si="5"/>
        <v>0</v>
      </c>
      <c r="V35" s="183">
        <f t="shared" si="6"/>
        <v>0</v>
      </c>
      <c r="Y35" s="183">
        <f t="shared" si="7"/>
        <v>0</v>
      </c>
      <c r="AB35" s="183">
        <f t="shared" si="8"/>
        <v>0</v>
      </c>
      <c r="AE35" s="183">
        <v>0</v>
      </c>
      <c r="AH35" s="183">
        <v>0</v>
      </c>
      <c r="AI35" s="212">
        <v>25000000</v>
      </c>
      <c r="AJ35" s="213">
        <v>7.0000000000000001E-3</v>
      </c>
      <c r="AK35" s="183">
        <f t="shared" si="9"/>
        <v>486.11111111111109</v>
      </c>
      <c r="AL35" s="212"/>
      <c r="AM35" s="213"/>
      <c r="AN35" s="183">
        <f t="shared" si="10"/>
        <v>0</v>
      </c>
      <c r="AO35" s="212"/>
      <c r="AP35" s="213"/>
      <c r="AQ35" s="183">
        <f t="shared" si="11"/>
        <v>0</v>
      </c>
      <c r="AR35" s="212"/>
      <c r="AS35" s="213"/>
      <c r="AT35" s="183">
        <f t="shared" si="12"/>
        <v>0</v>
      </c>
      <c r="AW35" s="183">
        <f t="shared" si="13"/>
        <v>0</v>
      </c>
      <c r="AX35" s="183">
        <v>65000000</v>
      </c>
      <c r="AY35" s="185">
        <v>9.4999999999999998E-3</v>
      </c>
      <c r="AZ35" s="183">
        <f t="shared" si="14"/>
        <v>1715.2777777777778</v>
      </c>
      <c r="BA35" s="183">
        <v>90000000</v>
      </c>
      <c r="BB35" s="185">
        <v>1.06E-2</v>
      </c>
      <c r="BC35" s="183">
        <f t="shared" si="15"/>
        <v>2650</v>
      </c>
      <c r="BD35" s="183">
        <v>235000000</v>
      </c>
      <c r="BE35" s="185">
        <v>1.0500000000000001E-2</v>
      </c>
      <c r="BF35" s="183">
        <f t="shared" si="16"/>
        <v>6854.166666666667</v>
      </c>
      <c r="BG35" s="183">
        <v>52749000</v>
      </c>
      <c r="BH35" s="185">
        <v>8.5000000000000006E-3</v>
      </c>
      <c r="BI35" s="183">
        <f t="shared" si="17"/>
        <v>1245.4625000000001</v>
      </c>
      <c r="BJ35" s="183">
        <f>25000000+25975000</f>
        <v>50975000</v>
      </c>
      <c r="BK35" s="185">
        <v>6.0000000000000001E-3</v>
      </c>
      <c r="BL35" s="183">
        <f t="shared" si="18"/>
        <v>849.58333333333337</v>
      </c>
      <c r="BO35" s="183">
        <f t="shared" si="19"/>
        <v>0</v>
      </c>
      <c r="BR35" s="183">
        <f t="shared" si="20"/>
        <v>0</v>
      </c>
      <c r="BU35" s="183">
        <f t="shared" si="21"/>
        <v>0</v>
      </c>
      <c r="BX35" s="183">
        <f t="shared" si="22"/>
        <v>0</v>
      </c>
      <c r="CA35" s="183">
        <f t="shared" si="23"/>
        <v>0</v>
      </c>
      <c r="CD35" s="183">
        <f t="shared" si="24"/>
        <v>0</v>
      </c>
      <c r="CG35" s="183">
        <f t="shared" si="25"/>
        <v>0</v>
      </c>
      <c r="CJ35" s="183">
        <f t="shared" si="26"/>
        <v>0</v>
      </c>
      <c r="CM35" s="183">
        <f t="shared" si="27"/>
        <v>0</v>
      </c>
      <c r="CP35" s="183">
        <f t="shared" si="28"/>
        <v>0</v>
      </c>
      <c r="CS35" s="183">
        <f t="shared" si="29"/>
        <v>0</v>
      </c>
      <c r="CV35" s="183">
        <f t="shared" si="30"/>
        <v>0</v>
      </c>
      <c r="CY35" s="183">
        <f t="shared" si="31"/>
        <v>0</v>
      </c>
      <c r="DB35" s="183">
        <f t="shared" si="32"/>
        <v>0</v>
      </c>
      <c r="DE35" s="183">
        <f t="shared" si="33"/>
        <v>0</v>
      </c>
      <c r="DH35" s="183">
        <f t="shared" si="34"/>
        <v>0</v>
      </c>
      <c r="DK35" s="183">
        <f t="shared" si="35"/>
        <v>0</v>
      </c>
      <c r="DN35" s="183">
        <f t="shared" si="36"/>
        <v>0</v>
      </c>
      <c r="DQ35" s="183">
        <f t="shared" si="37"/>
        <v>0</v>
      </c>
      <c r="DT35" s="183">
        <f t="shared" si="38"/>
        <v>0</v>
      </c>
      <c r="DW35" s="183">
        <f t="shared" si="39"/>
        <v>0</v>
      </c>
      <c r="DZ35" s="183"/>
      <c r="EA35" s="183"/>
      <c r="EB35" s="214">
        <f t="shared" si="40"/>
        <v>518724000</v>
      </c>
      <c r="EC35" s="214">
        <f t="shared" si="41"/>
        <v>0</v>
      </c>
      <c r="ED35" s="183">
        <f t="shared" si="42"/>
        <v>13800.601388888888</v>
      </c>
      <c r="EE35" s="185">
        <f t="shared" si="43"/>
        <v>9.5777648614677555E-3</v>
      </c>
      <c r="EG35" s="214">
        <f t="shared" si="44"/>
        <v>0</v>
      </c>
      <c r="EH35" s="183">
        <f t="shared" si="45"/>
        <v>0</v>
      </c>
      <c r="EI35" s="185">
        <f t="shared" si="46"/>
        <v>0</v>
      </c>
      <c r="EJ35" s="185"/>
      <c r="EK35" s="214">
        <f t="shared" si="47"/>
        <v>518724000</v>
      </c>
      <c r="EL35" s="214">
        <f t="shared" si="48"/>
        <v>0</v>
      </c>
      <c r="EM35" s="214">
        <f t="shared" si="49"/>
        <v>13800.60138888889</v>
      </c>
      <c r="EN35" s="185">
        <f t="shared" si="50"/>
        <v>9.5777648614677555E-3</v>
      </c>
      <c r="EP35" s="183"/>
    </row>
    <row r="36" spans="1:146" x14ac:dyDescent="0.2">
      <c r="A36" s="211">
        <f t="shared" si="51"/>
        <v>44646</v>
      </c>
      <c r="B36" s="183">
        <v>0</v>
      </c>
      <c r="C36" s="185">
        <v>8.4036700000000002E-3</v>
      </c>
      <c r="D36" s="183">
        <f t="shared" si="0"/>
        <v>0</v>
      </c>
      <c r="G36" s="183">
        <f t="shared" si="1"/>
        <v>0</v>
      </c>
      <c r="J36" s="183">
        <f t="shared" si="2"/>
        <v>0</v>
      </c>
      <c r="M36" s="183">
        <f t="shared" si="3"/>
        <v>0</v>
      </c>
      <c r="P36" s="183">
        <f t="shared" si="4"/>
        <v>0</v>
      </c>
      <c r="S36" s="183">
        <f t="shared" si="5"/>
        <v>0</v>
      </c>
      <c r="V36" s="183">
        <f t="shared" si="6"/>
        <v>0</v>
      </c>
      <c r="Y36" s="183">
        <f t="shared" si="7"/>
        <v>0</v>
      </c>
      <c r="AB36" s="183">
        <f t="shared" si="8"/>
        <v>0</v>
      </c>
      <c r="AE36" s="183">
        <v>0</v>
      </c>
      <c r="AH36" s="183">
        <v>0</v>
      </c>
      <c r="AI36" s="212">
        <v>25000000</v>
      </c>
      <c r="AJ36" s="213">
        <v>7.0000000000000001E-3</v>
      </c>
      <c r="AK36" s="183">
        <f t="shared" si="9"/>
        <v>486.11111111111109</v>
      </c>
      <c r="AL36" s="212"/>
      <c r="AM36" s="213"/>
      <c r="AN36" s="183">
        <f t="shared" si="10"/>
        <v>0</v>
      </c>
      <c r="AO36" s="212"/>
      <c r="AP36" s="213"/>
      <c r="AQ36" s="183">
        <f t="shared" si="11"/>
        <v>0</v>
      </c>
      <c r="AR36" s="212"/>
      <c r="AS36" s="213"/>
      <c r="AT36" s="183">
        <f t="shared" si="12"/>
        <v>0</v>
      </c>
      <c r="AW36" s="183">
        <f t="shared" si="13"/>
        <v>0</v>
      </c>
      <c r="AX36" s="183">
        <v>65000000</v>
      </c>
      <c r="AY36" s="185">
        <v>9.4999999999999998E-3</v>
      </c>
      <c r="AZ36" s="183">
        <f t="shared" si="14"/>
        <v>1715.2777777777778</v>
      </c>
      <c r="BA36" s="183">
        <v>90000000</v>
      </c>
      <c r="BB36" s="185">
        <v>1.06E-2</v>
      </c>
      <c r="BC36" s="183">
        <f t="shared" si="15"/>
        <v>2650</v>
      </c>
      <c r="BD36" s="183">
        <v>235000000</v>
      </c>
      <c r="BE36" s="185">
        <v>1.0500000000000001E-2</v>
      </c>
      <c r="BF36" s="183">
        <f t="shared" si="16"/>
        <v>6854.166666666667</v>
      </c>
      <c r="BG36" s="183">
        <v>52749000</v>
      </c>
      <c r="BH36" s="185">
        <v>8.5000000000000006E-3</v>
      </c>
      <c r="BI36" s="183">
        <f t="shared" si="17"/>
        <v>1245.4625000000001</v>
      </c>
      <c r="BJ36" s="183">
        <f>25000000+25975000</f>
        <v>50975000</v>
      </c>
      <c r="BK36" s="185">
        <v>6.0000000000000001E-3</v>
      </c>
      <c r="BL36" s="183">
        <f t="shared" si="18"/>
        <v>849.58333333333337</v>
      </c>
      <c r="BO36" s="183">
        <f t="shared" si="19"/>
        <v>0</v>
      </c>
      <c r="BR36" s="183">
        <f t="shared" si="20"/>
        <v>0</v>
      </c>
      <c r="BU36" s="183">
        <f t="shared" si="21"/>
        <v>0</v>
      </c>
      <c r="BX36" s="183">
        <f t="shared" si="22"/>
        <v>0</v>
      </c>
      <c r="CA36" s="183">
        <f t="shared" si="23"/>
        <v>0</v>
      </c>
      <c r="CD36" s="183">
        <f t="shared" si="24"/>
        <v>0</v>
      </c>
      <c r="CG36" s="183">
        <f t="shared" si="25"/>
        <v>0</v>
      </c>
      <c r="CJ36" s="183">
        <f t="shared" si="26"/>
        <v>0</v>
      </c>
      <c r="CM36" s="183">
        <f t="shared" si="27"/>
        <v>0</v>
      </c>
      <c r="CP36" s="183">
        <f t="shared" si="28"/>
        <v>0</v>
      </c>
      <c r="CS36" s="183">
        <f t="shared" si="29"/>
        <v>0</v>
      </c>
      <c r="CV36" s="183">
        <f t="shared" si="30"/>
        <v>0</v>
      </c>
      <c r="CY36" s="183">
        <f t="shared" si="31"/>
        <v>0</v>
      </c>
      <c r="DB36" s="183">
        <f t="shared" si="32"/>
        <v>0</v>
      </c>
      <c r="DE36" s="183">
        <f t="shared" si="33"/>
        <v>0</v>
      </c>
      <c r="DH36" s="183">
        <f t="shared" si="34"/>
        <v>0</v>
      </c>
      <c r="DK36" s="183">
        <f t="shared" si="35"/>
        <v>0</v>
      </c>
      <c r="DN36" s="183">
        <f t="shared" si="36"/>
        <v>0</v>
      </c>
      <c r="DQ36" s="183">
        <f t="shared" si="37"/>
        <v>0</v>
      </c>
      <c r="DT36" s="183">
        <f t="shared" si="38"/>
        <v>0</v>
      </c>
      <c r="DW36" s="183">
        <f t="shared" si="39"/>
        <v>0</v>
      </c>
      <c r="DZ36" s="183"/>
      <c r="EA36" s="183"/>
      <c r="EB36" s="214">
        <f t="shared" si="40"/>
        <v>518724000</v>
      </c>
      <c r="EC36" s="214">
        <f t="shared" si="41"/>
        <v>0</v>
      </c>
      <c r="ED36" s="183">
        <f t="shared" si="42"/>
        <v>13800.601388888888</v>
      </c>
      <c r="EE36" s="185">
        <f t="shared" si="43"/>
        <v>9.5777648614677555E-3</v>
      </c>
      <c r="EG36" s="214">
        <f t="shared" si="44"/>
        <v>0</v>
      </c>
      <c r="EH36" s="183">
        <f t="shared" si="45"/>
        <v>0</v>
      </c>
      <c r="EI36" s="185">
        <f t="shared" si="46"/>
        <v>0</v>
      </c>
      <c r="EJ36" s="185"/>
      <c r="EK36" s="214">
        <f t="shared" si="47"/>
        <v>518724000</v>
      </c>
      <c r="EL36" s="214">
        <f t="shared" si="48"/>
        <v>0</v>
      </c>
      <c r="EM36" s="214">
        <f t="shared" si="49"/>
        <v>13800.60138888889</v>
      </c>
      <c r="EN36" s="185">
        <f t="shared" si="50"/>
        <v>9.5777648614677555E-3</v>
      </c>
      <c r="EP36" s="183"/>
    </row>
    <row r="37" spans="1:146" x14ac:dyDescent="0.2">
      <c r="A37" s="211">
        <f t="shared" si="51"/>
        <v>44647</v>
      </c>
      <c r="B37" s="183">
        <v>0</v>
      </c>
      <c r="C37" s="185">
        <v>8.4036700000000002E-3</v>
      </c>
      <c r="D37" s="183">
        <f t="shared" si="0"/>
        <v>0</v>
      </c>
      <c r="G37" s="183">
        <f t="shared" si="1"/>
        <v>0</v>
      </c>
      <c r="J37" s="183">
        <f t="shared" si="2"/>
        <v>0</v>
      </c>
      <c r="M37" s="183">
        <f t="shared" si="3"/>
        <v>0</v>
      </c>
      <c r="P37" s="183">
        <f t="shared" si="4"/>
        <v>0</v>
      </c>
      <c r="S37" s="183">
        <f t="shared" si="5"/>
        <v>0</v>
      </c>
      <c r="V37" s="183">
        <f t="shared" si="6"/>
        <v>0</v>
      </c>
      <c r="Y37" s="183">
        <f t="shared" si="7"/>
        <v>0</v>
      </c>
      <c r="AB37" s="183">
        <f t="shared" si="8"/>
        <v>0</v>
      </c>
      <c r="AE37" s="183">
        <v>0</v>
      </c>
      <c r="AH37" s="183">
        <v>0</v>
      </c>
      <c r="AI37" s="212">
        <v>25000000</v>
      </c>
      <c r="AJ37" s="213">
        <v>7.0000000000000001E-3</v>
      </c>
      <c r="AK37" s="183">
        <f t="shared" si="9"/>
        <v>486.11111111111109</v>
      </c>
      <c r="AL37" s="212"/>
      <c r="AM37" s="213"/>
      <c r="AN37" s="183">
        <f t="shared" si="10"/>
        <v>0</v>
      </c>
      <c r="AO37" s="212"/>
      <c r="AP37" s="213"/>
      <c r="AQ37" s="183">
        <f t="shared" si="11"/>
        <v>0</v>
      </c>
      <c r="AR37" s="212"/>
      <c r="AS37" s="213"/>
      <c r="AT37" s="183">
        <f t="shared" si="12"/>
        <v>0</v>
      </c>
      <c r="AW37" s="183">
        <f t="shared" si="13"/>
        <v>0</v>
      </c>
      <c r="AX37" s="183">
        <v>65000000</v>
      </c>
      <c r="AY37" s="185">
        <v>9.4999999999999998E-3</v>
      </c>
      <c r="AZ37" s="183">
        <f t="shared" si="14"/>
        <v>1715.2777777777778</v>
      </c>
      <c r="BA37" s="183">
        <v>90000000</v>
      </c>
      <c r="BB37" s="185">
        <v>1.06E-2</v>
      </c>
      <c r="BC37" s="183">
        <f t="shared" si="15"/>
        <v>2650</v>
      </c>
      <c r="BD37" s="183">
        <v>235000000</v>
      </c>
      <c r="BE37" s="185">
        <v>1.0500000000000001E-2</v>
      </c>
      <c r="BF37" s="183">
        <f t="shared" si="16"/>
        <v>6854.166666666667</v>
      </c>
      <c r="BG37" s="183">
        <v>52749000</v>
      </c>
      <c r="BH37" s="185">
        <v>8.5000000000000006E-3</v>
      </c>
      <c r="BI37" s="183">
        <f t="shared" si="17"/>
        <v>1245.4625000000001</v>
      </c>
      <c r="BJ37" s="183">
        <f>25000000+25975000</f>
        <v>50975000</v>
      </c>
      <c r="BK37" s="185">
        <v>6.0000000000000001E-3</v>
      </c>
      <c r="BL37" s="183">
        <f t="shared" si="18"/>
        <v>849.58333333333337</v>
      </c>
      <c r="BO37" s="183">
        <f t="shared" si="19"/>
        <v>0</v>
      </c>
      <c r="BR37" s="183">
        <f t="shared" si="20"/>
        <v>0</v>
      </c>
      <c r="BU37" s="183">
        <f t="shared" si="21"/>
        <v>0</v>
      </c>
      <c r="BX37" s="183">
        <f t="shared" si="22"/>
        <v>0</v>
      </c>
      <c r="CA37" s="183">
        <f t="shared" si="23"/>
        <v>0</v>
      </c>
      <c r="CD37" s="183">
        <f t="shared" si="24"/>
        <v>0</v>
      </c>
      <c r="CG37" s="183">
        <f t="shared" si="25"/>
        <v>0</v>
      </c>
      <c r="CJ37" s="183">
        <f t="shared" si="26"/>
        <v>0</v>
      </c>
      <c r="CM37" s="183">
        <f t="shared" si="27"/>
        <v>0</v>
      </c>
      <c r="CP37" s="183">
        <f t="shared" si="28"/>
        <v>0</v>
      </c>
      <c r="CS37" s="183">
        <f t="shared" si="29"/>
        <v>0</v>
      </c>
      <c r="CV37" s="183">
        <f t="shared" si="30"/>
        <v>0</v>
      </c>
      <c r="CY37" s="183">
        <f t="shared" si="31"/>
        <v>0</v>
      </c>
      <c r="DB37" s="183">
        <f t="shared" si="32"/>
        <v>0</v>
      </c>
      <c r="DE37" s="183">
        <f t="shared" si="33"/>
        <v>0</v>
      </c>
      <c r="DH37" s="183">
        <f t="shared" si="34"/>
        <v>0</v>
      </c>
      <c r="DK37" s="183">
        <f t="shared" si="35"/>
        <v>0</v>
      </c>
      <c r="DN37" s="183">
        <f t="shared" si="36"/>
        <v>0</v>
      </c>
      <c r="DQ37" s="183">
        <f t="shared" si="37"/>
        <v>0</v>
      </c>
      <c r="DT37" s="183">
        <f t="shared" si="38"/>
        <v>0</v>
      </c>
      <c r="DW37" s="183">
        <f t="shared" si="39"/>
        <v>0</v>
      </c>
      <c r="DZ37" s="183"/>
      <c r="EA37" s="183"/>
      <c r="EB37" s="214">
        <f t="shared" si="40"/>
        <v>518724000</v>
      </c>
      <c r="EC37" s="214">
        <f t="shared" si="41"/>
        <v>0</v>
      </c>
      <c r="ED37" s="183">
        <f t="shared" si="42"/>
        <v>13800.601388888888</v>
      </c>
      <c r="EE37" s="185">
        <f t="shared" si="43"/>
        <v>9.5777648614677555E-3</v>
      </c>
      <c r="EG37" s="214">
        <f t="shared" si="44"/>
        <v>0</v>
      </c>
      <c r="EH37" s="183">
        <f t="shared" si="45"/>
        <v>0</v>
      </c>
      <c r="EI37" s="185">
        <f t="shared" si="46"/>
        <v>0</v>
      </c>
      <c r="EJ37" s="185"/>
      <c r="EK37" s="214">
        <f t="shared" si="47"/>
        <v>518724000</v>
      </c>
      <c r="EL37" s="214">
        <f t="shared" si="48"/>
        <v>0</v>
      </c>
      <c r="EM37" s="214">
        <f t="shared" si="49"/>
        <v>13800.60138888889</v>
      </c>
      <c r="EN37" s="185">
        <f t="shared" si="50"/>
        <v>9.5777648614677555E-3</v>
      </c>
      <c r="EP37" s="183"/>
    </row>
    <row r="38" spans="1:146" x14ac:dyDescent="0.2">
      <c r="A38" s="211">
        <f t="shared" si="51"/>
        <v>44648</v>
      </c>
      <c r="B38" s="183">
        <v>0</v>
      </c>
      <c r="C38" s="185">
        <v>8.3011000000000005E-3</v>
      </c>
      <c r="D38" s="183">
        <f t="shared" si="0"/>
        <v>0</v>
      </c>
      <c r="G38" s="183">
        <f t="shared" si="1"/>
        <v>0</v>
      </c>
      <c r="J38" s="183">
        <f t="shared" si="2"/>
        <v>0</v>
      </c>
      <c r="M38" s="183">
        <f t="shared" si="3"/>
        <v>0</v>
      </c>
      <c r="P38" s="183">
        <f t="shared" si="4"/>
        <v>0</v>
      </c>
      <c r="S38" s="183">
        <f t="shared" si="5"/>
        <v>0</v>
      </c>
      <c r="V38" s="183">
        <f t="shared" si="6"/>
        <v>0</v>
      </c>
      <c r="Y38" s="183">
        <f t="shared" si="7"/>
        <v>0</v>
      </c>
      <c r="AB38" s="183">
        <f t="shared" si="8"/>
        <v>0</v>
      </c>
      <c r="AE38" s="183">
        <v>0</v>
      </c>
      <c r="AH38" s="183">
        <v>0</v>
      </c>
      <c r="AI38" s="212"/>
      <c r="AJ38" s="213"/>
      <c r="AK38" s="183">
        <f t="shared" si="9"/>
        <v>0</v>
      </c>
      <c r="AL38" s="212"/>
      <c r="AM38" s="213"/>
      <c r="AN38" s="183">
        <f t="shared" si="10"/>
        <v>0</v>
      </c>
      <c r="AO38" s="212"/>
      <c r="AP38" s="213"/>
      <c r="AQ38" s="183">
        <f t="shared" si="11"/>
        <v>0</v>
      </c>
      <c r="AR38" s="212"/>
      <c r="AS38" s="213"/>
      <c r="AT38" s="183">
        <f t="shared" si="12"/>
        <v>0</v>
      </c>
      <c r="AU38" s="183">
        <v>40000000</v>
      </c>
      <c r="AV38" s="185">
        <v>6.3E-3</v>
      </c>
      <c r="AW38" s="183">
        <f t="shared" si="13"/>
        <v>700</v>
      </c>
      <c r="AX38" s="183">
        <v>65000000</v>
      </c>
      <c r="AY38" s="185">
        <v>9.4999999999999998E-3</v>
      </c>
      <c r="AZ38" s="183">
        <f t="shared" si="14"/>
        <v>1715.2777777777778</v>
      </c>
      <c r="BA38" s="183">
        <v>90000000</v>
      </c>
      <c r="BB38" s="185">
        <v>1.06E-2</v>
      </c>
      <c r="BC38" s="183">
        <f t="shared" si="15"/>
        <v>2650</v>
      </c>
      <c r="BD38" s="183">
        <v>235000000</v>
      </c>
      <c r="BE38" s="185">
        <v>1.0500000000000001E-2</v>
      </c>
      <c r="BF38" s="183">
        <f t="shared" si="16"/>
        <v>6854.166666666667</v>
      </c>
      <c r="BG38" s="183">
        <v>52749000</v>
      </c>
      <c r="BH38" s="185">
        <v>8.5000000000000006E-3</v>
      </c>
      <c r="BI38" s="183">
        <f t="shared" si="17"/>
        <v>1245.4625000000001</v>
      </c>
      <c r="BJ38" s="183">
        <f>40000000+12750000</f>
        <v>52750000</v>
      </c>
      <c r="BK38" s="185">
        <v>6.0000000000000001E-3</v>
      </c>
      <c r="BL38" s="183">
        <f t="shared" si="18"/>
        <v>879.16666666666663</v>
      </c>
      <c r="BO38" s="183">
        <f t="shared" si="19"/>
        <v>0</v>
      </c>
      <c r="BR38" s="183">
        <f t="shared" si="20"/>
        <v>0</v>
      </c>
      <c r="BU38" s="183">
        <f t="shared" si="21"/>
        <v>0</v>
      </c>
      <c r="BX38" s="183">
        <f t="shared" si="22"/>
        <v>0</v>
      </c>
      <c r="CA38" s="183">
        <f t="shared" si="23"/>
        <v>0</v>
      </c>
      <c r="CD38" s="183">
        <f t="shared" si="24"/>
        <v>0</v>
      </c>
      <c r="CG38" s="183">
        <f t="shared" si="25"/>
        <v>0</v>
      </c>
      <c r="CJ38" s="183">
        <f t="shared" si="26"/>
        <v>0</v>
      </c>
      <c r="CM38" s="183">
        <f t="shared" si="27"/>
        <v>0</v>
      </c>
      <c r="CP38" s="183">
        <f t="shared" si="28"/>
        <v>0</v>
      </c>
      <c r="CS38" s="183">
        <f t="shared" si="29"/>
        <v>0</v>
      </c>
      <c r="CV38" s="183">
        <f t="shared" si="30"/>
        <v>0</v>
      </c>
      <c r="CY38" s="183">
        <f t="shared" si="31"/>
        <v>0</v>
      </c>
      <c r="DB38" s="183">
        <f t="shared" si="32"/>
        <v>0</v>
      </c>
      <c r="DE38" s="183">
        <f t="shared" si="33"/>
        <v>0</v>
      </c>
      <c r="DH38" s="183">
        <f t="shared" si="34"/>
        <v>0</v>
      </c>
      <c r="DK38" s="183">
        <f t="shared" si="35"/>
        <v>0</v>
      </c>
      <c r="DN38" s="183">
        <f t="shared" si="36"/>
        <v>0</v>
      </c>
      <c r="DQ38" s="183">
        <f t="shared" si="37"/>
        <v>0</v>
      </c>
      <c r="DT38" s="183">
        <f t="shared" si="38"/>
        <v>0</v>
      </c>
      <c r="DW38" s="183">
        <f t="shared" si="39"/>
        <v>0</v>
      </c>
      <c r="DZ38" s="183"/>
      <c r="EA38" s="183"/>
      <c r="EB38" s="214">
        <f t="shared" si="40"/>
        <v>535499000</v>
      </c>
      <c r="EC38" s="214">
        <f t="shared" si="41"/>
        <v>0</v>
      </c>
      <c r="ED38" s="183">
        <f t="shared" si="42"/>
        <v>14044.073611111111</v>
      </c>
      <c r="EE38" s="185">
        <f t="shared" si="43"/>
        <v>9.4414116552972091E-3</v>
      </c>
      <c r="EG38" s="214">
        <f t="shared" si="44"/>
        <v>0</v>
      </c>
      <c r="EH38" s="183">
        <f t="shared" si="45"/>
        <v>0</v>
      </c>
      <c r="EI38" s="185">
        <f t="shared" si="46"/>
        <v>0</v>
      </c>
      <c r="EJ38" s="185"/>
      <c r="EK38" s="214">
        <f t="shared" si="47"/>
        <v>535499000</v>
      </c>
      <c r="EL38" s="214">
        <f t="shared" si="48"/>
        <v>0</v>
      </c>
      <c r="EM38" s="214">
        <f t="shared" si="49"/>
        <v>14044.073611111111</v>
      </c>
      <c r="EN38" s="185">
        <f t="shared" si="50"/>
        <v>9.4414116552972091E-3</v>
      </c>
      <c r="EP38" s="183"/>
    </row>
    <row r="39" spans="1:146" x14ac:dyDescent="0.2">
      <c r="A39" s="211">
        <f t="shared" si="51"/>
        <v>44649</v>
      </c>
      <c r="B39" s="183">
        <v>0</v>
      </c>
      <c r="C39" s="185">
        <v>8.2825199999999998E-3</v>
      </c>
      <c r="D39" s="183">
        <f t="shared" si="0"/>
        <v>0</v>
      </c>
      <c r="G39" s="183">
        <f t="shared" si="1"/>
        <v>0</v>
      </c>
      <c r="J39" s="183">
        <f t="shared" si="2"/>
        <v>0</v>
      </c>
      <c r="M39" s="183">
        <f t="shared" si="3"/>
        <v>0</v>
      </c>
      <c r="P39" s="183">
        <f t="shared" si="4"/>
        <v>0</v>
      </c>
      <c r="S39" s="183">
        <f t="shared" si="5"/>
        <v>0</v>
      </c>
      <c r="V39" s="183">
        <f t="shared" si="6"/>
        <v>0</v>
      </c>
      <c r="Y39" s="183">
        <f t="shared" si="7"/>
        <v>0</v>
      </c>
      <c r="AB39" s="183">
        <f t="shared" si="8"/>
        <v>0</v>
      </c>
      <c r="AE39" s="183">
        <v>0</v>
      </c>
      <c r="AH39" s="183">
        <v>0</v>
      </c>
      <c r="AI39" s="212"/>
      <c r="AJ39" s="213"/>
      <c r="AK39" s="183">
        <f t="shared" si="9"/>
        <v>0</v>
      </c>
      <c r="AL39" s="212"/>
      <c r="AM39" s="213"/>
      <c r="AN39" s="183">
        <f t="shared" si="10"/>
        <v>0</v>
      </c>
      <c r="AO39" s="212"/>
      <c r="AP39" s="213"/>
      <c r="AQ39" s="183">
        <f t="shared" si="11"/>
        <v>0</v>
      </c>
      <c r="AR39" s="212"/>
      <c r="AS39" s="213"/>
      <c r="AT39" s="183">
        <f t="shared" si="12"/>
        <v>0</v>
      </c>
      <c r="AU39" s="183">
        <v>40000000</v>
      </c>
      <c r="AV39" s="185">
        <v>6.3E-3</v>
      </c>
      <c r="AW39" s="183">
        <f t="shared" si="13"/>
        <v>700</v>
      </c>
      <c r="AX39" s="183">
        <v>65000000</v>
      </c>
      <c r="AY39" s="185">
        <v>9.4999999999999998E-3</v>
      </c>
      <c r="AZ39" s="183">
        <f t="shared" si="14"/>
        <v>1715.2777777777778</v>
      </c>
      <c r="BA39" s="183">
        <v>90000000</v>
      </c>
      <c r="BB39" s="185">
        <v>1.06E-2</v>
      </c>
      <c r="BC39" s="183">
        <f t="shared" si="15"/>
        <v>2650</v>
      </c>
      <c r="BD39" s="183">
        <v>235000000</v>
      </c>
      <c r="BE39" s="185">
        <v>1.0500000000000001E-2</v>
      </c>
      <c r="BF39" s="183">
        <f t="shared" si="16"/>
        <v>6854.166666666667</v>
      </c>
      <c r="BG39" s="183">
        <v>52749000</v>
      </c>
      <c r="BH39" s="185">
        <v>8.5000000000000006E-3</v>
      </c>
      <c r="BI39" s="183">
        <f t="shared" si="17"/>
        <v>1245.4625000000001</v>
      </c>
      <c r="BJ39" s="183">
        <f>30000000+16250000</f>
        <v>46250000</v>
      </c>
      <c r="BK39" s="185">
        <v>6.0000000000000001E-3</v>
      </c>
      <c r="BL39" s="183">
        <f t="shared" si="18"/>
        <v>770.83333333333337</v>
      </c>
      <c r="BO39" s="183">
        <f t="shared" si="19"/>
        <v>0</v>
      </c>
      <c r="BR39" s="183">
        <f t="shared" si="20"/>
        <v>0</v>
      </c>
      <c r="BU39" s="183">
        <f t="shared" si="21"/>
        <v>0</v>
      </c>
      <c r="BX39" s="183">
        <f t="shared" si="22"/>
        <v>0</v>
      </c>
      <c r="CA39" s="183">
        <f t="shared" si="23"/>
        <v>0</v>
      </c>
      <c r="CD39" s="183">
        <f t="shared" si="24"/>
        <v>0</v>
      </c>
      <c r="CG39" s="183">
        <f t="shared" si="25"/>
        <v>0</v>
      </c>
      <c r="CJ39" s="183">
        <f t="shared" si="26"/>
        <v>0</v>
      </c>
      <c r="CM39" s="183">
        <f t="shared" si="27"/>
        <v>0</v>
      </c>
      <c r="CP39" s="183">
        <f t="shared" si="28"/>
        <v>0</v>
      </c>
      <c r="CS39" s="183">
        <f t="shared" si="29"/>
        <v>0</v>
      </c>
      <c r="CV39" s="183">
        <f t="shared" si="30"/>
        <v>0</v>
      </c>
      <c r="CY39" s="183">
        <f t="shared" si="31"/>
        <v>0</v>
      </c>
      <c r="DB39" s="183">
        <f t="shared" si="32"/>
        <v>0</v>
      </c>
      <c r="DE39" s="183">
        <f t="shared" si="33"/>
        <v>0</v>
      </c>
      <c r="DH39" s="183">
        <f t="shared" si="34"/>
        <v>0</v>
      </c>
      <c r="DK39" s="183">
        <f t="shared" si="35"/>
        <v>0</v>
      </c>
      <c r="DN39" s="183">
        <f t="shared" si="36"/>
        <v>0</v>
      </c>
      <c r="DQ39" s="183">
        <f t="shared" si="37"/>
        <v>0</v>
      </c>
      <c r="DT39" s="183">
        <f t="shared" si="38"/>
        <v>0</v>
      </c>
      <c r="DW39" s="183">
        <f t="shared" si="39"/>
        <v>0</v>
      </c>
      <c r="DZ39" s="183"/>
      <c r="EA39" s="183"/>
      <c r="EB39" s="214">
        <f t="shared" si="40"/>
        <v>528999000</v>
      </c>
      <c r="EC39" s="214">
        <f t="shared" si="41"/>
        <v>0</v>
      </c>
      <c r="ED39" s="183">
        <f t="shared" si="42"/>
        <v>13935.740277777779</v>
      </c>
      <c r="EE39" s="185">
        <f t="shared" si="43"/>
        <v>9.4836975117155251E-3</v>
      </c>
      <c r="EG39" s="214">
        <f t="shared" si="44"/>
        <v>0</v>
      </c>
      <c r="EH39" s="183">
        <f t="shared" si="45"/>
        <v>0</v>
      </c>
      <c r="EI39" s="185">
        <f t="shared" si="46"/>
        <v>0</v>
      </c>
      <c r="EJ39" s="185"/>
      <c r="EK39" s="214">
        <f t="shared" si="47"/>
        <v>528999000</v>
      </c>
      <c r="EL39" s="214">
        <f t="shared" si="48"/>
        <v>0</v>
      </c>
      <c r="EM39" s="214">
        <f t="shared" si="49"/>
        <v>13935.740277777779</v>
      </c>
      <c r="EN39" s="185">
        <f t="shared" si="50"/>
        <v>9.4836975117155251E-3</v>
      </c>
      <c r="EP39" s="183"/>
    </row>
    <row r="40" spans="1:146" x14ac:dyDescent="0.2">
      <c r="A40" s="211">
        <f t="shared" si="51"/>
        <v>44650</v>
      </c>
      <c r="B40" s="183">
        <v>0</v>
      </c>
      <c r="C40" s="185">
        <v>8.2720800000000011E-3</v>
      </c>
      <c r="D40" s="183">
        <f t="shared" si="0"/>
        <v>0</v>
      </c>
      <c r="G40" s="183">
        <f t="shared" si="1"/>
        <v>0</v>
      </c>
      <c r="J40" s="183">
        <f t="shared" si="2"/>
        <v>0</v>
      </c>
      <c r="M40" s="183">
        <f t="shared" si="3"/>
        <v>0</v>
      </c>
      <c r="P40" s="183">
        <f t="shared" si="4"/>
        <v>0</v>
      </c>
      <c r="S40" s="183">
        <f t="shared" si="5"/>
        <v>0</v>
      </c>
      <c r="V40" s="183">
        <f t="shared" si="6"/>
        <v>0</v>
      </c>
      <c r="Y40" s="183">
        <f t="shared" si="7"/>
        <v>0</v>
      </c>
      <c r="AB40" s="183">
        <f t="shared" si="8"/>
        <v>0</v>
      </c>
      <c r="AE40" s="183">
        <v>0</v>
      </c>
      <c r="AH40" s="183">
        <v>0</v>
      </c>
      <c r="AI40" s="212"/>
      <c r="AJ40" s="213"/>
      <c r="AK40" s="183">
        <f t="shared" si="9"/>
        <v>0</v>
      </c>
      <c r="AL40" s="212"/>
      <c r="AM40" s="213"/>
      <c r="AN40" s="183">
        <f t="shared" si="10"/>
        <v>0</v>
      </c>
      <c r="AO40" s="212"/>
      <c r="AP40" s="213"/>
      <c r="AQ40" s="183">
        <f t="shared" si="11"/>
        <v>0</v>
      </c>
      <c r="AR40" s="212"/>
      <c r="AS40" s="213"/>
      <c r="AT40" s="183">
        <f t="shared" si="12"/>
        <v>0</v>
      </c>
      <c r="AU40" s="183">
        <v>40000000</v>
      </c>
      <c r="AV40" s="185">
        <v>6.3E-3</v>
      </c>
      <c r="AW40" s="183">
        <f t="shared" si="13"/>
        <v>700</v>
      </c>
      <c r="AX40" s="183">
        <v>65000000</v>
      </c>
      <c r="AY40" s="185">
        <v>9.4999999999999998E-3</v>
      </c>
      <c r="AZ40" s="183">
        <f t="shared" si="14"/>
        <v>1715.2777777777778</v>
      </c>
      <c r="BA40" s="183">
        <v>90000000</v>
      </c>
      <c r="BB40" s="185">
        <v>1.06E-2</v>
      </c>
      <c r="BC40" s="183">
        <f t="shared" si="15"/>
        <v>2650</v>
      </c>
      <c r="BD40" s="183">
        <v>235000000</v>
      </c>
      <c r="BE40" s="185">
        <v>1.0500000000000001E-2</v>
      </c>
      <c r="BF40" s="183">
        <f t="shared" si="16"/>
        <v>6854.166666666667</v>
      </c>
      <c r="BG40" s="183">
        <v>52749000</v>
      </c>
      <c r="BH40" s="185">
        <v>8.5000000000000006E-3</v>
      </c>
      <c r="BI40" s="183">
        <f t="shared" si="17"/>
        <v>1245.4625000000001</v>
      </c>
      <c r="BJ40" s="183">
        <f>30000000+14100000</f>
        <v>44100000</v>
      </c>
      <c r="BK40" s="185">
        <v>6.0000000000000001E-3</v>
      </c>
      <c r="BL40" s="183">
        <f t="shared" si="18"/>
        <v>735</v>
      </c>
      <c r="BO40" s="183">
        <f t="shared" si="19"/>
        <v>0</v>
      </c>
      <c r="BR40" s="183">
        <f t="shared" si="20"/>
        <v>0</v>
      </c>
      <c r="BU40" s="183">
        <f t="shared" si="21"/>
        <v>0</v>
      </c>
      <c r="BX40" s="183">
        <f t="shared" si="22"/>
        <v>0</v>
      </c>
      <c r="CA40" s="183">
        <f t="shared" si="23"/>
        <v>0</v>
      </c>
      <c r="CD40" s="183">
        <f t="shared" si="24"/>
        <v>0</v>
      </c>
      <c r="CG40" s="183">
        <f t="shared" si="25"/>
        <v>0</v>
      </c>
      <c r="CJ40" s="183">
        <f t="shared" si="26"/>
        <v>0</v>
      </c>
      <c r="CM40" s="183">
        <f t="shared" si="27"/>
        <v>0</v>
      </c>
      <c r="CP40" s="183">
        <f t="shared" si="28"/>
        <v>0</v>
      </c>
      <c r="CS40" s="183">
        <f t="shared" si="29"/>
        <v>0</v>
      </c>
      <c r="CV40" s="183">
        <f t="shared" si="30"/>
        <v>0</v>
      </c>
      <c r="CY40" s="183">
        <f t="shared" si="31"/>
        <v>0</v>
      </c>
      <c r="DB40" s="183">
        <f t="shared" si="32"/>
        <v>0</v>
      </c>
      <c r="DE40" s="183">
        <f t="shared" si="33"/>
        <v>0</v>
      </c>
      <c r="DH40" s="183">
        <f t="shared" si="34"/>
        <v>0</v>
      </c>
      <c r="DK40" s="183">
        <f t="shared" si="35"/>
        <v>0</v>
      </c>
      <c r="DN40" s="183">
        <f t="shared" si="36"/>
        <v>0</v>
      </c>
      <c r="DQ40" s="183">
        <f t="shared" si="37"/>
        <v>0</v>
      </c>
      <c r="DT40" s="183">
        <f t="shared" si="38"/>
        <v>0</v>
      </c>
      <c r="DW40" s="183">
        <f t="shared" si="39"/>
        <v>0</v>
      </c>
      <c r="DZ40" s="183"/>
      <c r="EA40" s="183"/>
      <c r="EB40" s="214">
        <f t="shared" si="40"/>
        <v>526849000</v>
      </c>
      <c r="EC40" s="214">
        <f t="shared" si="41"/>
        <v>0</v>
      </c>
      <c r="ED40" s="183">
        <f t="shared" si="42"/>
        <v>13899.906944444445</v>
      </c>
      <c r="EE40" s="185">
        <f t="shared" si="43"/>
        <v>9.4979140133131124E-3</v>
      </c>
      <c r="EG40" s="214">
        <f t="shared" si="44"/>
        <v>0</v>
      </c>
      <c r="EH40" s="183">
        <f t="shared" si="45"/>
        <v>0</v>
      </c>
      <c r="EI40" s="185">
        <f t="shared" si="46"/>
        <v>0</v>
      </c>
      <c r="EJ40" s="185"/>
      <c r="EK40" s="214">
        <f t="shared" si="47"/>
        <v>526849000</v>
      </c>
      <c r="EL40" s="214">
        <f t="shared" si="48"/>
        <v>0</v>
      </c>
      <c r="EM40" s="214">
        <f t="shared" si="49"/>
        <v>13899.906944444445</v>
      </c>
      <c r="EN40" s="185">
        <f t="shared" si="50"/>
        <v>9.4979140133131124E-3</v>
      </c>
      <c r="EP40" s="183"/>
    </row>
    <row r="41" spans="1:146" x14ac:dyDescent="0.2">
      <c r="A41" s="211">
        <f t="shared" si="51"/>
        <v>44651</v>
      </c>
      <c r="B41" s="183">
        <v>0</v>
      </c>
      <c r="C41" s="185">
        <v>8.5639900000000005E-3</v>
      </c>
      <c r="D41" s="183">
        <f t="shared" si="0"/>
        <v>0</v>
      </c>
      <c r="G41" s="183">
        <f t="shared" si="1"/>
        <v>0</v>
      </c>
      <c r="J41" s="183">
        <f t="shared" si="2"/>
        <v>0</v>
      </c>
      <c r="M41" s="183">
        <f t="shared" si="3"/>
        <v>0</v>
      </c>
      <c r="P41" s="183">
        <f t="shared" si="4"/>
        <v>0</v>
      </c>
      <c r="S41" s="183">
        <f t="shared" si="5"/>
        <v>0</v>
      </c>
      <c r="V41" s="183">
        <f t="shared" si="6"/>
        <v>0</v>
      </c>
      <c r="Y41" s="183">
        <f t="shared" si="7"/>
        <v>0</v>
      </c>
      <c r="AB41" s="183">
        <f t="shared" si="8"/>
        <v>0</v>
      </c>
      <c r="AE41" s="183">
        <v>0</v>
      </c>
      <c r="AH41" s="183">
        <v>0</v>
      </c>
      <c r="AI41" s="212"/>
      <c r="AJ41" s="213"/>
      <c r="AK41" s="183">
        <f t="shared" si="9"/>
        <v>0</v>
      </c>
      <c r="AL41" s="212"/>
      <c r="AM41" s="213"/>
      <c r="AN41" s="183">
        <f t="shared" si="10"/>
        <v>0</v>
      </c>
      <c r="AO41" s="212"/>
      <c r="AP41" s="213"/>
      <c r="AQ41" s="183">
        <f t="shared" si="11"/>
        <v>0</v>
      </c>
      <c r="AR41" s="212"/>
      <c r="AS41" s="213"/>
      <c r="AT41" s="183">
        <f t="shared" si="12"/>
        <v>0</v>
      </c>
      <c r="AU41" s="183">
        <v>40000000</v>
      </c>
      <c r="AV41" s="185">
        <v>6.3E-3</v>
      </c>
      <c r="AW41" s="183">
        <f t="shared" si="13"/>
        <v>700</v>
      </c>
      <c r="AX41" s="183">
        <v>65000000</v>
      </c>
      <c r="AY41" s="185">
        <v>9.4999999999999998E-3</v>
      </c>
      <c r="AZ41" s="183">
        <f t="shared" si="14"/>
        <v>1715.2777777777778</v>
      </c>
      <c r="BA41" s="183">
        <v>90000000</v>
      </c>
      <c r="BB41" s="185">
        <v>1.06E-2</v>
      </c>
      <c r="BC41" s="183">
        <f t="shared" si="15"/>
        <v>2650</v>
      </c>
      <c r="BD41" s="183">
        <v>235000000</v>
      </c>
      <c r="BE41" s="185">
        <v>1.0500000000000001E-2</v>
      </c>
      <c r="BF41" s="183">
        <f t="shared" si="16"/>
        <v>6854.166666666667</v>
      </c>
      <c r="BG41" s="183">
        <v>52749000</v>
      </c>
      <c r="BH41" s="185">
        <v>8.5000000000000006E-3</v>
      </c>
      <c r="BI41" s="183">
        <f t="shared" si="17"/>
        <v>1245.4625000000001</v>
      </c>
      <c r="BJ41" s="183">
        <v>44800000</v>
      </c>
      <c r="BK41" s="185">
        <v>6.0000000000000001E-3</v>
      </c>
      <c r="BL41" s="183">
        <f t="shared" si="18"/>
        <v>746.66666666666663</v>
      </c>
      <c r="BO41" s="183">
        <f t="shared" si="19"/>
        <v>0</v>
      </c>
      <c r="BR41" s="183">
        <f t="shared" si="20"/>
        <v>0</v>
      </c>
      <c r="BU41" s="183">
        <f t="shared" si="21"/>
        <v>0</v>
      </c>
      <c r="BX41" s="183">
        <f t="shared" si="22"/>
        <v>0</v>
      </c>
      <c r="CA41" s="183">
        <f t="shared" si="23"/>
        <v>0</v>
      </c>
      <c r="CD41" s="183">
        <f t="shared" si="24"/>
        <v>0</v>
      </c>
      <c r="CG41" s="183">
        <f t="shared" si="25"/>
        <v>0</v>
      </c>
      <c r="CJ41" s="183">
        <f t="shared" si="26"/>
        <v>0</v>
      </c>
      <c r="CM41" s="183">
        <f t="shared" si="27"/>
        <v>0</v>
      </c>
      <c r="CP41" s="183">
        <f t="shared" si="28"/>
        <v>0</v>
      </c>
      <c r="CS41" s="183">
        <f t="shared" si="29"/>
        <v>0</v>
      </c>
      <c r="CV41" s="183">
        <f t="shared" si="30"/>
        <v>0</v>
      </c>
      <c r="CY41" s="183">
        <f t="shared" si="31"/>
        <v>0</v>
      </c>
      <c r="DB41" s="183">
        <f t="shared" si="32"/>
        <v>0</v>
      </c>
      <c r="DE41" s="183">
        <f t="shared" si="33"/>
        <v>0</v>
      </c>
      <c r="DH41" s="183">
        <f t="shared" si="34"/>
        <v>0</v>
      </c>
      <c r="DK41" s="183">
        <f t="shared" si="35"/>
        <v>0</v>
      </c>
      <c r="DN41" s="183">
        <f t="shared" si="36"/>
        <v>0</v>
      </c>
      <c r="DQ41" s="183">
        <f t="shared" si="37"/>
        <v>0</v>
      </c>
      <c r="DT41" s="183">
        <f t="shared" si="38"/>
        <v>0</v>
      </c>
      <c r="DW41" s="183">
        <f t="shared" si="39"/>
        <v>0</v>
      </c>
      <c r="DZ41" s="183"/>
      <c r="EA41" s="183"/>
      <c r="EB41" s="214">
        <f t="shared" si="40"/>
        <v>527549000</v>
      </c>
      <c r="EC41" s="214">
        <f t="shared" si="41"/>
        <v>0</v>
      </c>
      <c r="ED41" s="183">
        <f t="shared" si="42"/>
        <v>13911.573611111111</v>
      </c>
      <c r="EE41" s="185">
        <f t="shared" si="43"/>
        <v>9.4932726628237374E-3</v>
      </c>
      <c r="EG41" s="214">
        <f t="shared" si="44"/>
        <v>0</v>
      </c>
      <c r="EH41" s="183">
        <f t="shared" si="45"/>
        <v>0</v>
      </c>
      <c r="EI41" s="185">
        <f t="shared" si="46"/>
        <v>0</v>
      </c>
      <c r="EJ41" s="185"/>
      <c r="EK41" s="214">
        <f t="shared" si="47"/>
        <v>527549000</v>
      </c>
      <c r="EL41" s="214">
        <f t="shared" si="48"/>
        <v>0</v>
      </c>
      <c r="EM41" s="214">
        <f t="shared" si="49"/>
        <v>13911.573611111111</v>
      </c>
      <c r="EN41" s="185">
        <f t="shared" si="50"/>
        <v>9.4932726628237374E-3</v>
      </c>
      <c r="EP41" s="183"/>
    </row>
    <row r="42" spans="1:146" x14ac:dyDescent="0.2">
      <c r="A42" s="215" t="s">
        <v>75</v>
      </c>
      <c r="D42" s="216">
        <f>SUM(D11:D41)</f>
        <v>0</v>
      </c>
      <c r="G42" s="216">
        <f>SUM(G11:G41)</f>
        <v>0</v>
      </c>
      <c r="J42" s="216">
        <f>SUM(J11:J41)</f>
        <v>0</v>
      </c>
      <c r="M42" s="216">
        <f>SUM(M11:M41)</f>
        <v>0</v>
      </c>
      <c r="P42" s="216">
        <f>SUM(P11:P41)</f>
        <v>0</v>
      </c>
      <c r="S42" s="216">
        <f>SUM(S11:S41)</f>
        <v>0</v>
      </c>
      <c r="V42" s="216">
        <f>SUM(V11:V41)</f>
        <v>0</v>
      </c>
      <c r="Y42" s="216">
        <f>SUM(Y11:Y41)</f>
        <v>0</v>
      </c>
      <c r="AB42" s="216">
        <f>SUM(AB11:AB41)</f>
        <v>0</v>
      </c>
      <c r="AE42" s="216">
        <f>SUM(AE11:AE41)</f>
        <v>0</v>
      </c>
      <c r="AH42" s="216">
        <f>SUM(AH11:AH41)</f>
        <v>0</v>
      </c>
      <c r="AK42" s="216">
        <f>SUM(AK11:AK41)</f>
        <v>9236.1111111111131</v>
      </c>
      <c r="AN42" s="216">
        <f>SUM(AN11:AN41)</f>
        <v>7583.3333333333348</v>
      </c>
      <c r="AQ42" s="216">
        <f>SUM(AQ11:AQ41)</f>
        <v>14005.83333333333</v>
      </c>
      <c r="AT42" s="216">
        <f>SUM(AT11:AT41)</f>
        <v>7121.5624999999991</v>
      </c>
      <c r="AW42" s="216">
        <f>SUM(AW11:AW41)</f>
        <v>14971.25</v>
      </c>
      <c r="AZ42" s="216">
        <f>SUM(AZ11:AZ41)</f>
        <v>30044.444444444445</v>
      </c>
      <c r="BC42" s="216">
        <f>SUM(BC11:BC41)</f>
        <v>42968.333333333328</v>
      </c>
      <c r="BF42" s="216">
        <f>SUM(BF11:BF41)</f>
        <v>106945.79166666669</v>
      </c>
      <c r="BI42" s="216">
        <f>SUM(BI11:BI41)</f>
        <v>32829.733333333352</v>
      </c>
      <c r="BL42" s="216">
        <f>SUM(BL11:BL41)</f>
        <v>24049.564722222221</v>
      </c>
      <c r="BO42" s="216">
        <f>SUM(BO11:BO41)</f>
        <v>0</v>
      </c>
      <c r="BR42" s="216">
        <f>SUM(BR11:BR41)</f>
        <v>0</v>
      </c>
      <c r="BU42" s="216">
        <f>SUM(BU11:BU41)</f>
        <v>0</v>
      </c>
      <c r="BX42" s="216">
        <f>SUM(BX11:BX41)</f>
        <v>0</v>
      </c>
      <c r="CA42" s="216">
        <f>SUM(CA11:CA41)</f>
        <v>0</v>
      </c>
      <c r="CD42" s="216">
        <f>SUM(CD11:CD41)</f>
        <v>0</v>
      </c>
      <c r="CG42" s="216">
        <f>SUM(CG11:CG41)</f>
        <v>0</v>
      </c>
      <c r="CJ42" s="216">
        <f>SUM(CJ11:CJ41)</f>
        <v>0</v>
      </c>
      <c r="CM42" s="216">
        <f>SUM(CM11:CM41)</f>
        <v>0</v>
      </c>
      <c r="CP42" s="216">
        <f>SUM(CP11:CP41)</f>
        <v>0</v>
      </c>
      <c r="CS42" s="216">
        <f>SUM(CS11:CS41)</f>
        <v>0</v>
      </c>
      <c r="CV42" s="216">
        <f>SUM(CV11:CV41)</f>
        <v>0</v>
      </c>
      <c r="CY42" s="216">
        <f>SUM(CY11:CY41)</f>
        <v>0</v>
      </c>
      <c r="DB42" s="216">
        <f>SUM(DB11:DB41)</f>
        <v>0</v>
      </c>
      <c r="DE42" s="216">
        <f>SUM(DE11:DE41)</f>
        <v>0</v>
      </c>
      <c r="DH42" s="216">
        <f>SUM(DH11:DH41)</f>
        <v>0</v>
      </c>
      <c r="DK42" s="216">
        <f>SUM(DK11:DK41)</f>
        <v>0</v>
      </c>
      <c r="DN42" s="216">
        <f>SUM(DN11:DN41)</f>
        <v>0</v>
      </c>
      <c r="DQ42" s="216">
        <f>SUM(DQ11:DQ41)</f>
        <v>0</v>
      </c>
      <c r="DT42" s="216">
        <f>SUM(DT11:DT41)</f>
        <v>0</v>
      </c>
      <c r="DW42" s="216">
        <f>SUM(DW11:DW41)</f>
        <v>0</v>
      </c>
      <c r="DZ42" s="183"/>
      <c r="EA42" s="183"/>
      <c r="EB42" s="183"/>
      <c r="EC42" s="183"/>
      <c r="ED42" s="216">
        <f>SUM(ED11:ED41)</f>
        <v>289755.9577777778</v>
      </c>
      <c r="EE42" s="185"/>
      <c r="EG42" s="183"/>
      <c r="EH42" s="216">
        <f>SUM(EH11:EH41)</f>
        <v>0</v>
      </c>
      <c r="EI42" s="185"/>
      <c r="EJ42" s="185"/>
      <c r="EK42" s="183"/>
      <c r="EL42" s="183"/>
      <c r="EM42" s="216">
        <f>SUM(EM11:EM41)</f>
        <v>289755.9577777778</v>
      </c>
      <c r="EN42" s="185"/>
    </row>
    <row r="44" spans="1:146" x14ac:dyDescent="0.2">
      <c r="EM44" s="217"/>
    </row>
    <row r="46" spans="1:146" x14ac:dyDescent="0.2">
      <c r="EM46" s="183"/>
    </row>
    <row r="48" spans="1:146" x14ac:dyDescent="0.2">
      <c r="EM48" s="18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8"/>
  <dimension ref="A1:EQ47"/>
  <sheetViews>
    <sheetView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ColWidth="8.7109375" defaultRowHeight="12.75" x14ac:dyDescent="0.2"/>
  <cols>
    <col min="1" max="1" width="14.5703125" style="182" bestFit="1" customWidth="1"/>
    <col min="2" max="2" width="15.5703125" style="183" bestFit="1" customWidth="1"/>
    <col min="3" max="3" width="15.42578125" style="185" bestFit="1" customWidth="1"/>
    <col min="4" max="4" width="15.42578125" style="182" bestFit="1" customWidth="1"/>
    <col min="5" max="5" width="15.5703125" style="183" bestFit="1" customWidth="1"/>
    <col min="6" max="6" width="12.28515625" style="185" bestFit="1" customWidth="1"/>
    <col min="7" max="7" width="15.42578125" style="182" bestFit="1" customWidth="1"/>
    <col min="8" max="8" width="15.42578125" style="183" hidden="1" customWidth="1"/>
    <col min="9" max="9" width="10.28515625" style="185" hidden="1" customWidth="1"/>
    <col min="10" max="10" width="13.42578125" style="182" hidden="1" customWidth="1"/>
    <col min="11" max="11" width="14.42578125" style="183" hidden="1" customWidth="1"/>
    <col min="12" max="12" width="10.28515625" style="185" hidden="1" customWidth="1"/>
    <col min="13" max="13" width="11.7109375" style="182" hidden="1" customWidth="1"/>
    <col min="14" max="14" width="14.42578125" style="183" hidden="1" customWidth="1"/>
    <col min="15" max="15" width="10.28515625" style="185" hidden="1" customWidth="1"/>
    <col min="16" max="16" width="11.7109375" style="182" hidden="1" customWidth="1"/>
    <col min="17" max="17" width="15.42578125" style="183" hidden="1" customWidth="1"/>
    <col min="18" max="18" width="10.28515625" style="185" hidden="1" customWidth="1"/>
    <col min="19" max="19" width="11.7109375" style="182" hidden="1" customWidth="1"/>
    <col min="20" max="20" width="15.42578125" style="183" hidden="1" customWidth="1"/>
    <col min="21" max="21" width="10.28515625" style="185" hidden="1" customWidth="1"/>
    <col min="22" max="22" width="11.7109375" style="182" hidden="1" customWidth="1"/>
    <col min="23" max="23" width="15.42578125" style="183" hidden="1" customWidth="1"/>
    <col min="24" max="24" width="10.28515625" style="185" hidden="1" customWidth="1"/>
    <col min="25" max="25" width="11.7109375" style="182" hidden="1" customWidth="1"/>
    <col min="26" max="26" width="15.42578125" style="183" hidden="1" customWidth="1"/>
    <col min="27" max="27" width="10.28515625" style="185" hidden="1" customWidth="1"/>
    <col min="28" max="28" width="11.7109375" style="182" hidden="1" customWidth="1"/>
    <col min="29" max="29" width="15.42578125" style="183" hidden="1" customWidth="1"/>
    <col min="30" max="30" width="10.28515625" style="185" hidden="1" customWidth="1"/>
    <col min="31" max="31" width="11.7109375" style="182" hidden="1" customWidth="1"/>
    <col min="32" max="32" width="14.42578125" style="183" hidden="1" customWidth="1"/>
    <col min="33" max="33" width="10.28515625" style="185" hidden="1" customWidth="1"/>
    <col min="34" max="34" width="10.7109375" style="182" hidden="1" customWidth="1"/>
    <col min="35" max="35" width="14.42578125" style="183" customWidth="1"/>
    <col min="36" max="36" width="10.28515625" style="185" customWidth="1"/>
    <col min="37" max="37" width="11.7109375" style="182" bestFit="1" customWidth="1"/>
    <col min="38" max="38" width="14.42578125" style="183" customWidth="1"/>
    <col min="39" max="39" width="10.28515625" style="185" customWidth="1"/>
    <col min="40" max="40" width="10.7109375" style="182" customWidth="1"/>
    <col min="41" max="41" width="15.42578125" style="183" bestFit="1" customWidth="1"/>
    <col min="42" max="42" width="12.28515625" style="185" bestFit="1" customWidth="1"/>
    <col min="43" max="43" width="11.7109375" style="182" bestFit="1" customWidth="1"/>
    <col min="44" max="44" width="15.42578125" style="183" bestFit="1" customWidth="1"/>
    <col min="45" max="45" width="10.28515625" style="185" bestFit="1" customWidth="1"/>
    <col min="46" max="46" width="11.7109375" style="182" bestFit="1" customWidth="1"/>
    <col min="47" max="47" width="14.42578125" style="183" customWidth="1"/>
    <col min="48" max="48" width="10.28515625" style="185" customWidth="1"/>
    <col min="49" max="49" width="10.7109375" style="182" customWidth="1"/>
    <col min="50" max="50" width="14.42578125" style="183" customWidth="1"/>
    <col min="51" max="51" width="10.28515625" style="185" customWidth="1"/>
    <col min="52" max="52" width="10.7109375" style="182" customWidth="1"/>
    <col min="53" max="53" width="14.42578125" style="183" customWidth="1"/>
    <col min="54" max="54" width="10.28515625" style="185" customWidth="1"/>
    <col min="55" max="55" width="10.7109375" style="182" customWidth="1"/>
    <col min="56" max="56" width="14.42578125" style="183" customWidth="1"/>
    <col min="57" max="57" width="10.28515625" style="185" customWidth="1"/>
    <col min="58" max="58" width="10.7109375" style="182" customWidth="1"/>
    <col min="59" max="59" width="14.42578125" style="183" customWidth="1"/>
    <col min="60" max="60" width="10.28515625" style="185" customWidth="1"/>
    <col min="61" max="61" width="10.7109375" style="182" customWidth="1"/>
    <col min="62" max="62" width="14.42578125" style="183" customWidth="1"/>
    <col min="63" max="63" width="10.28515625" style="185" customWidth="1"/>
    <col min="64" max="64" width="10.7109375" style="182" customWidth="1"/>
    <col min="65" max="65" width="14.42578125" style="183" hidden="1" customWidth="1"/>
    <col min="66" max="66" width="10.28515625" style="185" hidden="1" customWidth="1"/>
    <col min="67" max="67" width="10.7109375" style="182" hidden="1" customWidth="1"/>
    <col min="68" max="68" width="14.42578125" style="183" hidden="1" customWidth="1"/>
    <col min="69" max="69" width="10.28515625" style="185" hidden="1" customWidth="1"/>
    <col min="70" max="70" width="10.7109375" style="182" hidden="1" customWidth="1"/>
    <col min="71" max="71" width="14.42578125" style="183" hidden="1" customWidth="1"/>
    <col min="72" max="72" width="10.28515625" style="185" hidden="1" customWidth="1"/>
    <col min="73" max="73" width="10.7109375" style="182" hidden="1" customWidth="1"/>
    <col min="74" max="74" width="14.42578125" style="183" hidden="1" customWidth="1"/>
    <col min="75" max="75" width="10.28515625" style="185" hidden="1" customWidth="1"/>
    <col min="76" max="76" width="10.7109375" style="182" hidden="1" customWidth="1"/>
    <col min="77" max="77" width="14.42578125" style="183" hidden="1" customWidth="1"/>
    <col min="78" max="78" width="10.28515625" style="185" hidden="1" customWidth="1"/>
    <col min="79" max="79" width="10.7109375" style="182" hidden="1" customWidth="1"/>
    <col min="80" max="80" width="14.42578125" style="183" hidden="1" customWidth="1"/>
    <col min="81" max="81" width="10.28515625" style="185" hidden="1" customWidth="1"/>
    <col min="82" max="82" width="10.7109375" style="182" hidden="1" customWidth="1"/>
    <col min="83" max="83" width="14.42578125" style="183" hidden="1" customWidth="1"/>
    <col min="84" max="84" width="10.28515625" style="185" hidden="1" customWidth="1"/>
    <col min="85" max="85" width="10.7109375" style="182" hidden="1" customWidth="1"/>
    <col min="86" max="86" width="14.42578125" style="183" hidden="1" customWidth="1"/>
    <col min="87" max="87" width="10.28515625" style="185" hidden="1" customWidth="1"/>
    <col min="88" max="88" width="10.7109375" style="182" hidden="1" customWidth="1"/>
    <col min="89" max="89" width="14.42578125" style="183" hidden="1" customWidth="1"/>
    <col min="90" max="90" width="10.28515625" style="185" hidden="1" customWidth="1"/>
    <col min="91" max="91" width="10.7109375" style="182" hidden="1" customWidth="1"/>
    <col min="92" max="92" width="14.42578125" style="183" hidden="1" customWidth="1"/>
    <col min="93" max="93" width="10.28515625" style="185" hidden="1" customWidth="1"/>
    <col min="94" max="94" width="10.7109375" style="182" hidden="1" customWidth="1"/>
    <col min="95" max="95" width="14.42578125" style="183" hidden="1" customWidth="1"/>
    <col min="96" max="96" width="10.28515625" style="185" hidden="1" customWidth="1"/>
    <col min="97" max="97" width="10.7109375" style="182" hidden="1" customWidth="1"/>
    <col min="98" max="98" width="14.42578125" style="183" hidden="1" customWidth="1"/>
    <col min="99" max="99" width="10.28515625" style="185" hidden="1" customWidth="1"/>
    <col min="100" max="100" width="10.7109375" style="182" hidden="1" customWidth="1"/>
    <col min="101" max="101" width="14.42578125" style="183" hidden="1" customWidth="1"/>
    <col min="102" max="102" width="10.28515625" style="185" hidden="1" customWidth="1"/>
    <col min="103" max="103" width="10.7109375" style="182" hidden="1" customWidth="1"/>
    <col min="104" max="104" width="14.42578125" style="183" hidden="1" customWidth="1"/>
    <col min="105" max="105" width="10.28515625" style="185" hidden="1" customWidth="1"/>
    <col min="106" max="106" width="10.7109375" style="182" hidden="1" customWidth="1"/>
    <col min="107" max="107" width="14.42578125" style="183" hidden="1" customWidth="1"/>
    <col min="108" max="108" width="10.28515625" style="185" hidden="1" customWidth="1"/>
    <col min="109" max="109" width="10.7109375" style="182" hidden="1" customWidth="1"/>
    <col min="110" max="110" width="14.42578125" style="183" hidden="1" customWidth="1"/>
    <col min="111" max="111" width="10.28515625" style="185" hidden="1" customWidth="1"/>
    <col min="112" max="112" width="10.7109375" style="182" hidden="1" customWidth="1"/>
    <col min="113" max="113" width="14.42578125" style="183" hidden="1" customWidth="1"/>
    <col min="114" max="114" width="10.28515625" style="185" hidden="1" customWidth="1"/>
    <col min="115" max="115" width="10.7109375" style="182" hidden="1" customWidth="1"/>
    <col min="116" max="116" width="14.42578125" style="183" hidden="1" customWidth="1"/>
    <col min="117" max="117" width="10.28515625" style="185" hidden="1" customWidth="1"/>
    <col min="118" max="118" width="10.7109375" style="182" hidden="1" customWidth="1"/>
    <col min="119" max="119" width="14.42578125" style="183" hidden="1" customWidth="1"/>
    <col min="120" max="120" width="10.28515625" style="185" hidden="1" customWidth="1"/>
    <col min="121" max="121" width="10.7109375" style="182" hidden="1" customWidth="1"/>
    <col min="122" max="122" width="14.42578125" style="183" hidden="1" customWidth="1"/>
    <col min="123" max="123" width="10.28515625" style="185" hidden="1" customWidth="1"/>
    <col min="124" max="124" width="10.7109375" style="182" hidden="1" customWidth="1"/>
    <col min="125" max="125" width="14.42578125" style="183" hidden="1" customWidth="1"/>
    <col min="126" max="126" width="10.28515625" style="185" hidden="1" customWidth="1"/>
    <col min="127" max="127" width="10.7109375" style="182" hidden="1" customWidth="1"/>
    <col min="128" max="128" width="14.42578125" style="183" hidden="1" customWidth="1"/>
    <col min="129" max="129" width="10.28515625" style="185" hidden="1" customWidth="1"/>
    <col min="130" max="130" width="10.7109375" style="182" hidden="1" customWidth="1"/>
    <col min="131" max="131" width="2.7109375" style="182" customWidth="1"/>
    <col min="132" max="132" width="15.42578125" style="182" bestFit="1" customWidth="1"/>
    <col min="133" max="133" width="15.42578125" style="182" hidden="1" customWidth="1"/>
    <col min="134" max="134" width="14.42578125" style="182" bestFit="1" customWidth="1"/>
    <col min="135" max="135" width="17.7109375" style="182" bestFit="1" customWidth="1"/>
    <col min="136" max="136" width="2.7109375" style="182" customWidth="1"/>
    <col min="137" max="137" width="15.42578125" style="182" hidden="1" customWidth="1"/>
    <col min="138" max="138" width="14.42578125" style="182" hidden="1" customWidth="1"/>
    <col min="139" max="139" width="12.42578125" style="182" hidden="1" customWidth="1"/>
    <col min="140" max="140" width="2.7109375" style="182" hidden="1" customWidth="1"/>
    <col min="141" max="141" width="15.42578125" style="182" bestFit="1" customWidth="1"/>
    <col min="142" max="142" width="15.42578125" style="182" hidden="1" customWidth="1"/>
    <col min="143" max="143" width="14.42578125" style="182" bestFit="1" customWidth="1"/>
    <col min="144" max="144" width="15.42578125" style="182" bestFit="1" customWidth="1"/>
    <col min="145" max="145" width="42.85546875" style="182" bestFit="1" customWidth="1"/>
    <col min="146" max="146" width="15.28515625" style="182" bestFit="1" customWidth="1"/>
    <col min="147" max="147" width="23.140625" style="182" bestFit="1" customWidth="1"/>
    <col min="148" max="16384" width="8.7109375" style="182"/>
  </cols>
  <sheetData>
    <row r="1" spans="1:147" s="177" customFormat="1" ht="15.75" x14ac:dyDescent="0.25">
      <c r="A1" s="174" t="s">
        <v>0</v>
      </c>
      <c r="B1" s="175"/>
      <c r="C1" s="176"/>
      <c r="E1" s="175"/>
      <c r="F1" s="176"/>
      <c r="H1" s="175"/>
      <c r="I1" s="176"/>
      <c r="K1" s="175"/>
      <c r="L1" s="176"/>
      <c r="N1" s="175"/>
      <c r="O1" s="176"/>
      <c r="Q1" s="175"/>
      <c r="R1" s="176"/>
      <c r="T1" s="175"/>
      <c r="U1" s="176"/>
      <c r="W1" s="175"/>
      <c r="X1" s="176"/>
      <c r="Z1" s="175"/>
      <c r="AA1" s="176"/>
      <c r="AC1" s="175"/>
      <c r="AD1" s="176"/>
      <c r="AF1" s="175"/>
      <c r="AG1" s="176"/>
      <c r="AI1" s="175"/>
      <c r="AJ1" s="176"/>
      <c r="AL1" s="175"/>
      <c r="AM1" s="176"/>
      <c r="AO1" s="175"/>
      <c r="AP1" s="176"/>
      <c r="AR1" s="175"/>
      <c r="AS1" s="176"/>
      <c r="AU1" s="175"/>
      <c r="AV1" s="176"/>
      <c r="AX1" s="175"/>
      <c r="AY1" s="176"/>
      <c r="BA1" s="175"/>
      <c r="BB1" s="176"/>
      <c r="BD1" s="175"/>
      <c r="BE1" s="176"/>
      <c r="BG1" s="175"/>
      <c r="BH1" s="176"/>
      <c r="BJ1" s="175"/>
      <c r="BK1" s="176"/>
      <c r="BM1" s="175"/>
      <c r="BN1" s="176"/>
      <c r="BP1" s="175"/>
      <c r="BQ1" s="176"/>
      <c r="BS1" s="175"/>
      <c r="BT1" s="176"/>
      <c r="BV1" s="175"/>
      <c r="BW1" s="176"/>
      <c r="BY1" s="175"/>
      <c r="BZ1" s="176"/>
      <c r="CB1" s="175"/>
      <c r="CC1" s="176"/>
      <c r="CE1" s="175"/>
      <c r="CF1" s="176"/>
      <c r="CH1" s="175"/>
      <c r="CI1" s="176"/>
      <c r="CK1" s="175"/>
      <c r="CL1" s="176"/>
      <c r="CN1" s="175"/>
      <c r="CO1" s="176"/>
      <c r="CQ1" s="175"/>
      <c r="CR1" s="176"/>
      <c r="CT1" s="175"/>
      <c r="CU1" s="176"/>
      <c r="CW1" s="175"/>
      <c r="CX1" s="176"/>
      <c r="CZ1" s="175"/>
      <c r="DA1" s="176"/>
      <c r="DC1" s="175"/>
      <c r="DD1" s="176"/>
      <c r="DF1" s="175"/>
      <c r="DG1" s="176"/>
      <c r="DI1" s="175"/>
      <c r="DJ1" s="176"/>
      <c r="DL1" s="175"/>
      <c r="DM1" s="176"/>
      <c r="DO1" s="175"/>
      <c r="DP1" s="176"/>
      <c r="DR1" s="175"/>
      <c r="DS1" s="176"/>
      <c r="DU1" s="175"/>
      <c r="DV1" s="176"/>
      <c r="DX1" s="175"/>
      <c r="DY1" s="176"/>
      <c r="DZ1" s="178"/>
      <c r="ED1" s="179"/>
      <c r="EE1" s="180" t="s">
        <v>91</v>
      </c>
      <c r="EI1" s="179" t="s">
        <v>92</v>
      </c>
      <c r="EM1" s="179"/>
      <c r="EN1" s="179" t="s">
        <v>93</v>
      </c>
      <c r="EO1" s="174" t="s">
        <v>94</v>
      </c>
      <c r="EP1" s="174" t="s">
        <v>95</v>
      </c>
      <c r="EQ1" s="174" t="s">
        <v>96</v>
      </c>
    </row>
    <row r="2" spans="1:147" s="177" customFormat="1" ht="16.5" thickBot="1" x14ac:dyDescent="0.3">
      <c r="A2" s="174" t="s">
        <v>97</v>
      </c>
      <c r="B2" s="175"/>
      <c r="C2" s="176"/>
      <c r="E2" s="181"/>
      <c r="F2" s="176"/>
      <c r="G2" s="179"/>
      <c r="H2" s="175"/>
      <c r="I2" s="176"/>
      <c r="K2" s="175"/>
      <c r="L2" s="176"/>
      <c r="N2" s="175"/>
      <c r="O2" s="176"/>
      <c r="Q2" s="175"/>
      <c r="R2" s="176"/>
      <c r="T2" s="175"/>
      <c r="U2" s="176"/>
      <c r="W2" s="175"/>
      <c r="X2" s="176"/>
      <c r="Z2" s="175"/>
      <c r="AA2" s="176"/>
      <c r="AC2" s="175"/>
      <c r="AD2" s="176"/>
      <c r="AF2" s="175"/>
      <c r="AG2" s="176"/>
      <c r="AI2" s="175"/>
      <c r="AJ2" s="176"/>
      <c r="AL2" s="175"/>
      <c r="AM2" s="176"/>
      <c r="AO2" s="175"/>
      <c r="AP2" s="176"/>
      <c r="AR2" s="175"/>
      <c r="AS2" s="176"/>
      <c r="AU2" s="175"/>
      <c r="AV2" s="176"/>
      <c r="AX2" s="175"/>
      <c r="AY2" s="176"/>
      <c r="BA2" s="175"/>
      <c r="BB2" s="176"/>
      <c r="BD2" s="175"/>
      <c r="BE2" s="176"/>
      <c r="BG2" s="175"/>
      <c r="BH2" s="176"/>
      <c r="BJ2" s="175"/>
      <c r="BK2" s="176"/>
      <c r="BM2" s="175"/>
      <c r="BN2" s="176"/>
      <c r="BP2" s="175"/>
      <c r="BQ2" s="176"/>
      <c r="BS2" s="175"/>
      <c r="BT2" s="176"/>
      <c r="BV2" s="175"/>
      <c r="BW2" s="176"/>
      <c r="BY2" s="175"/>
      <c r="BZ2" s="176"/>
      <c r="CB2" s="175"/>
      <c r="CC2" s="176"/>
      <c r="CE2" s="175"/>
      <c r="CF2" s="176"/>
      <c r="CH2" s="175"/>
      <c r="CI2" s="176"/>
      <c r="CK2" s="175"/>
      <c r="CL2" s="176"/>
      <c r="CN2" s="175"/>
      <c r="CO2" s="176"/>
      <c r="CQ2" s="175"/>
      <c r="CR2" s="176"/>
      <c r="CT2" s="175"/>
      <c r="CU2" s="176"/>
      <c r="CW2" s="175"/>
      <c r="CX2" s="176"/>
      <c r="CZ2" s="175"/>
      <c r="DA2" s="176"/>
      <c r="DC2" s="175"/>
      <c r="DD2" s="176"/>
      <c r="DF2" s="175"/>
      <c r="DG2" s="176"/>
      <c r="DI2" s="175"/>
      <c r="DJ2" s="176"/>
      <c r="DL2" s="175"/>
      <c r="DM2" s="176"/>
      <c r="DO2" s="175"/>
      <c r="DP2" s="176"/>
      <c r="DR2" s="175"/>
      <c r="DS2" s="176"/>
      <c r="DU2" s="175"/>
      <c r="DV2" s="176"/>
      <c r="DX2" s="175"/>
      <c r="DY2" s="176"/>
      <c r="EB2" s="182" t="s">
        <v>98</v>
      </c>
      <c r="EC2" s="182"/>
      <c r="ED2" s="183"/>
      <c r="EE2" s="183">
        <f>EB40</f>
        <v>92350000</v>
      </c>
      <c r="EI2" s="183">
        <f>EG40</f>
        <v>0</v>
      </c>
      <c r="EM2" s="183"/>
      <c r="EN2" s="183">
        <f>EK40</f>
        <v>89150000</v>
      </c>
      <c r="EO2" s="175">
        <v>0</v>
      </c>
      <c r="EP2" s="175">
        <f>EN2+EO2</f>
        <v>89150000</v>
      </c>
      <c r="EQ2" s="175">
        <f>EE2+EO2</f>
        <v>92350000</v>
      </c>
    </row>
    <row r="3" spans="1:147" ht="16.5" thickTop="1" x14ac:dyDescent="0.25">
      <c r="A3" s="184" t="s">
        <v>237</v>
      </c>
      <c r="E3" s="186" t="s">
        <v>100</v>
      </c>
      <c r="F3" s="187"/>
      <c r="G3" s="188"/>
      <c r="EB3" s="182" t="s">
        <v>101</v>
      </c>
      <c r="ED3" s="183"/>
      <c r="EE3" s="183">
        <f>AVERAGE(EB11:EB40)</f>
        <v>42852500</v>
      </c>
      <c r="EI3" s="183">
        <f>AVERAGE(EG11:EG40)</f>
        <v>0</v>
      </c>
      <c r="EM3" s="183"/>
      <c r="EN3" s="183">
        <f>AVERAGE(EK11:EK40)</f>
        <v>39330000</v>
      </c>
    </row>
    <row r="4" spans="1:147" x14ac:dyDescent="0.2">
      <c r="E4" s="189" t="s">
        <v>98</v>
      </c>
      <c r="F4" s="183"/>
      <c r="G4" s="190">
        <f>EQ2</f>
        <v>92350000</v>
      </c>
      <c r="AI4" s="191" t="s">
        <v>102</v>
      </c>
      <c r="EB4" s="182" t="s">
        <v>103</v>
      </c>
      <c r="ED4" s="185"/>
      <c r="EE4" s="185">
        <f>IF(EE3=0,0,360*(AVERAGE(ED11:ED40)/EE3))</f>
        <v>6.0041582616727927E-3</v>
      </c>
      <c r="EI4" s="185">
        <f>IF(EI3=0,0,360*(AVERAGE(EH11:EH40)/EI3))</f>
        <v>0</v>
      </c>
      <c r="EM4" s="185"/>
      <c r="EN4" s="185">
        <f>IF(EN3=0,0,360*(AVERAGE(EM11:EM40)/EN3))</f>
        <v>5.9278095601322141E-3</v>
      </c>
      <c r="EO4" s="192" t="s">
        <v>104</v>
      </c>
      <c r="EQ4" s="193" t="s">
        <v>102</v>
      </c>
    </row>
    <row r="5" spans="1:147" ht="15.75" x14ac:dyDescent="0.25">
      <c r="E5" s="189" t="s">
        <v>101</v>
      </c>
      <c r="F5" s="183"/>
      <c r="G5" s="190">
        <f>EE3</f>
        <v>42852500</v>
      </c>
      <c r="AI5" s="194" t="s">
        <v>93</v>
      </c>
      <c r="EB5" s="182" t="s">
        <v>105</v>
      </c>
      <c r="ED5" s="183"/>
      <c r="EE5" s="183">
        <f>MAX(EB11:EB40)</f>
        <v>92350000</v>
      </c>
      <c r="EI5" s="183">
        <f>MAX(EG11:EG40)</f>
        <v>0</v>
      </c>
      <c r="EM5" s="183"/>
      <c r="EN5" s="183">
        <f>MAX(EK11:EK40)</f>
        <v>89150000</v>
      </c>
    </row>
    <row r="6" spans="1:147" x14ac:dyDescent="0.2">
      <c r="E6" s="189" t="s">
        <v>103</v>
      </c>
      <c r="F6" s="183"/>
      <c r="G6" s="195">
        <f>EE4</f>
        <v>6.0041582616727927E-3</v>
      </c>
    </row>
    <row r="7" spans="1:147" ht="16.5" thickBot="1" x14ac:dyDescent="0.3">
      <c r="E7" s="196" t="s">
        <v>105</v>
      </c>
      <c r="F7" s="197"/>
      <c r="G7" s="198">
        <f>EE5</f>
        <v>92350000</v>
      </c>
      <c r="AI7" s="194" t="s">
        <v>93</v>
      </c>
      <c r="EB7" s="199" t="s">
        <v>106</v>
      </c>
      <c r="EC7" s="199"/>
      <c r="ED7" s="200"/>
      <c r="EE7" s="200"/>
      <c r="EG7" s="199" t="s">
        <v>107</v>
      </c>
      <c r="EH7" s="200"/>
      <c r="EI7" s="200"/>
      <c r="EJ7" s="201"/>
      <c r="EK7" s="199" t="s">
        <v>108</v>
      </c>
      <c r="EL7" s="199"/>
      <c r="EM7" s="200"/>
      <c r="EN7" s="200"/>
    </row>
    <row r="8" spans="1:147" ht="13.5" thickTop="1" x14ac:dyDescent="0.2">
      <c r="AI8" s="178" t="s">
        <v>109</v>
      </c>
      <c r="AL8" s="178" t="s">
        <v>109</v>
      </c>
      <c r="AO8" s="178" t="s">
        <v>109</v>
      </c>
      <c r="AR8" s="178" t="s">
        <v>109</v>
      </c>
      <c r="AU8" s="178" t="s">
        <v>109</v>
      </c>
      <c r="AX8" s="178" t="s">
        <v>109</v>
      </c>
      <c r="BA8" s="178" t="s">
        <v>109</v>
      </c>
      <c r="BD8" s="178" t="s">
        <v>109</v>
      </c>
      <c r="BG8" s="178" t="s">
        <v>109</v>
      </c>
      <c r="BJ8" s="178" t="s">
        <v>109</v>
      </c>
      <c r="BM8" s="178" t="s">
        <v>109</v>
      </c>
      <c r="BP8" s="178" t="s">
        <v>109</v>
      </c>
      <c r="BS8" s="178" t="s">
        <v>109</v>
      </c>
      <c r="BV8" s="178" t="s">
        <v>109</v>
      </c>
      <c r="BY8" s="178" t="s">
        <v>109</v>
      </c>
      <c r="CB8" s="178" t="s">
        <v>109</v>
      </c>
      <c r="CE8" s="178" t="s">
        <v>109</v>
      </c>
      <c r="CH8" s="178" t="s">
        <v>109</v>
      </c>
      <c r="CK8" s="178" t="s">
        <v>109</v>
      </c>
      <c r="CN8" s="178" t="s">
        <v>109</v>
      </c>
      <c r="CQ8" s="178" t="s">
        <v>109</v>
      </c>
      <c r="CT8" s="178" t="s">
        <v>109</v>
      </c>
      <c r="CW8" s="178" t="s">
        <v>109</v>
      </c>
      <c r="CZ8" s="178" t="s">
        <v>109</v>
      </c>
      <c r="DC8" s="178" t="s">
        <v>109</v>
      </c>
      <c r="DF8" s="178" t="s">
        <v>109</v>
      </c>
      <c r="DI8" s="178" t="s">
        <v>109</v>
      </c>
      <c r="DL8" s="178" t="s">
        <v>109</v>
      </c>
      <c r="DO8" s="178" t="s">
        <v>109</v>
      </c>
      <c r="DR8" s="178" t="s">
        <v>109</v>
      </c>
      <c r="EB8" s="202"/>
      <c r="EC8" s="202"/>
      <c r="ED8" s="202"/>
      <c r="EE8" s="202" t="s">
        <v>110</v>
      </c>
      <c r="EG8" s="202"/>
      <c r="EH8" s="203" t="s">
        <v>92</v>
      </c>
      <c r="EI8" s="202" t="s">
        <v>110</v>
      </c>
      <c r="EJ8" s="202"/>
      <c r="EK8" s="193" t="s">
        <v>111</v>
      </c>
      <c r="EL8" s="193" t="s">
        <v>112</v>
      </c>
      <c r="EM8" s="203" t="s">
        <v>113</v>
      </c>
      <c r="EN8" s="202" t="s">
        <v>110</v>
      </c>
    </row>
    <row r="9" spans="1:147" x14ac:dyDescent="0.2">
      <c r="B9" s="204" t="s">
        <v>114</v>
      </c>
      <c r="C9" s="205"/>
      <c r="D9" s="200"/>
      <c r="E9" s="204" t="s">
        <v>115</v>
      </c>
      <c r="F9" s="205"/>
      <c r="G9" s="200"/>
      <c r="H9" s="204" t="s">
        <v>116</v>
      </c>
      <c r="I9" s="205"/>
      <c r="J9" s="200"/>
      <c r="K9" s="204" t="s">
        <v>117</v>
      </c>
      <c r="L9" s="205"/>
      <c r="M9" s="200"/>
      <c r="N9" s="204" t="s">
        <v>118</v>
      </c>
      <c r="O9" s="205"/>
      <c r="P9" s="200"/>
      <c r="Q9" s="204" t="s">
        <v>119</v>
      </c>
      <c r="R9" s="205"/>
      <c r="S9" s="200"/>
      <c r="T9" s="204" t="s">
        <v>120</v>
      </c>
      <c r="U9" s="205"/>
      <c r="V9" s="200"/>
      <c r="W9" s="204" t="s">
        <v>121</v>
      </c>
      <c r="X9" s="205"/>
      <c r="Y9" s="200"/>
      <c r="Z9" s="204" t="s">
        <v>122</v>
      </c>
      <c r="AA9" s="205"/>
      <c r="AB9" s="200"/>
      <c r="AC9" s="206" t="s">
        <v>123</v>
      </c>
      <c r="AD9" s="205"/>
      <c r="AE9" s="200"/>
      <c r="AF9" s="206" t="s">
        <v>124</v>
      </c>
      <c r="AG9" s="205"/>
      <c r="AH9" s="200"/>
      <c r="AI9" s="204" t="s">
        <v>125</v>
      </c>
      <c r="AJ9" s="205"/>
      <c r="AK9" s="200"/>
      <c r="AL9" s="204" t="s">
        <v>126</v>
      </c>
      <c r="AM9" s="205"/>
      <c r="AN9" s="200"/>
      <c r="AO9" s="204" t="s">
        <v>127</v>
      </c>
      <c r="AP9" s="205"/>
      <c r="AQ9" s="200"/>
      <c r="AR9" s="204" t="s">
        <v>128</v>
      </c>
      <c r="AS9" s="205"/>
      <c r="AT9" s="200"/>
      <c r="AU9" s="204" t="s">
        <v>129</v>
      </c>
      <c r="AV9" s="205"/>
      <c r="AW9" s="200"/>
      <c r="AX9" s="204" t="s">
        <v>130</v>
      </c>
      <c r="AY9" s="205"/>
      <c r="AZ9" s="200"/>
      <c r="BA9" s="204" t="s">
        <v>131</v>
      </c>
      <c r="BB9" s="205"/>
      <c r="BC9" s="200"/>
      <c r="BD9" s="204" t="s">
        <v>132</v>
      </c>
      <c r="BE9" s="205"/>
      <c r="BF9" s="200"/>
      <c r="BG9" s="204" t="s">
        <v>133</v>
      </c>
      <c r="BH9" s="205"/>
      <c r="BI9" s="200"/>
      <c r="BJ9" s="204" t="s">
        <v>134</v>
      </c>
      <c r="BK9" s="205"/>
      <c r="BL9" s="200"/>
      <c r="BM9" s="204" t="s">
        <v>135</v>
      </c>
      <c r="BN9" s="205"/>
      <c r="BO9" s="200"/>
      <c r="BP9" s="204" t="s">
        <v>136</v>
      </c>
      <c r="BQ9" s="205"/>
      <c r="BR9" s="200"/>
      <c r="BS9" s="204" t="s">
        <v>137</v>
      </c>
      <c r="BT9" s="205"/>
      <c r="BU9" s="200"/>
      <c r="BV9" s="204" t="s">
        <v>138</v>
      </c>
      <c r="BW9" s="205"/>
      <c r="BX9" s="200"/>
      <c r="BY9" s="204" t="s">
        <v>139</v>
      </c>
      <c r="BZ9" s="205"/>
      <c r="CA9" s="200"/>
      <c r="CB9" s="204" t="s">
        <v>140</v>
      </c>
      <c r="CC9" s="205"/>
      <c r="CD9" s="200"/>
      <c r="CE9" s="204" t="s">
        <v>141</v>
      </c>
      <c r="CF9" s="205"/>
      <c r="CG9" s="200"/>
      <c r="CH9" s="204" t="s">
        <v>142</v>
      </c>
      <c r="CI9" s="205"/>
      <c r="CJ9" s="200"/>
      <c r="CK9" s="204" t="s">
        <v>143</v>
      </c>
      <c r="CL9" s="205"/>
      <c r="CM9" s="200"/>
      <c r="CN9" s="204" t="s">
        <v>144</v>
      </c>
      <c r="CO9" s="205"/>
      <c r="CP9" s="200"/>
      <c r="CQ9" s="204" t="s">
        <v>145</v>
      </c>
      <c r="CR9" s="205"/>
      <c r="CS9" s="200"/>
      <c r="CT9" s="204" t="s">
        <v>146</v>
      </c>
      <c r="CU9" s="205"/>
      <c r="CV9" s="200"/>
      <c r="CW9" s="204" t="s">
        <v>147</v>
      </c>
      <c r="CX9" s="205"/>
      <c r="CY9" s="200"/>
      <c r="CZ9" s="204" t="s">
        <v>148</v>
      </c>
      <c r="DA9" s="205"/>
      <c r="DB9" s="200"/>
      <c r="DC9" s="204" t="s">
        <v>149</v>
      </c>
      <c r="DD9" s="205"/>
      <c r="DE9" s="200"/>
      <c r="DF9" s="204" t="s">
        <v>150</v>
      </c>
      <c r="DG9" s="205"/>
      <c r="DH9" s="200"/>
      <c r="DI9" s="204" t="s">
        <v>151</v>
      </c>
      <c r="DJ9" s="205"/>
      <c r="DK9" s="200"/>
      <c r="DL9" s="204" t="s">
        <v>152</v>
      </c>
      <c r="DM9" s="205"/>
      <c r="DN9" s="200"/>
      <c r="DO9" s="204" t="s">
        <v>153</v>
      </c>
      <c r="DP9" s="205"/>
      <c r="DQ9" s="200"/>
      <c r="DR9" s="204" t="s">
        <v>154</v>
      </c>
      <c r="DS9" s="205"/>
      <c r="DT9" s="200"/>
      <c r="DU9" s="204" t="s">
        <v>155</v>
      </c>
      <c r="DV9" s="205"/>
      <c r="DW9" s="200"/>
      <c r="DX9" s="207" t="s">
        <v>156</v>
      </c>
      <c r="DY9" s="205"/>
      <c r="DZ9" s="200"/>
      <c r="EA9" s="201"/>
      <c r="EB9" s="193" t="s">
        <v>157</v>
      </c>
      <c r="EC9" s="193" t="s">
        <v>158</v>
      </c>
      <c r="ED9" s="202" t="s">
        <v>159</v>
      </c>
      <c r="EE9" s="202" t="s">
        <v>160</v>
      </c>
      <c r="EG9" s="203" t="s">
        <v>161</v>
      </c>
      <c r="EH9" s="202" t="s">
        <v>159</v>
      </c>
      <c r="EI9" s="202" t="s">
        <v>160</v>
      </c>
      <c r="EJ9" s="202"/>
      <c r="EK9" s="203" t="s">
        <v>113</v>
      </c>
      <c r="EL9" s="203" t="s">
        <v>113</v>
      </c>
      <c r="EM9" s="202" t="s">
        <v>159</v>
      </c>
      <c r="EN9" s="202" t="s">
        <v>160</v>
      </c>
    </row>
    <row r="10" spans="1:147" x14ac:dyDescent="0.2">
      <c r="A10" s="202" t="s">
        <v>162</v>
      </c>
      <c r="B10" s="208" t="s">
        <v>163</v>
      </c>
      <c r="C10" s="209" t="s">
        <v>164</v>
      </c>
      <c r="D10" s="210" t="s">
        <v>19</v>
      </c>
      <c r="E10" s="208" t="s">
        <v>163</v>
      </c>
      <c r="F10" s="209" t="s">
        <v>164</v>
      </c>
      <c r="G10" s="210" t="s">
        <v>19</v>
      </c>
      <c r="H10" s="208" t="s">
        <v>163</v>
      </c>
      <c r="I10" s="209" t="s">
        <v>164</v>
      </c>
      <c r="J10" s="210" t="s">
        <v>19</v>
      </c>
      <c r="K10" s="208" t="s">
        <v>163</v>
      </c>
      <c r="L10" s="209" t="s">
        <v>164</v>
      </c>
      <c r="M10" s="210" t="s">
        <v>19</v>
      </c>
      <c r="N10" s="208" t="s">
        <v>163</v>
      </c>
      <c r="O10" s="209" t="s">
        <v>164</v>
      </c>
      <c r="P10" s="210" t="s">
        <v>19</v>
      </c>
      <c r="Q10" s="208" t="s">
        <v>163</v>
      </c>
      <c r="R10" s="209" t="s">
        <v>164</v>
      </c>
      <c r="S10" s="210" t="s">
        <v>19</v>
      </c>
      <c r="T10" s="208" t="s">
        <v>163</v>
      </c>
      <c r="U10" s="209" t="s">
        <v>164</v>
      </c>
      <c r="V10" s="210" t="s">
        <v>19</v>
      </c>
      <c r="W10" s="208" t="s">
        <v>163</v>
      </c>
      <c r="X10" s="209" t="s">
        <v>164</v>
      </c>
      <c r="Y10" s="210" t="s">
        <v>19</v>
      </c>
      <c r="Z10" s="208" t="s">
        <v>163</v>
      </c>
      <c r="AA10" s="209" t="s">
        <v>164</v>
      </c>
      <c r="AB10" s="210" t="s">
        <v>19</v>
      </c>
      <c r="AC10" s="208" t="s">
        <v>163</v>
      </c>
      <c r="AD10" s="209" t="s">
        <v>164</v>
      </c>
      <c r="AE10" s="210" t="s">
        <v>19</v>
      </c>
      <c r="AF10" s="208" t="s">
        <v>163</v>
      </c>
      <c r="AG10" s="209" t="s">
        <v>164</v>
      </c>
      <c r="AH10" s="210" t="s">
        <v>19</v>
      </c>
      <c r="AI10" s="208" t="s">
        <v>163</v>
      </c>
      <c r="AJ10" s="209" t="s">
        <v>164</v>
      </c>
      <c r="AK10" s="210" t="s">
        <v>19</v>
      </c>
      <c r="AL10" s="208" t="s">
        <v>163</v>
      </c>
      <c r="AM10" s="209" t="s">
        <v>164</v>
      </c>
      <c r="AN10" s="210" t="s">
        <v>19</v>
      </c>
      <c r="AO10" s="208" t="s">
        <v>163</v>
      </c>
      <c r="AP10" s="209" t="s">
        <v>164</v>
      </c>
      <c r="AQ10" s="210" t="s">
        <v>19</v>
      </c>
      <c r="AR10" s="208" t="s">
        <v>163</v>
      </c>
      <c r="AS10" s="209" t="s">
        <v>164</v>
      </c>
      <c r="AT10" s="210" t="s">
        <v>19</v>
      </c>
      <c r="AU10" s="208" t="s">
        <v>163</v>
      </c>
      <c r="AV10" s="209" t="s">
        <v>164</v>
      </c>
      <c r="AW10" s="210" t="s">
        <v>19</v>
      </c>
      <c r="AX10" s="208" t="s">
        <v>163</v>
      </c>
      <c r="AY10" s="209" t="s">
        <v>164</v>
      </c>
      <c r="AZ10" s="210" t="s">
        <v>19</v>
      </c>
      <c r="BA10" s="208" t="s">
        <v>163</v>
      </c>
      <c r="BB10" s="209" t="s">
        <v>164</v>
      </c>
      <c r="BC10" s="210" t="s">
        <v>19</v>
      </c>
      <c r="BD10" s="208" t="s">
        <v>163</v>
      </c>
      <c r="BE10" s="209" t="s">
        <v>164</v>
      </c>
      <c r="BF10" s="210" t="s">
        <v>19</v>
      </c>
      <c r="BG10" s="208" t="s">
        <v>163</v>
      </c>
      <c r="BH10" s="209" t="s">
        <v>164</v>
      </c>
      <c r="BI10" s="210" t="s">
        <v>19</v>
      </c>
      <c r="BJ10" s="208" t="s">
        <v>163</v>
      </c>
      <c r="BK10" s="209" t="s">
        <v>164</v>
      </c>
      <c r="BL10" s="210" t="s">
        <v>19</v>
      </c>
      <c r="BM10" s="208" t="s">
        <v>163</v>
      </c>
      <c r="BN10" s="209" t="s">
        <v>164</v>
      </c>
      <c r="BO10" s="210" t="s">
        <v>19</v>
      </c>
      <c r="BP10" s="208" t="s">
        <v>163</v>
      </c>
      <c r="BQ10" s="209" t="s">
        <v>164</v>
      </c>
      <c r="BR10" s="210" t="s">
        <v>19</v>
      </c>
      <c r="BS10" s="208" t="s">
        <v>163</v>
      </c>
      <c r="BT10" s="209" t="s">
        <v>164</v>
      </c>
      <c r="BU10" s="210" t="s">
        <v>19</v>
      </c>
      <c r="BV10" s="208" t="s">
        <v>163</v>
      </c>
      <c r="BW10" s="209" t="s">
        <v>164</v>
      </c>
      <c r="BX10" s="210" t="s">
        <v>19</v>
      </c>
      <c r="BY10" s="208" t="s">
        <v>163</v>
      </c>
      <c r="BZ10" s="209" t="s">
        <v>164</v>
      </c>
      <c r="CA10" s="210" t="s">
        <v>19</v>
      </c>
      <c r="CB10" s="208" t="s">
        <v>163</v>
      </c>
      <c r="CC10" s="209" t="s">
        <v>164</v>
      </c>
      <c r="CD10" s="210" t="s">
        <v>19</v>
      </c>
      <c r="CE10" s="208" t="s">
        <v>163</v>
      </c>
      <c r="CF10" s="209" t="s">
        <v>164</v>
      </c>
      <c r="CG10" s="210" t="s">
        <v>19</v>
      </c>
      <c r="CH10" s="208" t="s">
        <v>163</v>
      </c>
      <c r="CI10" s="209" t="s">
        <v>164</v>
      </c>
      <c r="CJ10" s="210" t="s">
        <v>19</v>
      </c>
      <c r="CK10" s="208" t="s">
        <v>163</v>
      </c>
      <c r="CL10" s="209" t="s">
        <v>164</v>
      </c>
      <c r="CM10" s="210" t="s">
        <v>19</v>
      </c>
      <c r="CN10" s="208" t="s">
        <v>163</v>
      </c>
      <c r="CO10" s="209" t="s">
        <v>164</v>
      </c>
      <c r="CP10" s="210" t="s">
        <v>19</v>
      </c>
      <c r="CQ10" s="208" t="s">
        <v>163</v>
      </c>
      <c r="CR10" s="209" t="s">
        <v>164</v>
      </c>
      <c r="CS10" s="210" t="s">
        <v>19</v>
      </c>
      <c r="CT10" s="208" t="s">
        <v>163</v>
      </c>
      <c r="CU10" s="209" t="s">
        <v>164</v>
      </c>
      <c r="CV10" s="210" t="s">
        <v>19</v>
      </c>
      <c r="CW10" s="208" t="s">
        <v>163</v>
      </c>
      <c r="CX10" s="209" t="s">
        <v>164</v>
      </c>
      <c r="CY10" s="210" t="s">
        <v>19</v>
      </c>
      <c r="CZ10" s="208" t="s">
        <v>163</v>
      </c>
      <c r="DA10" s="209" t="s">
        <v>164</v>
      </c>
      <c r="DB10" s="210" t="s">
        <v>19</v>
      </c>
      <c r="DC10" s="208" t="s">
        <v>163</v>
      </c>
      <c r="DD10" s="209" t="s">
        <v>164</v>
      </c>
      <c r="DE10" s="210" t="s">
        <v>19</v>
      </c>
      <c r="DF10" s="208" t="s">
        <v>163</v>
      </c>
      <c r="DG10" s="209" t="s">
        <v>164</v>
      </c>
      <c r="DH10" s="210" t="s">
        <v>19</v>
      </c>
      <c r="DI10" s="208" t="s">
        <v>163</v>
      </c>
      <c r="DJ10" s="209" t="s">
        <v>164</v>
      </c>
      <c r="DK10" s="210" t="s">
        <v>19</v>
      </c>
      <c r="DL10" s="208" t="s">
        <v>163</v>
      </c>
      <c r="DM10" s="209" t="s">
        <v>164</v>
      </c>
      <c r="DN10" s="210" t="s">
        <v>19</v>
      </c>
      <c r="DO10" s="208" t="s">
        <v>163</v>
      </c>
      <c r="DP10" s="209" t="s">
        <v>164</v>
      </c>
      <c r="DQ10" s="210" t="s">
        <v>19</v>
      </c>
      <c r="DR10" s="208" t="s">
        <v>163</v>
      </c>
      <c r="DS10" s="209" t="s">
        <v>164</v>
      </c>
      <c r="DT10" s="210" t="s">
        <v>19</v>
      </c>
      <c r="DU10" s="208" t="s">
        <v>163</v>
      </c>
      <c r="DV10" s="209" t="s">
        <v>164</v>
      </c>
      <c r="DW10" s="210" t="s">
        <v>19</v>
      </c>
      <c r="DX10" s="208" t="s">
        <v>163</v>
      </c>
      <c r="DY10" s="209"/>
      <c r="DZ10" s="210"/>
      <c r="EA10" s="210"/>
      <c r="EB10" s="210" t="s">
        <v>165</v>
      </c>
      <c r="EC10" s="210" t="s">
        <v>165</v>
      </c>
      <c r="ED10" s="210" t="s">
        <v>19</v>
      </c>
      <c r="EE10" s="210" t="s">
        <v>164</v>
      </c>
      <c r="EG10" s="210" t="s">
        <v>165</v>
      </c>
      <c r="EH10" s="210" t="s">
        <v>19</v>
      </c>
      <c r="EI10" s="210" t="s">
        <v>164</v>
      </c>
      <c r="EJ10" s="210"/>
      <c r="EK10" s="210" t="s">
        <v>165</v>
      </c>
      <c r="EL10" s="210" t="s">
        <v>165</v>
      </c>
      <c r="EM10" s="210" t="s">
        <v>19</v>
      </c>
      <c r="EN10" s="210" t="s">
        <v>164</v>
      </c>
    </row>
    <row r="11" spans="1:147" x14ac:dyDescent="0.2">
      <c r="A11" s="211">
        <v>44652</v>
      </c>
      <c r="B11" s="183">
        <v>0</v>
      </c>
      <c r="C11" s="185">
        <v>9.1706200000000009E-3</v>
      </c>
      <c r="D11" s="183">
        <f>(B11*C11)/360</f>
        <v>0</v>
      </c>
      <c r="G11" s="183">
        <f>(E11*F11)/360</f>
        <v>0</v>
      </c>
      <c r="J11" s="183">
        <f>(H11*I11)/360</f>
        <v>0</v>
      </c>
      <c r="M11" s="183">
        <f>(K11*L11)/360</f>
        <v>0</v>
      </c>
      <c r="P11" s="183">
        <f>(N11*O11)/360</f>
        <v>0</v>
      </c>
      <c r="S11" s="183">
        <f>(Q11*R11)/360</f>
        <v>0</v>
      </c>
      <c r="V11" s="183">
        <f>(T11*U11)/360</f>
        <v>0</v>
      </c>
      <c r="Y11" s="183">
        <f>(W11*X11)/360</f>
        <v>0</v>
      </c>
      <c r="AB11" s="183">
        <f>(Z11*AA11)/360</f>
        <v>0</v>
      </c>
      <c r="AE11" s="183">
        <v>0</v>
      </c>
      <c r="AH11" s="183">
        <v>0</v>
      </c>
      <c r="AI11" s="212">
        <v>28725000</v>
      </c>
      <c r="AJ11" s="213">
        <v>5.7999999999999996E-3</v>
      </c>
      <c r="AK11" s="183">
        <f>(AI11*AJ11)/360</f>
        <v>462.79166666666669</v>
      </c>
      <c r="AL11" s="212"/>
      <c r="AM11" s="213"/>
      <c r="AN11" s="183">
        <f>(AL11*AM11)/360</f>
        <v>0</v>
      </c>
      <c r="AO11" s="212"/>
      <c r="AP11" s="213"/>
      <c r="AQ11" s="183">
        <f>(AO11*AP11)/360</f>
        <v>0</v>
      </c>
      <c r="AR11" s="212"/>
      <c r="AS11" s="213"/>
      <c r="AT11" s="183">
        <f>(AR11*AS11)/360</f>
        <v>0</v>
      </c>
      <c r="AW11" s="183">
        <f>(AU11*AV11)/360</f>
        <v>0</v>
      </c>
      <c r="AZ11" s="183">
        <f>(AX11*AY11)/360</f>
        <v>0</v>
      </c>
      <c r="BC11" s="183">
        <f>(BA11*BB11)/360</f>
        <v>0</v>
      </c>
      <c r="BF11" s="183">
        <f>(BD11*BE11)/360</f>
        <v>0</v>
      </c>
      <c r="BI11" s="183">
        <f>(BG11*BH11)/360</f>
        <v>0</v>
      </c>
      <c r="BL11" s="183">
        <f>(BJ11*BK11)/360</f>
        <v>0</v>
      </c>
      <c r="BO11" s="183">
        <f>(BM11*BN11)/360</f>
        <v>0</v>
      </c>
      <c r="BR11" s="183">
        <f>(BP11*BQ11)/360</f>
        <v>0</v>
      </c>
      <c r="BU11" s="183">
        <f>(BS11*BT11)/360</f>
        <v>0</v>
      </c>
      <c r="BX11" s="183">
        <f>(BV11*BW11)/360</f>
        <v>0</v>
      </c>
      <c r="CA11" s="183">
        <f>(BY11*BZ11)/360</f>
        <v>0</v>
      </c>
      <c r="CD11" s="183">
        <f>(CB11*CC11)/360</f>
        <v>0</v>
      </c>
      <c r="CG11" s="183">
        <f>(CE11*CF11)/360</f>
        <v>0</v>
      </c>
      <c r="CJ11" s="183">
        <f>(CH11*CI11)/360</f>
        <v>0</v>
      </c>
      <c r="CM11" s="183">
        <f>(CK11*CL11)/360</f>
        <v>0</v>
      </c>
      <c r="CP11" s="183">
        <f>(CN11*CO11)/360</f>
        <v>0</v>
      </c>
      <c r="CS11" s="183">
        <f>(CQ11*CR11)/360</f>
        <v>0</v>
      </c>
      <c r="CV11" s="183">
        <f>(CT11*CU11)/360</f>
        <v>0</v>
      </c>
      <c r="CY11" s="183">
        <f>(CW11*CX11)/360</f>
        <v>0</v>
      </c>
      <c r="DB11" s="183">
        <f>(CZ11*DA11)/360</f>
        <v>0</v>
      </c>
      <c r="DE11" s="183">
        <f>(DC11*DD11)/360</f>
        <v>0</v>
      </c>
      <c r="DH11" s="183">
        <f>(DF11*DG11)/360</f>
        <v>0</v>
      </c>
      <c r="DK11" s="183">
        <f>(DI11*DJ11)/360</f>
        <v>0</v>
      </c>
      <c r="DN11" s="183">
        <f>(DL11*DM11)/360</f>
        <v>0</v>
      </c>
      <c r="DQ11" s="183">
        <f>(DO11*DP11)/360</f>
        <v>0</v>
      </c>
      <c r="DT11" s="183">
        <f>(DR11*DS11)/360</f>
        <v>0</v>
      </c>
      <c r="DW11" s="183">
        <f>(DU11*DV11)/360</f>
        <v>0</v>
      </c>
      <c r="DZ11" s="183"/>
      <c r="EA11" s="183"/>
      <c r="EB11" s="214">
        <f>B11+E11+H11+K11+N11+Q11+T11+W11+Z11+AC11+AF11+AL11+AO11+AR11+AU11+AX11+BA11+BD11+BG11+DU11+AI11+DR11+DO11+DL11+DI11+DF11+DC11+CZ11+CW11+CT11+CQ11+CN11+CK11+CH11+CE11+CB11+BY11+BV11+BS11+BP11+BM11+BJ11</f>
        <v>28725000</v>
      </c>
      <c r="EC11" s="214">
        <f>EB11-EK11+EL11</f>
        <v>0</v>
      </c>
      <c r="ED11" s="183">
        <f>D11+G11+J11+M11+P11+S11+V11+Y11+AB11+AE11+AH11+AK11+AN11+AQ11+AT11+AW11+AZ11+BC11+BF11+BI11+DW11+DT11+DQ11+DN11+DK11+DH11+DE11+DB11+CY11+CV11+CS11+CP11+CM11+CJ11+CG11+CD11+CA11+BX11+BU11+BR11+BO11+BL11</f>
        <v>462.79166666666669</v>
      </c>
      <c r="EE11" s="185">
        <f>IF(EB11&lt;&gt;0,((ED11/EB11)*360),0)</f>
        <v>5.7999999999999996E-3</v>
      </c>
      <c r="EG11" s="214">
        <f>Q11+T11+W11+Z11+AC11+AF11</f>
        <v>0</v>
      </c>
      <c r="EH11" s="183">
        <f>S11+V11+Y11+AB11+AE11+AH11</f>
        <v>0</v>
      </c>
      <c r="EI11" s="185">
        <f>IF(EG11&lt;&gt;0,((EH11/EG11)*360),0)</f>
        <v>0</v>
      </c>
      <c r="EJ11" s="185"/>
      <c r="EK11" s="214">
        <f>DR11+DL11+DI11+DF11+DC11+CZ11+CW11+CT11+CQ11+CN11+CK11+CH11+CE11+CB11+BY11+BV11+BS11+BP11+BM11+BJ11+BG11+BD11+BA11+AX11+AU11+AR11+AO11+AL11+AI11+DO11</f>
        <v>28725000</v>
      </c>
      <c r="EL11" s="214">
        <f>DX11</f>
        <v>0</v>
      </c>
      <c r="EM11" s="214">
        <f>DT11+DQ11+DN11+DK11+DH11+DE11+DB11+CY11+CV11+CS11+CP11+CM11+CJ11+CG11+CD11+CA11+BX11+BU11+BR11+BO11+BL11+BI11+BF11+BC11+AZ11+AW11+AT11+AQ11+AN11+AK11</f>
        <v>462.79166666666669</v>
      </c>
      <c r="EN11" s="185">
        <f>IF(EK11&lt;&gt;0,((EM11/EK11)*360),0)</f>
        <v>5.7999999999999996E-3</v>
      </c>
      <c r="EP11" s="183"/>
    </row>
    <row r="12" spans="1:147" x14ac:dyDescent="0.2">
      <c r="A12" s="211">
        <f>1+A11</f>
        <v>44653</v>
      </c>
      <c r="B12" s="183">
        <v>0</v>
      </c>
      <c r="C12" s="185">
        <v>9.1706200000000009E-3</v>
      </c>
      <c r="D12" s="183">
        <f t="shared" ref="D12:D40" si="0">(B12*C12)/360</f>
        <v>0</v>
      </c>
      <c r="G12" s="183">
        <f t="shared" ref="G12:G40" si="1">(E12*F12)/360</f>
        <v>0</v>
      </c>
      <c r="J12" s="183">
        <f t="shared" ref="J12:J40" si="2">(H12*I12)/360</f>
        <v>0</v>
      </c>
      <c r="M12" s="183">
        <f t="shared" ref="M12:M40" si="3">(K12*L12)/360</f>
        <v>0</v>
      </c>
      <c r="P12" s="183">
        <f t="shared" ref="P12:P40" si="4">(N12*O12)/360</f>
        <v>0</v>
      </c>
      <c r="S12" s="183">
        <f t="shared" ref="S12:S40" si="5">(Q12*R12)/360</f>
        <v>0</v>
      </c>
      <c r="V12" s="183">
        <f t="shared" ref="V12:V40" si="6">(T12*U12)/360</f>
        <v>0</v>
      </c>
      <c r="Y12" s="183">
        <f t="shared" ref="Y12:Y40" si="7">(W12*X12)/360</f>
        <v>0</v>
      </c>
      <c r="AB12" s="183">
        <f t="shared" ref="AB12:AB40" si="8">(Z12*AA12)/360</f>
        <v>0</v>
      </c>
      <c r="AE12" s="183">
        <v>0</v>
      </c>
      <c r="AH12" s="183">
        <v>0</v>
      </c>
      <c r="AI12" s="212">
        <v>28725000</v>
      </c>
      <c r="AJ12" s="213">
        <v>5.7999999999999996E-3</v>
      </c>
      <c r="AK12" s="183">
        <f t="shared" ref="AK12:AK40" si="9">(AI12*AJ12)/360</f>
        <v>462.79166666666669</v>
      </c>
      <c r="AL12" s="212"/>
      <c r="AM12" s="213"/>
      <c r="AN12" s="183">
        <f t="shared" ref="AN12:AN40" si="10">(AL12*AM12)/360</f>
        <v>0</v>
      </c>
      <c r="AO12" s="212"/>
      <c r="AP12" s="213"/>
      <c r="AQ12" s="183">
        <f t="shared" ref="AQ12:AQ40" si="11">(AO12*AP12)/360</f>
        <v>0</v>
      </c>
      <c r="AR12" s="212"/>
      <c r="AS12" s="213"/>
      <c r="AT12" s="183">
        <f t="shared" ref="AT12:AT40" si="12">(AR12*AS12)/360</f>
        <v>0</v>
      </c>
      <c r="AW12" s="183">
        <f t="shared" ref="AW12:AW40" si="13">(AU12*AV12)/360</f>
        <v>0</v>
      </c>
      <c r="AZ12" s="183">
        <f t="shared" ref="AZ12:AZ40" si="14">(AX12*AY12)/360</f>
        <v>0</v>
      </c>
      <c r="BC12" s="183">
        <f t="shared" ref="BC12:BC40" si="15">(BA12*BB12)/360</f>
        <v>0</v>
      </c>
      <c r="BF12" s="183">
        <f t="shared" ref="BF12:BF40" si="16">(BD12*BE12)/360</f>
        <v>0</v>
      </c>
      <c r="BI12" s="183">
        <f t="shared" ref="BI12:BI40" si="17">(BG12*BH12)/360</f>
        <v>0</v>
      </c>
      <c r="BL12" s="183">
        <f t="shared" ref="BL12:BL40" si="18">(BJ12*BK12)/360</f>
        <v>0</v>
      </c>
      <c r="BO12" s="183">
        <f t="shared" ref="BO12:BO40" si="19">(BM12*BN12)/360</f>
        <v>0</v>
      </c>
      <c r="BR12" s="183">
        <f t="shared" ref="BR12:BR40" si="20">(BP12*BQ12)/360</f>
        <v>0</v>
      </c>
      <c r="BU12" s="183">
        <f t="shared" ref="BU12:BU40" si="21">(BS12*BT12)/360</f>
        <v>0</v>
      </c>
      <c r="BX12" s="183">
        <f t="shared" ref="BX12:BX40" si="22">(BV12*BW12)/360</f>
        <v>0</v>
      </c>
      <c r="CA12" s="183">
        <f t="shared" ref="CA12:CA40" si="23">(BY12*BZ12)/360</f>
        <v>0</v>
      </c>
      <c r="CD12" s="183">
        <f t="shared" ref="CD12:CD40" si="24">(CB12*CC12)/360</f>
        <v>0</v>
      </c>
      <c r="CG12" s="183">
        <f t="shared" ref="CG12:CG40" si="25">(CE12*CF12)/360</f>
        <v>0</v>
      </c>
      <c r="CJ12" s="183">
        <f t="shared" ref="CJ12:CJ40" si="26">(CH12*CI12)/360</f>
        <v>0</v>
      </c>
      <c r="CM12" s="183">
        <f t="shared" ref="CM12:CM40" si="27">(CK12*CL12)/360</f>
        <v>0</v>
      </c>
      <c r="CP12" s="183">
        <f t="shared" ref="CP12:CP40" si="28">(CN12*CO12)/360</f>
        <v>0</v>
      </c>
      <c r="CS12" s="183">
        <f t="shared" ref="CS12:CS40" si="29">(CQ12*CR12)/360</f>
        <v>0</v>
      </c>
      <c r="CV12" s="183">
        <f t="shared" ref="CV12:CV40" si="30">(CT12*CU12)/360</f>
        <v>0</v>
      </c>
      <c r="CY12" s="183">
        <f t="shared" ref="CY12:CY40" si="31">(CW12*CX12)/360</f>
        <v>0</v>
      </c>
      <c r="DB12" s="183">
        <f t="shared" ref="DB12:DB40" si="32">(CZ12*DA12)/360</f>
        <v>0</v>
      </c>
      <c r="DE12" s="183">
        <f t="shared" ref="DE12:DE40" si="33">(DC12*DD12)/360</f>
        <v>0</v>
      </c>
      <c r="DH12" s="183">
        <f t="shared" ref="DH12:DH40" si="34">(DF12*DG12)/360</f>
        <v>0</v>
      </c>
      <c r="DK12" s="183">
        <f t="shared" ref="DK12:DK40" si="35">(DI12*DJ12)/360</f>
        <v>0</v>
      </c>
      <c r="DN12" s="183">
        <f t="shared" ref="DN12:DN40" si="36">(DL12*DM12)/360</f>
        <v>0</v>
      </c>
      <c r="DQ12" s="183">
        <f t="shared" ref="DQ12:DQ40" si="37">(DO12*DP12)/360</f>
        <v>0</v>
      </c>
      <c r="DT12" s="183">
        <f t="shared" ref="DT12:DT40" si="38">(DR12*DS12)/360</f>
        <v>0</v>
      </c>
      <c r="DW12" s="183">
        <f t="shared" ref="DW12:DW40" si="39">(DU12*DV12)/360</f>
        <v>0</v>
      </c>
      <c r="DZ12" s="183"/>
      <c r="EA12" s="183"/>
      <c r="EB12" s="214">
        <f t="shared" ref="EB12:EB40" si="40">B12+E12+H12+K12+N12+Q12+T12+W12+Z12+AC12+AF12+AL12+AO12+AR12+AU12+AX12+BA12+BD12+BG12+DU12+AI12+DR12+DO12+DL12+DI12+DF12+DC12+CZ12+CW12+CT12+CQ12+CN12+CK12+CH12+CE12+CB12+BY12+BV12+BS12+BP12+BM12+BJ12</f>
        <v>28725000</v>
      </c>
      <c r="EC12" s="214">
        <f t="shared" ref="EC12:EC40" si="41">EB12-EK12+EL12</f>
        <v>0</v>
      </c>
      <c r="ED12" s="183">
        <f t="shared" ref="ED12:ED40" si="42">D12+G12+J12+M12+P12+S12+V12+Y12+AB12+AE12+AH12+AK12+AN12+AQ12+AT12+AW12+AZ12+BC12+BF12+BI12+DW12+DT12+DQ12+DN12+DK12+DH12+DE12+DB12+CY12+CV12+CS12+CP12+CM12+CJ12+CG12+CD12+CA12+BX12+BU12+BR12+BO12+BL12</f>
        <v>462.79166666666669</v>
      </c>
      <c r="EE12" s="185">
        <f t="shared" ref="EE12:EE40" si="43">IF(EB12&lt;&gt;0,((ED12/EB12)*360),0)</f>
        <v>5.7999999999999996E-3</v>
      </c>
      <c r="EG12" s="214">
        <f t="shared" ref="EG12:EG40" si="44">Q12+T12+W12+Z12+AC12+AF12</f>
        <v>0</v>
      </c>
      <c r="EH12" s="183">
        <f t="shared" ref="EH12:EH40" si="45">S12+V12+Y12+AB12+AE12+AH12</f>
        <v>0</v>
      </c>
      <c r="EI12" s="185">
        <f t="shared" ref="EI12:EI40" si="46">IF(EG12&lt;&gt;0,((EH12/EG12)*360),0)</f>
        <v>0</v>
      </c>
      <c r="EJ12" s="185"/>
      <c r="EK12" s="214">
        <f t="shared" ref="EK12:EK40" si="47">DR12+DL12+DI12+DF12+DC12+CZ12+CW12+CT12+CQ12+CN12+CK12+CH12+CE12+CB12+BY12+BV12+BS12+BP12+BM12+BJ12+BG12+BD12+BA12+AX12+AU12+AR12+AO12+AL12+AI12+DO12</f>
        <v>28725000</v>
      </c>
      <c r="EL12" s="214">
        <f t="shared" ref="EL12:EL40" si="48">DX12</f>
        <v>0</v>
      </c>
      <c r="EM12" s="214">
        <f t="shared" ref="EM12:EM40" si="49">DT12+DQ12+DN12+DK12+DH12+DE12+DB12+CY12+CV12+CS12+CP12+CM12+CJ12+CG12+CD12+CA12+BX12+BU12+BR12+BO12+BL12+BI12+BF12+BC12+AZ12+AW12+AT12+AQ12+AN12+AK12</f>
        <v>462.79166666666669</v>
      </c>
      <c r="EN12" s="185">
        <f t="shared" ref="EN12:EN40" si="50">IF(EK12&lt;&gt;0,((EM12/EK12)*360),0)</f>
        <v>5.7999999999999996E-3</v>
      </c>
      <c r="EP12" s="183"/>
    </row>
    <row r="13" spans="1:147" x14ac:dyDescent="0.2">
      <c r="A13" s="211">
        <f t="shared" ref="A13:A40" si="51">1+A12</f>
        <v>44654</v>
      </c>
      <c r="B13" s="183">
        <v>0</v>
      </c>
      <c r="C13" s="185">
        <v>9.1706200000000009E-3</v>
      </c>
      <c r="D13" s="183">
        <f t="shared" si="0"/>
        <v>0</v>
      </c>
      <c r="G13" s="183">
        <f t="shared" si="1"/>
        <v>0</v>
      </c>
      <c r="J13" s="183">
        <f t="shared" si="2"/>
        <v>0</v>
      </c>
      <c r="M13" s="183">
        <f t="shared" si="3"/>
        <v>0</v>
      </c>
      <c r="P13" s="183">
        <f t="shared" si="4"/>
        <v>0</v>
      </c>
      <c r="S13" s="183">
        <f t="shared" si="5"/>
        <v>0</v>
      </c>
      <c r="V13" s="183">
        <f t="shared" si="6"/>
        <v>0</v>
      </c>
      <c r="Y13" s="183">
        <f t="shared" si="7"/>
        <v>0</v>
      </c>
      <c r="AB13" s="183">
        <f t="shared" si="8"/>
        <v>0</v>
      </c>
      <c r="AE13" s="183">
        <v>0</v>
      </c>
      <c r="AH13" s="183">
        <v>0</v>
      </c>
      <c r="AI13" s="212">
        <v>28725000</v>
      </c>
      <c r="AJ13" s="213">
        <v>5.7999999999999996E-3</v>
      </c>
      <c r="AK13" s="183">
        <f t="shared" si="9"/>
        <v>462.79166666666669</v>
      </c>
      <c r="AL13" s="212"/>
      <c r="AM13" s="213"/>
      <c r="AN13" s="183">
        <f t="shared" si="10"/>
        <v>0</v>
      </c>
      <c r="AO13" s="212"/>
      <c r="AP13" s="213"/>
      <c r="AQ13" s="183">
        <f t="shared" si="11"/>
        <v>0</v>
      </c>
      <c r="AR13" s="212"/>
      <c r="AS13" s="213"/>
      <c r="AT13" s="183">
        <f t="shared" si="12"/>
        <v>0</v>
      </c>
      <c r="AW13" s="183">
        <f t="shared" si="13"/>
        <v>0</v>
      </c>
      <c r="AZ13" s="183">
        <f t="shared" si="14"/>
        <v>0</v>
      </c>
      <c r="BC13" s="183">
        <f t="shared" si="15"/>
        <v>0</v>
      </c>
      <c r="BF13" s="183">
        <f t="shared" si="16"/>
        <v>0</v>
      </c>
      <c r="BI13" s="183">
        <f t="shared" si="17"/>
        <v>0</v>
      </c>
      <c r="BL13" s="183">
        <f t="shared" si="18"/>
        <v>0</v>
      </c>
      <c r="BO13" s="183">
        <f t="shared" si="19"/>
        <v>0</v>
      </c>
      <c r="BR13" s="183">
        <f t="shared" si="20"/>
        <v>0</v>
      </c>
      <c r="BU13" s="183">
        <f t="shared" si="21"/>
        <v>0</v>
      </c>
      <c r="BX13" s="183">
        <f t="shared" si="22"/>
        <v>0</v>
      </c>
      <c r="CA13" s="183">
        <f t="shared" si="23"/>
        <v>0</v>
      </c>
      <c r="CD13" s="183">
        <f t="shared" si="24"/>
        <v>0</v>
      </c>
      <c r="CG13" s="183">
        <f t="shared" si="25"/>
        <v>0</v>
      </c>
      <c r="CJ13" s="183">
        <f t="shared" si="26"/>
        <v>0</v>
      </c>
      <c r="CM13" s="183">
        <f t="shared" si="27"/>
        <v>0</v>
      </c>
      <c r="CP13" s="183">
        <f t="shared" si="28"/>
        <v>0</v>
      </c>
      <c r="CS13" s="183">
        <f t="shared" si="29"/>
        <v>0</v>
      </c>
      <c r="CV13" s="183">
        <f t="shared" si="30"/>
        <v>0</v>
      </c>
      <c r="CY13" s="183">
        <f t="shared" si="31"/>
        <v>0</v>
      </c>
      <c r="DB13" s="183">
        <f t="shared" si="32"/>
        <v>0</v>
      </c>
      <c r="DE13" s="183">
        <f t="shared" si="33"/>
        <v>0</v>
      </c>
      <c r="DH13" s="183">
        <f t="shared" si="34"/>
        <v>0</v>
      </c>
      <c r="DK13" s="183">
        <f t="shared" si="35"/>
        <v>0</v>
      </c>
      <c r="DN13" s="183">
        <f t="shared" si="36"/>
        <v>0</v>
      </c>
      <c r="DQ13" s="183">
        <f t="shared" si="37"/>
        <v>0</v>
      </c>
      <c r="DT13" s="183">
        <f t="shared" si="38"/>
        <v>0</v>
      </c>
      <c r="DW13" s="183">
        <f t="shared" si="39"/>
        <v>0</v>
      </c>
      <c r="DZ13" s="183"/>
      <c r="EA13" s="183"/>
      <c r="EB13" s="214">
        <f t="shared" si="40"/>
        <v>28725000</v>
      </c>
      <c r="EC13" s="214">
        <f t="shared" si="41"/>
        <v>0</v>
      </c>
      <c r="ED13" s="183">
        <f t="shared" si="42"/>
        <v>462.79166666666669</v>
      </c>
      <c r="EE13" s="185">
        <f t="shared" si="43"/>
        <v>5.7999999999999996E-3</v>
      </c>
      <c r="EG13" s="214">
        <f t="shared" si="44"/>
        <v>0</v>
      </c>
      <c r="EH13" s="183">
        <f t="shared" si="45"/>
        <v>0</v>
      </c>
      <c r="EI13" s="185">
        <f t="shared" si="46"/>
        <v>0</v>
      </c>
      <c r="EJ13" s="185"/>
      <c r="EK13" s="214">
        <f t="shared" si="47"/>
        <v>28725000</v>
      </c>
      <c r="EL13" s="214">
        <f t="shared" si="48"/>
        <v>0</v>
      </c>
      <c r="EM13" s="214">
        <f t="shared" si="49"/>
        <v>462.79166666666669</v>
      </c>
      <c r="EN13" s="185">
        <f t="shared" si="50"/>
        <v>5.7999999999999996E-3</v>
      </c>
      <c r="EP13" s="183"/>
    </row>
    <row r="14" spans="1:147" x14ac:dyDescent="0.2">
      <c r="A14" s="211">
        <f t="shared" si="51"/>
        <v>44655</v>
      </c>
      <c r="B14" s="183">
        <v>0</v>
      </c>
      <c r="C14" s="185">
        <v>9.4818000000000003E-3</v>
      </c>
      <c r="D14" s="183">
        <f t="shared" si="0"/>
        <v>0</v>
      </c>
      <c r="G14" s="183">
        <f t="shared" si="1"/>
        <v>0</v>
      </c>
      <c r="J14" s="183">
        <f t="shared" si="2"/>
        <v>0</v>
      </c>
      <c r="M14" s="183">
        <f t="shared" si="3"/>
        <v>0</v>
      </c>
      <c r="P14" s="183">
        <f t="shared" si="4"/>
        <v>0</v>
      </c>
      <c r="S14" s="183">
        <f t="shared" si="5"/>
        <v>0</v>
      </c>
      <c r="V14" s="183">
        <f t="shared" si="6"/>
        <v>0</v>
      </c>
      <c r="Y14" s="183">
        <f t="shared" si="7"/>
        <v>0</v>
      </c>
      <c r="AB14" s="183">
        <f t="shared" si="8"/>
        <v>0</v>
      </c>
      <c r="AE14" s="183">
        <v>0</v>
      </c>
      <c r="AH14" s="183">
        <v>0</v>
      </c>
      <c r="AI14" s="212">
        <v>32625000</v>
      </c>
      <c r="AJ14" s="213">
        <v>5.7000000000000002E-3</v>
      </c>
      <c r="AK14" s="183">
        <f t="shared" si="9"/>
        <v>516.5625</v>
      </c>
      <c r="AL14" s="212"/>
      <c r="AM14" s="213"/>
      <c r="AN14" s="183">
        <f t="shared" si="10"/>
        <v>0</v>
      </c>
      <c r="AO14" s="212"/>
      <c r="AP14" s="213"/>
      <c r="AQ14" s="183">
        <f t="shared" si="11"/>
        <v>0</v>
      </c>
      <c r="AR14" s="212"/>
      <c r="AS14" s="213"/>
      <c r="AT14" s="183">
        <f t="shared" si="12"/>
        <v>0</v>
      </c>
      <c r="AW14" s="183">
        <f t="shared" si="13"/>
        <v>0</v>
      </c>
      <c r="AZ14" s="183">
        <f t="shared" si="14"/>
        <v>0</v>
      </c>
      <c r="BC14" s="183">
        <f t="shared" si="15"/>
        <v>0</v>
      </c>
      <c r="BF14" s="183">
        <f t="shared" si="16"/>
        <v>0</v>
      </c>
      <c r="BI14" s="183">
        <f t="shared" si="17"/>
        <v>0</v>
      </c>
      <c r="BL14" s="183">
        <f t="shared" si="18"/>
        <v>0</v>
      </c>
      <c r="BO14" s="183">
        <f t="shared" si="19"/>
        <v>0</v>
      </c>
      <c r="BR14" s="183">
        <f t="shared" si="20"/>
        <v>0</v>
      </c>
      <c r="BU14" s="183">
        <f t="shared" si="21"/>
        <v>0</v>
      </c>
      <c r="BX14" s="183">
        <f t="shared" si="22"/>
        <v>0</v>
      </c>
      <c r="CA14" s="183">
        <f t="shared" si="23"/>
        <v>0</v>
      </c>
      <c r="CD14" s="183">
        <f t="shared" si="24"/>
        <v>0</v>
      </c>
      <c r="CG14" s="183">
        <f t="shared" si="25"/>
        <v>0</v>
      </c>
      <c r="CJ14" s="183">
        <f t="shared" si="26"/>
        <v>0</v>
      </c>
      <c r="CM14" s="183">
        <f t="shared" si="27"/>
        <v>0</v>
      </c>
      <c r="CP14" s="183">
        <f t="shared" si="28"/>
        <v>0</v>
      </c>
      <c r="CS14" s="183">
        <f t="shared" si="29"/>
        <v>0</v>
      </c>
      <c r="CV14" s="183">
        <f t="shared" si="30"/>
        <v>0</v>
      </c>
      <c r="CY14" s="183">
        <f t="shared" si="31"/>
        <v>0</v>
      </c>
      <c r="DB14" s="183">
        <f t="shared" si="32"/>
        <v>0</v>
      </c>
      <c r="DE14" s="183">
        <f t="shared" si="33"/>
        <v>0</v>
      </c>
      <c r="DH14" s="183">
        <f t="shared" si="34"/>
        <v>0</v>
      </c>
      <c r="DK14" s="183">
        <f t="shared" si="35"/>
        <v>0</v>
      </c>
      <c r="DN14" s="183">
        <f t="shared" si="36"/>
        <v>0</v>
      </c>
      <c r="DQ14" s="183">
        <f t="shared" si="37"/>
        <v>0</v>
      </c>
      <c r="DT14" s="183">
        <f t="shared" si="38"/>
        <v>0</v>
      </c>
      <c r="DW14" s="183">
        <f t="shared" si="39"/>
        <v>0</v>
      </c>
      <c r="DZ14" s="183"/>
      <c r="EA14" s="183"/>
      <c r="EB14" s="214">
        <f t="shared" si="40"/>
        <v>32625000</v>
      </c>
      <c r="EC14" s="214">
        <f t="shared" si="41"/>
        <v>0</v>
      </c>
      <c r="ED14" s="183">
        <f t="shared" si="42"/>
        <v>516.5625</v>
      </c>
      <c r="EE14" s="185">
        <f t="shared" si="43"/>
        <v>5.7000000000000002E-3</v>
      </c>
      <c r="EG14" s="214">
        <f t="shared" si="44"/>
        <v>0</v>
      </c>
      <c r="EH14" s="183">
        <f t="shared" si="45"/>
        <v>0</v>
      </c>
      <c r="EI14" s="185">
        <f t="shared" si="46"/>
        <v>0</v>
      </c>
      <c r="EJ14" s="185"/>
      <c r="EK14" s="214">
        <f t="shared" si="47"/>
        <v>32625000</v>
      </c>
      <c r="EL14" s="214">
        <f t="shared" si="48"/>
        <v>0</v>
      </c>
      <c r="EM14" s="214">
        <f t="shared" si="49"/>
        <v>516.5625</v>
      </c>
      <c r="EN14" s="185">
        <f t="shared" si="50"/>
        <v>5.7000000000000002E-3</v>
      </c>
      <c r="EP14" s="183"/>
    </row>
    <row r="15" spans="1:147" x14ac:dyDescent="0.2">
      <c r="A15" s="211">
        <f t="shared" si="51"/>
        <v>44656</v>
      </c>
      <c r="B15" s="183">
        <v>0</v>
      </c>
      <c r="C15" s="185">
        <v>9.1018699999999998E-3</v>
      </c>
      <c r="D15" s="183">
        <f t="shared" si="0"/>
        <v>0</v>
      </c>
      <c r="G15" s="183">
        <f t="shared" si="1"/>
        <v>0</v>
      </c>
      <c r="J15" s="183">
        <f t="shared" si="2"/>
        <v>0</v>
      </c>
      <c r="M15" s="183">
        <f t="shared" si="3"/>
        <v>0</v>
      </c>
      <c r="P15" s="183">
        <f t="shared" si="4"/>
        <v>0</v>
      </c>
      <c r="S15" s="183">
        <f t="shared" si="5"/>
        <v>0</v>
      </c>
      <c r="V15" s="183">
        <f t="shared" si="6"/>
        <v>0</v>
      </c>
      <c r="Y15" s="183">
        <f t="shared" si="7"/>
        <v>0</v>
      </c>
      <c r="AB15" s="183">
        <f t="shared" si="8"/>
        <v>0</v>
      </c>
      <c r="AE15" s="183">
        <v>0</v>
      </c>
      <c r="AH15" s="183">
        <v>0</v>
      </c>
      <c r="AI15" s="212">
        <v>6425000</v>
      </c>
      <c r="AJ15" s="213">
        <v>5.7000000000000002E-3</v>
      </c>
      <c r="AK15" s="183">
        <f t="shared" si="9"/>
        <v>101.72916666666667</v>
      </c>
      <c r="AL15" s="212"/>
      <c r="AM15" s="213"/>
      <c r="AN15" s="183">
        <f t="shared" si="10"/>
        <v>0</v>
      </c>
      <c r="AO15" s="212"/>
      <c r="AP15" s="213"/>
      <c r="AQ15" s="183">
        <f t="shared" si="11"/>
        <v>0</v>
      </c>
      <c r="AR15" s="212"/>
      <c r="AS15" s="213"/>
      <c r="AT15" s="183">
        <f t="shared" si="12"/>
        <v>0</v>
      </c>
      <c r="AW15" s="183">
        <f t="shared" si="13"/>
        <v>0</v>
      </c>
      <c r="AZ15" s="183">
        <f t="shared" si="14"/>
        <v>0</v>
      </c>
      <c r="BC15" s="183">
        <f t="shared" si="15"/>
        <v>0</v>
      </c>
      <c r="BF15" s="183">
        <f t="shared" si="16"/>
        <v>0</v>
      </c>
      <c r="BI15" s="183">
        <f t="shared" si="17"/>
        <v>0</v>
      </c>
      <c r="BL15" s="183">
        <f t="shared" si="18"/>
        <v>0</v>
      </c>
      <c r="BO15" s="183">
        <f t="shared" si="19"/>
        <v>0</v>
      </c>
      <c r="BR15" s="183">
        <f t="shared" si="20"/>
        <v>0</v>
      </c>
      <c r="BU15" s="183">
        <f t="shared" si="21"/>
        <v>0</v>
      </c>
      <c r="BX15" s="183">
        <f t="shared" si="22"/>
        <v>0</v>
      </c>
      <c r="CA15" s="183">
        <f t="shared" si="23"/>
        <v>0</v>
      </c>
      <c r="CD15" s="183">
        <f t="shared" si="24"/>
        <v>0</v>
      </c>
      <c r="CG15" s="183">
        <f t="shared" si="25"/>
        <v>0</v>
      </c>
      <c r="CJ15" s="183">
        <f t="shared" si="26"/>
        <v>0</v>
      </c>
      <c r="CM15" s="183">
        <f t="shared" si="27"/>
        <v>0</v>
      </c>
      <c r="CP15" s="183">
        <f t="shared" si="28"/>
        <v>0</v>
      </c>
      <c r="CS15" s="183">
        <f t="shared" si="29"/>
        <v>0</v>
      </c>
      <c r="CV15" s="183">
        <f t="shared" si="30"/>
        <v>0</v>
      </c>
      <c r="CY15" s="183">
        <f t="shared" si="31"/>
        <v>0</v>
      </c>
      <c r="DB15" s="183">
        <f t="shared" si="32"/>
        <v>0</v>
      </c>
      <c r="DE15" s="183">
        <f t="shared" si="33"/>
        <v>0</v>
      </c>
      <c r="DH15" s="183">
        <f t="shared" si="34"/>
        <v>0</v>
      </c>
      <c r="DK15" s="183">
        <f t="shared" si="35"/>
        <v>0</v>
      </c>
      <c r="DN15" s="183">
        <f t="shared" si="36"/>
        <v>0</v>
      </c>
      <c r="DQ15" s="183">
        <f t="shared" si="37"/>
        <v>0</v>
      </c>
      <c r="DT15" s="183">
        <f t="shared" si="38"/>
        <v>0</v>
      </c>
      <c r="DW15" s="183">
        <f t="shared" si="39"/>
        <v>0</v>
      </c>
      <c r="DZ15" s="183"/>
      <c r="EA15" s="183"/>
      <c r="EB15" s="214">
        <f t="shared" si="40"/>
        <v>6425000</v>
      </c>
      <c r="EC15" s="214">
        <f t="shared" si="41"/>
        <v>0</v>
      </c>
      <c r="ED15" s="183">
        <f t="shared" si="42"/>
        <v>101.72916666666667</v>
      </c>
      <c r="EE15" s="185">
        <f t="shared" si="43"/>
        <v>5.7000000000000002E-3</v>
      </c>
      <c r="EG15" s="214">
        <f t="shared" si="44"/>
        <v>0</v>
      </c>
      <c r="EH15" s="183">
        <f t="shared" si="45"/>
        <v>0</v>
      </c>
      <c r="EI15" s="185">
        <f t="shared" si="46"/>
        <v>0</v>
      </c>
      <c r="EJ15" s="185"/>
      <c r="EK15" s="214">
        <f t="shared" si="47"/>
        <v>6425000</v>
      </c>
      <c r="EL15" s="214">
        <f t="shared" si="48"/>
        <v>0</v>
      </c>
      <c r="EM15" s="214">
        <f t="shared" si="49"/>
        <v>101.72916666666667</v>
      </c>
      <c r="EN15" s="185">
        <f t="shared" si="50"/>
        <v>5.7000000000000002E-3</v>
      </c>
      <c r="EP15" s="183"/>
    </row>
    <row r="16" spans="1:147" x14ac:dyDescent="0.2">
      <c r="A16" s="211">
        <f t="shared" si="51"/>
        <v>44657</v>
      </c>
      <c r="B16" s="183">
        <v>0</v>
      </c>
      <c r="C16" s="185">
        <v>9.2481200000000003E-3</v>
      </c>
      <c r="D16" s="183">
        <f t="shared" si="0"/>
        <v>0</v>
      </c>
      <c r="G16" s="183">
        <f t="shared" si="1"/>
        <v>0</v>
      </c>
      <c r="J16" s="183">
        <f t="shared" si="2"/>
        <v>0</v>
      </c>
      <c r="M16" s="183">
        <f t="shared" si="3"/>
        <v>0</v>
      </c>
      <c r="P16" s="183">
        <f t="shared" si="4"/>
        <v>0</v>
      </c>
      <c r="S16" s="183">
        <f t="shared" si="5"/>
        <v>0</v>
      </c>
      <c r="V16" s="183">
        <f t="shared" si="6"/>
        <v>0</v>
      </c>
      <c r="Y16" s="183">
        <f t="shared" si="7"/>
        <v>0</v>
      </c>
      <c r="AB16" s="183">
        <f t="shared" si="8"/>
        <v>0</v>
      </c>
      <c r="AE16" s="183">
        <v>0</v>
      </c>
      <c r="AH16" s="183">
        <v>0</v>
      </c>
      <c r="AI16" s="212">
        <v>7150000</v>
      </c>
      <c r="AJ16" s="213">
        <v>5.7000000000000002E-3</v>
      </c>
      <c r="AK16" s="183">
        <f t="shared" si="9"/>
        <v>113.20833333333333</v>
      </c>
      <c r="AL16" s="212"/>
      <c r="AM16" s="213"/>
      <c r="AN16" s="183">
        <f t="shared" si="10"/>
        <v>0</v>
      </c>
      <c r="AO16" s="212"/>
      <c r="AP16" s="213"/>
      <c r="AQ16" s="183">
        <f t="shared" si="11"/>
        <v>0</v>
      </c>
      <c r="AR16" s="212"/>
      <c r="AS16" s="213"/>
      <c r="AT16" s="183">
        <f t="shared" si="12"/>
        <v>0</v>
      </c>
      <c r="AW16" s="183">
        <f t="shared" si="13"/>
        <v>0</v>
      </c>
      <c r="AZ16" s="183">
        <f t="shared" si="14"/>
        <v>0</v>
      </c>
      <c r="BC16" s="183">
        <f t="shared" si="15"/>
        <v>0</v>
      </c>
      <c r="BF16" s="183">
        <f t="shared" si="16"/>
        <v>0</v>
      </c>
      <c r="BI16" s="183">
        <f t="shared" si="17"/>
        <v>0</v>
      </c>
      <c r="BL16" s="183">
        <f t="shared" si="18"/>
        <v>0</v>
      </c>
      <c r="BO16" s="183">
        <f t="shared" si="19"/>
        <v>0</v>
      </c>
      <c r="BR16" s="183">
        <f t="shared" si="20"/>
        <v>0</v>
      </c>
      <c r="BU16" s="183">
        <f t="shared" si="21"/>
        <v>0</v>
      </c>
      <c r="BX16" s="183">
        <f t="shared" si="22"/>
        <v>0</v>
      </c>
      <c r="CA16" s="183">
        <f t="shared" si="23"/>
        <v>0</v>
      </c>
      <c r="CD16" s="183">
        <f t="shared" si="24"/>
        <v>0</v>
      </c>
      <c r="CG16" s="183">
        <f t="shared" si="25"/>
        <v>0</v>
      </c>
      <c r="CJ16" s="183">
        <f t="shared" si="26"/>
        <v>0</v>
      </c>
      <c r="CM16" s="183">
        <f t="shared" si="27"/>
        <v>0</v>
      </c>
      <c r="CP16" s="183">
        <f t="shared" si="28"/>
        <v>0</v>
      </c>
      <c r="CS16" s="183">
        <f t="shared" si="29"/>
        <v>0</v>
      </c>
      <c r="CV16" s="183">
        <f t="shared" si="30"/>
        <v>0</v>
      </c>
      <c r="CY16" s="183">
        <f t="shared" si="31"/>
        <v>0</v>
      </c>
      <c r="DB16" s="183">
        <f t="shared" si="32"/>
        <v>0</v>
      </c>
      <c r="DE16" s="183">
        <f t="shared" si="33"/>
        <v>0</v>
      </c>
      <c r="DH16" s="183">
        <f t="shared" si="34"/>
        <v>0</v>
      </c>
      <c r="DK16" s="183">
        <f t="shared" si="35"/>
        <v>0</v>
      </c>
      <c r="DN16" s="183">
        <f t="shared" si="36"/>
        <v>0</v>
      </c>
      <c r="DQ16" s="183">
        <f t="shared" si="37"/>
        <v>0</v>
      </c>
      <c r="DT16" s="183">
        <f t="shared" si="38"/>
        <v>0</v>
      </c>
      <c r="DW16" s="183">
        <f t="shared" si="39"/>
        <v>0</v>
      </c>
      <c r="DZ16" s="183"/>
      <c r="EA16" s="183"/>
      <c r="EB16" s="214">
        <f t="shared" si="40"/>
        <v>7150000</v>
      </c>
      <c r="EC16" s="214">
        <f t="shared" si="41"/>
        <v>0</v>
      </c>
      <c r="ED16" s="183">
        <f t="shared" si="42"/>
        <v>113.20833333333333</v>
      </c>
      <c r="EE16" s="185">
        <f t="shared" si="43"/>
        <v>5.7000000000000002E-3</v>
      </c>
      <c r="EG16" s="214">
        <f t="shared" si="44"/>
        <v>0</v>
      </c>
      <c r="EH16" s="183">
        <f t="shared" si="45"/>
        <v>0</v>
      </c>
      <c r="EI16" s="185">
        <f t="shared" si="46"/>
        <v>0</v>
      </c>
      <c r="EJ16" s="185"/>
      <c r="EK16" s="214">
        <f t="shared" si="47"/>
        <v>7150000</v>
      </c>
      <c r="EL16" s="214">
        <f t="shared" si="48"/>
        <v>0</v>
      </c>
      <c r="EM16" s="214">
        <f t="shared" si="49"/>
        <v>113.20833333333333</v>
      </c>
      <c r="EN16" s="185">
        <f t="shared" si="50"/>
        <v>5.7000000000000002E-3</v>
      </c>
      <c r="EP16" s="183"/>
    </row>
    <row r="17" spans="1:146" x14ac:dyDescent="0.2">
      <c r="A17" s="211">
        <f t="shared" si="51"/>
        <v>44658</v>
      </c>
      <c r="B17" s="183">
        <v>0</v>
      </c>
      <c r="C17" s="185">
        <v>8.9314900000000003E-3</v>
      </c>
      <c r="D17" s="183">
        <f t="shared" si="0"/>
        <v>0</v>
      </c>
      <c r="G17" s="183">
        <f t="shared" si="1"/>
        <v>0</v>
      </c>
      <c r="J17" s="183">
        <f t="shared" si="2"/>
        <v>0</v>
      </c>
      <c r="M17" s="183">
        <f t="shared" si="3"/>
        <v>0</v>
      </c>
      <c r="P17" s="183">
        <f t="shared" si="4"/>
        <v>0</v>
      </c>
      <c r="S17" s="183">
        <f t="shared" si="5"/>
        <v>0</v>
      </c>
      <c r="V17" s="183">
        <f t="shared" si="6"/>
        <v>0</v>
      </c>
      <c r="Y17" s="183">
        <f t="shared" si="7"/>
        <v>0</v>
      </c>
      <c r="AB17" s="183">
        <f t="shared" si="8"/>
        <v>0</v>
      </c>
      <c r="AE17" s="183">
        <v>0</v>
      </c>
      <c r="AH17" s="183">
        <v>0</v>
      </c>
      <c r="AI17" s="212"/>
      <c r="AJ17" s="213"/>
      <c r="AK17" s="183">
        <f t="shared" si="9"/>
        <v>0</v>
      </c>
      <c r="AL17" s="212"/>
      <c r="AM17" s="213"/>
      <c r="AN17" s="183">
        <f t="shared" si="10"/>
        <v>0</v>
      </c>
      <c r="AO17" s="212"/>
      <c r="AP17" s="213"/>
      <c r="AQ17" s="183">
        <f t="shared" si="11"/>
        <v>0</v>
      </c>
      <c r="AR17" s="212"/>
      <c r="AS17" s="213"/>
      <c r="AT17" s="183">
        <f t="shared" si="12"/>
        <v>0</v>
      </c>
      <c r="AW17" s="183">
        <f t="shared" si="13"/>
        <v>0</v>
      </c>
      <c r="AZ17" s="183">
        <f t="shared" si="14"/>
        <v>0</v>
      </c>
      <c r="BC17" s="183">
        <f t="shared" si="15"/>
        <v>0</v>
      </c>
      <c r="BF17" s="183">
        <f t="shared" si="16"/>
        <v>0</v>
      </c>
      <c r="BI17" s="183">
        <f t="shared" si="17"/>
        <v>0</v>
      </c>
      <c r="BL17" s="183">
        <f t="shared" si="18"/>
        <v>0</v>
      </c>
      <c r="BO17" s="183">
        <f t="shared" si="19"/>
        <v>0</v>
      </c>
      <c r="BR17" s="183">
        <f t="shared" si="20"/>
        <v>0</v>
      </c>
      <c r="BU17" s="183">
        <f t="shared" si="21"/>
        <v>0</v>
      </c>
      <c r="BX17" s="183">
        <f t="shared" si="22"/>
        <v>0</v>
      </c>
      <c r="CA17" s="183">
        <f t="shared" si="23"/>
        <v>0</v>
      </c>
      <c r="CD17" s="183">
        <f t="shared" si="24"/>
        <v>0</v>
      </c>
      <c r="CG17" s="183">
        <f t="shared" si="25"/>
        <v>0</v>
      </c>
      <c r="CJ17" s="183">
        <f t="shared" si="26"/>
        <v>0</v>
      </c>
      <c r="CM17" s="183">
        <f t="shared" si="27"/>
        <v>0</v>
      </c>
      <c r="CP17" s="183">
        <f t="shared" si="28"/>
        <v>0</v>
      </c>
      <c r="CS17" s="183">
        <f t="shared" si="29"/>
        <v>0</v>
      </c>
      <c r="CV17" s="183">
        <f t="shared" si="30"/>
        <v>0</v>
      </c>
      <c r="CY17" s="183">
        <f t="shared" si="31"/>
        <v>0</v>
      </c>
      <c r="DB17" s="183">
        <f t="shared" si="32"/>
        <v>0</v>
      </c>
      <c r="DE17" s="183">
        <f t="shared" si="33"/>
        <v>0</v>
      </c>
      <c r="DH17" s="183">
        <f t="shared" si="34"/>
        <v>0</v>
      </c>
      <c r="DK17" s="183">
        <f t="shared" si="35"/>
        <v>0</v>
      </c>
      <c r="DN17" s="183">
        <f t="shared" si="36"/>
        <v>0</v>
      </c>
      <c r="DQ17" s="183">
        <f t="shared" si="37"/>
        <v>0</v>
      </c>
      <c r="DT17" s="183">
        <f t="shared" si="38"/>
        <v>0</v>
      </c>
      <c r="DW17" s="183">
        <f t="shared" si="39"/>
        <v>0</v>
      </c>
      <c r="DZ17" s="183"/>
      <c r="EA17" s="183"/>
      <c r="EB17" s="214">
        <f t="shared" si="40"/>
        <v>0</v>
      </c>
      <c r="EC17" s="214">
        <f t="shared" si="41"/>
        <v>0</v>
      </c>
      <c r="ED17" s="183">
        <f t="shared" si="42"/>
        <v>0</v>
      </c>
      <c r="EE17" s="185">
        <f t="shared" si="43"/>
        <v>0</v>
      </c>
      <c r="EG17" s="214">
        <f t="shared" si="44"/>
        <v>0</v>
      </c>
      <c r="EH17" s="183">
        <f t="shared" si="45"/>
        <v>0</v>
      </c>
      <c r="EI17" s="185">
        <f t="shared" si="46"/>
        <v>0</v>
      </c>
      <c r="EJ17" s="185"/>
      <c r="EK17" s="214">
        <f t="shared" si="47"/>
        <v>0</v>
      </c>
      <c r="EL17" s="214">
        <f t="shared" si="48"/>
        <v>0</v>
      </c>
      <c r="EM17" s="214">
        <f t="shared" si="49"/>
        <v>0</v>
      </c>
      <c r="EN17" s="185">
        <f t="shared" si="50"/>
        <v>0</v>
      </c>
      <c r="EP17" s="183"/>
    </row>
    <row r="18" spans="1:146" x14ac:dyDescent="0.2">
      <c r="A18" s="211">
        <f t="shared" si="51"/>
        <v>44659</v>
      </c>
      <c r="B18" s="183">
        <v>0</v>
      </c>
      <c r="C18" s="185">
        <v>9.5005200000000001E-3</v>
      </c>
      <c r="D18" s="183">
        <f t="shared" si="0"/>
        <v>0</v>
      </c>
      <c r="G18" s="183">
        <f t="shared" si="1"/>
        <v>0</v>
      </c>
      <c r="J18" s="183">
        <f t="shared" si="2"/>
        <v>0</v>
      </c>
      <c r="M18" s="183">
        <f t="shared" si="3"/>
        <v>0</v>
      </c>
      <c r="P18" s="183">
        <f t="shared" si="4"/>
        <v>0</v>
      </c>
      <c r="S18" s="183">
        <f t="shared" si="5"/>
        <v>0</v>
      </c>
      <c r="V18" s="183">
        <f t="shared" si="6"/>
        <v>0</v>
      </c>
      <c r="Y18" s="183">
        <f t="shared" si="7"/>
        <v>0</v>
      </c>
      <c r="AB18" s="183">
        <f t="shared" si="8"/>
        <v>0</v>
      </c>
      <c r="AE18" s="183">
        <v>0</v>
      </c>
      <c r="AH18" s="183">
        <v>0</v>
      </c>
      <c r="AI18" s="212">
        <v>3750000</v>
      </c>
      <c r="AJ18" s="213">
        <v>5.7000000000000002E-3</v>
      </c>
      <c r="AK18" s="183">
        <f t="shared" si="9"/>
        <v>59.375</v>
      </c>
      <c r="AL18" s="212"/>
      <c r="AM18" s="213"/>
      <c r="AN18" s="183">
        <f t="shared" si="10"/>
        <v>0</v>
      </c>
      <c r="AO18" s="212"/>
      <c r="AP18" s="213"/>
      <c r="AQ18" s="183">
        <f t="shared" si="11"/>
        <v>0</v>
      </c>
      <c r="AR18" s="212"/>
      <c r="AS18" s="213"/>
      <c r="AT18" s="183">
        <f t="shared" si="12"/>
        <v>0</v>
      </c>
      <c r="AW18" s="183">
        <f t="shared" si="13"/>
        <v>0</v>
      </c>
      <c r="AZ18" s="183">
        <f t="shared" si="14"/>
        <v>0</v>
      </c>
      <c r="BC18" s="183">
        <f t="shared" si="15"/>
        <v>0</v>
      </c>
      <c r="BF18" s="183">
        <f t="shared" si="16"/>
        <v>0</v>
      </c>
      <c r="BI18" s="183">
        <f t="shared" si="17"/>
        <v>0</v>
      </c>
      <c r="BL18" s="183">
        <f t="shared" si="18"/>
        <v>0</v>
      </c>
      <c r="BO18" s="183">
        <f t="shared" si="19"/>
        <v>0</v>
      </c>
      <c r="BR18" s="183">
        <f t="shared" si="20"/>
        <v>0</v>
      </c>
      <c r="BU18" s="183">
        <f t="shared" si="21"/>
        <v>0</v>
      </c>
      <c r="BX18" s="183">
        <f t="shared" si="22"/>
        <v>0</v>
      </c>
      <c r="CA18" s="183">
        <f t="shared" si="23"/>
        <v>0</v>
      </c>
      <c r="CD18" s="183">
        <f t="shared" si="24"/>
        <v>0</v>
      </c>
      <c r="CG18" s="183">
        <f t="shared" si="25"/>
        <v>0</v>
      </c>
      <c r="CJ18" s="183">
        <f t="shared" si="26"/>
        <v>0</v>
      </c>
      <c r="CM18" s="183">
        <f t="shared" si="27"/>
        <v>0</v>
      </c>
      <c r="CP18" s="183">
        <f t="shared" si="28"/>
        <v>0</v>
      </c>
      <c r="CS18" s="183">
        <f t="shared" si="29"/>
        <v>0</v>
      </c>
      <c r="CV18" s="183">
        <f t="shared" si="30"/>
        <v>0</v>
      </c>
      <c r="CY18" s="183">
        <f t="shared" si="31"/>
        <v>0</v>
      </c>
      <c r="DB18" s="183">
        <f t="shared" si="32"/>
        <v>0</v>
      </c>
      <c r="DE18" s="183">
        <f t="shared" si="33"/>
        <v>0</v>
      </c>
      <c r="DH18" s="183">
        <f t="shared" si="34"/>
        <v>0</v>
      </c>
      <c r="DK18" s="183">
        <f t="shared" si="35"/>
        <v>0</v>
      </c>
      <c r="DN18" s="183">
        <f t="shared" si="36"/>
        <v>0</v>
      </c>
      <c r="DQ18" s="183">
        <f t="shared" si="37"/>
        <v>0</v>
      </c>
      <c r="DT18" s="183">
        <f t="shared" si="38"/>
        <v>0</v>
      </c>
      <c r="DW18" s="183">
        <f t="shared" si="39"/>
        <v>0</v>
      </c>
      <c r="DZ18" s="183"/>
      <c r="EA18" s="183"/>
      <c r="EB18" s="214">
        <f t="shared" si="40"/>
        <v>3750000</v>
      </c>
      <c r="EC18" s="214">
        <f t="shared" si="41"/>
        <v>0</v>
      </c>
      <c r="ED18" s="183">
        <f t="shared" si="42"/>
        <v>59.375</v>
      </c>
      <c r="EE18" s="185">
        <f t="shared" si="43"/>
        <v>5.7000000000000002E-3</v>
      </c>
      <c r="EG18" s="214">
        <f t="shared" si="44"/>
        <v>0</v>
      </c>
      <c r="EH18" s="183">
        <f t="shared" si="45"/>
        <v>0</v>
      </c>
      <c r="EI18" s="185">
        <f t="shared" si="46"/>
        <v>0</v>
      </c>
      <c r="EJ18" s="185"/>
      <c r="EK18" s="214">
        <f t="shared" si="47"/>
        <v>3750000</v>
      </c>
      <c r="EL18" s="214">
        <f t="shared" si="48"/>
        <v>0</v>
      </c>
      <c r="EM18" s="214">
        <f t="shared" si="49"/>
        <v>59.375</v>
      </c>
      <c r="EN18" s="185">
        <f t="shared" si="50"/>
        <v>5.7000000000000002E-3</v>
      </c>
      <c r="EP18" s="183"/>
    </row>
    <row r="19" spans="1:146" x14ac:dyDescent="0.2">
      <c r="A19" s="211">
        <f t="shared" si="51"/>
        <v>44660</v>
      </c>
      <c r="B19" s="183">
        <v>0</v>
      </c>
      <c r="C19" s="185">
        <v>9.5005200000000001E-3</v>
      </c>
      <c r="D19" s="183">
        <f t="shared" si="0"/>
        <v>0</v>
      </c>
      <c r="G19" s="183">
        <f t="shared" si="1"/>
        <v>0</v>
      </c>
      <c r="J19" s="183">
        <f t="shared" si="2"/>
        <v>0</v>
      </c>
      <c r="M19" s="183">
        <f t="shared" si="3"/>
        <v>0</v>
      </c>
      <c r="P19" s="183">
        <f t="shared" si="4"/>
        <v>0</v>
      </c>
      <c r="S19" s="183">
        <f t="shared" si="5"/>
        <v>0</v>
      </c>
      <c r="V19" s="183">
        <f t="shared" si="6"/>
        <v>0</v>
      </c>
      <c r="Y19" s="183">
        <f t="shared" si="7"/>
        <v>0</v>
      </c>
      <c r="AB19" s="183">
        <f t="shared" si="8"/>
        <v>0</v>
      </c>
      <c r="AE19" s="183">
        <v>0</v>
      </c>
      <c r="AH19" s="183">
        <v>0</v>
      </c>
      <c r="AI19" s="212">
        <v>3750000</v>
      </c>
      <c r="AJ19" s="213">
        <v>5.7000000000000002E-3</v>
      </c>
      <c r="AK19" s="183">
        <f t="shared" si="9"/>
        <v>59.375</v>
      </c>
      <c r="AL19" s="212"/>
      <c r="AM19" s="213"/>
      <c r="AN19" s="183">
        <f t="shared" si="10"/>
        <v>0</v>
      </c>
      <c r="AO19" s="212"/>
      <c r="AP19" s="213"/>
      <c r="AQ19" s="183">
        <f t="shared" si="11"/>
        <v>0</v>
      </c>
      <c r="AR19" s="212"/>
      <c r="AS19" s="213"/>
      <c r="AT19" s="183">
        <f t="shared" si="12"/>
        <v>0</v>
      </c>
      <c r="AW19" s="183">
        <f t="shared" si="13"/>
        <v>0</v>
      </c>
      <c r="AZ19" s="183">
        <f t="shared" si="14"/>
        <v>0</v>
      </c>
      <c r="BC19" s="183">
        <f t="shared" si="15"/>
        <v>0</v>
      </c>
      <c r="BF19" s="183">
        <f t="shared" si="16"/>
        <v>0</v>
      </c>
      <c r="BI19" s="183">
        <f t="shared" si="17"/>
        <v>0</v>
      </c>
      <c r="BL19" s="183">
        <f t="shared" si="18"/>
        <v>0</v>
      </c>
      <c r="BO19" s="183">
        <f t="shared" si="19"/>
        <v>0</v>
      </c>
      <c r="BR19" s="183">
        <f t="shared" si="20"/>
        <v>0</v>
      </c>
      <c r="BU19" s="183">
        <f t="shared" si="21"/>
        <v>0</v>
      </c>
      <c r="BX19" s="183">
        <f t="shared" si="22"/>
        <v>0</v>
      </c>
      <c r="CA19" s="183">
        <f t="shared" si="23"/>
        <v>0</v>
      </c>
      <c r="CD19" s="183">
        <f t="shared" si="24"/>
        <v>0</v>
      </c>
      <c r="CG19" s="183">
        <f t="shared" si="25"/>
        <v>0</v>
      </c>
      <c r="CJ19" s="183">
        <f t="shared" si="26"/>
        <v>0</v>
      </c>
      <c r="CM19" s="183">
        <f t="shared" si="27"/>
        <v>0</v>
      </c>
      <c r="CP19" s="183">
        <f t="shared" si="28"/>
        <v>0</v>
      </c>
      <c r="CS19" s="183">
        <f t="shared" si="29"/>
        <v>0</v>
      </c>
      <c r="CV19" s="183">
        <f t="shared" si="30"/>
        <v>0</v>
      </c>
      <c r="CY19" s="183">
        <f t="shared" si="31"/>
        <v>0</v>
      </c>
      <c r="DB19" s="183">
        <f t="shared" si="32"/>
        <v>0</v>
      </c>
      <c r="DE19" s="183">
        <f t="shared" si="33"/>
        <v>0</v>
      </c>
      <c r="DH19" s="183">
        <f t="shared" si="34"/>
        <v>0</v>
      </c>
      <c r="DK19" s="183">
        <f t="shared" si="35"/>
        <v>0</v>
      </c>
      <c r="DN19" s="183">
        <f t="shared" si="36"/>
        <v>0</v>
      </c>
      <c r="DQ19" s="183">
        <f t="shared" si="37"/>
        <v>0</v>
      </c>
      <c r="DT19" s="183">
        <f t="shared" si="38"/>
        <v>0</v>
      </c>
      <c r="DW19" s="183">
        <f t="shared" si="39"/>
        <v>0</v>
      </c>
      <c r="DZ19" s="183"/>
      <c r="EA19" s="183"/>
      <c r="EB19" s="214">
        <f t="shared" si="40"/>
        <v>3750000</v>
      </c>
      <c r="EC19" s="214">
        <f t="shared" si="41"/>
        <v>0</v>
      </c>
      <c r="ED19" s="183">
        <f t="shared" si="42"/>
        <v>59.375</v>
      </c>
      <c r="EE19" s="185">
        <f t="shared" si="43"/>
        <v>5.7000000000000002E-3</v>
      </c>
      <c r="EG19" s="214">
        <f t="shared" si="44"/>
        <v>0</v>
      </c>
      <c r="EH19" s="183">
        <f t="shared" si="45"/>
        <v>0</v>
      </c>
      <c r="EI19" s="185">
        <f t="shared" si="46"/>
        <v>0</v>
      </c>
      <c r="EJ19" s="185"/>
      <c r="EK19" s="214">
        <f t="shared" si="47"/>
        <v>3750000</v>
      </c>
      <c r="EL19" s="214">
        <f t="shared" si="48"/>
        <v>0</v>
      </c>
      <c r="EM19" s="214">
        <f t="shared" si="49"/>
        <v>59.375</v>
      </c>
      <c r="EN19" s="185">
        <f t="shared" si="50"/>
        <v>5.7000000000000002E-3</v>
      </c>
      <c r="EP19" s="183"/>
    </row>
    <row r="20" spans="1:146" x14ac:dyDescent="0.2">
      <c r="A20" s="211">
        <f t="shared" si="51"/>
        <v>44661</v>
      </c>
      <c r="B20" s="183">
        <v>0</v>
      </c>
      <c r="C20" s="185">
        <v>9.5005200000000001E-3</v>
      </c>
      <c r="D20" s="183">
        <f t="shared" si="0"/>
        <v>0</v>
      </c>
      <c r="G20" s="183">
        <f t="shared" si="1"/>
        <v>0</v>
      </c>
      <c r="J20" s="183">
        <f t="shared" si="2"/>
        <v>0</v>
      </c>
      <c r="M20" s="183">
        <f t="shared" si="3"/>
        <v>0</v>
      </c>
      <c r="P20" s="183">
        <f t="shared" si="4"/>
        <v>0</v>
      </c>
      <c r="S20" s="183">
        <f t="shared" si="5"/>
        <v>0</v>
      </c>
      <c r="V20" s="183">
        <f t="shared" si="6"/>
        <v>0</v>
      </c>
      <c r="Y20" s="183">
        <f t="shared" si="7"/>
        <v>0</v>
      </c>
      <c r="AB20" s="183">
        <f t="shared" si="8"/>
        <v>0</v>
      </c>
      <c r="AE20" s="183">
        <v>0</v>
      </c>
      <c r="AH20" s="183">
        <v>0</v>
      </c>
      <c r="AI20" s="212">
        <v>3750000</v>
      </c>
      <c r="AJ20" s="213">
        <v>5.7000000000000002E-3</v>
      </c>
      <c r="AK20" s="183">
        <f t="shared" si="9"/>
        <v>59.375</v>
      </c>
      <c r="AL20" s="212"/>
      <c r="AM20" s="213"/>
      <c r="AN20" s="183">
        <f t="shared" si="10"/>
        <v>0</v>
      </c>
      <c r="AO20" s="212"/>
      <c r="AP20" s="213"/>
      <c r="AQ20" s="183">
        <f t="shared" si="11"/>
        <v>0</v>
      </c>
      <c r="AR20" s="212"/>
      <c r="AS20" s="213"/>
      <c r="AT20" s="183">
        <f t="shared" si="12"/>
        <v>0</v>
      </c>
      <c r="AW20" s="183">
        <f t="shared" si="13"/>
        <v>0</v>
      </c>
      <c r="AZ20" s="183">
        <f t="shared" si="14"/>
        <v>0</v>
      </c>
      <c r="BC20" s="183">
        <f t="shared" si="15"/>
        <v>0</v>
      </c>
      <c r="BF20" s="183">
        <f t="shared" si="16"/>
        <v>0</v>
      </c>
      <c r="BI20" s="183">
        <f t="shared" si="17"/>
        <v>0</v>
      </c>
      <c r="BL20" s="183">
        <f t="shared" si="18"/>
        <v>0</v>
      </c>
      <c r="BO20" s="183">
        <f t="shared" si="19"/>
        <v>0</v>
      </c>
      <c r="BR20" s="183">
        <f t="shared" si="20"/>
        <v>0</v>
      </c>
      <c r="BU20" s="183">
        <f t="shared" si="21"/>
        <v>0</v>
      </c>
      <c r="BX20" s="183">
        <f t="shared" si="22"/>
        <v>0</v>
      </c>
      <c r="CA20" s="183">
        <f t="shared" si="23"/>
        <v>0</v>
      </c>
      <c r="CD20" s="183">
        <f t="shared" si="24"/>
        <v>0</v>
      </c>
      <c r="CG20" s="183">
        <f t="shared" si="25"/>
        <v>0</v>
      </c>
      <c r="CJ20" s="183">
        <f t="shared" si="26"/>
        <v>0</v>
      </c>
      <c r="CM20" s="183">
        <f t="shared" si="27"/>
        <v>0</v>
      </c>
      <c r="CP20" s="183">
        <f t="shared" si="28"/>
        <v>0</v>
      </c>
      <c r="CS20" s="183">
        <f t="shared" si="29"/>
        <v>0</v>
      </c>
      <c r="CV20" s="183">
        <f t="shared" si="30"/>
        <v>0</v>
      </c>
      <c r="CY20" s="183">
        <f t="shared" si="31"/>
        <v>0</v>
      </c>
      <c r="DB20" s="183">
        <f t="shared" si="32"/>
        <v>0</v>
      </c>
      <c r="DE20" s="183">
        <f t="shared" si="33"/>
        <v>0</v>
      </c>
      <c r="DH20" s="183">
        <f t="shared" si="34"/>
        <v>0</v>
      </c>
      <c r="DK20" s="183">
        <f t="shared" si="35"/>
        <v>0</v>
      </c>
      <c r="DN20" s="183">
        <f t="shared" si="36"/>
        <v>0</v>
      </c>
      <c r="DQ20" s="183">
        <f t="shared" si="37"/>
        <v>0</v>
      </c>
      <c r="DT20" s="183">
        <f t="shared" si="38"/>
        <v>0</v>
      </c>
      <c r="DW20" s="183">
        <f t="shared" si="39"/>
        <v>0</v>
      </c>
      <c r="DZ20" s="183"/>
      <c r="EA20" s="183"/>
      <c r="EB20" s="214">
        <f t="shared" si="40"/>
        <v>3750000</v>
      </c>
      <c r="EC20" s="214">
        <f t="shared" si="41"/>
        <v>0</v>
      </c>
      <c r="ED20" s="183">
        <f t="shared" si="42"/>
        <v>59.375</v>
      </c>
      <c r="EE20" s="185">
        <f t="shared" si="43"/>
        <v>5.7000000000000002E-3</v>
      </c>
      <c r="EG20" s="214">
        <f t="shared" si="44"/>
        <v>0</v>
      </c>
      <c r="EH20" s="183">
        <f t="shared" si="45"/>
        <v>0</v>
      </c>
      <c r="EI20" s="185">
        <f t="shared" si="46"/>
        <v>0</v>
      </c>
      <c r="EJ20" s="185"/>
      <c r="EK20" s="214">
        <f t="shared" si="47"/>
        <v>3750000</v>
      </c>
      <c r="EL20" s="214">
        <f t="shared" si="48"/>
        <v>0</v>
      </c>
      <c r="EM20" s="214">
        <f t="shared" si="49"/>
        <v>59.375</v>
      </c>
      <c r="EN20" s="185">
        <f t="shared" si="50"/>
        <v>5.7000000000000002E-3</v>
      </c>
      <c r="EP20" s="183"/>
    </row>
    <row r="21" spans="1:146" x14ac:dyDescent="0.2">
      <c r="A21" s="211">
        <f t="shared" si="51"/>
        <v>44662</v>
      </c>
      <c r="B21" s="183">
        <v>0</v>
      </c>
      <c r="C21" s="185">
        <v>9.9057700000000012E-3</v>
      </c>
      <c r="D21" s="183">
        <f t="shared" si="0"/>
        <v>0</v>
      </c>
      <c r="G21" s="183">
        <f t="shared" si="1"/>
        <v>0</v>
      </c>
      <c r="J21" s="183">
        <f t="shared" si="2"/>
        <v>0</v>
      </c>
      <c r="M21" s="183">
        <f t="shared" si="3"/>
        <v>0</v>
      </c>
      <c r="P21" s="183">
        <f t="shared" si="4"/>
        <v>0</v>
      </c>
      <c r="S21" s="183">
        <f t="shared" si="5"/>
        <v>0</v>
      </c>
      <c r="V21" s="183">
        <f t="shared" si="6"/>
        <v>0</v>
      </c>
      <c r="Y21" s="183">
        <f t="shared" si="7"/>
        <v>0</v>
      </c>
      <c r="AB21" s="183">
        <f t="shared" si="8"/>
        <v>0</v>
      </c>
      <c r="AE21" s="183">
        <v>0</v>
      </c>
      <c r="AH21" s="183">
        <v>0</v>
      </c>
      <c r="AI21" s="212">
        <v>5575000</v>
      </c>
      <c r="AJ21" s="213">
        <v>5.7000000000000002E-3</v>
      </c>
      <c r="AK21" s="183">
        <f t="shared" si="9"/>
        <v>88.270833333333329</v>
      </c>
      <c r="AL21" s="212"/>
      <c r="AM21" s="213"/>
      <c r="AN21" s="183">
        <f t="shared" si="10"/>
        <v>0</v>
      </c>
      <c r="AO21" s="212"/>
      <c r="AP21" s="213"/>
      <c r="AQ21" s="183">
        <f t="shared" si="11"/>
        <v>0</v>
      </c>
      <c r="AR21" s="212"/>
      <c r="AS21" s="213"/>
      <c r="AT21" s="183">
        <f t="shared" si="12"/>
        <v>0</v>
      </c>
      <c r="AW21" s="183">
        <f t="shared" si="13"/>
        <v>0</v>
      </c>
      <c r="AZ21" s="183">
        <f t="shared" si="14"/>
        <v>0</v>
      </c>
      <c r="BC21" s="183">
        <f t="shared" si="15"/>
        <v>0</v>
      </c>
      <c r="BF21" s="183">
        <f t="shared" si="16"/>
        <v>0</v>
      </c>
      <c r="BI21" s="183">
        <f t="shared" si="17"/>
        <v>0</v>
      </c>
      <c r="BL21" s="183">
        <f t="shared" si="18"/>
        <v>0</v>
      </c>
      <c r="BO21" s="183">
        <f t="shared" si="19"/>
        <v>0</v>
      </c>
      <c r="BR21" s="183">
        <f t="shared" si="20"/>
        <v>0</v>
      </c>
      <c r="BU21" s="183">
        <f t="shared" si="21"/>
        <v>0</v>
      </c>
      <c r="BX21" s="183">
        <f t="shared" si="22"/>
        <v>0</v>
      </c>
      <c r="CA21" s="183">
        <f t="shared" si="23"/>
        <v>0</v>
      </c>
      <c r="CD21" s="183">
        <f t="shared" si="24"/>
        <v>0</v>
      </c>
      <c r="CG21" s="183">
        <f t="shared" si="25"/>
        <v>0</v>
      </c>
      <c r="CJ21" s="183">
        <f t="shared" si="26"/>
        <v>0</v>
      </c>
      <c r="CM21" s="183">
        <f t="shared" si="27"/>
        <v>0</v>
      </c>
      <c r="CP21" s="183">
        <f t="shared" si="28"/>
        <v>0</v>
      </c>
      <c r="CS21" s="183">
        <f t="shared" si="29"/>
        <v>0</v>
      </c>
      <c r="CV21" s="183">
        <f t="shared" si="30"/>
        <v>0</v>
      </c>
      <c r="CY21" s="183">
        <f t="shared" si="31"/>
        <v>0</v>
      </c>
      <c r="DB21" s="183">
        <f t="shared" si="32"/>
        <v>0</v>
      </c>
      <c r="DE21" s="183">
        <f t="shared" si="33"/>
        <v>0</v>
      </c>
      <c r="DH21" s="183">
        <f t="shared" si="34"/>
        <v>0</v>
      </c>
      <c r="DK21" s="183">
        <f t="shared" si="35"/>
        <v>0</v>
      </c>
      <c r="DN21" s="183">
        <f t="shared" si="36"/>
        <v>0</v>
      </c>
      <c r="DQ21" s="183">
        <f t="shared" si="37"/>
        <v>0</v>
      </c>
      <c r="DT21" s="183">
        <f t="shared" si="38"/>
        <v>0</v>
      </c>
      <c r="DW21" s="183">
        <f t="shared" si="39"/>
        <v>0</v>
      </c>
      <c r="DZ21" s="183"/>
      <c r="EA21" s="183"/>
      <c r="EB21" s="214">
        <f t="shared" si="40"/>
        <v>5575000</v>
      </c>
      <c r="EC21" s="214">
        <f t="shared" si="41"/>
        <v>0</v>
      </c>
      <c r="ED21" s="183">
        <f t="shared" si="42"/>
        <v>88.270833333333329</v>
      </c>
      <c r="EE21" s="185">
        <f t="shared" si="43"/>
        <v>5.7000000000000002E-3</v>
      </c>
      <c r="EG21" s="214">
        <f t="shared" si="44"/>
        <v>0</v>
      </c>
      <c r="EH21" s="183">
        <f t="shared" si="45"/>
        <v>0</v>
      </c>
      <c r="EI21" s="185">
        <f t="shared" si="46"/>
        <v>0</v>
      </c>
      <c r="EJ21" s="185"/>
      <c r="EK21" s="214">
        <f t="shared" si="47"/>
        <v>5575000</v>
      </c>
      <c r="EL21" s="214">
        <f t="shared" si="48"/>
        <v>0</v>
      </c>
      <c r="EM21" s="214">
        <f t="shared" si="49"/>
        <v>88.270833333333329</v>
      </c>
      <c r="EN21" s="185">
        <f t="shared" si="50"/>
        <v>5.7000000000000002E-3</v>
      </c>
      <c r="EP21" s="183"/>
    </row>
    <row r="22" spans="1:146" x14ac:dyDescent="0.2">
      <c r="A22" s="211">
        <f t="shared" si="51"/>
        <v>44663</v>
      </c>
      <c r="B22" s="183">
        <v>0</v>
      </c>
      <c r="C22" s="185">
        <v>1.0443839999999999E-2</v>
      </c>
      <c r="D22" s="183">
        <f t="shared" si="0"/>
        <v>0</v>
      </c>
      <c r="G22" s="183">
        <f t="shared" si="1"/>
        <v>0</v>
      </c>
      <c r="J22" s="183">
        <f t="shared" si="2"/>
        <v>0</v>
      </c>
      <c r="M22" s="183">
        <f t="shared" si="3"/>
        <v>0</v>
      </c>
      <c r="P22" s="183">
        <f t="shared" si="4"/>
        <v>0</v>
      </c>
      <c r="S22" s="183">
        <f t="shared" si="5"/>
        <v>0</v>
      </c>
      <c r="V22" s="183">
        <f t="shared" si="6"/>
        <v>0</v>
      </c>
      <c r="Y22" s="183">
        <f t="shared" si="7"/>
        <v>0</v>
      </c>
      <c r="AB22" s="183">
        <f t="shared" si="8"/>
        <v>0</v>
      </c>
      <c r="AE22" s="183">
        <v>0</v>
      </c>
      <c r="AH22" s="183">
        <v>0</v>
      </c>
      <c r="AI22" s="212">
        <v>3300000</v>
      </c>
      <c r="AJ22" s="213">
        <v>5.7000000000000002E-3</v>
      </c>
      <c r="AK22" s="183">
        <f t="shared" si="9"/>
        <v>52.25</v>
      </c>
      <c r="AL22" s="212"/>
      <c r="AM22" s="213"/>
      <c r="AN22" s="183">
        <f t="shared" si="10"/>
        <v>0</v>
      </c>
      <c r="AO22" s="212"/>
      <c r="AP22" s="213"/>
      <c r="AQ22" s="183">
        <f t="shared" si="11"/>
        <v>0</v>
      </c>
      <c r="AR22" s="212"/>
      <c r="AS22" s="213"/>
      <c r="AT22" s="183">
        <f t="shared" si="12"/>
        <v>0</v>
      </c>
      <c r="AW22" s="183">
        <f t="shared" si="13"/>
        <v>0</v>
      </c>
      <c r="AZ22" s="183">
        <f t="shared" si="14"/>
        <v>0</v>
      </c>
      <c r="BC22" s="183">
        <f t="shared" si="15"/>
        <v>0</v>
      </c>
      <c r="BF22" s="183">
        <f t="shared" si="16"/>
        <v>0</v>
      </c>
      <c r="BI22" s="183">
        <f t="shared" si="17"/>
        <v>0</v>
      </c>
      <c r="BL22" s="183">
        <f t="shared" si="18"/>
        <v>0</v>
      </c>
      <c r="BO22" s="183">
        <f t="shared" si="19"/>
        <v>0</v>
      </c>
      <c r="BR22" s="183">
        <f t="shared" si="20"/>
        <v>0</v>
      </c>
      <c r="BU22" s="183">
        <f t="shared" si="21"/>
        <v>0</v>
      </c>
      <c r="BX22" s="183">
        <f t="shared" si="22"/>
        <v>0</v>
      </c>
      <c r="CA22" s="183">
        <f t="shared" si="23"/>
        <v>0</v>
      </c>
      <c r="CD22" s="183">
        <f t="shared" si="24"/>
        <v>0</v>
      </c>
      <c r="CG22" s="183">
        <f t="shared" si="25"/>
        <v>0</v>
      </c>
      <c r="CJ22" s="183">
        <f t="shared" si="26"/>
        <v>0</v>
      </c>
      <c r="CM22" s="183">
        <f t="shared" si="27"/>
        <v>0</v>
      </c>
      <c r="CP22" s="183">
        <f t="shared" si="28"/>
        <v>0</v>
      </c>
      <c r="CS22" s="183">
        <f t="shared" si="29"/>
        <v>0</v>
      </c>
      <c r="CV22" s="183">
        <f t="shared" si="30"/>
        <v>0</v>
      </c>
      <c r="CY22" s="183">
        <f t="shared" si="31"/>
        <v>0</v>
      </c>
      <c r="DB22" s="183">
        <f t="shared" si="32"/>
        <v>0</v>
      </c>
      <c r="DE22" s="183">
        <f t="shared" si="33"/>
        <v>0</v>
      </c>
      <c r="DH22" s="183">
        <f t="shared" si="34"/>
        <v>0</v>
      </c>
      <c r="DK22" s="183">
        <f t="shared" si="35"/>
        <v>0</v>
      </c>
      <c r="DN22" s="183">
        <f t="shared" si="36"/>
        <v>0</v>
      </c>
      <c r="DQ22" s="183">
        <f t="shared" si="37"/>
        <v>0</v>
      </c>
      <c r="DT22" s="183">
        <f t="shared" si="38"/>
        <v>0</v>
      </c>
      <c r="DW22" s="183">
        <f t="shared" si="39"/>
        <v>0</v>
      </c>
      <c r="DZ22" s="183"/>
      <c r="EA22" s="183"/>
      <c r="EB22" s="214">
        <f t="shared" si="40"/>
        <v>3300000</v>
      </c>
      <c r="EC22" s="214">
        <f t="shared" si="41"/>
        <v>0</v>
      </c>
      <c r="ED22" s="183">
        <f t="shared" si="42"/>
        <v>52.25</v>
      </c>
      <c r="EE22" s="185">
        <f t="shared" si="43"/>
        <v>5.7000000000000002E-3</v>
      </c>
      <c r="EG22" s="214">
        <f t="shared" si="44"/>
        <v>0</v>
      </c>
      <c r="EH22" s="183">
        <f t="shared" si="45"/>
        <v>0</v>
      </c>
      <c r="EI22" s="185">
        <f t="shared" si="46"/>
        <v>0</v>
      </c>
      <c r="EJ22" s="185"/>
      <c r="EK22" s="214">
        <f t="shared" si="47"/>
        <v>3300000</v>
      </c>
      <c r="EL22" s="214">
        <f t="shared" si="48"/>
        <v>0</v>
      </c>
      <c r="EM22" s="214">
        <f t="shared" si="49"/>
        <v>52.25</v>
      </c>
      <c r="EN22" s="185">
        <f t="shared" si="50"/>
        <v>5.7000000000000002E-3</v>
      </c>
      <c r="EP22" s="183"/>
    </row>
    <row r="23" spans="1:146" x14ac:dyDescent="0.2">
      <c r="A23" s="211">
        <f t="shared" si="51"/>
        <v>44664</v>
      </c>
      <c r="B23" s="183">
        <v>0</v>
      </c>
      <c r="C23" s="185">
        <v>1.0558860000000002E-2</v>
      </c>
      <c r="D23" s="183">
        <f t="shared" si="0"/>
        <v>0</v>
      </c>
      <c r="G23" s="183">
        <f t="shared" si="1"/>
        <v>0</v>
      </c>
      <c r="J23" s="183">
        <f t="shared" si="2"/>
        <v>0</v>
      </c>
      <c r="M23" s="183">
        <f t="shared" si="3"/>
        <v>0</v>
      </c>
      <c r="P23" s="183">
        <f t="shared" si="4"/>
        <v>0</v>
      </c>
      <c r="S23" s="183">
        <f t="shared" si="5"/>
        <v>0</v>
      </c>
      <c r="V23" s="183">
        <f t="shared" si="6"/>
        <v>0</v>
      </c>
      <c r="Y23" s="183">
        <f t="shared" si="7"/>
        <v>0</v>
      </c>
      <c r="AB23" s="183">
        <f t="shared" si="8"/>
        <v>0</v>
      </c>
      <c r="AE23" s="183">
        <v>0</v>
      </c>
      <c r="AH23" s="183">
        <v>0</v>
      </c>
      <c r="AI23" s="212">
        <v>7350000</v>
      </c>
      <c r="AJ23" s="213">
        <v>5.7000000000000002E-3</v>
      </c>
      <c r="AK23" s="183">
        <f t="shared" si="9"/>
        <v>116.375</v>
      </c>
      <c r="AL23" s="212"/>
      <c r="AM23" s="213"/>
      <c r="AN23" s="183">
        <f t="shared" si="10"/>
        <v>0</v>
      </c>
      <c r="AO23" s="212"/>
      <c r="AP23" s="213"/>
      <c r="AQ23" s="183">
        <f t="shared" si="11"/>
        <v>0</v>
      </c>
      <c r="AR23" s="212"/>
      <c r="AS23" s="213"/>
      <c r="AT23" s="183">
        <f t="shared" si="12"/>
        <v>0</v>
      </c>
      <c r="AW23" s="183">
        <f t="shared" si="13"/>
        <v>0</v>
      </c>
      <c r="AZ23" s="183">
        <f t="shared" si="14"/>
        <v>0</v>
      </c>
      <c r="BC23" s="183">
        <f t="shared" si="15"/>
        <v>0</v>
      </c>
      <c r="BF23" s="183">
        <f t="shared" si="16"/>
        <v>0</v>
      </c>
      <c r="BI23" s="183">
        <f t="shared" si="17"/>
        <v>0</v>
      </c>
      <c r="BL23" s="183">
        <f t="shared" si="18"/>
        <v>0</v>
      </c>
      <c r="BO23" s="183">
        <f t="shared" si="19"/>
        <v>0</v>
      </c>
      <c r="BR23" s="183">
        <f t="shared" si="20"/>
        <v>0</v>
      </c>
      <c r="BU23" s="183">
        <f t="shared" si="21"/>
        <v>0</v>
      </c>
      <c r="BX23" s="183">
        <f t="shared" si="22"/>
        <v>0</v>
      </c>
      <c r="CA23" s="183">
        <f t="shared" si="23"/>
        <v>0</v>
      </c>
      <c r="CD23" s="183">
        <f t="shared" si="24"/>
        <v>0</v>
      </c>
      <c r="CG23" s="183">
        <f t="shared" si="25"/>
        <v>0</v>
      </c>
      <c r="CJ23" s="183">
        <f t="shared" si="26"/>
        <v>0</v>
      </c>
      <c r="CM23" s="183">
        <f t="shared" si="27"/>
        <v>0</v>
      </c>
      <c r="CP23" s="183">
        <f t="shared" si="28"/>
        <v>0</v>
      </c>
      <c r="CS23" s="183">
        <f t="shared" si="29"/>
        <v>0</v>
      </c>
      <c r="CV23" s="183">
        <f t="shared" si="30"/>
        <v>0</v>
      </c>
      <c r="CY23" s="183">
        <f t="shared" si="31"/>
        <v>0</v>
      </c>
      <c r="DB23" s="183">
        <f t="shared" si="32"/>
        <v>0</v>
      </c>
      <c r="DE23" s="183">
        <f t="shared" si="33"/>
        <v>0</v>
      </c>
      <c r="DH23" s="183">
        <f t="shared" si="34"/>
        <v>0</v>
      </c>
      <c r="DK23" s="183">
        <f t="shared" si="35"/>
        <v>0</v>
      </c>
      <c r="DN23" s="183">
        <f t="shared" si="36"/>
        <v>0</v>
      </c>
      <c r="DQ23" s="183">
        <f t="shared" si="37"/>
        <v>0</v>
      </c>
      <c r="DT23" s="183">
        <f t="shared" si="38"/>
        <v>0</v>
      </c>
      <c r="DW23" s="183">
        <f t="shared" si="39"/>
        <v>0</v>
      </c>
      <c r="DZ23" s="183"/>
      <c r="EA23" s="183"/>
      <c r="EB23" s="214">
        <f t="shared" si="40"/>
        <v>7350000</v>
      </c>
      <c r="EC23" s="214">
        <f t="shared" si="41"/>
        <v>0</v>
      </c>
      <c r="ED23" s="183">
        <f t="shared" si="42"/>
        <v>116.375</v>
      </c>
      <c r="EE23" s="185">
        <f t="shared" si="43"/>
        <v>5.7000000000000002E-3</v>
      </c>
      <c r="EG23" s="214">
        <f t="shared" si="44"/>
        <v>0</v>
      </c>
      <c r="EH23" s="183">
        <f t="shared" si="45"/>
        <v>0</v>
      </c>
      <c r="EI23" s="185">
        <f t="shared" si="46"/>
        <v>0</v>
      </c>
      <c r="EJ23" s="185"/>
      <c r="EK23" s="214">
        <f t="shared" si="47"/>
        <v>7350000</v>
      </c>
      <c r="EL23" s="214">
        <f t="shared" si="48"/>
        <v>0</v>
      </c>
      <c r="EM23" s="214">
        <f t="shared" si="49"/>
        <v>116.375</v>
      </c>
      <c r="EN23" s="185">
        <f t="shared" si="50"/>
        <v>5.7000000000000002E-3</v>
      </c>
      <c r="EP23" s="183"/>
    </row>
    <row r="24" spans="1:146" x14ac:dyDescent="0.2">
      <c r="A24" s="211">
        <f t="shared" si="51"/>
        <v>44665</v>
      </c>
      <c r="B24" s="183">
        <v>0</v>
      </c>
      <c r="C24" s="185">
        <v>9.033020000000001E-3</v>
      </c>
      <c r="D24" s="183">
        <f t="shared" si="0"/>
        <v>0</v>
      </c>
      <c r="G24" s="183">
        <f t="shared" si="1"/>
        <v>0</v>
      </c>
      <c r="J24" s="183">
        <f t="shared" si="2"/>
        <v>0</v>
      </c>
      <c r="M24" s="183">
        <f t="shared" si="3"/>
        <v>0</v>
      </c>
      <c r="P24" s="183">
        <f t="shared" si="4"/>
        <v>0</v>
      </c>
      <c r="S24" s="183">
        <f t="shared" si="5"/>
        <v>0</v>
      </c>
      <c r="V24" s="183">
        <f t="shared" si="6"/>
        <v>0</v>
      </c>
      <c r="Y24" s="183">
        <f t="shared" si="7"/>
        <v>0</v>
      </c>
      <c r="AB24" s="183">
        <f t="shared" si="8"/>
        <v>0</v>
      </c>
      <c r="AE24" s="183">
        <v>0</v>
      </c>
      <c r="AH24" s="183">
        <v>0</v>
      </c>
      <c r="AI24" s="212">
        <v>38200000</v>
      </c>
      <c r="AJ24" s="213">
        <v>5.7000000000000002E-3</v>
      </c>
      <c r="AK24" s="183">
        <f t="shared" si="9"/>
        <v>604.83333333333337</v>
      </c>
      <c r="AL24" s="212"/>
      <c r="AM24" s="213"/>
      <c r="AN24" s="183">
        <f t="shared" si="10"/>
        <v>0</v>
      </c>
      <c r="AO24" s="212"/>
      <c r="AP24" s="213"/>
      <c r="AQ24" s="183">
        <f t="shared" si="11"/>
        <v>0</v>
      </c>
      <c r="AR24" s="212"/>
      <c r="AS24" s="213"/>
      <c r="AT24" s="183">
        <f t="shared" si="12"/>
        <v>0</v>
      </c>
      <c r="AW24" s="183">
        <f t="shared" si="13"/>
        <v>0</v>
      </c>
      <c r="AZ24" s="183">
        <f t="shared" si="14"/>
        <v>0</v>
      </c>
      <c r="BC24" s="183">
        <f t="shared" si="15"/>
        <v>0</v>
      </c>
      <c r="BF24" s="183">
        <f t="shared" si="16"/>
        <v>0</v>
      </c>
      <c r="BI24" s="183">
        <f t="shared" si="17"/>
        <v>0</v>
      </c>
      <c r="BL24" s="183">
        <f t="shared" si="18"/>
        <v>0</v>
      </c>
      <c r="BO24" s="183">
        <f t="shared" si="19"/>
        <v>0</v>
      </c>
      <c r="BR24" s="183">
        <f t="shared" si="20"/>
        <v>0</v>
      </c>
      <c r="BU24" s="183">
        <f t="shared" si="21"/>
        <v>0</v>
      </c>
      <c r="BX24" s="183">
        <f t="shared" si="22"/>
        <v>0</v>
      </c>
      <c r="CA24" s="183">
        <f t="shared" si="23"/>
        <v>0</v>
      </c>
      <c r="CD24" s="183">
        <f t="shared" si="24"/>
        <v>0</v>
      </c>
      <c r="CG24" s="183">
        <f t="shared" si="25"/>
        <v>0</v>
      </c>
      <c r="CJ24" s="183">
        <f t="shared" si="26"/>
        <v>0</v>
      </c>
      <c r="CM24" s="183">
        <f t="shared" si="27"/>
        <v>0</v>
      </c>
      <c r="CP24" s="183">
        <f t="shared" si="28"/>
        <v>0</v>
      </c>
      <c r="CS24" s="183">
        <f t="shared" si="29"/>
        <v>0</v>
      </c>
      <c r="CV24" s="183">
        <f t="shared" si="30"/>
        <v>0</v>
      </c>
      <c r="CY24" s="183">
        <f t="shared" si="31"/>
        <v>0</v>
      </c>
      <c r="DB24" s="183">
        <f t="shared" si="32"/>
        <v>0</v>
      </c>
      <c r="DE24" s="183">
        <f t="shared" si="33"/>
        <v>0</v>
      </c>
      <c r="DH24" s="183">
        <f t="shared" si="34"/>
        <v>0</v>
      </c>
      <c r="DK24" s="183">
        <f t="shared" si="35"/>
        <v>0</v>
      </c>
      <c r="DN24" s="183">
        <f t="shared" si="36"/>
        <v>0</v>
      </c>
      <c r="DQ24" s="183">
        <f t="shared" si="37"/>
        <v>0</v>
      </c>
      <c r="DT24" s="183">
        <f t="shared" si="38"/>
        <v>0</v>
      </c>
      <c r="DW24" s="183">
        <f t="shared" si="39"/>
        <v>0</v>
      </c>
      <c r="DZ24" s="183"/>
      <c r="EA24" s="183"/>
      <c r="EB24" s="214">
        <f t="shared" si="40"/>
        <v>38200000</v>
      </c>
      <c r="EC24" s="214">
        <f t="shared" si="41"/>
        <v>0</v>
      </c>
      <c r="ED24" s="183">
        <f t="shared" si="42"/>
        <v>604.83333333333337</v>
      </c>
      <c r="EE24" s="185">
        <f t="shared" si="43"/>
        <v>5.7000000000000002E-3</v>
      </c>
      <c r="EG24" s="214">
        <f t="shared" si="44"/>
        <v>0</v>
      </c>
      <c r="EH24" s="183">
        <f t="shared" si="45"/>
        <v>0</v>
      </c>
      <c r="EI24" s="185">
        <f t="shared" si="46"/>
        <v>0</v>
      </c>
      <c r="EJ24" s="185"/>
      <c r="EK24" s="214">
        <f t="shared" si="47"/>
        <v>38200000</v>
      </c>
      <c r="EL24" s="214">
        <f t="shared" si="48"/>
        <v>0</v>
      </c>
      <c r="EM24" s="214">
        <f t="shared" si="49"/>
        <v>604.83333333333337</v>
      </c>
      <c r="EN24" s="185">
        <f t="shared" si="50"/>
        <v>5.7000000000000002E-3</v>
      </c>
      <c r="EP24" s="183"/>
    </row>
    <row r="25" spans="1:146" x14ac:dyDescent="0.2">
      <c r="A25" s="211">
        <f t="shared" si="51"/>
        <v>44666</v>
      </c>
      <c r="B25" s="183">
        <v>8975000</v>
      </c>
      <c r="C25" s="185">
        <v>9.033020000000001E-3</v>
      </c>
      <c r="D25" s="183">
        <f t="shared" si="0"/>
        <v>225.19820694444448</v>
      </c>
      <c r="G25" s="183">
        <f t="shared" si="1"/>
        <v>0</v>
      </c>
      <c r="J25" s="183">
        <f t="shared" si="2"/>
        <v>0</v>
      </c>
      <c r="M25" s="183">
        <f t="shared" si="3"/>
        <v>0</v>
      </c>
      <c r="P25" s="183">
        <f t="shared" si="4"/>
        <v>0</v>
      </c>
      <c r="S25" s="183">
        <f t="shared" si="5"/>
        <v>0</v>
      </c>
      <c r="V25" s="183">
        <f t="shared" si="6"/>
        <v>0</v>
      </c>
      <c r="Y25" s="183">
        <f t="shared" si="7"/>
        <v>0</v>
      </c>
      <c r="AB25" s="183">
        <f t="shared" si="8"/>
        <v>0</v>
      </c>
      <c r="AE25" s="183">
        <v>0</v>
      </c>
      <c r="AH25" s="183">
        <v>0</v>
      </c>
      <c r="AI25" s="212">
        <v>38200000</v>
      </c>
      <c r="AJ25" s="213">
        <v>5.7000000000000002E-3</v>
      </c>
      <c r="AK25" s="183">
        <f t="shared" si="9"/>
        <v>604.83333333333337</v>
      </c>
      <c r="AL25" s="212"/>
      <c r="AM25" s="213"/>
      <c r="AN25" s="183">
        <f t="shared" si="10"/>
        <v>0</v>
      </c>
      <c r="AO25" s="212"/>
      <c r="AP25" s="213"/>
      <c r="AQ25" s="183">
        <f t="shared" si="11"/>
        <v>0</v>
      </c>
      <c r="AR25" s="212"/>
      <c r="AS25" s="213"/>
      <c r="AT25" s="183">
        <f t="shared" si="12"/>
        <v>0</v>
      </c>
      <c r="AW25" s="183">
        <f t="shared" si="13"/>
        <v>0</v>
      </c>
      <c r="AZ25" s="183">
        <f t="shared" si="14"/>
        <v>0</v>
      </c>
      <c r="BC25" s="183">
        <f t="shared" si="15"/>
        <v>0</v>
      </c>
      <c r="BF25" s="183">
        <f t="shared" si="16"/>
        <v>0</v>
      </c>
      <c r="BI25" s="183">
        <f t="shared" si="17"/>
        <v>0</v>
      </c>
      <c r="BL25" s="183">
        <f t="shared" si="18"/>
        <v>0</v>
      </c>
      <c r="BO25" s="183">
        <f t="shared" si="19"/>
        <v>0</v>
      </c>
      <c r="BR25" s="183">
        <f t="shared" si="20"/>
        <v>0</v>
      </c>
      <c r="BU25" s="183">
        <f t="shared" si="21"/>
        <v>0</v>
      </c>
      <c r="BX25" s="183">
        <f t="shared" si="22"/>
        <v>0</v>
      </c>
      <c r="CA25" s="183">
        <f t="shared" si="23"/>
        <v>0</v>
      </c>
      <c r="CD25" s="183">
        <f t="shared" si="24"/>
        <v>0</v>
      </c>
      <c r="CG25" s="183">
        <f t="shared" si="25"/>
        <v>0</v>
      </c>
      <c r="CJ25" s="183">
        <f t="shared" si="26"/>
        <v>0</v>
      </c>
      <c r="CM25" s="183">
        <f t="shared" si="27"/>
        <v>0</v>
      </c>
      <c r="CP25" s="183">
        <f t="shared" si="28"/>
        <v>0</v>
      </c>
      <c r="CS25" s="183">
        <f t="shared" si="29"/>
        <v>0</v>
      </c>
      <c r="CV25" s="183">
        <f t="shared" si="30"/>
        <v>0</v>
      </c>
      <c r="CY25" s="183">
        <f t="shared" si="31"/>
        <v>0</v>
      </c>
      <c r="DB25" s="183">
        <f t="shared" si="32"/>
        <v>0</v>
      </c>
      <c r="DE25" s="183">
        <f t="shared" si="33"/>
        <v>0</v>
      </c>
      <c r="DH25" s="183">
        <f t="shared" si="34"/>
        <v>0</v>
      </c>
      <c r="DK25" s="183">
        <f t="shared" si="35"/>
        <v>0</v>
      </c>
      <c r="DN25" s="183">
        <f t="shared" si="36"/>
        <v>0</v>
      </c>
      <c r="DQ25" s="183">
        <f t="shared" si="37"/>
        <v>0</v>
      </c>
      <c r="DT25" s="183">
        <f t="shared" si="38"/>
        <v>0</v>
      </c>
      <c r="DW25" s="183">
        <f t="shared" si="39"/>
        <v>0</v>
      </c>
      <c r="DZ25" s="183"/>
      <c r="EA25" s="183"/>
      <c r="EB25" s="214">
        <f t="shared" si="40"/>
        <v>47175000</v>
      </c>
      <c r="EC25" s="214">
        <f t="shared" si="41"/>
        <v>8975000</v>
      </c>
      <c r="ED25" s="183">
        <f t="shared" si="42"/>
        <v>830.03154027777782</v>
      </c>
      <c r="EE25" s="185">
        <f t="shared" si="43"/>
        <v>6.3341039639639649E-3</v>
      </c>
      <c r="EG25" s="214">
        <f t="shared" si="44"/>
        <v>0</v>
      </c>
      <c r="EH25" s="183">
        <f t="shared" si="45"/>
        <v>0</v>
      </c>
      <c r="EI25" s="185">
        <f t="shared" si="46"/>
        <v>0</v>
      </c>
      <c r="EJ25" s="185"/>
      <c r="EK25" s="214">
        <f t="shared" si="47"/>
        <v>38200000</v>
      </c>
      <c r="EL25" s="214">
        <f t="shared" si="48"/>
        <v>0</v>
      </c>
      <c r="EM25" s="214">
        <f t="shared" si="49"/>
        <v>604.83333333333337</v>
      </c>
      <c r="EN25" s="185">
        <f t="shared" si="50"/>
        <v>5.7000000000000002E-3</v>
      </c>
      <c r="EP25" s="183"/>
    </row>
    <row r="26" spans="1:146" x14ac:dyDescent="0.2">
      <c r="A26" s="211">
        <f t="shared" si="51"/>
        <v>44667</v>
      </c>
      <c r="B26" s="183">
        <v>8975000</v>
      </c>
      <c r="C26" s="185">
        <v>9.033020000000001E-3</v>
      </c>
      <c r="D26" s="183">
        <f t="shared" si="0"/>
        <v>225.19820694444448</v>
      </c>
      <c r="G26" s="183">
        <f t="shared" si="1"/>
        <v>0</v>
      </c>
      <c r="J26" s="183">
        <f t="shared" si="2"/>
        <v>0</v>
      </c>
      <c r="M26" s="183">
        <f t="shared" si="3"/>
        <v>0</v>
      </c>
      <c r="P26" s="183">
        <f t="shared" si="4"/>
        <v>0</v>
      </c>
      <c r="S26" s="183">
        <f t="shared" si="5"/>
        <v>0</v>
      </c>
      <c r="V26" s="183">
        <f t="shared" si="6"/>
        <v>0</v>
      </c>
      <c r="Y26" s="183">
        <f t="shared" si="7"/>
        <v>0</v>
      </c>
      <c r="AB26" s="183">
        <f t="shared" si="8"/>
        <v>0</v>
      </c>
      <c r="AE26" s="183">
        <v>0</v>
      </c>
      <c r="AH26" s="183">
        <v>0</v>
      </c>
      <c r="AI26" s="212">
        <v>38200000</v>
      </c>
      <c r="AJ26" s="213">
        <v>5.7000000000000002E-3</v>
      </c>
      <c r="AK26" s="183">
        <f t="shared" si="9"/>
        <v>604.83333333333337</v>
      </c>
      <c r="AL26" s="212"/>
      <c r="AM26" s="213"/>
      <c r="AN26" s="183">
        <f t="shared" si="10"/>
        <v>0</v>
      </c>
      <c r="AO26" s="212"/>
      <c r="AP26" s="213"/>
      <c r="AQ26" s="183">
        <f t="shared" si="11"/>
        <v>0</v>
      </c>
      <c r="AR26" s="212"/>
      <c r="AS26" s="213"/>
      <c r="AT26" s="183">
        <f t="shared" si="12"/>
        <v>0</v>
      </c>
      <c r="AW26" s="183">
        <f t="shared" si="13"/>
        <v>0</v>
      </c>
      <c r="AZ26" s="183">
        <f t="shared" si="14"/>
        <v>0</v>
      </c>
      <c r="BC26" s="183">
        <f t="shared" si="15"/>
        <v>0</v>
      </c>
      <c r="BF26" s="183">
        <f t="shared" si="16"/>
        <v>0</v>
      </c>
      <c r="BI26" s="183">
        <f t="shared" si="17"/>
        <v>0</v>
      </c>
      <c r="BL26" s="183">
        <f t="shared" si="18"/>
        <v>0</v>
      </c>
      <c r="BO26" s="183">
        <f t="shared" si="19"/>
        <v>0</v>
      </c>
      <c r="BR26" s="183">
        <f t="shared" si="20"/>
        <v>0</v>
      </c>
      <c r="BU26" s="183">
        <f t="shared" si="21"/>
        <v>0</v>
      </c>
      <c r="BX26" s="183">
        <f t="shared" si="22"/>
        <v>0</v>
      </c>
      <c r="CA26" s="183">
        <f t="shared" si="23"/>
        <v>0</v>
      </c>
      <c r="CD26" s="183">
        <f t="shared" si="24"/>
        <v>0</v>
      </c>
      <c r="CG26" s="183">
        <f t="shared" si="25"/>
        <v>0</v>
      </c>
      <c r="CJ26" s="183">
        <f t="shared" si="26"/>
        <v>0</v>
      </c>
      <c r="CM26" s="183">
        <f t="shared" si="27"/>
        <v>0</v>
      </c>
      <c r="CP26" s="183">
        <f t="shared" si="28"/>
        <v>0</v>
      </c>
      <c r="CS26" s="183">
        <f t="shared" si="29"/>
        <v>0</v>
      </c>
      <c r="CV26" s="183">
        <f t="shared" si="30"/>
        <v>0</v>
      </c>
      <c r="CY26" s="183">
        <f t="shared" si="31"/>
        <v>0</v>
      </c>
      <c r="DB26" s="183">
        <f t="shared" si="32"/>
        <v>0</v>
      </c>
      <c r="DE26" s="183">
        <f t="shared" si="33"/>
        <v>0</v>
      </c>
      <c r="DH26" s="183">
        <f t="shared" si="34"/>
        <v>0</v>
      </c>
      <c r="DK26" s="183">
        <f t="shared" si="35"/>
        <v>0</v>
      </c>
      <c r="DN26" s="183">
        <f t="shared" si="36"/>
        <v>0</v>
      </c>
      <c r="DQ26" s="183">
        <f t="shared" si="37"/>
        <v>0</v>
      </c>
      <c r="DT26" s="183">
        <f t="shared" si="38"/>
        <v>0</v>
      </c>
      <c r="DW26" s="183">
        <f t="shared" si="39"/>
        <v>0</v>
      </c>
      <c r="DZ26" s="183"/>
      <c r="EA26" s="183"/>
      <c r="EB26" s="214">
        <f t="shared" si="40"/>
        <v>47175000</v>
      </c>
      <c r="EC26" s="214">
        <f t="shared" si="41"/>
        <v>8975000</v>
      </c>
      <c r="ED26" s="183">
        <f t="shared" si="42"/>
        <v>830.03154027777782</v>
      </c>
      <c r="EE26" s="185">
        <f t="shared" si="43"/>
        <v>6.3341039639639649E-3</v>
      </c>
      <c r="EG26" s="214">
        <f t="shared" si="44"/>
        <v>0</v>
      </c>
      <c r="EH26" s="183">
        <f t="shared" si="45"/>
        <v>0</v>
      </c>
      <c r="EI26" s="185">
        <f t="shared" si="46"/>
        <v>0</v>
      </c>
      <c r="EJ26" s="185"/>
      <c r="EK26" s="214">
        <f t="shared" si="47"/>
        <v>38200000</v>
      </c>
      <c r="EL26" s="214">
        <f t="shared" si="48"/>
        <v>0</v>
      </c>
      <c r="EM26" s="214">
        <f t="shared" si="49"/>
        <v>604.83333333333337</v>
      </c>
      <c r="EN26" s="185">
        <f t="shared" si="50"/>
        <v>5.7000000000000002E-3</v>
      </c>
      <c r="EP26" s="183"/>
    </row>
    <row r="27" spans="1:146" x14ac:dyDescent="0.2">
      <c r="A27" s="211">
        <f t="shared" si="51"/>
        <v>44668</v>
      </c>
      <c r="B27" s="183">
        <v>8975000</v>
      </c>
      <c r="C27" s="185">
        <v>9.033020000000001E-3</v>
      </c>
      <c r="D27" s="183">
        <f t="shared" si="0"/>
        <v>225.19820694444448</v>
      </c>
      <c r="G27" s="183">
        <f t="shared" si="1"/>
        <v>0</v>
      </c>
      <c r="J27" s="183">
        <f t="shared" si="2"/>
        <v>0</v>
      </c>
      <c r="M27" s="183">
        <f t="shared" si="3"/>
        <v>0</v>
      </c>
      <c r="P27" s="183">
        <f t="shared" si="4"/>
        <v>0</v>
      </c>
      <c r="S27" s="183">
        <f t="shared" si="5"/>
        <v>0</v>
      </c>
      <c r="V27" s="183">
        <f t="shared" si="6"/>
        <v>0</v>
      </c>
      <c r="Y27" s="183">
        <f t="shared" si="7"/>
        <v>0</v>
      </c>
      <c r="AB27" s="183">
        <f t="shared" si="8"/>
        <v>0</v>
      </c>
      <c r="AE27" s="183">
        <v>0</v>
      </c>
      <c r="AH27" s="183">
        <v>0</v>
      </c>
      <c r="AI27" s="212">
        <v>38200000</v>
      </c>
      <c r="AJ27" s="213">
        <v>5.7000000000000002E-3</v>
      </c>
      <c r="AK27" s="183">
        <f t="shared" si="9"/>
        <v>604.83333333333337</v>
      </c>
      <c r="AL27" s="212"/>
      <c r="AM27" s="213"/>
      <c r="AN27" s="183">
        <f t="shared" si="10"/>
        <v>0</v>
      </c>
      <c r="AO27" s="212"/>
      <c r="AP27" s="213"/>
      <c r="AQ27" s="183">
        <f t="shared" si="11"/>
        <v>0</v>
      </c>
      <c r="AR27" s="212"/>
      <c r="AS27" s="213"/>
      <c r="AT27" s="183">
        <f t="shared" si="12"/>
        <v>0</v>
      </c>
      <c r="AW27" s="183">
        <f t="shared" si="13"/>
        <v>0</v>
      </c>
      <c r="AZ27" s="183">
        <f t="shared" si="14"/>
        <v>0</v>
      </c>
      <c r="BC27" s="183">
        <f t="shared" si="15"/>
        <v>0</v>
      </c>
      <c r="BF27" s="183">
        <f t="shared" si="16"/>
        <v>0</v>
      </c>
      <c r="BI27" s="183">
        <f t="shared" si="17"/>
        <v>0</v>
      </c>
      <c r="BL27" s="183">
        <f t="shared" si="18"/>
        <v>0</v>
      </c>
      <c r="BO27" s="183">
        <f t="shared" si="19"/>
        <v>0</v>
      </c>
      <c r="BR27" s="183">
        <f t="shared" si="20"/>
        <v>0</v>
      </c>
      <c r="BU27" s="183">
        <f t="shared" si="21"/>
        <v>0</v>
      </c>
      <c r="BX27" s="183">
        <f t="shared" si="22"/>
        <v>0</v>
      </c>
      <c r="CA27" s="183">
        <f t="shared" si="23"/>
        <v>0</v>
      </c>
      <c r="CD27" s="183">
        <f t="shared" si="24"/>
        <v>0</v>
      </c>
      <c r="CG27" s="183">
        <f t="shared" si="25"/>
        <v>0</v>
      </c>
      <c r="CJ27" s="183">
        <f t="shared" si="26"/>
        <v>0</v>
      </c>
      <c r="CM27" s="183">
        <f t="shared" si="27"/>
        <v>0</v>
      </c>
      <c r="CP27" s="183">
        <f t="shared" si="28"/>
        <v>0</v>
      </c>
      <c r="CS27" s="183">
        <f t="shared" si="29"/>
        <v>0</v>
      </c>
      <c r="CV27" s="183">
        <f t="shared" si="30"/>
        <v>0</v>
      </c>
      <c r="CY27" s="183">
        <f t="shared" si="31"/>
        <v>0</v>
      </c>
      <c r="DB27" s="183">
        <f t="shared" si="32"/>
        <v>0</v>
      </c>
      <c r="DE27" s="183">
        <f t="shared" si="33"/>
        <v>0</v>
      </c>
      <c r="DH27" s="183">
        <f t="shared" si="34"/>
        <v>0</v>
      </c>
      <c r="DK27" s="183">
        <f t="shared" si="35"/>
        <v>0</v>
      </c>
      <c r="DN27" s="183">
        <f t="shared" si="36"/>
        <v>0</v>
      </c>
      <c r="DQ27" s="183">
        <f t="shared" si="37"/>
        <v>0</v>
      </c>
      <c r="DT27" s="183">
        <f t="shared" si="38"/>
        <v>0</v>
      </c>
      <c r="DW27" s="183">
        <f t="shared" si="39"/>
        <v>0</v>
      </c>
      <c r="DZ27" s="183"/>
      <c r="EA27" s="183"/>
      <c r="EB27" s="214">
        <f t="shared" si="40"/>
        <v>47175000</v>
      </c>
      <c r="EC27" s="214">
        <f t="shared" si="41"/>
        <v>8975000</v>
      </c>
      <c r="ED27" s="183">
        <f t="shared" si="42"/>
        <v>830.03154027777782</v>
      </c>
      <c r="EE27" s="185">
        <f t="shared" si="43"/>
        <v>6.3341039639639649E-3</v>
      </c>
      <c r="EG27" s="214">
        <f t="shared" si="44"/>
        <v>0</v>
      </c>
      <c r="EH27" s="183">
        <f t="shared" si="45"/>
        <v>0</v>
      </c>
      <c r="EI27" s="185">
        <f t="shared" si="46"/>
        <v>0</v>
      </c>
      <c r="EJ27" s="185"/>
      <c r="EK27" s="214">
        <f t="shared" si="47"/>
        <v>38200000</v>
      </c>
      <c r="EL27" s="214">
        <f t="shared" si="48"/>
        <v>0</v>
      </c>
      <c r="EM27" s="214">
        <f t="shared" si="49"/>
        <v>604.83333333333337</v>
      </c>
      <c r="EN27" s="185">
        <f t="shared" si="50"/>
        <v>5.7000000000000002E-3</v>
      </c>
      <c r="EP27" s="183"/>
    </row>
    <row r="28" spans="1:146" x14ac:dyDescent="0.2">
      <c r="A28" s="211">
        <f t="shared" si="51"/>
        <v>44669</v>
      </c>
      <c r="B28" s="183">
        <v>0</v>
      </c>
      <c r="C28" s="185">
        <v>4.9962100000000001E-3</v>
      </c>
      <c r="D28" s="183">
        <f t="shared" si="0"/>
        <v>0</v>
      </c>
      <c r="G28" s="183">
        <f t="shared" si="1"/>
        <v>0</v>
      </c>
      <c r="J28" s="183">
        <f t="shared" si="2"/>
        <v>0</v>
      </c>
      <c r="M28" s="183">
        <f t="shared" si="3"/>
        <v>0</v>
      </c>
      <c r="P28" s="183">
        <f t="shared" si="4"/>
        <v>0</v>
      </c>
      <c r="S28" s="183">
        <f t="shared" si="5"/>
        <v>0</v>
      </c>
      <c r="V28" s="183">
        <f t="shared" si="6"/>
        <v>0</v>
      </c>
      <c r="Y28" s="183">
        <f t="shared" si="7"/>
        <v>0</v>
      </c>
      <c r="AB28" s="183">
        <f t="shared" si="8"/>
        <v>0</v>
      </c>
      <c r="AE28" s="183">
        <v>0</v>
      </c>
      <c r="AH28" s="183">
        <v>0</v>
      </c>
      <c r="AI28" s="212">
        <v>45450000</v>
      </c>
      <c r="AJ28" s="213">
        <v>6.0000000000000001E-3</v>
      </c>
      <c r="AK28" s="183">
        <f t="shared" si="9"/>
        <v>757.5</v>
      </c>
      <c r="AL28" s="212"/>
      <c r="AM28" s="213"/>
      <c r="AN28" s="183">
        <f t="shared" si="10"/>
        <v>0</v>
      </c>
      <c r="AO28" s="212"/>
      <c r="AP28" s="213"/>
      <c r="AQ28" s="183">
        <f t="shared" si="11"/>
        <v>0</v>
      </c>
      <c r="AR28" s="212"/>
      <c r="AS28" s="213"/>
      <c r="AT28" s="183">
        <f t="shared" si="12"/>
        <v>0</v>
      </c>
      <c r="AW28" s="183">
        <f t="shared" si="13"/>
        <v>0</v>
      </c>
      <c r="AZ28" s="183">
        <f t="shared" si="14"/>
        <v>0</v>
      </c>
      <c r="BC28" s="183">
        <f t="shared" si="15"/>
        <v>0</v>
      </c>
      <c r="BF28" s="183">
        <f t="shared" si="16"/>
        <v>0</v>
      </c>
      <c r="BI28" s="183">
        <f t="shared" si="17"/>
        <v>0</v>
      </c>
      <c r="BL28" s="183">
        <f t="shared" si="18"/>
        <v>0</v>
      </c>
      <c r="BO28" s="183">
        <f t="shared" si="19"/>
        <v>0</v>
      </c>
      <c r="BR28" s="183">
        <f t="shared" si="20"/>
        <v>0</v>
      </c>
      <c r="BU28" s="183">
        <f t="shared" si="21"/>
        <v>0</v>
      </c>
      <c r="BX28" s="183">
        <f t="shared" si="22"/>
        <v>0</v>
      </c>
      <c r="CA28" s="183">
        <f t="shared" si="23"/>
        <v>0</v>
      </c>
      <c r="CD28" s="183">
        <f t="shared" si="24"/>
        <v>0</v>
      </c>
      <c r="CG28" s="183">
        <f t="shared" si="25"/>
        <v>0</v>
      </c>
      <c r="CJ28" s="183">
        <f t="shared" si="26"/>
        <v>0</v>
      </c>
      <c r="CM28" s="183">
        <f t="shared" si="27"/>
        <v>0</v>
      </c>
      <c r="CP28" s="183">
        <f t="shared" si="28"/>
        <v>0</v>
      </c>
      <c r="CS28" s="183">
        <f t="shared" si="29"/>
        <v>0</v>
      </c>
      <c r="CV28" s="183">
        <f t="shared" si="30"/>
        <v>0</v>
      </c>
      <c r="CY28" s="183">
        <f t="shared" si="31"/>
        <v>0</v>
      </c>
      <c r="DB28" s="183">
        <f t="shared" si="32"/>
        <v>0</v>
      </c>
      <c r="DE28" s="183">
        <f t="shared" si="33"/>
        <v>0</v>
      </c>
      <c r="DH28" s="183">
        <f t="shared" si="34"/>
        <v>0</v>
      </c>
      <c r="DK28" s="183">
        <f t="shared" si="35"/>
        <v>0</v>
      </c>
      <c r="DN28" s="183">
        <f t="shared" si="36"/>
        <v>0</v>
      </c>
      <c r="DQ28" s="183">
        <f t="shared" si="37"/>
        <v>0</v>
      </c>
      <c r="DT28" s="183">
        <f t="shared" si="38"/>
        <v>0</v>
      </c>
      <c r="DW28" s="183">
        <f t="shared" si="39"/>
        <v>0</v>
      </c>
      <c r="DZ28" s="183"/>
      <c r="EA28" s="183"/>
      <c r="EB28" s="214">
        <f t="shared" si="40"/>
        <v>45450000</v>
      </c>
      <c r="EC28" s="214">
        <f t="shared" si="41"/>
        <v>0</v>
      </c>
      <c r="ED28" s="183">
        <f t="shared" si="42"/>
        <v>757.5</v>
      </c>
      <c r="EE28" s="185">
        <f t="shared" si="43"/>
        <v>6.0000000000000001E-3</v>
      </c>
      <c r="EG28" s="214">
        <f t="shared" si="44"/>
        <v>0</v>
      </c>
      <c r="EH28" s="183">
        <f t="shared" si="45"/>
        <v>0</v>
      </c>
      <c r="EI28" s="185">
        <f t="shared" si="46"/>
        <v>0</v>
      </c>
      <c r="EJ28" s="185"/>
      <c r="EK28" s="214">
        <f t="shared" si="47"/>
        <v>45450000</v>
      </c>
      <c r="EL28" s="214">
        <f t="shared" si="48"/>
        <v>0</v>
      </c>
      <c r="EM28" s="214">
        <f t="shared" si="49"/>
        <v>757.5</v>
      </c>
      <c r="EN28" s="185">
        <f t="shared" si="50"/>
        <v>6.0000000000000001E-3</v>
      </c>
      <c r="EP28" s="183"/>
    </row>
    <row r="29" spans="1:146" x14ac:dyDescent="0.2">
      <c r="A29" s="211">
        <f t="shared" si="51"/>
        <v>44670</v>
      </c>
      <c r="B29" s="183">
        <v>36175000</v>
      </c>
      <c r="C29" s="185">
        <v>5.0063899999999995E-3</v>
      </c>
      <c r="D29" s="183">
        <f t="shared" si="0"/>
        <v>503.07266180555547</v>
      </c>
      <c r="G29" s="183">
        <f t="shared" si="1"/>
        <v>0</v>
      </c>
      <c r="J29" s="183">
        <f t="shared" si="2"/>
        <v>0</v>
      </c>
      <c r="M29" s="183">
        <f t="shared" si="3"/>
        <v>0</v>
      </c>
      <c r="P29" s="183">
        <f t="shared" si="4"/>
        <v>0</v>
      </c>
      <c r="S29" s="183">
        <f t="shared" si="5"/>
        <v>0</v>
      </c>
      <c r="V29" s="183">
        <f t="shared" si="6"/>
        <v>0</v>
      </c>
      <c r="Y29" s="183">
        <f t="shared" si="7"/>
        <v>0</v>
      </c>
      <c r="AB29" s="183">
        <f t="shared" si="8"/>
        <v>0</v>
      </c>
      <c r="AE29" s="183">
        <v>0</v>
      </c>
      <c r="AH29" s="183">
        <v>0</v>
      </c>
      <c r="AI29" s="212">
        <v>30500000</v>
      </c>
      <c r="AJ29" s="213">
        <v>6.0000000000000001E-3</v>
      </c>
      <c r="AK29" s="183">
        <f t="shared" si="9"/>
        <v>508.33333333333331</v>
      </c>
      <c r="AL29" s="212"/>
      <c r="AM29" s="213"/>
      <c r="AN29" s="183">
        <f t="shared" si="10"/>
        <v>0</v>
      </c>
      <c r="AO29" s="212"/>
      <c r="AP29" s="213"/>
      <c r="AQ29" s="183">
        <f t="shared" si="11"/>
        <v>0</v>
      </c>
      <c r="AR29" s="212"/>
      <c r="AS29" s="213"/>
      <c r="AT29" s="183">
        <f t="shared" si="12"/>
        <v>0</v>
      </c>
      <c r="AW29" s="183">
        <f t="shared" si="13"/>
        <v>0</v>
      </c>
      <c r="AZ29" s="183">
        <f t="shared" si="14"/>
        <v>0</v>
      </c>
      <c r="BC29" s="183">
        <f t="shared" si="15"/>
        <v>0</v>
      </c>
      <c r="BF29" s="183">
        <f t="shared" si="16"/>
        <v>0</v>
      </c>
      <c r="BI29" s="183">
        <f t="shared" si="17"/>
        <v>0</v>
      </c>
      <c r="BL29" s="183">
        <f t="shared" si="18"/>
        <v>0</v>
      </c>
      <c r="BO29" s="183">
        <f t="shared" si="19"/>
        <v>0</v>
      </c>
      <c r="BR29" s="183">
        <f t="shared" si="20"/>
        <v>0</v>
      </c>
      <c r="BU29" s="183">
        <f t="shared" si="21"/>
        <v>0</v>
      </c>
      <c r="BX29" s="183">
        <f t="shared" si="22"/>
        <v>0</v>
      </c>
      <c r="CA29" s="183">
        <f t="shared" si="23"/>
        <v>0</v>
      </c>
      <c r="CD29" s="183">
        <f t="shared" si="24"/>
        <v>0</v>
      </c>
      <c r="CG29" s="183">
        <f t="shared" si="25"/>
        <v>0</v>
      </c>
      <c r="CJ29" s="183">
        <f t="shared" si="26"/>
        <v>0</v>
      </c>
      <c r="CM29" s="183">
        <f t="shared" si="27"/>
        <v>0</v>
      </c>
      <c r="CP29" s="183">
        <f t="shared" si="28"/>
        <v>0</v>
      </c>
      <c r="CS29" s="183">
        <f t="shared" si="29"/>
        <v>0</v>
      </c>
      <c r="CV29" s="183">
        <f t="shared" si="30"/>
        <v>0</v>
      </c>
      <c r="CY29" s="183">
        <f t="shared" si="31"/>
        <v>0</v>
      </c>
      <c r="DB29" s="183">
        <f t="shared" si="32"/>
        <v>0</v>
      </c>
      <c r="DE29" s="183">
        <f t="shared" si="33"/>
        <v>0</v>
      </c>
      <c r="DH29" s="183">
        <f t="shared" si="34"/>
        <v>0</v>
      </c>
      <c r="DK29" s="183">
        <f t="shared" si="35"/>
        <v>0</v>
      </c>
      <c r="DN29" s="183">
        <f t="shared" si="36"/>
        <v>0</v>
      </c>
      <c r="DQ29" s="183">
        <f t="shared" si="37"/>
        <v>0</v>
      </c>
      <c r="DT29" s="183">
        <f t="shared" si="38"/>
        <v>0</v>
      </c>
      <c r="DW29" s="183">
        <f t="shared" si="39"/>
        <v>0</v>
      </c>
      <c r="DZ29" s="183"/>
      <c r="EA29" s="183"/>
      <c r="EB29" s="214">
        <f t="shared" si="40"/>
        <v>66675000</v>
      </c>
      <c r="EC29" s="214">
        <f t="shared" si="41"/>
        <v>36175000</v>
      </c>
      <c r="ED29" s="183">
        <f t="shared" si="42"/>
        <v>1011.4059951388888</v>
      </c>
      <c r="EE29" s="185">
        <f t="shared" si="43"/>
        <v>5.4609097600299954E-3</v>
      </c>
      <c r="EG29" s="214">
        <f t="shared" si="44"/>
        <v>0</v>
      </c>
      <c r="EH29" s="183">
        <f t="shared" si="45"/>
        <v>0</v>
      </c>
      <c r="EI29" s="185">
        <f t="shared" si="46"/>
        <v>0</v>
      </c>
      <c r="EJ29" s="185"/>
      <c r="EK29" s="214">
        <f t="shared" si="47"/>
        <v>30500000</v>
      </c>
      <c r="EL29" s="214">
        <f t="shared" si="48"/>
        <v>0</v>
      </c>
      <c r="EM29" s="214">
        <f t="shared" si="49"/>
        <v>508.33333333333331</v>
      </c>
      <c r="EN29" s="185">
        <f t="shared" si="50"/>
        <v>6.0000000000000001E-3</v>
      </c>
      <c r="EP29" s="183"/>
    </row>
    <row r="30" spans="1:146" x14ac:dyDescent="0.2">
      <c r="A30" s="211">
        <f t="shared" si="51"/>
        <v>44671</v>
      </c>
      <c r="B30" s="183">
        <v>36175000</v>
      </c>
      <c r="C30" s="185">
        <v>6.9443400000000002E-3</v>
      </c>
      <c r="D30" s="183">
        <f t="shared" si="0"/>
        <v>697.80972083333336</v>
      </c>
      <c r="G30" s="183">
        <f t="shared" si="1"/>
        <v>0</v>
      </c>
      <c r="J30" s="183">
        <f t="shared" si="2"/>
        <v>0</v>
      </c>
      <c r="M30" s="183">
        <f t="shared" si="3"/>
        <v>0</v>
      </c>
      <c r="P30" s="183">
        <f t="shared" si="4"/>
        <v>0</v>
      </c>
      <c r="S30" s="183">
        <f t="shared" si="5"/>
        <v>0</v>
      </c>
      <c r="V30" s="183">
        <f t="shared" si="6"/>
        <v>0</v>
      </c>
      <c r="Y30" s="183">
        <f t="shared" si="7"/>
        <v>0</v>
      </c>
      <c r="AB30" s="183">
        <f t="shared" si="8"/>
        <v>0</v>
      </c>
      <c r="AE30" s="183">
        <v>0</v>
      </c>
      <c r="AH30" s="183">
        <v>0</v>
      </c>
      <c r="AI30" s="212">
        <v>43100000</v>
      </c>
      <c r="AJ30" s="213">
        <v>6.0000000000000001E-3</v>
      </c>
      <c r="AK30" s="183">
        <f t="shared" si="9"/>
        <v>718.33333333333337</v>
      </c>
      <c r="AL30" s="212"/>
      <c r="AM30" s="213"/>
      <c r="AN30" s="183">
        <f t="shared" si="10"/>
        <v>0</v>
      </c>
      <c r="AO30" s="212"/>
      <c r="AP30" s="213"/>
      <c r="AQ30" s="183">
        <f t="shared" si="11"/>
        <v>0</v>
      </c>
      <c r="AR30" s="212"/>
      <c r="AS30" s="213"/>
      <c r="AT30" s="183">
        <f t="shared" si="12"/>
        <v>0</v>
      </c>
      <c r="AW30" s="183">
        <f t="shared" si="13"/>
        <v>0</v>
      </c>
      <c r="AZ30" s="183">
        <f t="shared" si="14"/>
        <v>0</v>
      </c>
      <c r="BC30" s="183">
        <f t="shared" si="15"/>
        <v>0</v>
      </c>
      <c r="BF30" s="183">
        <f t="shared" si="16"/>
        <v>0</v>
      </c>
      <c r="BI30" s="183">
        <f t="shared" si="17"/>
        <v>0</v>
      </c>
      <c r="BL30" s="183">
        <f t="shared" si="18"/>
        <v>0</v>
      </c>
      <c r="BO30" s="183">
        <f t="shared" si="19"/>
        <v>0</v>
      </c>
      <c r="BR30" s="183">
        <f t="shared" si="20"/>
        <v>0</v>
      </c>
      <c r="BU30" s="183">
        <f t="shared" si="21"/>
        <v>0</v>
      </c>
      <c r="BX30" s="183">
        <f t="shared" si="22"/>
        <v>0</v>
      </c>
      <c r="CA30" s="183">
        <f t="shared" si="23"/>
        <v>0</v>
      </c>
      <c r="CD30" s="183">
        <f t="shared" si="24"/>
        <v>0</v>
      </c>
      <c r="CG30" s="183">
        <f t="shared" si="25"/>
        <v>0</v>
      </c>
      <c r="CJ30" s="183">
        <f t="shared" si="26"/>
        <v>0</v>
      </c>
      <c r="CM30" s="183">
        <f t="shared" si="27"/>
        <v>0</v>
      </c>
      <c r="CP30" s="183">
        <f t="shared" si="28"/>
        <v>0</v>
      </c>
      <c r="CS30" s="183">
        <f t="shared" si="29"/>
        <v>0</v>
      </c>
      <c r="CV30" s="183">
        <f t="shared" si="30"/>
        <v>0</v>
      </c>
      <c r="CY30" s="183">
        <f t="shared" si="31"/>
        <v>0</v>
      </c>
      <c r="DB30" s="183">
        <f t="shared" si="32"/>
        <v>0</v>
      </c>
      <c r="DE30" s="183">
        <f t="shared" si="33"/>
        <v>0</v>
      </c>
      <c r="DH30" s="183">
        <f t="shared" si="34"/>
        <v>0</v>
      </c>
      <c r="DK30" s="183">
        <f t="shared" si="35"/>
        <v>0</v>
      </c>
      <c r="DN30" s="183">
        <f t="shared" si="36"/>
        <v>0</v>
      </c>
      <c r="DQ30" s="183">
        <f t="shared" si="37"/>
        <v>0</v>
      </c>
      <c r="DT30" s="183">
        <f t="shared" si="38"/>
        <v>0</v>
      </c>
      <c r="DW30" s="183">
        <f t="shared" si="39"/>
        <v>0</v>
      </c>
      <c r="DZ30" s="183"/>
      <c r="EA30" s="183"/>
      <c r="EB30" s="214">
        <f t="shared" si="40"/>
        <v>79275000</v>
      </c>
      <c r="EC30" s="214">
        <f t="shared" si="41"/>
        <v>36175000</v>
      </c>
      <c r="ED30" s="183">
        <f t="shared" si="42"/>
        <v>1416.1430541666668</v>
      </c>
      <c r="EE30" s="185">
        <f t="shared" si="43"/>
        <v>6.4309239924314112E-3</v>
      </c>
      <c r="EG30" s="214">
        <f t="shared" si="44"/>
        <v>0</v>
      </c>
      <c r="EH30" s="183">
        <f t="shared" si="45"/>
        <v>0</v>
      </c>
      <c r="EI30" s="185">
        <f t="shared" si="46"/>
        <v>0</v>
      </c>
      <c r="EJ30" s="185"/>
      <c r="EK30" s="214">
        <f t="shared" si="47"/>
        <v>43100000</v>
      </c>
      <c r="EL30" s="214">
        <f t="shared" si="48"/>
        <v>0</v>
      </c>
      <c r="EM30" s="214">
        <f t="shared" si="49"/>
        <v>718.33333333333337</v>
      </c>
      <c r="EN30" s="185">
        <f t="shared" si="50"/>
        <v>6.0000000000000001E-3</v>
      </c>
      <c r="EP30" s="183"/>
    </row>
    <row r="31" spans="1:146" x14ac:dyDescent="0.2">
      <c r="A31" s="211">
        <f t="shared" si="51"/>
        <v>44672</v>
      </c>
      <c r="B31" s="183">
        <v>0</v>
      </c>
      <c r="C31" s="185">
        <v>5.1986900000000006E-3</v>
      </c>
      <c r="D31" s="183">
        <f t="shared" si="0"/>
        <v>0</v>
      </c>
      <c r="G31" s="183">
        <f t="shared" si="1"/>
        <v>0</v>
      </c>
      <c r="J31" s="183">
        <f t="shared" si="2"/>
        <v>0</v>
      </c>
      <c r="M31" s="183">
        <f t="shared" si="3"/>
        <v>0</v>
      </c>
      <c r="P31" s="183">
        <f t="shared" si="4"/>
        <v>0</v>
      </c>
      <c r="S31" s="183">
        <f t="shared" si="5"/>
        <v>0</v>
      </c>
      <c r="V31" s="183">
        <f t="shared" si="6"/>
        <v>0</v>
      </c>
      <c r="Y31" s="183">
        <f t="shared" si="7"/>
        <v>0</v>
      </c>
      <c r="AB31" s="183">
        <f t="shared" si="8"/>
        <v>0</v>
      </c>
      <c r="AE31" s="183">
        <v>0</v>
      </c>
      <c r="AH31" s="183">
        <v>0</v>
      </c>
      <c r="AI31" s="212">
        <v>70400000</v>
      </c>
      <c r="AJ31" s="213">
        <v>6.0000000000000001E-3</v>
      </c>
      <c r="AK31" s="183">
        <f t="shared" si="9"/>
        <v>1173.3333333333333</v>
      </c>
      <c r="AL31" s="212"/>
      <c r="AM31" s="213"/>
      <c r="AN31" s="183">
        <f t="shared" si="10"/>
        <v>0</v>
      </c>
      <c r="AO31" s="212"/>
      <c r="AP31" s="213"/>
      <c r="AQ31" s="183">
        <f t="shared" si="11"/>
        <v>0</v>
      </c>
      <c r="AR31" s="212"/>
      <c r="AS31" s="213"/>
      <c r="AT31" s="183">
        <f t="shared" si="12"/>
        <v>0</v>
      </c>
      <c r="AW31" s="183">
        <f t="shared" si="13"/>
        <v>0</v>
      </c>
      <c r="AZ31" s="183">
        <f t="shared" si="14"/>
        <v>0</v>
      </c>
      <c r="BC31" s="183">
        <f t="shared" si="15"/>
        <v>0</v>
      </c>
      <c r="BF31" s="183">
        <f t="shared" si="16"/>
        <v>0</v>
      </c>
      <c r="BI31" s="183">
        <f t="shared" si="17"/>
        <v>0</v>
      </c>
      <c r="BL31" s="183">
        <f t="shared" si="18"/>
        <v>0</v>
      </c>
      <c r="BO31" s="183">
        <f t="shared" si="19"/>
        <v>0</v>
      </c>
      <c r="BR31" s="183">
        <f t="shared" si="20"/>
        <v>0</v>
      </c>
      <c r="BU31" s="183">
        <f t="shared" si="21"/>
        <v>0</v>
      </c>
      <c r="BX31" s="183">
        <f t="shared" si="22"/>
        <v>0</v>
      </c>
      <c r="CA31" s="183">
        <f t="shared" si="23"/>
        <v>0</v>
      </c>
      <c r="CD31" s="183">
        <f t="shared" si="24"/>
        <v>0</v>
      </c>
      <c r="CG31" s="183">
        <f t="shared" si="25"/>
        <v>0</v>
      </c>
      <c r="CJ31" s="183">
        <f t="shared" si="26"/>
        <v>0</v>
      </c>
      <c r="CM31" s="183">
        <f t="shared" si="27"/>
        <v>0</v>
      </c>
      <c r="CP31" s="183">
        <f t="shared" si="28"/>
        <v>0</v>
      </c>
      <c r="CS31" s="183">
        <f t="shared" si="29"/>
        <v>0</v>
      </c>
      <c r="CV31" s="183">
        <f t="shared" si="30"/>
        <v>0</v>
      </c>
      <c r="CY31" s="183">
        <f t="shared" si="31"/>
        <v>0</v>
      </c>
      <c r="DB31" s="183">
        <f t="shared" si="32"/>
        <v>0</v>
      </c>
      <c r="DE31" s="183">
        <f t="shared" si="33"/>
        <v>0</v>
      </c>
      <c r="DH31" s="183">
        <f t="shared" si="34"/>
        <v>0</v>
      </c>
      <c r="DK31" s="183">
        <f t="shared" si="35"/>
        <v>0</v>
      </c>
      <c r="DN31" s="183">
        <f t="shared" si="36"/>
        <v>0</v>
      </c>
      <c r="DQ31" s="183">
        <f t="shared" si="37"/>
        <v>0</v>
      </c>
      <c r="DT31" s="183">
        <f t="shared" si="38"/>
        <v>0</v>
      </c>
      <c r="DW31" s="183">
        <f t="shared" si="39"/>
        <v>0</v>
      </c>
      <c r="DZ31" s="183"/>
      <c r="EA31" s="183"/>
      <c r="EB31" s="214">
        <f t="shared" si="40"/>
        <v>70400000</v>
      </c>
      <c r="EC31" s="214">
        <f t="shared" si="41"/>
        <v>0</v>
      </c>
      <c r="ED31" s="183">
        <f t="shared" si="42"/>
        <v>1173.3333333333333</v>
      </c>
      <c r="EE31" s="185">
        <f t="shared" si="43"/>
        <v>5.9999999999999993E-3</v>
      </c>
      <c r="EG31" s="214">
        <f t="shared" si="44"/>
        <v>0</v>
      </c>
      <c r="EH31" s="183">
        <f t="shared" si="45"/>
        <v>0</v>
      </c>
      <c r="EI31" s="185">
        <f t="shared" si="46"/>
        <v>0</v>
      </c>
      <c r="EJ31" s="185"/>
      <c r="EK31" s="214">
        <f t="shared" si="47"/>
        <v>70400000</v>
      </c>
      <c r="EL31" s="214">
        <f t="shared" si="48"/>
        <v>0</v>
      </c>
      <c r="EM31" s="214">
        <f t="shared" si="49"/>
        <v>1173.3333333333333</v>
      </c>
      <c r="EN31" s="185">
        <f t="shared" si="50"/>
        <v>5.9999999999999993E-3</v>
      </c>
      <c r="EP31" s="183"/>
    </row>
    <row r="32" spans="1:146" x14ac:dyDescent="0.2">
      <c r="A32" s="211">
        <f t="shared" si="51"/>
        <v>44673</v>
      </c>
      <c r="B32" s="183">
        <v>0</v>
      </c>
      <c r="C32" s="185">
        <v>6.8392699999999997E-3</v>
      </c>
      <c r="D32" s="183">
        <f t="shared" si="0"/>
        <v>0</v>
      </c>
      <c r="G32" s="183">
        <f t="shared" si="1"/>
        <v>0</v>
      </c>
      <c r="J32" s="183">
        <f t="shared" si="2"/>
        <v>0</v>
      </c>
      <c r="M32" s="183">
        <f t="shared" si="3"/>
        <v>0</v>
      </c>
      <c r="P32" s="183">
        <f t="shared" si="4"/>
        <v>0</v>
      </c>
      <c r="S32" s="183">
        <f t="shared" si="5"/>
        <v>0</v>
      </c>
      <c r="V32" s="183">
        <f t="shared" si="6"/>
        <v>0</v>
      </c>
      <c r="Y32" s="183">
        <f t="shared" si="7"/>
        <v>0</v>
      </c>
      <c r="AB32" s="183">
        <f t="shared" si="8"/>
        <v>0</v>
      </c>
      <c r="AE32" s="183">
        <v>0</v>
      </c>
      <c r="AH32" s="183">
        <v>0</v>
      </c>
      <c r="AI32" s="212">
        <v>75150000</v>
      </c>
      <c r="AJ32" s="213">
        <v>6.0000000000000001E-3</v>
      </c>
      <c r="AK32" s="183">
        <f t="shared" si="9"/>
        <v>1252.5</v>
      </c>
      <c r="AL32" s="212"/>
      <c r="AM32" s="213"/>
      <c r="AN32" s="183">
        <f t="shared" si="10"/>
        <v>0</v>
      </c>
      <c r="AO32" s="212"/>
      <c r="AP32" s="213"/>
      <c r="AQ32" s="183">
        <f t="shared" si="11"/>
        <v>0</v>
      </c>
      <c r="AR32" s="212"/>
      <c r="AS32" s="213"/>
      <c r="AT32" s="183">
        <f t="shared" si="12"/>
        <v>0</v>
      </c>
      <c r="AW32" s="183">
        <f t="shared" si="13"/>
        <v>0</v>
      </c>
      <c r="AZ32" s="183">
        <f t="shared" si="14"/>
        <v>0</v>
      </c>
      <c r="BC32" s="183">
        <f t="shared" si="15"/>
        <v>0</v>
      </c>
      <c r="BF32" s="183">
        <f t="shared" si="16"/>
        <v>0</v>
      </c>
      <c r="BI32" s="183">
        <f t="shared" si="17"/>
        <v>0</v>
      </c>
      <c r="BL32" s="183">
        <f t="shared" si="18"/>
        <v>0</v>
      </c>
      <c r="BO32" s="183">
        <f t="shared" si="19"/>
        <v>0</v>
      </c>
      <c r="BR32" s="183">
        <f t="shared" si="20"/>
        <v>0</v>
      </c>
      <c r="BU32" s="183">
        <f t="shared" si="21"/>
        <v>0</v>
      </c>
      <c r="BX32" s="183">
        <f t="shared" si="22"/>
        <v>0</v>
      </c>
      <c r="CA32" s="183">
        <f t="shared" si="23"/>
        <v>0</v>
      </c>
      <c r="CD32" s="183">
        <f t="shared" si="24"/>
        <v>0</v>
      </c>
      <c r="CG32" s="183">
        <f t="shared" si="25"/>
        <v>0</v>
      </c>
      <c r="CJ32" s="183">
        <f t="shared" si="26"/>
        <v>0</v>
      </c>
      <c r="CM32" s="183">
        <f t="shared" si="27"/>
        <v>0</v>
      </c>
      <c r="CP32" s="183">
        <f t="shared" si="28"/>
        <v>0</v>
      </c>
      <c r="CS32" s="183">
        <f t="shared" si="29"/>
        <v>0</v>
      </c>
      <c r="CV32" s="183">
        <f t="shared" si="30"/>
        <v>0</v>
      </c>
      <c r="CY32" s="183">
        <f t="shared" si="31"/>
        <v>0</v>
      </c>
      <c r="DB32" s="183">
        <f t="shared" si="32"/>
        <v>0</v>
      </c>
      <c r="DE32" s="183">
        <f t="shared" si="33"/>
        <v>0</v>
      </c>
      <c r="DH32" s="183">
        <f t="shared" si="34"/>
        <v>0</v>
      </c>
      <c r="DK32" s="183">
        <f t="shared" si="35"/>
        <v>0</v>
      </c>
      <c r="DN32" s="183">
        <f t="shared" si="36"/>
        <v>0</v>
      </c>
      <c r="DQ32" s="183">
        <f t="shared" si="37"/>
        <v>0</v>
      </c>
      <c r="DT32" s="183">
        <f t="shared" si="38"/>
        <v>0</v>
      </c>
      <c r="DW32" s="183">
        <f t="shared" si="39"/>
        <v>0</v>
      </c>
      <c r="DZ32" s="183"/>
      <c r="EA32" s="183"/>
      <c r="EB32" s="214">
        <f t="shared" si="40"/>
        <v>75150000</v>
      </c>
      <c r="EC32" s="214">
        <f t="shared" si="41"/>
        <v>0</v>
      </c>
      <c r="ED32" s="183">
        <f t="shared" si="42"/>
        <v>1252.5</v>
      </c>
      <c r="EE32" s="185">
        <f t="shared" si="43"/>
        <v>6.0000000000000001E-3</v>
      </c>
      <c r="EG32" s="214">
        <f t="shared" si="44"/>
        <v>0</v>
      </c>
      <c r="EH32" s="183">
        <f t="shared" si="45"/>
        <v>0</v>
      </c>
      <c r="EI32" s="185">
        <f t="shared" si="46"/>
        <v>0</v>
      </c>
      <c r="EJ32" s="185"/>
      <c r="EK32" s="214">
        <f t="shared" si="47"/>
        <v>75150000</v>
      </c>
      <c r="EL32" s="214">
        <f t="shared" si="48"/>
        <v>0</v>
      </c>
      <c r="EM32" s="214">
        <f t="shared" si="49"/>
        <v>1252.5</v>
      </c>
      <c r="EN32" s="185">
        <f t="shared" si="50"/>
        <v>6.0000000000000001E-3</v>
      </c>
      <c r="EP32" s="183"/>
    </row>
    <row r="33" spans="1:146" x14ac:dyDescent="0.2">
      <c r="A33" s="211">
        <f t="shared" si="51"/>
        <v>44674</v>
      </c>
      <c r="B33" s="183">
        <v>0</v>
      </c>
      <c r="C33" s="185">
        <v>6.8392699999999997E-3</v>
      </c>
      <c r="D33" s="183">
        <f t="shared" si="0"/>
        <v>0</v>
      </c>
      <c r="G33" s="183">
        <f t="shared" si="1"/>
        <v>0</v>
      </c>
      <c r="J33" s="183">
        <f t="shared" si="2"/>
        <v>0</v>
      </c>
      <c r="M33" s="183">
        <f t="shared" si="3"/>
        <v>0</v>
      </c>
      <c r="P33" s="183">
        <f t="shared" si="4"/>
        <v>0</v>
      </c>
      <c r="S33" s="183">
        <f t="shared" si="5"/>
        <v>0</v>
      </c>
      <c r="V33" s="183">
        <f t="shared" si="6"/>
        <v>0</v>
      </c>
      <c r="Y33" s="183">
        <f t="shared" si="7"/>
        <v>0</v>
      </c>
      <c r="AB33" s="183">
        <f t="shared" si="8"/>
        <v>0</v>
      </c>
      <c r="AE33" s="183">
        <v>0</v>
      </c>
      <c r="AH33" s="183">
        <v>0</v>
      </c>
      <c r="AI33" s="212">
        <v>75150000</v>
      </c>
      <c r="AJ33" s="213">
        <v>6.0000000000000001E-3</v>
      </c>
      <c r="AK33" s="183">
        <f t="shared" si="9"/>
        <v>1252.5</v>
      </c>
      <c r="AL33" s="212"/>
      <c r="AM33" s="213"/>
      <c r="AN33" s="183">
        <f t="shared" si="10"/>
        <v>0</v>
      </c>
      <c r="AO33" s="212"/>
      <c r="AP33" s="213"/>
      <c r="AQ33" s="183">
        <f t="shared" si="11"/>
        <v>0</v>
      </c>
      <c r="AR33" s="212"/>
      <c r="AS33" s="213"/>
      <c r="AT33" s="183">
        <f t="shared" si="12"/>
        <v>0</v>
      </c>
      <c r="AW33" s="183">
        <f t="shared" si="13"/>
        <v>0</v>
      </c>
      <c r="AZ33" s="183">
        <f t="shared" si="14"/>
        <v>0</v>
      </c>
      <c r="BC33" s="183">
        <f t="shared" si="15"/>
        <v>0</v>
      </c>
      <c r="BF33" s="183">
        <f t="shared" si="16"/>
        <v>0</v>
      </c>
      <c r="BI33" s="183">
        <f t="shared" si="17"/>
        <v>0</v>
      </c>
      <c r="BL33" s="183">
        <f t="shared" si="18"/>
        <v>0</v>
      </c>
      <c r="BO33" s="183">
        <f t="shared" si="19"/>
        <v>0</v>
      </c>
      <c r="BR33" s="183">
        <f t="shared" si="20"/>
        <v>0</v>
      </c>
      <c r="BU33" s="183">
        <f t="shared" si="21"/>
        <v>0</v>
      </c>
      <c r="BX33" s="183">
        <f t="shared" si="22"/>
        <v>0</v>
      </c>
      <c r="CA33" s="183">
        <f t="shared" si="23"/>
        <v>0</v>
      </c>
      <c r="CD33" s="183">
        <f t="shared" si="24"/>
        <v>0</v>
      </c>
      <c r="CG33" s="183">
        <f t="shared" si="25"/>
        <v>0</v>
      </c>
      <c r="CJ33" s="183">
        <f t="shared" si="26"/>
        <v>0</v>
      </c>
      <c r="CM33" s="183">
        <f t="shared" si="27"/>
        <v>0</v>
      </c>
      <c r="CP33" s="183">
        <f t="shared" si="28"/>
        <v>0</v>
      </c>
      <c r="CS33" s="183">
        <f t="shared" si="29"/>
        <v>0</v>
      </c>
      <c r="CV33" s="183">
        <f t="shared" si="30"/>
        <v>0</v>
      </c>
      <c r="CY33" s="183">
        <f t="shared" si="31"/>
        <v>0</v>
      </c>
      <c r="DB33" s="183">
        <f t="shared" si="32"/>
        <v>0</v>
      </c>
      <c r="DE33" s="183">
        <f t="shared" si="33"/>
        <v>0</v>
      </c>
      <c r="DH33" s="183">
        <f t="shared" si="34"/>
        <v>0</v>
      </c>
      <c r="DK33" s="183">
        <f t="shared" si="35"/>
        <v>0</v>
      </c>
      <c r="DN33" s="183">
        <f t="shared" si="36"/>
        <v>0</v>
      </c>
      <c r="DQ33" s="183">
        <f t="shared" si="37"/>
        <v>0</v>
      </c>
      <c r="DT33" s="183">
        <f t="shared" si="38"/>
        <v>0</v>
      </c>
      <c r="DW33" s="183">
        <f t="shared" si="39"/>
        <v>0</v>
      </c>
      <c r="DZ33" s="183"/>
      <c r="EA33" s="183"/>
      <c r="EB33" s="214">
        <f t="shared" si="40"/>
        <v>75150000</v>
      </c>
      <c r="EC33" s="214">
        <f t="shared" si="41"/>
        <v>0</v>
      </c>
      <c r="ED33" s="183">
        <f t="shared" si="42"/>
        <v>1252.5</v>
      </c>
      <c r="EE33" s="185">
        <f t="shared" si="43"/>
        <v>6.0000000000000001E-3</v>
      </c>
      <c r="EG33" s="214">
        <f t="shared" si="44"/>
        <v>0</v>
      </c>
      <c r="EH33" s="183">
        <f t="shared" si="45"/>
        <v>0</v>
      </c>
      <c r="EI33" s="185">
        <f t="shared" si="46"/>
        <v>0</v>
      </c>
      <c r="EJ33" s="185"/>
      <c r="EK33" s="214">
        <f t="shared" si="47"/>
        <v>75150000</v>
      </c>
      <c r="EL33" s="214">
        <f t="shared" si="48"/>
        <v>0</v>
      </c>
      <c r="EM33" s="214">
        <f t="shared" si="49"/>
        <v>1252.5</v>
      </c>
      <c r="EN33" s="185">
        <f t="shared" si="50"/>
        <v>6.0000000000000001E-3</v>
      </c>
      <c r="EP33" s="183"/>
    </row>
    <row r="34" spans="1:146" x14ac:dyDescent="0.2">
      <c r="A34" s="211">
        <f t="shared" si="51"/>
        <v>44675</v>
      </c>
      <c r="B34" s="183">
        <v>0</v>
      </c>
      <c r="C34" s="185">
        <v>6.8392699999999997E-3</v>
      </c>
      <c r="D34" s="183">
        <f t="shared" si="0"/>
        <v>0</v>
      </c>
      <c r="G34" s="183">
        <f t="shared" si="1"/>
        <v>0</v>
      </c>
      <c r="J34" s="183">
        <f t="shared" si="2"/>
        <v>0</v>
      </c>
      <c r="M34" s="183">
        <f t="shared" si="3"/>
        <v>0</v>
      </c>
      <c r="P34" s="183">
        <f t="shared" si="4"/>
        <v>0</v>
      </c>
      <c r="S34" s="183">
        <f t="shared" si="5"/>
        <v>0</v>
      </c>
      <c r="V34" s="183">
        <f t="shared" si="6"/>
        <v>0</v>
      </c>
      <c r="Y34" s="183">
        <f t="shared" si="7"/>
        <v>0</v>
      </c>
      <c r="AB34" s="183">
        <f t="shared" si="8"/>
        <v>0</v>
      </c>
      <c r="AE34" s="183">
        <v>0</v>
      </c>
      <c r="AH34" s="183">
        <v>0</v>
      </c>
      <c r="AI34" s="212">
        <v>75150000</v>
      </c>
      <c r="AJ34" s="213">
        <v>6.0000000000000001E-3</v>
      </c>
      <c r="AK34" s="183">
        <f t="shared" si="9"/>
        <v>1252.5</v>
      </c>
      <c r="AL34" s="212"/>
      <c r="AM34" s="213"/>
      <c r="AN34" s="183">
        <f t="shared" si="10"/>
        <v>0</v>
      </c>
      <c r="AO34" s="212"/>
      <c r="AP34" s="213"/>
      <c r="AQ34" s="183">
        <f t="shared" si="11"/>
        <v>0</v>
      </c>
      <c r="AR34" s="212"/>
      <c r="AS34" s="213"/>
      <c r="AT34" s="183">
        <f t="shared" si="12"/>
        <v>0</v>
      </c>
      <c r="AW34" s="183">
        <f t="shared" si="13"/>
        <v>0</v>
      </c>
      <c r="AZ34" s="183">
        <f t="shared" si="14"/>
        <v>0</v>
      </c>
      <c r="BC34" s="183">
        <f t="shared" si="15"/>
        <v>0</v>
      </c>
      <c r="BF34" s="183">
        <f t="shared" si="16"/>
        <v>0</v>
      </c>
      <c r="BI34" s="183">
        <f t="shared" si="17"/>
        <v>0</v>
      </c>
      <c r="BL34" s="183">
        <f t="shared" si="18"/>
        <v>0</v>
      </c>
      <c r="BO34" s="183">
        <f t="shared" si="19"/>
        <v>0</v>
      </c>
      <c r="BR34" s="183">
        <f t="shared" si="20"/>
        <v>0</v>
      </c>
      <c r="BU34" s="183">
        <f t="shared" si="21"/>
        <v>0</v>
      </c>
      <c r="BX34" s="183">
        <f t="shared" si="22"/>
        <v>0</v>
      </c>
      <c r="CA34" s="183">
        <f t="shared" si="23"/>
        <v>0</v>
      </c>
      <c r="CD34" s="183">
        <f t="shared" si="24"/>
        <v>0</v>
      </c>
      <c r="CG34" s="183">
        <f t="shared" si="25"/>
        <v>0</v>
      </c>
      <c r="CJ34" s="183">
        <f t="shared" si="26"/>
        <v>0</v>
      </c>
      <c r="CM34" s="183">
        <f t="shared" si="27"/>
        <v>0</v>
      </c>
      <c r="CP34" s="183">
        <f t="shared" si="28"/>
        <v>0</v>
      </c>
      <c r="CS34" s="183">
        <f t="shared" si="29"/>
        <v>0</v>
      </c>
      <c r="CV34" s="183">
        <f t="shared" si="30"/>
        <v>0</v>
      </c>
      <c r="CY34" s="183">
        <f t="shared" si="31"/>
        <v>0</v>
      </c>
      <c r="DB34" s="183">
        <f t="shared" si="32"/>
        <v>0</v>
      </c>
      <c r="DE34" s="183">
        <f t="shared" si="33"/>
        <v>0</v>
      </c>
      <c r="DH34" s="183">
        <f t="shared" si="34"/>
        <v>0</v>
      </c>
      <c r="DK34" s="183">
        <f t="shared" si="35"/>
        <v>0</v>
      </c>
      <c r="DN34" s="183">
        <f t="shared" si="36"/>
        <v>0</v>
      </c>
      <c r="DQ34" s="183">
        <f t="shared" si="37"/>
        <v>0</v>
      </c>
      <c r="DT34" s="183">
        <f t="shared" si="38"/>
        <v>0</v>
      </c>
      <c r="DW34" s="183">
        <f t="shared" si="39"/>
        <v>0</v>
      </c>
      <c r="DZ34" s="183"/>
      <c r="EA34" s="183"/>
      <c r="EB34" s="214">
        <f t="shared" si="40"/>
        <v>75150000</v>
      </c>
      <c r="EC34" s="214">
        <f t="shared" si="41"/>
        <v>0</v>
      </c>
      <c r="ED34" s="183">
        <f t="shared" si="42"/>
        <v>1252.5</v>
      </c>
      <c r="EE34" s="185">
        <f t="shared" si="43"/>
        <v>6.0000000000000001E-3</v>
      </c>
      <c r="EG34" s="214">
        <f t="shared" si="44"/>
        <v>0</v>
      </c>
      <c r="EH34" s="183">
        <f t="shared" si="45"/>
        <v>0</v>
      </c>
      <c r="EI34" s="185">
        <f t="shared" si="46"/>
        <v>0</v>
      </c>
      <c r="EJ34" s="185"/>
      <c r="EK34" s="214">
        <f t="shared" si="47"/>
        <v>75150000</v>
      </c>
      <c r="EL34" s="214">
        <f t="shared" si="48"/>
        <v>0</v>
      </c>
      <c r="EM34" s="214">
        <f t="shared" si="49"/>
        <v>1252.5</v>
      </c>
      <c r="EN34" s="185">
        <f t="shared" si="50"/>
        <v>6.0000000000000001E-3</v>
      </c>
      <c r="EP34" s="183"/>
    </row>
    <row r="35" spans="1:146" x14ac:dyDescent="0.2">
      <c r="A35" s="211">
        <f t="shared" si="51"/>
        <v>44676</v>
      </c>
      <c r="B35" s="183">
        <v>0</v>
      </c>
      <c r="C35" s="185">
        <v>8.3870400000000001E-3</v>
      </c>
      <c r="D35" s="183">
        <f t="shared" si="0"/>
        <v>0</v>
      </c>
      <c r="G35" s="183">
        <f t="shared" si="1"/>
        <v>0</v>
      </c>
      <c r="J35" s="183">
        <f t="shared" si="2"/>
        <v>0</v>
      </c>
      <c r="M35" s="183">
        <f t="shared" si="3"/>
        <v>0</v>
      </c>
      <c r="P35" s="183">
        <f t="shared" si="4"/>
        <v>0</v>
      </c>
      <c r="S35" s="183">
        <f t="shared" si="5"/>
        <v>0</v>
      </c>
      <c r="V35" s="183">
        <f t="shared" si="6"/>
        <v>0</v>
      </c>
      <c r="Y35" s="183">
        <f t="shared" si="7"/>
        <v>0</v>
      </c>
      <c r="AB35" s="183">
        <f t="shared" si="8"/>
        <v>0</v>
      </c>
      <c r="AE35" s="183">
        <v>0</v>
      </c>
      <c r="AH35" s="183">
        <v>0</v>
      </c>
      <c r="AI35" s="212">
        <v>79350000</v>
      </c>
      <c r="AJ35" s="213">
        <v>6.0000000000000001E-3</v>
      </c>
      <c r="AK35" s="183">
        <f t="shared" si="9"/>
        <v>1322.5</v>
      </c>
      <c r="AL35" s="212"/>
      <c r="AM35" s="213"/>
      <c r="AN35" s="183">
        <f t="shared" si="10"/>
        <v>0</v>
      </c>
      <c r="AO35" s="212"/>
      <c r="AP35" s="213"/>
      <c r="AQ35" s="183">
        <f t="shared" si="11"/>
        <v>0</v>
      </c>
      <c r="AR35" s="212"/>
      <c r="AS35" s="213"/>
      <c r="AT35" s="183">
        <f t="shared" si="12"/>
        <v>0</v>
      </c>
      <c r="AW35" s="183">
        <f t="shared" si="13"/>
        <v>0</v>
      </c>
      <c r="AZ35" s="183">
        <f t="shared" si="14"/>
        <v>0</v>
      </c>
      <c r="BC35" s="183">
        <f t="shared" si="15"/>
        <v>0</v>
      </c>
      <c r="BF35" s="183">
        <f t="shared" si="16"/>
        <v>0</v>
      </c>
      <c r="BI35" s="183">
        <f t="shared" si="17"/>
        <v>0</v>
      </c>
      <c r="BL35" s="183">
        <f t="shared" si="18"/>
        <v>0</v>
      </c>
      <c r="BO35" s="183">
        <f t="shared" si="19"/>
        <v>0</v>
      </c>
      <c r="BR35" s="183">
        <f t="shared" si="20"/>
        <v>0</v>
      </c>
      <c r="BU35" s="183">
        <f t="shared" si="21"/>
        <v>0</v>
      </c>
      <c r="BX35" s="183">
        <f t="shared" si="22"/>
        <v>0</v>
      </c>
      <c r="CA35" s="183">
        <f t="shared" si="23"/>
        <v>0</v>
      </c>
      <c r="CD35" s="183">
        <f t="shared" si="24"/>
        <v>0</v>
      </c>
      <c r="CG35" s="183">
        <f t="shared" si="25"/>
        <v>0</v>
      </c>
      <c r="CJ35" s="183">
        <f t="shared" si="26"/>
        <v>0</v>
      </c>
      <c r="CM35" s="183">
        <f t="shared" si="27"/>
        <v>0</v>
      </c>
      <c r="CP35" s="183">
        <f t="shared" si="28"/>
        <v>0</v>
      </c>
      <c r="CS35" s="183">
        <f t="shared" si="29"/>
        <v>0</v>
      </c>
      <c r="CV35" s="183">
        <f t="shared" si="30"/>
        <v>0</v>
      </c>
      <c r="CY35" s="183">
        <f t="shared" si="31"/>
        <v>0</v>
      </c>
      <c r="DB35" s="183">
        <f t="shared" si="32"/>
        <v>0</v>
      </c>
      <c r="DE35" s="183">
        <f t="shared" si="33"/>
        <v>0</v>
      </c>
      <c r="DH35" s="183">
        <f t="shared" si="34"/>
        <v>0</v>
      </c>
      <c r="DK35" s="183">
        <f t="shared" si="35"/>
        <v>0</v>
      </c>
      <c r="DN35" s="183">
        <f t="shared" si="36"/>
        <v>0</v>
      </c>
      <c r="DQ35" s="183">
        <f t="shared" si="37"/>
        <v>0</v>
      </c>
      <c r="DT35" s="183">
        <f t="shared" si="38"/>
        <v>0</v>
      </c>
      <c r="DW35" s="183">
        <f t="shared" si="39"/>
        <v>0</v>
      </c>
      <c r="DZ35" s="183"/>
      <c r="EA35" s="183"/>
      <c r="EB35" s="214">
        <f t="shared" si="40"/>
        <v>79350000</v>
      </c>
      <c r="EC35" s="214">
        <f t="shared" si="41"/>
        <v>0</v>
      </c>
      <c r="ED35" s="183">
        <f t="shared" si="42"/>
        <v>1322.5</v>
      </c>
      <c r="EE35" s="185">
        <f t="shared" si="43"/>
        <v>6.0000000000000001E-3</v>
      </c>
      <c r="EG35" s="214">
        <f t="shared" si="44"/>
        <v>0</v>
      </c>
      <c r="EH35" s="183">
        <f t="shared" si="45"/>
        <v>0</v>
      </c>
      <c r="EI35" s="185">
        <f t="shared" si="46"/>
        <v>0</v>
      </c>
      <c r="EJ35" s="185"/>
      <c r="EK35" s="214">
        <f t="shared" si="47"/>
        <v>79350000</v>
      </c>
      <c r="EL35" s="214">
        <f t="shared" si="48"/>
        <v>0</v>
      </c>
      <c r="EM35" s="214">
        <f t="shared" si="49"/>
        <v>1322.5</v>
      </c>
      <c r="EN35" s="185">
        <f t="shared" si="50"/>
        <v>6.0000000000000001E-3</v>
      </c>
      <c r="EP35" s="183"/>
    </row>
    <row r="36" spans="1:146" x14ac:dyDescent="0.2">
      <c r="A36" s="211">
        <f t="shared" si="51"/>
        <v>44677</v>
      </c>
      <c r="B36" s="183">
        <v>0</v>
      </c>
      <c r="C36" s="185">
        <v>7.7215999999999995E-3</v>
      </c>
      <c r="D36" s="183">
        <f t="shared" si="0"/>
        <v>0</v>
      </c>
      <c r="G36" s="183">
        <f t="shared" si="1"/>
        <v>0</v>
      </c>
      <c r="J36" s="183">
        <f t="shared" si="2"/>
        <v>0</v>
      </c>
      <c r="M36" s="183">
        <f t="shared" si="3"/>
        <v>0</v>
      </c>
      <c r="P36" s="183">
        <f t="shared" si="4"/>
        <v>0</v>
      </c>
      <c r="S36" s="183">
        <f t="shared" si="5"/>
        <v>0</v>
      </c>
      <c r="V36" s="183">
        <f t="shared" si="6"/>
        <v>0</v>
      </c>
      <c r="Y36" s="183">
        <f t="shared" si="7"/>
        <v>0</v>
      </c>
      <c r="AB36" s="183">
        <f t="shared" si="8"/>
        <v>0</v>
      </c>
      <c r="AE36" s="183">
        <v>0</v>
      </c>
      <c r="AH36" s="183">
        <v>0</v>
      </c>
      <c r="AI36" s="212">
        <v>52275000</v>
      </c>
      <c r="AJ36" s="213">
        <v>6.0000000000000001E-3</v>
      </c>
      <c r="AK36" s="183">
        <f t="shared" si="9"/>
        <v>871.25</v>
      </c>
      <c r="AL36" s="212"/>
      <c r="AM36" s="213"/>
      <c r="AN36" s="183">
        <f t="shared" si="10"/>
        <v>0</v>
      </c>
      <c r="AO36" s="212"/>
      <c r="AP36" s="213"/>
      <c r="AQ36" s="183">
        <f t="shared" si="11"/>
        <v>0</v>
      </c>
      <c r="AR36" s="212"/>
      <c r="AS36" s="213"/>
      <c r="AT36" s="183">
        <f t="shared" si="12"/>
        <v>0</v>
      </c>
      <c r="AW36" s="183">
        <f t="shared" si="13"/>
        <v>0</v>
      </c>
      <c r="AZ36" s="183">
        <f t="shared" si="14"/>
        <v>0</v>
      </c>
      <c r="BC36" s="183">
        <f t="shared" si="15"/>
        <v>0</v>
      </c>
      <c r="BF36" s="183">
        <f t="shared" si="16"/>
        <v>0</v>
      </c>
      <c r="BI36" s="183">
        <f t="shared" si="17"/>
        <v>0</v>
      </c>
      <c r="BL36" s="183">
        <f t="shared" si="18"/>
        <v>0</v>
      </c>
      <c r="BO36" s="183">
        <f t="shared" si="19"/>
        <v>0</v>
      </c>
      <c r="BR36" s="183">
        <f t="shared" si="20"/>
        <v>0</v>
      </c>
      <c r="BU36" s="183">
        <f t="shared" si="21"/>
        <v>0</v>
      </c>
      <c r="BX36" s="183">
        <f t="shared" si="22"/>
        <v>0</v>
      </c>
      <c r="CA36" s="183">
        <f t="shared" si="23"/>
        <v>0</v>
      </c>
      <c r="CD36" s="183">
        <f t="shared" si="24"/>
        <v>0</v>
      </c>
      <c r="CG36" s="183">
        <f t="shared" si="25"/>
        <v>0</v>
      </c>
      <c r="CJ36" s="183">
        <f t="shared" si="26"/>
        <v>0</v>
      </c>
      <c r="CM36" s="183">
        <f t="shared" si="27"/>
        <v>0</v>
      </c>
      <c r="CP36" s="183">
        <f t="shared" si="28"/>
        <v>0</v>
      </c>
      <c r="CS36" s="183">
        <f t="shared" si="29"/>
        <v>0</v>
      </c>
      <c r="CV36" s="183">
        <f t="shared" si="30"/>
        <v>0</v>
      </c>
      <c r="CY36" s="183">
        <f t="shared" si="31"/>
        <v>0</v>
      </c>
      <c r="DB36" s="183">
        <f t="shared" si="32"/>
        <v>0</v>
      </c>
      <c r="DE36" s="183">
        <f t="shared" si="33"/>
        <v>0</v>
      </c>
      <c r="DH36" s="183">
        <f t="shared" si="34"/>
        <v>0</v>
      </c>
      <c r="DK36" s="183">
        <f t="shared" si="35"/>
        <v>0</v>
      </c>
      <c r="DN36" s="183">
        <f t="shared" si="36"/>
        <v>0</v>
      </c>
      <c r="DQ36" s="183">
        <f t="shared" si="37"/>
        <v>0</v>
      </c>
      <c r="DT36" s="183">
        <f t="shared" si="38"/>
        <v>0</v>
      </c>
      <c r="DW36" s="183">
        <f t="shared" si="39"/>
        <v>0</v>
      </c>
      <c r="DZ36" s="183"/>
      <c r="EA36" s="183"/>
      <c r="EB36" s="214">
        <f t="shared" si="40"/>
        <v>52275000</v>
      </c>
      <c r="EC36" s="214">
        <f t="shared" si="41"/>
        <v>0</v>
      </c>
      <c r="ED36" s="183">
        <f t="shared" si="42"/>
        <v>871.25</v>
      </c>
      <c r="EE36" s="185">
        <f t="shared" si="43"/>
        <v>6.0000000000000001E-3</v>
      </c>
      <c r="EG36" s="214">
        <f t="shared" si="44"/>
        <v>0</v>
      </c>
      <c r="EH36" s="183">
        <f t="shared" si="45"/>
        <v>0</v>
      </c>
      <c r="EI36" s="185">
        <f t="shared" si="46"/>
        <v>0</v>
      </c>
      <c r="EJ36" s="185"/>
      <c r="EK36" s="214">
        <f t="shared" si="47"/>
        <v>52275000</v>
      </c>
      <c r="EL36" s="214">
        <f t="shared" si="48"/>
        <v>0</v>
      </c>
      <c r="EM36" s="214">
        <f t="shared" si="49"/>
        <v>871.25</v>
      </c>
      <c r="EN36" s="185">
        <f t="shared" si="50"/>
        <v>6.0000000000000001E-3</v>
      </c>
      <c r="EP36" s="183"/>
    </row>
    <row r="37" spans="1:146" x14ac:dyDescent="0.2">
      <c r="A37" s="211">
        <f t="shared" si="51"/>
        <v>44678</v>
      </c>
      <c r="B37" s="183">
        <v>0</v>
      </c>
      <c r="C37" s="185">
        <v>7.1944900000000004E-3</v>
      </c>
      <c r="D37" s="183">
        <f t="shared" si="0"/>
        <v>0</v>
      </c>
      <c r="G37" s="183">
        <f t="shared" si="1"/>
        <v>0</v>
      </c>
      <c r="J37" s="183">
        <f t="shared" si="2"/>
        <v>0</v>
      </c>
      <c r="M37" s="183">
        <f t="shared" si="3"/>
        <v>0</v>
      </c>
      <c r="P37" s="183">
        <f t="shared" si="4"/>
        <v>0</v>
      </c>
      <c r="S37" s="183">
        <f t="shared" si="5"/>
        <v>0</v>
      </c>
      <c r="V37" s="183">
        <f t="shared" si="6"/>
        <v>0</v>
      </c>
      <c r="Y37" s="183">
        <f t="shared" si="7"/>
        <v>0</v>
      </c>
      <c r="AB37" s="183">
        <f t="shared" si="8"/>
        <v>0</v>
      </c>
      <c r="AE37" s="183">
        <v>0</v>
      </c>
      <c r="AH37" s="183">
        <v>0</v>
      </c>
      <c r="AI37" s="212">
        <v>60050000</v>
      </c>
      <c r="AJ37" s="213">
        <v>6.0000000000000001E-3</v>
      </c>
      <c r="AK37" s="183">
        <f t="shared" si="9"/>
        <v>1000.8333333333334</v>
      </c>
      <c r="AL37" s="212"/>
      <c r="AM37" s="213"/>
      <c r="AN37" s="183">
        <f t="shared" si="10"/>
        <v>0</v>
      </c>
      <c r="AO37" s="212"/>
      <c r="AP37" s="213"/>
      <c r="AQ37" s="183">
        <f t="shared" si="11"/>
        <v>0</v>
      </c>
      <c r="AR37" s="212"/>
      <c r="AS37" s="213"/>
      <c r="AT37" s="183">
        <f t="shared" si="12"/>
        <v>0</v>
      </c>
      <c r="AW37" s="183">
        <f t="shared" si="13"/>
        <v>0</v>
      </c>
      <c r="AZ37" s="183">
        <f t="shared" si="14"/>
        <v>0</v>
      </c>
      <c r="BC37" s="183">
        <f t="shared" si="15"/>
        <v>0</v>
      </c>
      <c r="BF37" s="183">
        <f t="shared" si="16"/>
        <v>0</v>
      </c>
      <c r="BI37" s="183">
        <f t="shared" si="17"/>
        <v>0</v>
      </c>
      <c r="BL37" s="183">
        <f t="shared" si="18"/>
        <v>0</v>
      </c>
      <c r="BO37" s="183">
        <f t="shared" si="19"/>
        <v>0</v>
      </c>
      <c r="BR37" s="183">
        <f t="shared" si="20"/>
        <v>0</v>
      </c>
      <c r="BU37" s="183">
        <f t="shared" si="21"/>
        <v>0</v>
      </c>
      <c r="BX37" s="183">
        <f t="shared" si="22"/>
        <v>0</v>
      </c>
      <c r="CA37" s="183">
        <f t="shared" si="23"/>
        <v>0</v>
      </c>
      <c r="CD37" s="183">
        <f t="shared" si="24"/>
        <v>0</v>
      </c>
      <c r="CG37" s="183">
        <f t="shared" si="25"/>
        <v>0</v>
      </c>
      <c r="CJ37" s="183">
        <f t="shared" si="26"/>
        <v>0</v>
      </c>
      <c r="CM37" s="183">
        <f t="shared" si="27"/>
        <v>0</v>
      </c>
      <c r="CP37" s="183">
        <f t="shared" si="28"/>
        <v>0</v>
      </c>
      <c r="CS37" s="183">
        <f t="shared" si="29"/>
        <v>0</v>
      </c>
      <c r="CV37" s="183">
        <f t="shared" si="30"/>
        <v>0</v>
      </c>
      <c r="CY37" s="183">
        <f t="shared" si="31"/>
        <v>0</v>
      </c>
      <c r="DB37" s="183">
        <f t="shared" si="32"/>
        <v>0</v>
      </c>
      <c r="DE37" s="183">
        <f t="shared" si="33"/>
        <v>0</v>
      </c>
      <c r="DH37" s="183">
        <f t="shared" si="34"/>
        <v>0</v>
      </c>
      <c r="DK37" s="183">
        <f t="shared" si="35"/>
        <v>0</v>
      </c>
      <c r="DN37" s="183">
        <f t="shared" si="36"/>
        <v>0</v>
      </c>
      <c r="DQ37" s="183">
        <f t="shared" si="37"/>
        <v>0</v>
      </c>
      <c r="DT37" s="183">
        <f t="shared" si="38"/>
        <v>0</v>
      </c>
      <c r="DW37" s="183">
        <f t="shared" si="39"/>
        <v>0</v>
      </c>
      <c r="DZ37" s="183"/>
      <c r="EA37" s="183"/>
      <c r="EB37" s="214">
        <f t="shared" si="40"/>
        <v>60050000</v>
      </c>
      <c r="EC37" s="214">
        <f t="shared" si="41"/>
        <v>0</v>
      </c>
      <c r="ED37" s="183">
        <f t="shared" si="42"/>
        <v>1000.8333333333334</v>
      </c>
      <c r="EE37" s="185">
        <f t="shared" si="43"/>
        <v>6.0000000000000001E-3</v>
      </c>
      <c r="EG37" s="214">
        <f t="shared" si="44"/>
        <v>0</v>
      </c>
      <c r="EH37" s="183">
        <f t="shared" si="45"/>
        <v>0</v>
      </c>
      <c r="EI37" s="185">
        <f t="shared" si="46"/>
        <v>0</v>
      </c>
      <c r="EJ37" s="185"/>
      <c r="EK37" s="214">
        <f t="shared" si="47"/>
        <v>60050000</v>
      </c>
      <c r="EL37" s="214">
        <f t="shared" si="48"/>
        <v>0</v>
      </c>
      <c r="EM37" s="214">
        <f t="shared" si="49"/>
        <v>1000.8333333333334</v>
      </c>
      <c r="EN37" s="185">
        <f t="shared" si="50"/>
        <v>6.0000000000000001E-3</v>
      </c>
      <c r="EP37" s="183"/>
    </row>
    <row r="38" spans="1:146" x14ac:dyDescent="0.2">
      <c r="A38" s="211">
        <f t="shared" si="51"/>
        <v>44679</v>
      </c>
      <c r="B38" s="183">
        <v>0</v>
      </c>
      <c r="C38" s="185">
        <v>7.8116799999999997E-3</v>
      </c>
      <c r="D38" s="183">
        <f t="shared" si="0"/>
        <v>0</v>
      </c>
      <c r="G38" s="183">
        <f t="shared" si="1"/>
        <v>0</v>
      </c>
      <c r="J38" s="183">
        <f t="shared" si="2"/>
        <v>0</v>
      </c>
      <c r="M38" s="183">
        <f t="shared" si="3"/>
        <v>0</v>
      </c>
      <c r="P38" s="183">
        <f t="shared" si="4"/>
        <v>0</v>
      </c>
      <c r="S38" s="183">
        <f t="shared" si="5"/>
        <v>0</v>
      </c>
      <c r="V38" s="183">
        <f t="shared" si="6"/>
        <v>0</v>
      </c>
      <c r="Y38" s="183">
        <f t="shared" si="7"/>
        <v>0</v>
      </c>
      <c r="AB38" s="183">
        <f t="shared" si="8"/>
        <v>0</v>
      </c>
      <c r="AE38" s="183">
        <v>0</v>
      </c>
      <c r="AH38" s="183">
        <v>0</v>
      </c>
      <c r="AI38" s="212">
        <v>82375000</v>
      </c>
      <c r="AJ38" s="213">
        <v>6.0000000000000001E-3</v>
      </c>
      <c r="AK38" s="183">
        <f t="shared" si="9"/>
        <v>1372.9166666666667</v>
      </c>
      <c r="AL38" s="212"/>
      <c r="AM38" s="213"/>
      <c r="AN38" s="183">
        <f t="shared" si="10"/>
        <v>0</v>
      </c>
      <c r="AO38" s="212"/>
      <c r="AP38" s="213"/>
      <c r="AQ38" s="183">
        <f t="shared" si="11"/>
        <v>0</v>
      </c>
      <c r="AR38" s="212"/>
      <c r="AS38" s="213"/>
      <c r="AT38" s="183">
        <f t="shared" si="12"/>
        <v>0</v>
      </c>
      <c r="AW38" s="183">
        <f t="shared" si="13"/>
        <v>0</v>
      </c>
      <c r="AZ38" s="183">
        <f t="shared" si="14"/>
        <v>0</v>
      </c>
      <c r="BC38" s="183">
        <f t="shared" si="15"/>
        <v>0</v>
      </c>
      <c r="BF38" s="183">
        <f t="shared" si="16"/>
        <v>0</v>
      </c>
      <c r="BI38" s="183">
        <f t="shared" si="17"/>
        <v>0</v>
      </c>
      <c r="BL38" s="183">
        <f t="shared" si="18"/>
        <v>0</v>
      </c>
      <c r="BO38" s="183">
        <f t="shared" si="19"/>
        <v>0</v>
      </c>
      <c r="BR38" s="183">
        <f t="shared" si="20"/>
        <v>0</v>
      </c>
      <c r="BU38" s="183">
        <f t="shared" si="21"/>
        <v>0</v>
      </c>
      <c r="BX38" s="183">
        <f t="shared" si="22"/>
        <v>0</v>
      </c>
      <c r="CA38" s="183">
        <f t="shared" si="23"/>
        <v>0</v>
      </c>
      <c r="CD38" s="183">
        <f t="shared" si="24"/>
        <v>0</v>
      </c>
      <c r="CG38" s="183">
        <f t="shared" si="25"/>
        <v>0</v>
      </c>
      <c r="CJ38" s="183">
        <f t="shared" si="26"/>
        <v>0</v>
      </c>
      <c r="CM38" s="183">
        <f t="shared" si="27"/>
        <v>0</v>
      </c>
      <c r="CP38" s="183">
        <f t="shared" si="28"/>
        <v>0</v>
      </c>
      <c r="CS38" s="183">
        <f t="shared" si="29"/>
        <v>0</v>
      </c>
      <c r="CV38" s="183">
        <f t="shared" si="30"/>
        <v>0</v>
      </c>
      <c r="CY38" s="183">
        <f t="shared" si="31"/>
        <v>0</v>
      </c>
      <c r="DB38" s="183">
        <f t="shared" si="32"/>
        <v>0</v>
      </c>
      <c r="DE38" s="183">
        <f t="shared" si="33"/>
        <v>0</v>
      </c>
      <c r="DH38" s="183">
        <f t="shared" si="34"/>
        <v>0</v>
      </c>
      <c r="DK38" s="183">
        <f t="shared" si="35"/>
        <v>0</v>
      </c>
      <c r="DN38" s="183">
        <f t="shared" si="36"/>
        <v>0</v>
      </c>
      <c r="DQ38" s="183">
        <f t="shared" si="37"/>
        <v>0</v>
      </c>
      <c r="DT38" s="183">
        <f t="shared" si="38"/>
        <v>0</v>
      </c>
      <c r="DW38" s="183">
        <f t="shared" si="39"/>
        <v>0</v>
      </c>
      <c r="DZ38" s="183"/>
      <c r="EA38" s="183"/>
      <c r="EB38" s="214">
        <f t="shared" si="40"/>
        <v>82375000</v>
      </c>
      <c r="EC38" s="214">
        <f t="shared" si="41"/>
        <v>0</v>
      </c>
      <c r="ED38" s="183">
        <f t="shared" si="42"/>
        <v>1372.9166666666667</v>
      </c>
      <c r="EE38" s="185">
        <f t="shared" si="43"/>
        <v>6.0000000000000001E-3</v>
      </c>
      <c r="EG38" s="214">
        <f t="shared" si="44"/>
        <v>0</v>
      </c>
      <c r="EH38" s="183">
        <f t="shared" si="45"/>
        <v>0</v>
      </c>
      <c r="EI38" s="185">
        <f t="shared" si="46"/>
        <v>0</v>
      </c>
      <c r="EJ38" s="185"/>
      <c r="EK38" s="214">
        <f t="shared" si="47"/>
        <v>82375000</v>
      </c>
      <c r="EL38" s="214">
        <f t="shared" si="48"/>
        <v>0</v>
      </c>
      <c r="EM38" s="214">
        <f t="shared" si="49"/>
        <v>1372.9166666666667</v>
      </c>
      <c r="EN38" s="185">
        <f t="shared" si="50"/>
        <v>6.0000000000000001E-3</v>
      </c>
      <c r="EP38" s="183"/>
    </row>
    <row r="39" spans="1:146" x14ac:dyDescent="0.2">
      <c r="A39" s="211">
        <f t="shared" si="51"/>
        <v>44680</v>
      </c>
      <c r="B39" s="183">
        <v>3200000</v>
      </c>
      <c r="C39" s="185">
        <v>7.6627400000000003E-3</v>
      </c>
      <c r="D39" s="183">
        <f t="shared" si="0"/>
        <v>68.113244444444447</v>
      </c>
      <c r="G39" s="183">
        <f t="shared" si="1"/>
        <v>0</v>
      </c>
      <c r="J39" s="183">
        <f t="shared" si="2"/>
        <v>0</v>
      </c>
      <c r="M39" s="183">
        <f t="shared" si="3"/>
        <v>0</v>
      </c>
      <c r="P39" s="183">
        <f t="shared" si="4"/>
        <v>0</v>
      </c>
      <c r="S39" s="183">
        <f t="shared" si="5"/>
        <v>0</v>
      </c>
      <c r="V39" s="183">
        <f t="shared" si="6"/>
        <v>0</v>
      </c>
      <c r="Y39" s="183">
        <f t="shared" si="7"/>
        <v>0</v>
      </c>
      <c r="AB39" s="183">
        <f t="shared" si="8"/>
        <v>0</v>
      </c>
      <c r="AE39" s="183">
        <v>0</v>
      </c>
      <c r="AH39" s="183">
        <v>0</v>
      </c>
      <c r="AI39" s="212">
        <v>89150000</v>
      </c>
      <c r="AJ39" s="213">
        <v>6.0000000000000001E-3</v>
      </c>
      <c r="AK39" s="183">
        <f t="shared" si="9"/>
        <v>1485.8333333333333</v>
      </c>
      <c r="AL39" s="212"/>
      <c r="AM39" s="213"/>
      <c r="AN39" s="183">
        <f t="shared" si="10"/>
        <v>0</v>
      </c>
      <c r="AO39" s="212"/>
      <c r="AP39" s="213"/>
      <c r="AQ39" s="183">
        <f t="shared" si="11"/>
        <v>0</v>
      </c>
      <c r="AR39" s="212"/>
      <c r="AS39" s="213"/>
      <c r="AT39" s="183">
        <f t="shared" si="12"/>
        <v>0</v>
      </c>
      <c r="AW39" s="183">
        <f t="shared" si="13"/>
        <v>0</v>
      </c>
      <c r="AZ39" s="183">
        <f t="shared" si="14"/>
        <v>0</v>
      </c>
      <c r="BC39" s="183">
        <f t="shared" si="15"/>
        <v>0</v>
      </c>
      <c r="BF39" s="183">
        <f t="shared" si="16"/>
        <v>0</v>
      </c>
      <c r="BI39" s="183">
        <f t="shared" si="17"/>
        <v>0</v>
      </c>
      <c r="BL39" s="183">
        <f t="shared" si="18"/>
        <v>0</v>
      </c>
      <c r="BO39" s="183">
        <f t="shared" si="19"/>
        <v>0</v>
      </c>
      <c r="BR39" s="183">
        <f t="shared" si="20"/>
        <v>0</v>
      </c>
      <c r="BU39" s="183">
        <f t="shared" si="21"/>
        <v>0</v>
      </c>
      <c r="BX39" s="183">
        <f t="shared" si="22"/>
        <v>0</v>
      </c>
      <c r="CA39" s="183">
        <f t="shared" si="23"/>
        <v>0</v>
      </c>
      <c r="CD39" s="183">
        <f t="shared" si="24"/>
        <v>0</v>
      </c>
      <c r="CG39" s="183">
        <f t="shared" si="25"/>
        <v>0</v>
      </c>
      <c r="CJ39" s="183">
        <f t="shared" si="26"/>
        <v>0</v>
      </c>
      <c r="CM39" s="183">
        <f t="shared" si="27"/>
        <v>0</v>
      </c>
      <c r="CP39" s="183">
        <f t="shared" si="28"/>
        <v>0</v>
      </c>
      <c r="CS39" s="183">
        <f t="shared" si="29"/>
        <v>0</v>
      </c>
      <c r="CV39" s="183">
        <f t="shared" si="30"/>
        <v>0</v>
      </c>
      <c r="CY39" s="183">
        <f t="shared" si="31"/>
        <v>0</v>
      </c>
      <c r="DB39" s="183">
        <f t="shared" si="32"/>
        <v>0</v>
      </c>
      <c r="DE39" s="183">
        <f t="shared" si="33"/>
        <v>0</v>
      </c>
      <c r="DH39" s="183">
        <f t="shared" si="34"/>
        <v>0</v>
      </c>
      <c r="DK39" s="183">
        <f t="shared" si="35"/>
        <v>0</v>
      </c>
      <c r="DN39" s="183">
        <f t="shared" si="36"/>
        <v>0</v>
      </c>
      <c r="DQ39" s="183">
        <f t="shared" si="37"/>
        <v>0</v>
      </c>
      <c r="DT39" s="183">
        <f t="shared" si="38"/>
        <v>0</v>
      </c>
      <c r="DW39" s="183">
        <f t="shared" si="39"/>
        <v>0</v>
      </c>
      <c r="DZ39" s="183"/>
      <c r="EA39" s="183"/>
      <c r="EB39" s="214">
        <f t="shared" si="40"/>
        <v>92350000</v>
      </c>
      <c r="EC39" s="214">
        <f t="shared" si="41"/>
        <v>3200000</v>
      </c>
      <c r="ED39" s="183">
        <f t="shared" si="42"/>
        <v>1553.9465777777777</v>
      </c>
      <c r="EE39" s="185">
        <f t="shared" si="43"/>
        <v>6.0576152463454247E-3</v>
      </c>
      <c r="EG39" s="214">
        <f t="shared" si="44"/>
        <v>0</v>
      </c>
      <c r="EH39" s="183">
        <f t="shared" si="45"/>
        <v>0</v>
      </c>
      <c r="EI39" s="185">
        <f t="shared" si="46"/>
        <v>0</v>
      </c>
      <c r="EJ39" s="185"/>
      <c r="EK39" s="214">
        <f t="shared" si="47"/>
        <v>89150000</v>
      </c>
      <c r="EL39" s="214">
        <f t="shared" si="48"/>
        <v>0</v>
      </c>
      <c r="EM39" s="214">
        <f t="shared" si="49"/>
        <v>1485.8333333333333</v>
      </c>
      <c r="EN39" s="185">
        <f t="shared" si="50"/>
        <v>6.0000000000000001E-3</v>
      </c>
      <c r="EP39" s="183"/>
    </row>
    <row r="40" spans="1:146" x14ac:dyDescent="0.2">
      <c r="A40" s="211">
        <f t="shared" si="51"/>
        <v>44681</v>
      </c>
      <c r="B40" s="183">
        <v>3200000</v>
      </c>
      <c r="C40" s="185">
        <v>7.6627400000000003E-3</v>
      </c>
      <c r="D40" s="183">
        <f t="shared" si="0"/>
        <v>68.113244444444447</v>
      </c>
      <c r="G40" s="183">
        <f t="shared" si="1"/>
        <v>0</v>
      </c>
      <c r="J40" s="183">
        <f t="shared" si="2"/>
        <v>0</v>
      </c>
      <c r="M40" s="183">
        <f t="shared" si="3"/>
        <v>0</v>
      </c>
      <c r="P40" s="183">
        <f t="shared" si="4"/>
        <v>0</v>
      </c>
      <c r="S40" s="183">
        <f t="shared" si="5"/>
        <v>0</v>
      </c>
      <c r="V40" s="183">
        <f t="shared" si="6"/>
        <v>0</v>
      </c>
      <c r="Y40" s="183">
        <f t="shared" si="7"/>
        <v>0</v>
      </c>
      <c r="AB40" s="183">
        <f t="shared" si="8"/>
        <v>0</v>
      </c>
      <c r="AE40" s="183">
        <v>0</v>
      </c>
      <c r="AH40" s="183">
        <v>0</v>
      </c>
      <c r="AI40" s="212">
        <v>89150000</v>
      </c>
      <c r="AJ40" s="213">
        <v>6.0000000000000001E-3</v>
      </c>
      <c r="AK40" s="183">
        <f t="shared" si="9"/>
        <v>1485.8333333333333</v>
      </c>
      <c r="AL40" s="212"/>
      <c r="AM40" s="213"/>
      <c r="AN40" s="183">
        <f t="shared" si="10"/>
        <v>0</v>
      </c>
      <c r="AO40" s="212"/>
      <c r="AP40" s="213"/>
      <c r="AQ40" s="183">
        <f t="shared" si="11"/>
        <v>0</v>
      </c>
      <c r="AR40" s="212"/>
      <c r="AS40" s="213"/>
      <c r="AT40" s="183">
        <f t="shared" si="12"/>
        <v>0</v>
      </c>
      <c r="AW40" s="183">
        <f t="shared" si="13"/>
        <v>0</v>
      </c>
      <c r="AZ40" s="183">
        <f t="shared" si="14"/>
        <v>0</v>
      </c>
      <c r="BC40" s="183">
        <f t="shared" si="15"/>
        <v>0</v>
      </c>
      <c r="BF40" s="183">
        <f t="shared" si="16"/>
        <v>0</v>
      </c>
      <c r="BI40" s="183">
        <f t="shared" si="17"/>
        <v>0</v>
      </c>
      <c r="BL40" s="183">
        <f t="shared" si="18"/>
        <v>0</v>
      </c>
      <c r="BO40" s="183">
        <f t="shared" si="19"/>
        <v>0</v>
      </c>
      <c r="BR40" s="183">
        <f t="shared" si="20"/>
        <v>0</v>
      </c>
      <c r="BU40" s="183">
        <f t="shared" si="21"/>
        <v>0</v>
      </c>
      <c r="BX40" s="183">
        <f t="shared" si="22"/>
        <v>0</v>
      </c>
      <c r="CA40" s="183">
        <f t="shared" si="23"/>
        <v>0</v>
      </c>
      <c r="CD40" s="183">
        <f t="shared" si="24"/>
        <v>0</v>
      </c>
      <c r="CG40" s="183">
        <f t="shared" si="25"/>
        <v>0</v>
      </c>
      <c r="CJ40" s="183">
        <f t="shared" si="26"/>
        <v>0</v>
      </c>
      <c r="CM40" s="183">
        <f t="shared" si="27"/>
        <v>0</v>
      </c>
      <c r="CP40" s="183">
        <f t="shared" si="28"/>
        <v>0</v>
      </c>
      <c r="CS40" s="183">
        <f t="shared" si="29"/>
        <v>0</v>
      </c>
      <c r="CV40" s="183">
        <f t="shared" si="30"/>
        <v>0</v>
      </c>
      <c r="CY40" s="183">
        <f t="shared" si="31"/>
        <v>0</v>
      </c>
      <c r="DB40" s="183">
        <f t="shared" si="32"/>
        <v>0</v>
      </c>
      <c r="DE40" s="183">
        <f t="shared" si="33"/>
        <v>0</v>
      </c>
      <c r="DH40" s="183">
        <f t="shared" si="34"/>
        <v>0</v>
      </c>
      <c r="DK40" s="183">
        <f t="shared" si="35"/>
        <v>0</v>
      </c>
      <c r="DN40" s="183">
        <f t="shared" si="36"/>
        <v>0</v>
      </c>
      <c r="DQ40" s="183">
        <f t="shared" si="37"/>
        <v>0</v>
      </c>
      <c r="DT40" s="183">
        <f t="shared" si="38"/>
        <v>0</v>
      </c>
      <c r="DW40" s="183">
        <f t="shared" si="39"/>
        <v>0</v>
      </c>
      <c r="DZ40" s="183"/>
      <c r="EA40" s="183"/>
      <c r="EB40" s="214">
        <f t="shared" si="40"/>
        <v>92350000</v>
      </c>
      <c r="EC40" s="214">
        <f t="shared" si="41"/>
        <v>3200000</v>
      </c>
      <c r="ED40" s="183">
        <f t="shared" si="42"/>
        <v>1553.9465777777777</v>
      </c>
      <c r="EE40" s="185">
        <f t="shared" si="43"/>
        <v>6.0576152463454247E-3</v>
      </c>
      <c r="EG40" s="214">
        <f t="shared" si="44"/>
        <v>0</v>
      </c>
      <c r="EH40" s="183">
        <f t="shared" si="45"/>
        <v>0</v>
      </c>
      <c r="EI40" s="185">
        <f t="shared" si="46"/>
        <v>0</v>
      </c>
      <c r="EJ40" s="185"/>
      <c r="EK40" s="214">
        <f t="shared" si="47"/>
        <v>89150000</v>
      </c>
      <c r="EL40" s="214">
        <f t="shared" si="48"/>
        <v>0</v>
      </c>
      <c r="EM40" s="214">
        <f t="shared" si="49"/>
        <v>1485.8333333333333</v>
      </c>
      <c r="EN40" s="185">
        <f t="shared" si="50"/>
        <v>6.0000000000000001E-3</v>
      </c>
      <c r="EP40" s="183"/>
    </row>
    <row r="41" spans="1:146" x14ac:dyDescent="0.2">
      <c r="A41" s="215" t="s">
        <v>75</v>
      </c>
      <c r="D41" s="216">
        <f>SUM(D11:D40)</f>
        <v>2012.7034923611113</v>
      </c>
      <c r="G41" s="216">
        <f>SUM(G11:G40)</f>
        <v>0</v>
      </c>
      <c r="J41" s="216">
        <f>SUM(J11:J40)</f>
        <v>0</v>
      </c>
      <c r="M41" s="216">
        <f>SUM(M11:M40)</f>
        <v>0</v>
      </c>
      <c r="P41" s="216">
        <f>SUM(P11:P40)</f>
        <v>0</v>
      </c>
      <c r="S41" s="216">
        <f>SUM(S11:S40)</f>
        <v>0</v>
      </c>
      <c r="V41" s="216">
        <f>SUM(V11:V40)</f>
        <v>0</v>
      </c>
      <c r="Y41" s="216">
        <f>SUM(Y11:Y40)</f>
        <v>0</v>
      </c>
      <c r="AB41" s="216">
        <f>SUM(AB11:AB40)</f>
        <v>0</v>
      </c>
      <c r="AE41" s="216">
        <f>SUM(AE11:AE40)</f>
        <v>0</v>
      </c>
      <c r="AH41" s="216">
        <f>SUM(AH11:AH40)</f>
        <v>0</v>
      </c>
      <c r="AK41" s="216">
        <f>SUM(AK11:AK40)</f>
        <v>19428.395833333332</v>
      </c>
      <c r="AN41" s="216">
        <f>SUM(AN11:AN40)</f>
        <v>0</v>
      </c>
      <c r="AQ41" s="216">
        <f>SUM(AQ11:AQ40)</f>
        <v>0</v>
      </c>
      <c r="AT41" s="216">
        <f>SUM(AT11:AT40)</f>
        <v>0</v>
      </c>
      <c r="AW41" s="216">
        <f>SUM(AW11:AW40)</f>
        <v>0</v>
      </c>
      <c r="AZ41" s="216">
        <f>SUM(AZ11:AZ40)</f>
        <v>0</v>
      </c>
      <c r="BC41" s="216">
        <f>SUM(BC11:BC40)</f>
        <v>0</v>
      </c>
      <c r="BF41" s="216">
        <f>SUM(BF11:BF40)</f>
        <v>0</v>
      </c>
      <c r="BI41" s="216">
        <f>SUM(BI11:BI40)</f>
        <v>0</v>
      </c>
      <c r="BL41" s="216">
        <f>SUM(BL11:BL40)</f>
        <v>0</v>
      </c>
      <c r="BO41" s="216">
        <f>SUM(BO11:BO40)</f>
        <v>0</v>
      </c>
      <c r="BR41" s="216">
        <f>SUM(BR11:BR40)</f>
        <v>0</v>
      </c>
      <c r="BU41" s="216">
        <f>SUM(BU11:BU40)</f>
        <v>0</v>
      </c>
      <c r="BX41" s="216">
        <f>SUM(BX11:BX40)</f>
        <v>0</v>
      </c>
      <c r="CA41" s="216">
        <f>SUM(CA11:CA40)</f>
        <v>0</v>
      </c>
      <c r="CD41" s="216">
        <f>SUM(CD11:CD40)</f>
        <v>0</v>
      </c>
      <c r="CG41" s="216">
        <f>SUM(CG11:CG40)</f>
        <v>0</v>
      </c>
      <c r="CJ41" s="216">
        <f>SUM(CJ11:CJ40)</f>
        <v>0</v>
      </c>
      <c r="CM41" s="216">
        <f>SUM(CM11:CM40)</f>
        <v>0</v>
      </c>
      <c r="CP41" s="216">
        <f>SUM(CP11:CP40)</f>
        <v>0</v>
      </c>
      <c r="CS41" s="216">
        <f>SUM(CS11:CS40)</f>
        <v>0</v>
      </c>
      <c r="CV41" s="216">
        <f>SUM(CV11:CV40)</f>
        <v>0</v>
      </c>
      <c r="CY41" s="216">
        <f>SUM(CY11:CY40)</f>
        <v>0</v>
      </c>
      <c r="DB41" s="216">
        <f>SUM(DB11:DB40)</f>
        <v>0</v>
      </c>
      <c r="DE41" s="216">
        <f>SUM(DE11:DE40)</f>
        <v>0</v>
      </c>
      <c r="DH41" s="216">
        <f>SUM(DH11:DH40)</f>
        <v>0</v>
      </c>
      <c r="DK41" s="216">
        <f>SUM(DK11:DK40)</f>
        <v>0</v>
      </c>
      <c r="DN41" s="216">
        <f>SUM(DN11:DN40)</f>
        <v>0</v>
      </c>
      <c r="DQ41" s="216">
        <f>SUM(DQ11:DQ40)</f>
        <v>0</v>
      </c>
      <c r="DT41" s="216">
        <f>SUM(DT11:DT40)</f>
        <v>0</v>
      </c>
      <c r="DW41" s="216">
        <f>SUM(DW11:DW40)</f>
        <v>0</v>
      </c>
      <c r="DZ41" s="183"/>
      <c r="EA41" s="183"/>
      <c r="EB41" s="183"/>
      <c r="EC41" s="183"/>
      <c r="ED41" s="216">
        <f>SUM(ED11:ED40)</f>
        <v>21441.099325694446</v>
      </c>
      <c r="EE41" s="185"/>
      <c r="EG41" s="183"/>
      <c r="EH41" s="216">
        <f>SUM(EH11:EH40)</f>
        <v>0</v>
      </c>
      <c r="EI41" s="185"/>
      <c r="EJ41" s="185"/>
      <c r="EK41" s="183"/>
      <c r="EL41" s="183"/>
      <c r="EM41" s="216">
        <f>SUM(EM11:EM40)</f>
        <v>19428.395833333332</v>
      </c>
      <c r="EN41" s="185"/>
    </row>
    <row r="43" spans="1:146" x14ac:dyDescent="0.2">
      <c r="EM43" s="217"/>
    </row>
    <row r="45" spans="1:146" x14ac:dyDescent="0.2">
      <c r="EM45" s="183"/>
    </row>
    <row r="47" spans="1:146" x14ac:dyDescent="0.2">
      <c r="EM47" s="18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9"/>
  <dimension ref="A1:EQ48"/>
  <sheetViews>
    <sheetView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ColWidth="8.7109375" defaultRowHeight="12.75" x14ac:dyDescent="0.2"/>
  <cols>
    <col min="1" max="1" width="14.5703125" style="182" bestFit="1" customWidth="1"/>
    <col min="2" max="2" width="15.5703125" style="183" bestFit="1" customWidth="1"/>
    <col min="3" max="3" width="15.42578125" style="185" bestFit="1" customWidth="1"/>
    <col min="4" max="4" width="15.42578125" style="182" bestFit="1" customWidth="1"/>
    <col min="5" max="5" width="15.5703125" style="183" bestFit="1" customWidth="1"/>
    <col min="6" max="6" width="12.28515625" style="185" bestFit="1" customWidth="1"/>
    <col min="7" max="7" width="15.42578125" style="182" bestFit="1" customWidth="1"/>
    <col min="8" max="8" width="15.42578125" style="183" hidden="1" customWidth="1"/>
    <col min="9" max="9" width="10.28515625" style="185" hidden="1" customWidth="1"/>
    <col min="10" max="10" width="13.42578125" style="182" hidden="1" customWidth="1"/>
    <col min="11" max="11" width="14.42578125" style="183" hidden="1" customWidth="1"/>
    <col min="12" max="12" width="10.28515625" style="185" hidden="1" customWidth="1"/>
    <col min="13" max="13" width="11.7109375" style="182" hidden="1" customWidth="1"/>
    <col min="14" max="14" width="14.42578125" style="183" hidden="1" customWidth="1"/>
    <col min="15" max="15" width="10.28515625" style="185" hidden="1" customWidth="1"/>
    <col min="16" max="16" width="11.7109375" style="182" hidden="1" customWidth="1"/>
    <col min="17" max="17" width="15.42578125" style="183" hidden="1" customWidth="1"/>
    <col min="18" max="18" width="10.28515625" style="185" hidden="1" customWidth="1"/>
    <col min="19" max="19" width="11.7109375" style="182" hidden="1" customWidth="1"/>
    <col min="20" max="20" width="15.42578125" style="183" hidden="1" customWidth="1"/>
    <col min="21" max="21" width="10.28515625" style="185" hidden="1" customWidth="1"/>
    <col min="22" max="22" width="11.7109375" style="182" hidden="1" customWidth="1"/>
    <col min="23" max="23" width="15.42578125" style="183" hidden="1" customWidth="1"/>
    <col min="24" max="24" width="10.28515625" style="185" hidden="1" customWidth="1"/>
    <col min="25" max="25" width="11.7109375" style="182" hidden="1" customWidth="1"/>
    <col min="26" max="26" width="15.42578125" style="183" hidden="1" customWidth="1"/>
    <col min="27" max="27" width="10.28515625" style="185" hidden="1" customWidth="1"/>
    <col min="28" max="28" width="11.7109375" style="182" hidden="1" customWidth="1"/>
    <col min="29" max="29" width="15.42578125" style="183" hidden="1" customWidth="1"/>
    <col min="30" max="30" width="10.28515625" style="185" hidden="1" customWidth="1"/>
    <col min="31" max="31" width="11.7109375" style="182" hidden="1" customWidth="1"/>
    <col min="32" max="32" width="14.42578125" style="183" hidden="1" customWidth="1"/>
    <col min="33" max="33" width="10.28515625" style="185" hidden="1" customWidth="1"/>
    <col min="34" max="34" width="10.7109375" style="182" hidden="1" customWidth="1"/>
    <col min="35" max="35" width="14.42578125" style="183" customWidth="1"/>
    <col min="36" max="36" width="10.28515625" style="185" customWidth="1"/>
    <col min="37" max="37" width="11.7109375" style="182" bestFit="1" customWidth="1"/>
    <col min="38" max="38" width="14.42578125" style="183" customWidth="1"/>
    <col min="39" max="39" width="10.28515625" style="185" customWidth="1"/>
    <col min="40" max="40" width="10.7109375" style="182" customWidth="1"/>
    <col min="41" max="41" width="15.42578125" style="183" bestFit="1" customWidth="1"/>
    <col min="42" max="42" width="12.28515625" style="185" bestFit="1" customWidth="1"/>
    <col min="43" max="43" width="11.7109375" style="182" bestFit="1" customWidth="1"/>
    <col min="44" max="44" width="15.42578125" style="183" bestFit="1" customWidth="1"/>
    <col min="45" max="45" width="10.28515625" style="185" bestFit="1" customWidth="1"/>
    <col min="46" max="46" width="11.7109375" style="182" bestFit="1" customWidth="1"/>
    <col min="47" max="47" width="14.42578125" style="183" customWidth="1"/>
    <col min="48" max="48" width="10.28515625" style="185" customWidth="1"/>
    <col min="49" max="49" width="10.7109375" style="182" customWidth="1"/>
    <col min="50" max="50" width="14.42578125" style="183" customWidth="1"/>
    <col min="51" max="51" width="10.28515625" style="185" customWidth="1"/>
    <col min="52" max="52" width="10.7109375" style="182" customWidth="1"/>
    <col min="53" max="53" width="14.42578125" style="183" customWidth="1"/>
    <col min="54" max="54" width="10.28515625" style="185" customWidth="1"/>
    <col min="55" max="55" width="10.7109375" style="182" customWidth="1"/>
    <col min="56" max="56" width="14.42578125" style="183" customWidth="1"/>
    <col min="57" max="57" width="10.28515625" style="185" customWidth="1"/>
    <col min="58" max="58" width="10.7109375" style="182" customWidth="1"/>
    <col min="59" max="59" width="14.42578125" style="183" customWidth="1"/>
    <col min="60" max="60" width="10.28515625" style="185" customWidth="1"/>
    <col min="61" max="61" width="10.7109375" style="182" customWidth="1"/>
    <col min="62" max="62" width="14.42578125" style="183" customWidth="1"/>
    <col min="63" max="63" width="10.28515625" style="185" customWidth="1"/>
    <col min="64" max="64" width="10.7109375" style="182" customWidth="1"/>
    <col min="65" max="65" width="14.42578125" style="183" hidden="1" customWidth="1"/>
    <col min="66" max="66" width="10.28515625" style="185" hidden="1" customWidth="1"/>
    <col min="67" max="67" width="10.7109375" style="182" hidden="1" customWidth="1"/>
    <col min="68" max="68" width="14.42578125" style="183" hidden="1" customWidth="1"/>
    <col min="69" max="69" width="10.28515625" style="185" hidden="1" customWidth="1"/>
    <col min="70" max="70" width="10.7109375" style="182" hidden="1" customWidth="1"/>
    <col min="71" max="71" width="14.42578125" style="183" hidden="1" customWidth="1"/>
    <col min="72" max="72" width="10.28515625" style="185" hidden="1" customWidth="1"/>
    <col min="73" max="73" width="10.7109375" style="182" hidden="1" customWidth="1"/>
    <col min="74" max="74" width="14.42578125" style="183" hidden="1" customWidth="1"/>
    <col min="75" max="75" width="10.28515625" style="185" hidden="1" customWidth="1"/>
    <col min="76" max="76" width="10.7109375" style="182" hidden="1" customWidth="1"/>
    <col min="77" max="77" width="14.42578125" style="183" hidden="1" customWidth="1"/>
    <col min="78" max="78" width="10.28515625" style="185" hidden="1" customWidth="1"/>
    <col min="79" max="79" width="10.7109375" style="182" hidden="1" customWidth="1"/>
    <col min="80" max="80" width="14.42578125" style="183" hidden="1" customWidth="1"/>
    <col min="81" max="81" width="10.28515625" style="185" hidden="1" customWidth="1"/>
    <col min="82" max="82" width="10.7109375" style="182" hidden="1" customWidth="1"/>
    <col min="83" max="83" width="14.42578125" style="183" hidden="1" customWidth="1"/>
    <col min="84" max="84" width="10.28515625" style="185" hidden="1" customWidth="1"/>
    <col min="85" max="85" width="10.7109375" style="182" hidden="1" customWidth="1"/>
    <col min="86" max="86" width="14.42578125" style="183" hidden="1" customWidth="1"/>
    <col min="87" max="87" width="10.28515625" style="185" hidden="1" customWidth="1"/>
    <col min="88" max="88" width="10.7109375" style="182" hidden="1" customWidth="1"/>
    <col min="89" max="89" width="14.42578125" style="183" hidden="1" customWidth="1"/>
    <col min="90" max="90" width="10.28515625" style="185" hidden="1" customWidth="1"/>
    <col min="91" max="91" width="10.7109375" style="182" hidden="1" customWidth="1"/>
    <col min="92" max="92" width="14.42578125" style="183" hidden="1" customWidth="1"/>
    <col min="93" max="93" width="10.28515625" style="185" hidden="1" customWidth="1"/>
    <col min="94" max="94" width="10.7109375" style="182" hidden="1" customWidth="1"/>
    <col min="95" max="95" width="14.42578125" style="183" hidden="1" customWidth="1"/>
    <col min="96" max="96" width="10.28515625" style="185" hidden="1" customWidth="1"/>
    <col min="97" max="97" width="10.7109375" style="182" hidden="1" customWidth="1"/>
    <col min="98" max="98" width="14.42578125" style="183" hidden="1" customWidth="1"/>
    <col min="99" max="99" width="10.28515625" style="185" hidden="1" customWidth="1"/>
    <col min="100" max="100" width="10.7109375" style="182" hidden="1" customWidth="1"/>
    <col min="101" max="101" width="14.42578125" style="183" hidden="1" customWidth="1"/>
    <col min="102" max="102" width="10.28515625" style="185" hidden="1" customWidth="1"/>
    <col min="103" max="103" width="10.7109375" style="182" hidden="1" customWidth="1"/>
    <col min="104" max="104" width="14.42578125" style="183" hidden="1" customWidth="1"/>
    <col min="105" max="105" width="10.28515625" style="185" hidden="1" customWidth="1"/>
    <col min="106" max="106" width="10.7109375" style="182" hidden="1" customWidth="1"/>
    <col min="107" max="107" width="14.42578125" style="183" hidden="1" customWidth="1"/>
    <col min="108" max="108" width="10.28515625" style="185" hidden="1" customWidth="1"/>
    <col min="109" max="109" width="10.7109375" style="182" hidden="1" customWidth="1"/>
    <col min="110" max="110" width="14.42578125" style="183" hidden="1" customWidth="1"/>
    <col min="111" max="111" width="10.28515625" style="185" hidden="1" customWidth="1"/>
    <col min="112" max="112" width="10.7109375" style="182" hidden="1" customWidth="1"/>
    <col min="113" max="113" width="14.42578125" style="183" hidden="1" customWidth="1"/>
    <col min="114" max="114" width="10.28515625" style="185" hidden="1" customWidth="1"/>
    <col min="115" max="115" width="10.7109375" style="182" hidden="1" customWidth="1"/>
    <col min="116" max="116" width="14.42578125" style="183" hidden="1" customWidth="1"/>
    <col min="117" max="117" width="10.28515625" style="185" hidden="1" customWidth="1"/>
    <col min="118" max="118" width="10.7109375" style="182" hidden="1" customWidth="1"/>
    <col min="119" max="119" width="14.42578125" style="183" hidden="1" customWidth="1"/>
    <col min="120" max="120" width="10.28515625" style="185" hidden="1" customWidth="1"/>
    <col min="121" max="121" width="10.7109375" style="182" hidden="1" customWidth="1"/>
    <col min="122" max="122" width="14.42578125" style="183" hidden="1" customWidth="1"/>
    <col min="123" max="123" width="10.28515625" style="185" hidden="1" customWidth="1"/>
    <col min="124" max="124" width="10.7109375" style="182" hidden="1" customWidth="1"/>
    <col min="125" max="125" width="14.42578125" style="183" hidden="1" customWidth="1"/>
    <col min="126" max="126" width="10.28515625" style="185" hidden="1" customWidth="1"/>
    <col min="127" max="127" width="10.7109375" style="182" hidden="1" customWidth="1"/>
    <col min="128" max="128" width="14.42578125" style="183" hidden="1" customWidth="1"/>
    <col min="129" max="129" width="10.28515625" style="185" hidden="1" customWidth="1"/>
    <col min="130" max="130" width="10.7109375" style="182" hidden="1" customWidth="1"/>
    <col min="131" max="131" width="2.7109375" style="182" customWidth="1"/>
    <col min="132" max="132" width="15.42578125" style="182" bestFit="1" customWidth="1"/>
    <col min="133" max="133" width="15.42578125" style="182" hidden="1" customWidth="1"/>
    <col min="134" max="134" width="14.42578125" style="182" bestFit="1" customWidth="1"/>
    <col min="135" max="135" width="17.7109375" style="182" bestFit="1" customWidth="1"/>
    <col min="136" max="136" width="2.7109375" style="182" customWidth="1"/>
    <col min="137" max="137" width="15.42578125" style="182" hidden="1" customWidth="1"/>
    <col min="138" max="138" width="14.42578125" style="182" hidden="1" customWidth="1"/>
    <col min="139" max="139" width="12.42578125" style="182" hidden="1" customWidth="1"/>
    <col min="140" max="140" width="2.7109375" style="182" hidden="1" customWidth="1"/>
    <col min="141" max="141" width="15.42578125" style="182" bestFit="1" customWidth="1"/>
    <col min="142" max="142" width="15.42578125" style="182" hidden="1" customWidth="1"/>
    <col min="143" max="143" width="14.42578125" style="182" bestFit="1" customWidth="1"/>
    <col min="144" max="144" width="15.42578125" style="182" bestFit="1" customWidth="1"/>
    <col min="145" max="145" width="42.85546875" style="182" bestFit="1" customWidth="1"/>
    <col min="146" max="146" width="19.42578125" style="182" bestFit="1" customWidth="1"/>
    <col min="147" max="147" width="23.140625" style="182" bestFit="1" customWidth="1"/>
    <col min="148" max="16384" width="8.7109375" style="182"/>
  </cols>
  <sheetData>
    <row r="1" spans="1:147" s="177" customFormat="1" ht="15.75" x14ac:dyDescent="0.25">
      <c r="A1" s="174" t="s">
        <v>0</v>
      </c>
      <c r="B1" s="175"/>
      <c r="C1" s="176"/>
      <c r="E1" s="175"/>
      <c r="F1" s="176"/>
      <c r="H1" s="175"/>
      <c r="I1" s="176"/>
      <c r="K1" s="175"/>
      <c r="L1" s="176"/>
      <c r="N1" s="175"/>
      <c r="O1" s="176"/>
      <c r="Q1" s="175"/>
      <c r="R1" s="176"/>
      <c r="T1" s="175"/>
      <c r="U1" s="176"/>
      <c r="W1" s="175"/>
      <c r="X1" s="176"/>
      <c r="Z1" s="175"/>
      <c r="AA1" s="176"/>
      <c r="AC1" s="175"/>
      <c r="AD1" s="176"/>
      <c r="AF1" s="175"/>
      <c r="AG1" s="176"/>
      <c r="AI1" s="175"/>
      <c r="AJ1" s="176"/>
      <c r="AL1" s="175"/>
      <c r="AM1" s="176"/>
      <c r="AO1" s="175"/>
      <c r="AP1" s="176"/>
      <c r="AR1" s="175"/>
      <c r="AS1" s="176"/>
      <c r="AU1" s="175"/>
      <c r="AV1" s="176"/>
      <c r="AX1" s="175"/>
      <c r="AY1" s="176"/>
      <c r="BA1" s="175"/>
      <c r="BB1" s="176"/>
      <c r="BD1" s="175"/>
      <c r="BE1" s="176"/>
      <c r="BG1" s="175"/>
      <c r="BH1" s="176"/>
      <c r="BJ1" s="175"/>
      <c r="BK1" s="176"/>
      <c r="BM1" s="175"/>
      <c r="BN1" s="176"/>
      <c r="BP1" s="175"/>
      <c r="BQ1" s="176"/>
      <c r="BS1" s="175"/>
      <c r="BT1" s="176"/>
      <c r="BV1" s="175"/>
      <c r="BW1" s="176"/>
      <c r="BY1" s="175"/>
      <c r="BZ1" s="176"/>
      <c r="CB1" s="175"/>
      <c r="CC1" s="176"/>
      <c r="CE1" s="175"/>
      <c r="CF1" s="176"/>
      <c r="CH1" s="175"/>
      <c r="CI1" s="176"/>
      <c r="CK1" s="175"/>
      <c r="CL1" s="176"/>
      <c r="CN1" s="175"/>
      <c r="CO1" s="176"/>
      <c r="CQ1" s="175"/>
      <c r="CR1" s="176"/>
      <c r="CT1" s="175"/>
      <c r="CU1" s="176"/>
      <c r="CW1" s="175"/>
      <c r="CX1" s="176"/>
      <c r="CZ1" s="175"/>
      <c r="DA1" s="176"/>
      <c r="DC1" s="175"/>
      <c r="DD1" s="176"/>
      <c r="DF1" s="175"/>
      <c r="DG1" s="176"/>
      <c r="DI1" s="175"/>
      <c r="DJ1" s="176"/>
      <c r="DL1" s="175"/>
      <c r="DM1" s="176"/>
      <c r="DO1" s="175"/>
      <c r="DP1" s="176"/>
      <c r="DR1" s="175"/>
      <c r="DS1" s="176"/>
      <c r="DU1" s="175"/>
      <c r="DV1" s="176"/>
      <c r="DX1" s="175"/>
      <c r="DY1" s="176"/>
      <c r="DZ1" s="178"/>
      <c r="ED1" s="179"/>
      <c r="EE1" s="180" t="s">
        <v>91</v>
      </c>
      <c r="EI1" s="179" t="s">
        <v>92</v>
      </c>
      <c r="EM1" s="179"/>
      <c r="EN1" s="179" t="s">
        <v>93</v>
      </c>
      <c r="EO1" s="174" t="s">
        <v>94</v>
      </c>
      <c r="EP1" s="174" t="s">
        <v>95</v>
      </c>
      <c r="EQ1" s="174" t="s">
        <v>96</v>
      </c>
    </row>
    <row r="2" spans="1:147" s="177" customFormat="1" ht="16.5" thickBot="1" x14ac:dyDescent="0.3">
      <c r="A2" s="174" t="s">
        <v>97</v>
      </c>
      <c r="B2" s="175"/>
      <c r="C2" s="176"/>
      <c r="E2" s="181"/>
      <c r="F2" s="176"/>
      <c r="G2" s="179"/>
      <c r="H2" s="175"/>
      <c r="I2" s="176"/>
      <c r="K2" s="175"/>
      <c r="L2" s="176"/>
      <c r="N2" s="175"/>
      <c r="O2" s="176"/>
      <c r="Q2" s="175"/>
      <c r="R2" s="176"/>
      <c r="T2" s="175"/>
      <c r="U2" s="176"/>
      <c r="W2" s="175"/>
      <c r="X2" s="176"/>
      <c r="Z2" s="175"/>
      <c r="AA2" s="176"/>
      <c r="AC2" s="175"/>
      <c r="AD2" s="176"/>
      <c r="AF2" s="175"/>
      <c r="AG2" s="176"/>
      <c r="AI2" s="175"/>
      <c r="AJ2" s="176"/>
      <c r="AL2" s="175"/>
      <c r="AM2" s="176"/>
      <c r="AO2" s="175"/>
      <c r="AP2" s="176"/>
      <c r="AR2" s="175"/>
      <c r="AS2" s="176"/>
      <c r="AU2" s="175"/>
      <c r="AV2" s="176"/>
      <c r="AX2" s="175"/>
      <c r="AY2" s="176"/>
      <c r="BA2" s="175"/>
      <c r="BB2" s="176"/>
      <c r="BD2" s="175"/>
      <c r="BE2" s="176"/>
      <c r="BG2" s="175"/>
      <c r="BH2" s="176"/>
      <c r="BJ2" s="175"/>
      <c r="BK2" s="176"/>
      <c r="BM2" s="175"/>
      <c r="BN2" s="176"/>
      <c r="BP2" s="175"/>
      <c r="BQ2" s="176"/>
      <c r="BS2" s="175"/>
      <c r="BT2" s="176"/>
      <c r="BV2" s="175"/>
      <c r="BW2" s="176"/>
      <c r="BY2" s="175"/>
      <c r="BZ2" s="176"/>
      <c r="CB2" s="175"/>
      <c r="CC2" s="176"/>
      <c r="CE2" s="175"/>
      <c r="CF2" s="176"/>
      <c r="CH2" s="175"/>
      <c r="CI2" s="176"/>
      <c r="CK2" s="175"/>
      <c r="CL2" s="176"/>
      <c r="CN2" s="175"/>
      <c r="CO2" s="176"/>
      <c r="CQ2" s="175"/>
      <c r="CR2" s="176"/>
      <c r="CT2" s="175"/>
      <c r="CU2" s="176"/>
      <c r="CW2" s="175"/>
      <c r="CX2" s="176"/>
      <c r="CZ2" s="175"/>
      <c r="DA2" s="176"/>
      <c r="DC2" s="175"/>
      <c r="DD2" s="176"/>
      <c r="DF2" s="175"/>
      <c r="DG2" s="176"/>
      <c r="DI2" s="175"/>
      <c r="DJ2" s="176"/>
      <c r="DL2" s="175"/>
      <c r="DM2" s="176"/>
      <c r="DO2" s="175"/>
      <c r="DP2" s="176"/>
      <c r="DR2" s="175"/>
      <c r="DS2" s="176"/>
      <c r="DU2" s="175"/>
      <c r="DV2" s="176"/>
      <c r="DX2" s="175"/>
      <c r="DY2" s="176"/>
      <c r="EB2" s="182" t="s">
        <v>98</v>
      </c>
      <c r="EC2" s="182"/>
      <c r="ED2" s="183"/>
      <c r="EE2" s="183">
        <f>EB41</f>
        <v>219150000</v>
      </c>
      <c r="EI2" s="183">
        <f>EG40</f>
        <v>0</v>
      </c>
      <c r="EM2" s="183"/>
      <c r="EN2" s="183">
        <f>EK41</f>
        <v>219150000</v>
      </c>
      <c r="EO2" s="175">
        <v>0</v>
      </c>
      <c r="EP2" s="175">
        <f>EN2+EO2</f>
        <v>219150000</v>
      </c>
      <c r="EQ2" s="175">
        <f>EE2+EO2</f>
        <v>219150000</v>
      </c>
    </row>
    <row r="3" spans="1:147" ht="16.5" thickTop="1" x14ac:dyDescent="0.25">
      <c r="A3" s="184" t="s">
        <v>238</v>
      </c>
      <c r="E3" s="186" t="s">
        <v>100</v>
      </c>
      <c r="F3" s="187"/>
      <c r="G3" s="188"/>
      <c r="EB3" s="182" t="s">
        <v>101</v>
      </c>
      <c r="ED3" s="183"/>
      <c r="EE3" s="183">
        <f>AVERAGE(EB11:EB41)</f>
        <v>157169193.54838711</v>
      </c>
      <c r="EI3" s="183">
        <f>AVERAGE(EG11:EG40)</f>
        <v>0</v>
      </c>
      <c r="EM3" s="183"/>
      <c r="EN3" s="183">
        <f>AVERAGE(EK11:EK41)</f>
        <v>115864516.12903225</v>
      </c>
    </row>
    <row r="4" spans="1:147" x14ac:dyDescent="0.2">
      <c r="E4" s="189" t="s">
        <v>98</v>
      </c>
      <c r="F4" s="183"/>
      <c r="G4" s="190">
        <f>EQ2</f>
        <v>219150000</v>
      </c>
      <c r="AI4" s="191" t="s">
        <v>102</v>
      </c>
      <c r="EB4" s="182" t="s">
        <v>103</v>
      </c>
      <c r="ED4" s="185"/>
      <c r="EE4" s="185">
        <f>IF(EE3=0,0,360*(AVERAGE(ED11:ED41)/EE3))</f>
        <v>9.4970506792556603E-3</v>
      </c>
      <c r="EI4" s="185">
        <f>IF(EI3=0,0,360*(AVERAGE(EH11:EH40)/EI3))</f>
        <v>0</v>
      </c>
      <c r="EM4" s="185"/>
      <c r="EN4" s="185">
        <f>IF(EN3=0,0,360*(AVERAGE(EM11:EM41)/EN3))</f>
        <v>9.9323974052007331E-3</v>
      </c>
      <c r="EO4" s="192" t="s">
        <v>104</v>
      </c>
      <c r="EQ4" s="193" t="s">
        <v>102</v>
      </c>
    </row>
    <row r="5" spans="1:147" ht="15.75" x14ac:dyDescent="0.25">
      <c r="E5" s="189" t="s">
        <v>101</v>
      </c>
      <c r="F5" s="183"/>
      <c r="G5" s="190">
        <f>EE3</f>
        <v>157169193.54838711</v>
      </c>
      <c r="AI5" s="194" t="s">
        <v>93</v>
      </c>
      <c r="EB5" s="182" t="s">
        <v>105</v>
      </c>
      <c r="ED5" s="183"/>
      <c r="EE5" s="183">
        <f>MAX(EB11:EB41)</f>
        <v>219150000</v>
      </c>
      <c r="EI5" s="183">
        <f>MAX(EG11:EG40)</f>
        <v>0</v>
      </c>
      <c r="EM5" s="183"/>
      <c r="EN5" s="183">
        <f>MAX(EK11:EK41)</f>
        <v>219150000</v>
      </c>
    </row>
    <row r="6" spans="1:147" x14ac:dyDescent="0.2">
      <c r="E6" s="189" t="s">
        <v>103</v>
      </c>
      <c r="F6" s="183"/>
      <c r="G6" s="195">
        <f>EE4</f>
        <v>9.4970506792556603E-3</v>
      </c>
    </row>
    <row r="7" spans="1:147" ht="16.5" thickBot="1" x14ac:dyDescent="0.3">
      <c r="E7" s="196" t="s">
        <v>105</v>
      </c>
      <c r="F7" s="197"/>
      <c r="G7" s="198">
        <f>EE5</f>
        <v>219150000</v>
      </c>
      <c r="AI7" s="194" t="s">
        <v>93</v>
      </c>
      <c r="EB7" s="199" t="s">
        <v>106</v>
      </c>
      <c r="EC7" s="199"/>
      <c r="ED7" s="200"/>
      <c r="EE7" s="200"/>
      <c r="EG7" s="199" t="s">
        <v>107</v>
      </c>
      <c r="EH7" s="200"/>
      <c r="EI7" s="200"/>
      <c r="EJ7" s="201"/>
      <c r="EK7" s="199" t="s">
        <v>108</v>
      </c>
      <c r="EL7" s="199"/>
      <c r="EM7" s="200"/>
      <c r="EN7" s="200"/>
    </row>
    <row r="8" spans="1:147" ht="13.5" thickTop="1" x14ac:dyDescent="0.2">
      <c r="AI8" s="178" t="s">
        <v>109</v>
      </c>
      <c r="AL8" s="178" t="s">
        <v>109</v>
      </c>
      <c r="AO8" s="178" t="s">
        <v>109</v>
      </c>
      <c r="AR8" s="178" t="s">
        <v>109</v>
      </c>
      <c r="AU8" s="178" t="s">
        <v>109</v>
      </c>
      <c r="AX8" s="178" t="s">
        <v>109</v>
      </c>
      <c r="BA8" s="178" t="s">
        <v>109</v>
      </c>
      <c r="BD8" s="178" t="s">
        <v>109</v>
      </c>
      <c r="BG8" s="178" t="s">
        <v>109</v>
      </c>
      <c r="BJ8" s="178" t="s">
        <v>109</v>
      </c>
      <c r="BM8" s="178" t="s">
        <v>109</v>
      </c>
      <c r="BP8" s="178" t="s">
        <v>109</v>
      </c>
      <c r="BS8" s="178" t="s">
        <v>109</v>
      </c>
      <c r="BV8" s="178" t="s">
        <v>109</v>
      </c>
      <c r="BY8" s="178" t="s">
        <v>109</v>
      </c>
      <c r="CB8" s="178" t="s">
        <v>109</v>
      </c>
      <c r="CE8" s="178" t="s">
        <v>109</v>
      </c>
      <c r="CH8" s="178" t="s">
        <v>109</v>
      </c>
      <c r="CK8" s="178" t="s">
        <v>109</v>
      </c>
      <c r="CN8" s="178" t="s">
        <v>109</v>
      </c>
      <c r="CQ8" s="178" t="s">
        <v>109</v>
      </c>
      <c r="CT8" s="178" t="s">
        <v>109</v>
      </c>
      <c r="CW8" s="178" t="s">
        <v>109</v>
      </c>
      <c r="CZ8" s="178" t="s">
        <v>109</v>
      </c>
      <c r="DC8" s="178" t="s">
        <v>109</v>
      </c>
      <c r="DF8" s="178" t="s">
        <v>109</v>
      </c>
      <c r="DI8" s="178" t="s">
        <v>109</v>
      </c>
      <c r="DL8" s="178" t="s">
        <v>109</v>
      </c>
      <c r="DO8" s="178" t="s">
        <v>109</v>
      </c>
      <c r="DR8" s="178" t="s">
        <v>109</v>
      </c>
      <c r="EB8" s="202"/>
      <c r="EC8" s="202"/>
      <c r="ED8" s="202"/>
      <c r="EE8" s="202" t="s">
        <v>110</v>
      </c>
      <c r="EG8" s="202"/>
      <c r="EH8" s="203" t="s">
        <v>92</v>
      </c>
      <c r="EI8" s="202" t="s">
        <v>110</v>
      </c>
      <c r="EJ8" s="202"/>
      <c r="EK8" s="193" t="s">
        <v>111</v>
      </c>
      <c r="EL8" s="193" t="s">
        <v>112</v>
      </c>
      <c r="EM8" s="203" t="s">
        <v>113</v>
      </c>
      <c r="EN8" s="202" t="s">
        <v>110</v>
      </c>
    </row>
    <row r="9" spans="1:147" x14ac:dyDescent="0.2">
      <c r="B9" s="204" t="s">
        <v>114</v>
      </c>
      <c r="C9" s="205"/>
      <c r="D9" s="200"/>
      <c r="E9" s="204" t="s">
        <v>115</v>
      </c>
      <c r="F9" s="205"/>
      <c r="G9" s="200"/>
      <c r="H9" s="204" t="s">
        <v>116</v>
      </c>
      <c r="I9" s="205"/>
      <c r="J9" s="200"/>
      <c r="K9" s="204" t="s">
        <v>117</v>
      </c>
      <c r="L9" s="205"/>
      <c r="M9" s="200"/>
      <c r="N9" s="204" t="s">
        <v>118</v>
      </c>
      <c r="O9" s="205"/>
      <c r="P9" s="200"/>
      <c r="Q9" s="204" t="s">
        <v>119</v>
      </c>
      <c r="R9" s="205"/>
      <c r="S9" s="200"/>
      <c r="T9" s="204" t="s">
        <v>120</v>
      </c>
      <c r="U9" s="205"/>
      <c r="V9" s="200"/>
      <c r="W9" s="204" t="s">
        <v>121</v>
      </c>
      <c r="X9" s="205"/>
      <c r="Y9" s="200"/>
      <c r="Z9" s="204" t="s">
        <v>122</v>
      </c>
      <c r="AA9" s="205"/>
      <c r="AB9" s="200"/>
      <c r="AC9" s="206" t="s">
        <v>123</v>
      </c>
      <c r="AD9" s="205"/>
      <c r="AE9" s="200"/>
      <c r="AF9" s="206" t="s">
        <v>124</v>
      </c>
      <c r="AG9" s="205"/>
      <c r="AH9" s="200"/>
      <c r="AI9" s="204" t="s">
        <v>125</v>
      </c>
      <c r="AJ9" s="205"/>
      <c r="AK9" s="200"/>
      <c r="AL9" s="204" t="s">
        <v>126</v>
      </c>
      <c r="AM9" s="205"/>
      <c r="AN9" s="200"/>
      <c r="AO9" s="204" t="s">
        <v>127</v>
      </c>
      <c r="AP9" s="205"/>
      <c r="AQ9" s="200"/>
      <c r="AR9" s="204" t="s">
        <v>128</v>
      </c>
      <c r="AS9" s="205"/>
      <c r="AT9" s="200"/>
      <c r="AU9" s="204" t="s">
        <v>129</v>
      </c>
      <c r="AV9" s="205"/>
      <c r="AW9" s="200"/>
      <c r="AX9" s="204" t="s">
        <v>130</v>
      </c>
      <c r="AY9" s="205"/>
      <c r="AZ9" s="200"/>
      <c r="BA9" s="204" t="s">
        <v>131</v>
      </c>
      <c r="BB9" s="205"/>
      <c r="BC9" s="200"/>
      <c r="BD9" s="204" t="s">
        <v>132</v>
      </c>
      <c r="BE9" s="205"/>
      <c r="BF9" s="200"/>
      <c r="BG9" s="204" t="s">
        <v>133</v>
      </c>
      <c r="BH9" s="205"/>
      <c r="BI9" s="200"/>
      <c r="BJ9" s="204" t="s">
        <v>134</v>
      </c>
      <c r="BK9" s="205"/>
      <c r="BL9" s="200"/>
      <c r="BM9" s="204" t="s">
        <v>135</v>
      </c>
      <c r="BN9" s="205"/>
      <c r="BO9" s="200"/>
      <c r="BP9" s="204" t="s">
        <v>136</v>
      </c>
      <c r="BQ9" s="205"/>
      <c r="BR9" s="200"/>
      <c r="BS9" s="204" t="s">
        <v>137</v>
      </c>
      <c r="BT9" s="205"/>
      <c r="BU9" s="200"/>
      <c r="BV9" s="204" t="s">
        <v>138</v>
      </c>
      <c r="BW9" s="205"/>
      <c r="BX9" s="200"/>
      <c r="BY9" s="204" t="s">
        <v>139</v>
      </c>
      <c r="BZ9" s="205"/>
      <c r="CA9" s="200"/>
      <c r="CB9" s="204" t="s">
        <v>140</v>
      </c>
      <c r="CC9" s="205"/>
      <c r="CD9" s="200"/>
      <c r="CE9" s="204" t="s">
        <v>141</v>
      </c>
      <c r="CF9" s="205"/>
      <c r="CG9" s="200"/>
      <c r="CH9" s="204" t="s">
        <v>142</v>
      </c>
      <c r="CI9" s="205"/>
      <c r="CJ9" s="200"/>
      <c r="CK9" s="204" t="s">
        <v>143</v>
      </c>
      <c r="CL9" s="205"/>
      <c r="CM9" s="200"/>
      <c r="CN9" s="204" t="s">
        <v>144</v>
      </c>
      <c r="CO9" s="205"/>
      <c r="CP9" s="200"/>
      <c r="CQ9" s="204" t="s">
        <v>145</v>
      </c>
      <c r="CR9" s="205"/>
      <c r="CS9" s="200"/>
      <c r="CT9" s="204" t="s">
        <v>146</v>
      </c>
      <c r="CU9" s="205"/>
      <c r="CV9" s="200"/>
      <c r="CW9" s="204" t="s">
        <v>147</v>
      </c>
      <c r="CX9" s="205"/>
      <c r="CY9" s="200"/>
      <c r="CZ9" s="204" t="s">
        <v>148</v>
      </c>
      <c r="DA9" s="205"/>
      <c r="DB9" s="200"/>
      <c r="DC9" s="204" t="s">
        <v>149</v>
      </c>
      <c r="DD9" s="205"/>
      <c r="DE9" s="200"/>
      <c r="DF9" s="204" t="s">
        <v>150</v>
      </c>
      <c r="DG9" s="205"/>
      <c r="DH9" s="200"/>
      <c r="DI9" s="204" t="s">
        <v>151</v>
      </c>
      <c r="DJ9" s="205"/>
      <c r="DK9" s="200"/>
      <c r="DL9" s="204" t="s">
        <v>152</v>
      </c>
      <c r="DM9" s="205"/>
      <c r="DN9" s="200"/>
      <c r="DO9" s="204" t="s">
        <v>153</v>
      </c>
      <c r="DP9" s="205"/>
      <c r="DQ9" s="200"/>
      <c r="DR9" s="204" t="s">
        <v>154</v>
      </c>
      <c r="DS9" s="205"/>
      <c r="DT9" s="200"/>
      <c r="DU9" s="204" t="s">
        <v>155</v>
      </c>
      <c r="DV9" s="205"/>
      <c r="DW9" s="200"/>
      <c r="DX9" s="207" t="s">
        <v>156</v>
      </c>
      <c r="DY9" s="205"/>
      <c r="DZ9" s="200"/>
      <c r="EA9" s="201"/>
      <c r="EB9" s="193" t="s">
        <v>157</v>
      </c>
      <c r="EC9" s="193" t="s">
        <v>158</v>
      </c>
      <c r="ED9" s="202" t="s">
        <v>159</v>
      </c>
      <c r="EE9" s="202" t="s">
        <v>160</v>
      </c>
      <c r="EG9" s="203" t="s">
        <v>161</v>
      </c>
      <c r="EH9" s="202" t="s">
        <v>159</v>
      </c>
      <c r="EI9" s="202" t="s">
        <v>160</v>
      </c>
      <c r="EJ9" s="202"/>
      <c r="EK9" s="203" t="s">
        <v>113</v>
      </c>
      <c r="EL9" s="203" t="s">
        <v>113</v>
      </c>
      <c r="EM9" s="202" t="s">
        <v>159</v>
      </c>
      <c r="EN9" s="202" t="s">
        <v>160</v>
      </c>
    </row>
    <row r="10" spans="1:147" x14ac:dyDescent="0.2">
      <c r="A10" s="202" t="s">
        <v>162</v>
      </c>
      <c r="B10" s="208" t="s">
        <v>163</v>
      </c>
      <c r="C10" s="209" t="s">
        <v>164</v>
      </c>
      <c r="D10" s="210" t="s">
        <v>19</v>
      </c>
      <c r="E10" s="208" t="s">
        <v>163</v>
      </c>
      <c r="F10" s="209" t="s">
        <v>164</v>
      </c>
      <c r="G10" s="210" t="s">
        <v>19</v>
      </c>
      <c r="H10" s="208" t="s">
        <v>163</v>
      </c>
      <c r="I10" s="209" t="s">
        <v>164</v>
      </c>
      <c r="J10" s="210" t="s">
        <v>19</v>
      </c>
      <c r="K10" s="208" t="s">
        <v>163</v>
      </c>
      <c r="L10" s="209" t="s">
        <v>164</v>
      </c>
      <c r="M10" s="210" t="s">
        <v>19</v>
      </c>
      <c r="N10" s="208" t="s">
        <v>163</v>
      </c>
      <c r="O10" s="209" t="s">
        <v>164</v>
      </c>
      <c r="P10" s="210" t="s">
        <v>19</v>
      </c>
      <c r="Q10" s="208" t="s">
        <v>163</v>
      </c>
      <c r="R10" s="209" t="s">
        <v>164</v>
      </c>
      <c r="S10" s="210" t="s">
        <v>19</v>
      </c>
      <c r="T10" s="208" t="s">
        <v>163</v>
      </c>
      <c r="U10" s="209" t="s">
        <v>164</v>
      </c>
      <c r="V10" s="210" t="s">
        <v>19</v>
      </c>
      <c r="W10" s="208" t="s">
        <v>163</v>
      </c>
      <c r="X10" s="209" t="s">
        <v>164</v>
      </c>
      <c r="Y10" s="210" t="s">
        <v>19</v>
      </c>
      <c r="Z10" s="208" t="s">
        <v>163</v>
      </c>
      <c r="AA10" s="209" t="s">
        <v>164</v>
      </c>
      <c r="AB10" s="210" t="s">
        <v>19</v>
      </c>
      <c r="AC10" s="208" t="s">
        <v>163</v>
      </c>
      <c r="AD10" s="209" t="s">
        <v>164</v>
      </c>
      <c r="AE10" s="210" t="s">
        <v>19</v>
      </c>
      <c r="AF10" s="208" t="s">
        <v>163</v>
      </c>
      <c r="AG10" s="209" t="s">
        <v>164</v>
      </c>
      <c r="AH10" s="210" t="s">
        <v>19</v>
      </c>
      <c r="AI10" s="208" t="s">
        <v>163</v>
      </c>
      <c r="AJ10" s="209" t="s">
        <v>164</v>
      </c>
      <c r="AK10" s="210" t="s">
        <v>19</v>
      </c>
      <c r="AL10" s="208" t="s">
        <v>163</v>
      </c>
      <c r="AM10" s="209" t="s">
        <v>164</v>
      </c>
      <c r="AN10" s="210" t="s">
        <v>19</v>
      </c>
      <c r="AO10" s="208" t="s">
        <v>163</v>
      </c>
      <c r="AP10" s="209" t="s">
        <v>164</v>
      </c>
      <c r="AQ10" s="210" t="s">
        <v>19</v>
      </c>
      <c r="AR10" s="208" t="s">
        <v>163</v>
      </c>
      <c r="AS10" s="209" t="s">
        <v>164</v>
      </c>
      <c r="AT10" s="210" t="s">
        <v>19</v>
      </c>
      <c r="AU10" s="208" t="s">
        <v>163</v>
      </c>
      <c r="AV10" s="209" t="s">
        <v>164</v>
      </c>
      <c r="AW10" s="210" t="s">
        <v>19</v>
      </c>
      <c r="AX10" s="208" t="s">
        <v>163</v>
      </c>
      <c r="AY10" s="209" t="s">
        <v>164</v>
      </c>
      <c r="AZ10" s="210" t="s">
        <v>19</v>
      </c>
      <c r="BA10" s="208" t="s">
        <v>163</v>
      </c>
      <c r="BB10" s="209" t="s">
        <v>164</v>
      </c>
      <c r="BC10" s="210" t="s">
        <v>19</v>
      </c>
      <c r="BD10" s="208" t="s">
        <v>163</v>
      </c>
      <c r="BE10" s="209" t="s">
        <v>164</v>
      </c>
      <c r="BF10" s="210" t="s">
        <v>19</v>
      </c>
      <c r="BG10" s="208" t="s">
        <v>163</v>
      </c>
      <c r="BH10" s="209" t="s">
        <v>164</v>
      </c>
      <c r="BI10" s="210" t="s">
        <v>19</v>
      </c>
      <c r="BJ10" s="208" t="s">
        <v>163</v>
      </c>
      <c r="BK10" s="209" t="s">
        <v>164</v>
      </c>
      <c r="BL10" s="210" t="s">
        <v>19</v>
      </c>
      <c r="BM10" s="208" t="s">
        <v>163</v>
      </c>
      <c r="BN10" s="209" t="s">
        <v>164</v>
      </c>
      <c r="BO10" s="210" t="s">
        <v>19</v>
      </c>
      <c r="BP10" s="208" t="s">
        <v>163</v>
      </c>
      <c r="BQ10" s="209" t="s">
        <v>164</v>
      </c>
      <c r="BR10" s="210" t="s">
        <v>19</v>
      </c>
      <c r="BS10" s="208" t="s">
        <v>163</v>
      </c>
      <c r="BT10" s="209" t="s">
        <v>164</v>
      </c>
      <c r="BU10" s="210" t="s">
        <v>19</v>
      </c>
      <c r="BV10" s="208" t="s">
        <v>163</v>
      </c>
      <c r="BW10" s="209" t="s">
        <v>164</v>
      </c>
      <c r="BX10" s="210" t="s">
        <v>19</v>
      </c>
      <c r="BY10" s="208" t="s">
        <v>163</v>
      </c>
      <c r="BZ10" s="209" t="s">
        <v>164</v>
      </c>
      <c r="CA10" s="210" t="s">
        <v>19</v>
      </c>
      <c r="CB10" s="208" t="s">
        <v>163</v>
      </c>
      <c r="CC10" s="209" t="s">
        <v>164</v>
      </c>
      <c r="CD10" s="210" t="s">
        <v>19</v>
      </c>
      <c r="CE10" s="208" t="s">
        <v>163</v>
      </c>
      <c r="CF10" s="209" t="s">
        <v>164</v>
      </c>
      <c r="CG10" s="210" t="s">
        <v>19</v>
      </c>
      <c r="CH10" s="208" t="s">
        <v>163</v>
      </c>
      <c r="CI10" s="209" t="s">
        <v>164</v>
      </c>
      <c r="CJ10" s="210" t="s">
        <v>19</v>
      </c>
      <c r="CK10" s="208" t="s">
        <v>163</v>
      </c>
      <c r="CL10" s="209" t="s">
        <v>164</v>
      </c>
      <c r="CM10" s="210" t="s">
        <v>19</v>
      </c>
      <c r="CN10" s="208" t="s">
        <v>163</v>
      </c>
      <c r="CO10" s="209" t="s">
        <v>164</v>
      </c>
      <c r="CP10" s="210" t="s">
        <v>19</v>
      </c>
      <c r="CQ10" s="208" t="s">
        <v>163</v>
      </c>
      <c r="CR10" s="209" t="s">
        <v>164</v>
      </c>
      <c r="CS10" s="210" t="s">
        <v>19</v>
      </c>
      <c r="CT10" s="208" t="s">
        <v>163</v>
      </c>
      <c r="CU10" s="209" t="s">
        <v>164</v>
      </c>
      <c r="CV10" s="210" t="s">
        <v>19</v>
      </c>
      <c r="CW10" s="208" t="s">
        <v>163</v>
      </c>
      <c r="CX10" s="209" t="s">
        <v>164</v>
      </c>
      <c r="CY10" s="210" t="s">
        <v>19</v>
      </c>
      <c r="CZ10" s="208" t="s">
        <v>163</v>
      </c>
      <c r="DA10" s="209" t="s">
        <v>164</v>
      </c>
      <c r="DB10" s="210" t="s">
        <v>19</v>
      </c>
      <c r="DC10" s="208" t="s">
        <v>163</v>
      </c>
      <c r="DD10" s="209" t="s">
        <v>164</v>
      </c>
      <c r="DE10" s="210" t="s">
        <v>19</v>
      </c>
      <c r="DF10" s="208" t="s">
        <v>163</v>
      </c>
      <c r="DG10" s="209" t="s">
        <v>164</v>
      </c>
      <c r="DH10" s="210" t="s">
        <v>19</v>
      </c>
      <c r="DI10" s="208" t="s">
        <v>163</v>
      </c>
      <c r="DJ10" s="209" t="s">
        <v>164</v>
      </c>
      <c r="DK10" s="210" t="s">
        <v>19</v>
      </c>
      <c r="DL10" s="208" t="s">
        <v>163</v>
      </c>
      <c r="DM10" s="209" t="s">
        <v>164</v>
      </c>
      <c r="DN10" s="210" t="s">
        <v>19</v>
      </c>
      <c r="DO10" s="208" t="s">
        <v>163</v>
      </c>
      <c r="DP10" s="209" t="s">
        <v>164</v>
      </c>
      <c r="DQ10" s="210" t="s">
        <v>19</v>
      </c>
      <c r="DR10" s="208" t="s">
        <v>163</v>
      </c>
      <c r="DS10" s="209" t="s">
        <v>164</v>
      </c>
      <c r="DT10" s="210" t="s">
        <v>19</v>
      </c>
      <c r="DU10" s="208" t="s">
        <v>163</v>
      </c>
      <c r="DV10" s="209" t="s">
        <v>164</v>
      </c>
      <c r="DW10" s="210" t="s">
        <v>19</v>
      </c>
      <c r="DX10" s="208" t="s">
        <v>163</v>
      </c>
      <c r="DY10" s="209"/>
      <c r="DZ10" s="210"/>
      <c r="EA10" s="210"/>
      <c r="EB10" s="210" t="s">
        <v>165</v>
      </c>
      <c r="EC10" s="210" t="s">
        <v>165</v>
      </c>
      <c r="ED10" s="210" t="s">
        <v>19</v>
      </c>
      <c r="EE10" s="210" t="s">
        <v>164</v>
      </c>
      <c r="EG10" s="210" t="s">
        <v>165</v>
      </c>
      <c r="EH10" s="210" t="s">
        <v>19</v>
      </c>
      <c r="EI10" s="210" t="s">
        <v>164</v>
      </c>
      <c r="EJ10" s="210"/>
      <c r="EK10" s="210" t="s">
        <v>165</v>
      </c>
      <c r="EL10" s="210" t="s">
        <v>165</v>
      </c>
      <c r="EM10" s="210" t="s">
        <v>19</v>
      </c>
      <c r="EN10" s="210" t="s">
        <v>164</v>
      </c>
    </row>
    <row r="11" spans="1:147" x14ac:dyDescent="0.2">
      <c r="A11" s="211">
        <v>44682</v>
      </c>
      <c r="B11" s="183">
        <v>3200000</v>
      </c>
      <c r="C11" s="185">
        <v>7.6627400000000003E-3</v>
      </c>
      <c r="D11" s="183">
        <f>(B11*C11)/360</f>
        <v>68.113244444444447</v>
      </c>
      <c r="G11" s="183">
        <f>(E11*F11)/360</f>
        <v>0</v>
      </c>
      <c r="J11" s="183">
        <f>(H11*I11)/360</f>
        <v>0</v>
      </c>
      <c r="M11" s="183">
        <f>(K11*L11)/360</f>
        <v>0</v>
      </c>
      <c r="P11" s="183">
        <f>(N11*O11)/360</f>
        <v>0</v>
      </c>
      <c r="S11" s="183">
        <f>(Q11*R11)/360</f>
        <v>0</v>
      </c>
      <c r="V11" s="183">
        <f>(T11*U11)/360</f>
        <v>0</v>
      </c>
      <c r="Y11" s="183">
        <f>(W11*X11)/360</f>
        <v>0</v>
      </c>
      <c r="AB11" s="183">
        <f>(Z11*AA11)/360</f>
        <v>0</v>
      </c>
      <c r="AE11" s="183">
        <v>0</v>
      </c>
      <c r="AH11" s="183">
        <v>0</v>
      </c>
      <c r="AI11" s="212"/>
      <c r="AJ11" s="213"/>
      <c r="AK11" s="183">
        <f>(AI11*AJ11)/360</f>
        <v>0</v>
      </c>
      <c r="AL11" s="212">
        <v>89150000</v>
      </c>
      <c r="AM11" s="213">
        <v>6.0000000000000001E-3</v>
      </c>
      <c r="AN11" s="183">
        <f>(AL11*AM11)/360</f>
        <v>1485.8333333333333</v>
      </c>
      <c r="AO11" s="212"/>
      <c r="AP11" s="213"/>
      <c r="AQ11" s="183">
        <f>(AO11*AP11)/360</f>
        <v>0</v>
      </c>
      <c r="AR11" s="212"/>
      <c r="AS11" s="213"/>
      <c r="AT11" s="183">
        <f>(AR11*AS11)/360</f>
        <v>0</v>
      </c>
      <c r="AW11" s="183">
        <f>(AU11*AV11)/360</f>
        <v>0</v>
      </c>
      <c r="AZ11" s="183">
        <f>(AX11*AY11)/360</f>
        <v>0</v>
      </c>
      <c r="BC11" s="183">
        <f>(BA11*BB11)/360</f>
        <v>0</v>
      </c>
      <c r="BF11" s="183">
        <f>(BD11*BE11)/360</f>
        <v>0</v>
      </c>
      <c r="BI11" s="183">
        <f>(BG11*BH11)/360</f>
        <v>0</v>
      </c>
      <c r="BL11" s="183">
        <f>(BJ11*BK11)/360</f>
        <v>0</v>
      </c>
      <c r="BO11" s="183">
        <f>(BM11*BN11)/360</f>
        <v>0</v>
      </c>
      <c r="BR11" s="183">
        <f>(BP11*BQ11)/360</f>
        <v>0</v>
      </c>
      <c r="BU11" s="183">
        <f>(BS11*BT11)/360</f>
        <v>0</v>
      </c>
      <c r="BX11" s="183">
        <f>(BV11*BW11)/360</f>
        <v>0</v>
      </c>
      <c r="CA11" s="183">
        <f>(BY11*BZ11)/360</f>
        <v>0</v>
      </c>
      <c r="CD11" s="183">
        <f>(CB11*CC11)/360</f>
        <v>0</v>
      </c>
      <c r="CG11" s="183">
        <f>(CE11*CF11)/360</f>
        <v>0</v>
      </c>
      <c r="CJ11" s="183">
        <f>(CH11*CI11)/360</f>
        <v>0</v>
      </c>
      <c r="CM11" s="183">
        <f>(CK11*CL11)/360</f>
        <v>0</v>
      </c>
      <c r="CP11" s="183">
        <f>(CN11*CO11)/360</f>
        <v>0</v>
      </c>
      <c r="CS11" s="183">
        <f>(CQ11*CR11)/360</f>
        <v>0</v>
      </c>
      <c r="CV11" s="183">
        <f>(CT11*CU11)/360</f>
        <v>0</v>
      </c>
      <c r="CY11" s="183">
        <f>(CW11*CX11)/360</f>
        <v>0</v>
      </c>
      <c r="DB11" s="183">
        <f>(CZ11*DA11)/360</f>
        <v>0</v>
      </c>
      <c r="DE11" s="183">
        <f>(DC11*DD11)/360</f>
        <v>0</v>
      </c>
      <c r="DH11" s="183">
        <f>(DF11*DG11)/360</f>
        <v>0</v>
      </c>
      <c r="DK11" s="183">
        <f>(DI11*DJ11)/360</f>
        <v>0</v>
      </c>
      <c r="DN11" s="183">
        <f>(DL11*DM11)/360</f>
        <v>0</v>
      </c>
      <c r="DQ11" s="183">
        <f>(DO11*DP11)/360</f>
        <v>0</v>
      </c>
      <c r="DT11" s="183">
        <f>(DR11*DS11)/360</f>
        <v>0</v>
      </c>
      <c r="DW11" s="183">
        <f>(DU11*DV11)/360</f>
        <v>0</v>
      </c>
      <c r="DZ11" s="183"/>
      <c r="EA11" s="183"/>
      <c r="EB11" s="214">
        <f>B11+E11+H11+K11+N11+Q11+T11+W11+Z11+AC11+AF11+AL11+AO11+AR11+AU11+AX11+BA11+BD11+BG11+DU11+AI11+DR11+DO11+DL11+DI11+DF11+DC11+CZ11+CW11+CT11+CQ11+CN11+CK11+CH11+CE11+CB11+BY11+BV11+BS11+BP11+BM11+BJ11</f>
        <v>92350000</v>
      </c>
      <c r="EC11" s="214">
        <f>EB11-EK11+EL11</f>
        <v>3200000</v>
      </c>
      <c r="ED11" s="183">
        <f>D11+G11+J11+M11+P11+S11+V11+Y11+AB11+AE11+AH11+AK11+AN11+AQ11+AT11+AW11+AZ11+BC11+BF11+BI11+DW11+DT11+DQ11+DN11+DK11+DH11+DE11+DB11+CY11+CV11+CS11+CP11+CM11+CJ11+CG11+CD11+CA11+BX11+BU11+BR11+BO11+BL11</f>
        <v>1553.9465777777777</v>
      </c>
      <c r="EE11" s="185">
        <f>IF(EB11&lt;&gt;0,((ED11/EB11)*360),0)</f>
        <v>6.0576152463454247E-3</v>
      </c>
      <c r="EG11" s="214">
        <f>Q11+T11+W11+Z11+AC11+AF11</f>
        <v>0</v>
      </c>
      <c r="EH11" s="183">
        <f>S11+V11+Y11+AB11+AE11+AH11</f>
        <v>0</v>
      </c>
      <c r="EI11" s="185">
        <f>IF(EG11&lt;&gt;0,((EH11/EG11)*360),0)</f>
        <v>0</v>
      </c>
      <c r="EJ11" s="185"/>
      <c r="EK11" s="214">
        <f>DR11+DL11+DI11+DF11+DC11+CZ11+CW11+CT11+CQ11+CN11+CK11+CH11+CE11+CB11+BY11+BV11+BS11+BP11+BM11+BJ11+BG11+BD11+BA11+AX11+AU11+AR11+AO11+AL11+AI11+DO11</f>
        <v>89150000</v>
      </c>
      <c r="EL11" s="214">
        <f>DX11</f>
        <v>0</v>
      </c>
      <c r="EM11" s="214">
        <f>DT11+DQ11+DN11+DK11+DH11+DE11+DB11+CY11+CV11+CS11+CP11+CM11+CJ11+CG11+CD11+CA11+BX11+BU11+BR11+BO11+BL11+BI11+BF11+BC11+AZ11+AW11+AT11+AQ11+AN11+AK11</f>
        <v>1485.8333333333333</v>
      </c>
      <c r="EN11" s="185">
        <f>IF(EK11&lt;&gt;0,((EM11/EK11)*360),0)</f>
        <v>6.0000000000000001E-3</v>
      </c>
      <c r="EP11" s="183"/>
    </row>
    <row r="12" spans="1:147" x14ac:dyDescent="0.2">
      <c r="A12" s="211">
        <f>1+A11</f>
        <v>44683</v>
      </c>
      <c r="B12" s="183">
        <v>0</v>
      </c>
      <c r="C12" s="185">
        <v>8.4124999999999998E-3</v>
      </c>
      <c r="D12" s="183">
        <f t="shared" ref="D12:D41" si="0">(B12*C12)/360</f>
        <v>0</v>
      </c>
      <c r="G12" s="183">
        <f t="shared" ref="G12:G41" si="1">(E12*F12)/360</f>
        <v>0</v>
      </c>
      <c r="J12" s="183">
        <f t="shared" ref="J12:J41" si="2">(H12*I12)/360</f>
        <v>0</v>
      </c>
      <c r="M12" s="183">
        <f t="shared" ref="M12:M41" si="3">(K12*L12)/360</f>
        <v>0</v>
      </c>
      <c r="P12" s="183">
        <f t="shared" ref="P12:P41" si="4">(N12*O12)/360</f>
        <v>0</v>
      </c>
      <c r="S12" s="183">
        <f t="shared" ref="S12:S41" si="5">(Q12*R12)/360</f>
        <v>0</v>
      </c>
      <c r="V12" s="183">
        <f t="shared" ref="V12:V41" si="6">(T12*U12)/360</f>
        <v>0</v>
      </c>
      <c r="Y12" s="183">
        <f t="shared" ref="Y12:Y41" si="7">(W12*X12)/360</f>
        <v>0</v>
      </c>
      <c r="AB12" s="183">
        <f t="shared" ref="AB12:AB41" si="8">(Z12*AA12)/360</f>
        <v>0</v>
      </c>
      <c r="AE12" s="183">
        <v>0</v>
      </c>
      <c r="AH12" s="183">
        <v>0</v>
      </c>
      <c r="AI12" s="212">
        <v>30000000</v>
      </c>
      <c r="AJ12" s="213">
        <v>1.0500000000000001E-2</v>
      </c>
      <c r="AK12" s="183">
        <f t="shared" ref="AK12:AK41" si="9">(AI12*AJ12)/360</f>
        <v>875</v>
      </c>
      <c r="AL12" s="212">
        <v>89000000</v>
      </c>
      <c r="AM12" s="213">
        <v>6.0000000000000001E-3</v>
      </c>
      <c r="AN12" s="183">
        <f t="shared" ref="AN12:AN41" si="10">(AL12*AM12)/360</f>
        <v>1483.3333333333333</v>
      </c>
      <c r="AO12" s="212"/>
      <c r="AP12" s="213"/>
      <c r="AQ12" s="183">
        <f t="shared" ref="AQ12:AQ41" si="11">(AO12*AP12)/360</f>
        <v>0</v>
      </c>
      <c r="AR12" s="212"/>
      <c r="AS12" s="213"/>
      <c r="AT12" s="183">
        <f t="shared" ref="AT12:AT41" si="12">(AR12*AS12)/360</f>
        <v>0</v>
      </c>
      <c r="AW12" s="183">
        <f t="shared" ref="AW12:AW41" si="13">(AU12*AV12)/360</f>
        <v>0</v>
      </c>
      <c r="AZ12" s="183">
        <f t="shared" ref="AZ12:AZ41" si="14">(AX12*AY12)/360</f>
        <v>0</v>
      </c>
      <c r="BC12" s="183">
        <f t="shared" ref="BC12:BC41" si="15">(BA12*BB12)/360</f>
        <v>0</v>
      </c>
      <c r="BF12" s="183">
        <f t="shared" ref="BF12:BF41" si="16">(BD12*BE12)/360</f>
        <v>0</v>
      </c>
      <c r="BI12" s="183">
        <f t="shared" ref="BI12:BI41" si="17">(BG12*BH12)/360</f>
        <v>0</v>
      </c>
      <c r="BL12" s="183">
        <f t="shared" ref="BL12:BL41" si="18">(BJ12*BK12)/360</f>
        <v>0</v>
      </c>
      <c r="BO12" s="183">
        <f t="shared" ref="BO12:BO41" si="19">(BM12*BN12)/360</f>
        <v>0</v>
      </c>
      <c r="BR12" s="183">
        <f t="shared" ref="BR12:BR41" si="20">(BP12*BQ12)/360</f>
        <v>0</v>
      </c>
      <c r="BU12" s="183">
        <f t="shared" ref="BU12:BU41" si="21">(BS12*BT12)/360</f>
        <v>0</v>
      </c>
      <c r="BX12" s="183">
        <f t="shared" ref="BX12:BX41" si="22">(BV12*BW12)/360</f>
        <v>0</v>
      </c>
      <c r="CA12" s="183">
        <f t="shared" ref="CA12:CA41" si="23">(BY12*BZ12)/360</f>
        <v>0</v>
      </c>
      <c r="CD12" s="183">
        <f t="shared" ref="CD12:CD41" si="24">(CB12*CC12)/360</f>
        <v>0</v>
      </c>
      <c r="CG12" s="183">
        <f t="shared" ref="CG12:CG41" si="25">(CE12*CF12)/360</f>
        <v>0</v>
      </c>
      <c r="CJ12" s="183">
        <f t="shared" ref="CJ12:CJ41" si="26">(CH12*CI12)/360</f>
        <v>0</v>
      </c>
      <c r="CM12" s="183">
        <f t="shared" ref="CM12:CM41" si="27">(CK12*CL12)/360</f>
        <v>0</v>
      </c>
      <c r="CP12" s="183">
        <f t="shared" ref="CP12:CP41" si="28">(CN12*CO12)/360</f>
        <v>0</v>
      </c>
      <c r="CS12" s="183">
        <f t="shared" ref="CS12:CS41" si="29">(CQ12*CR12)/360</f>
        <v>0</v>
      </c>
      <c r="CV12" s="183">
        <f t="shared" ref="CV12:CV41" si="30">(CT12*CU12)/360</f>
        <v>0</v>
      </c>
      <c r="CY12" s="183">
        <f t="shared" ref="CY12:CY41" si="31">(CW12*CX12)/360</f>
        <v>0</v>
      </c>
      <c r="DB12" s="183">
        <f t="shared" ref="DB12:DB41" si="32">(CZ12*DA12)/360</f>
        <v>0</v>
      </c>
      <c r="DE12" s="183">
        <f t="shared" ref="DE12:DE41" si="33">(DC12*DD12)/360</f>
        <v>0</v>
      </c>
      <c r="DH12" s="183">
        <f t="shared" ref="DH12:DH41" si="34">(DF12*DG12)/360</f>
        <v>0</v>
      </c>
      <c r="DK12" s="183">
        <f t="shared" ref="DK12:DK41" si="35">(DI12*DJ12)/360</f>
        <v>0</v>
      </c>
      <c r="DN12" s="183">
        <f t="shared" ref="DN12:DN41" si="36">(DL12*DM12)/360</f>
        <v>0</v>
      </c>
      <c r="DQ12" s="183">
        <f t="shared" ref="DQ12:DQ41" si="37">(DO12*DP12)/360</f>
        <v>0</v>
      </c>
      <c r="DT12" s="183">
        <f t="shared" ref="DT12:DT41" si="38">(DR12*DS12)/360</f>
        <v>0</v>
      </c>
      <c r="DW12" s="183">
        <f t="shared" ref="DW12:DW41" si="39">(DU12*DV12)/360</f>
        <v>0</v>
      </c>
      <c r="DZ12" s="183"/>
      <c r="EA12" s="183"/>
      <c r="EB12" s="214">
        <f t="shared" ref="EB12:EB41" si="40">B12+E12+H12+K12+N12+Q12+T12+W12+Z12+AC12+AF12+AL12+AO12+AR12+AU12+AX12+BA12+BD12+BG12+DU12+AI12+DR12+DO12+DL12+DI12+DF12+DC12+CZ12+CW12+CT12+CQ12+CN12+CK12+CH12+CE12+CB12+BY12+BV12+BS12+BP12+BM12+BJ12</f>
        <v>119000000</v>
      </c>
      <c r="EC12" s="214">
        <f t="shared" ref="EC12:EC41" si="41">EB12-EK12+EL12</f>
        <v>0</v>
      </c>
      <c r="ED12" s="183">
        <f t="shared" ref="ED12:ED41" si="42">D12+G12+J12+M12+P12+S12+V12+Y12+AB12+AE12+AH12+AK12+AN12+AQ12+AT12+AW12+AZ12+BC12+BF12+BI12+DW12+DT12+DQ12+DN12+DK12+DH12+DE12+DB12+CY12+CV12+CS12+CP12+CM12+CJ12+CG12+CD12+CA12+BX12+BU12+BR12+BO12+BL12</f>
        <v>2358.333333333333</v>
      </c>
      <c r="EE12" s="185">
        <f t="shared" ref="EE12:EE41" si="43">IF(EB12&lt;&gt;0,((ED12/EB12)*360),0)</f>
        <v>7.1344537815126036E-3</v>
      </c>
      <c r="EG12" s="214">
        <f t="shared" ref="EG12:EG41" si="44">Q12+T12+W12+Z12+AC12+AF12</f>
        <v>0</v>
      </c>
      <c r="EH12" s="183">
        <f t="shared" ref="EH12:EH41" si="45">S12+V12+Y12+AB12+AE12+AH12</f>
        <v>0</v>
      </c>
      <c r="EI12" s="185">
        <f t="shared" ref="EI12:EI41" si="46">IF(EG12&lt;&gt;0,((EH12/EG12)*360),0)</f>
        <v>0</v>
      </c>
      <c r="EJ12" s="185"/>
      <c r="EK12" s="214">
        <f t="shared" ref="EK12:EK41" si="47">DR12+DL12+DI12+DF12+DC12+CZ12+CW12+CT12+CQ12+CN12+CK12+CH12+CE12+CB12+BY12+BV12+BS12+BP12+BM12+BJ12+BG12+BD12+BA12+AX12+AU12+AR12+AO12+AL12+AI12+DO12</f>
        <v>119000000</v>
      </c>
      <c r="EL12" s="214">
        <f t="shared" ref="EL12:EL41" si="48">DX12</f>
        <v>0</v>
      </c>
      <c r="EM12" s="214">
        <f t="shared" ref="EM12:EM41" si="49">DT12+DQ12+DN12+DK12+DH12+DE12+DB12+CY12+CV12+CS12+CP12+CM12+CJ12+CG12+CD12+CA12+BX12+BU12+BR12+BO12+BL12+BI12+BF12+BC12+AZ12+AW12+AT12+AQ12+AN12+AK12</f>
        <v>2358.333333333333</v>
      </c>
      <c r="EN12" s="185">
        <f t="shared" ref="EN12:EN41" si="50">IF(EK12&lt;&gt;0,((EM12/EK12)*360),0)</f>
        <v>7.1344537815126036E-3</v>
      </c>
      <c r="EP12" s="183"/>
    </row>
    <row r="13" spans="1:147" x14ac:dyDescent="0.2">
      <c r="A13" s="211">
        <f t="shared" ref="A13:A41" si="51">1+A12</f>
        <v>44684</v>
      </c>
      <c r="B13" s="183">
        <v>0</v>
      </c>
      <c r="C13" s="185">
        <v>8.5905600000000006E-3</v>
      </c>
      <c r="D13" s="183">
        <f t="shared" si="0"/>
        <v>0</v>
      </c>
      <c r="G13" s="183">
        <f t="shared" si="1"/>
        <v>0</v>
      </c>
      <c r="J13" s="183">
        <f t="shared" si="2"/>
        <v>0</v>
      </c>
      <c r="M13" s="183">
        <f t="shared" si="3"/>
        <v>0</v>
      </c>
      <c r="P13" s="183">
        <f t="shared" si="4"/>
        <v>0</v>
      </c>
      <c r="S13" s="183">
        <f t="shared" si="5"/>
        <v>0</v>
      </c>
      <c r="V13" s="183">
        <f t="shared" si="6"/>
        <v>0</v>
      </c>
      <c r="Y13" s="183">
        <f t="shared" si="7"/>
        <v>0</v>
      </c>
      <c r="AB13" s="183">
        <f t="shared" si="8"/>
        <v>0</v>
      </c>
      <c r="AE13" s="183">
        <v>0</v>
      </c>
      <c r="AH13" s="183">
        <v>0</v>
      </c>
      <c r="AI13" s="212">
        <v>30000000</v>
      </c>
      <c r="AJ13" s="213">
        <v>1.0500000000000001E-2</v>
      </c>
      <c r="AK13" s="183">
        <f t="shared" si="9"/>
        <v>875</v>
      </c>
      <c r="AL13" s="212">
        <v>105075000</v>
      </c>
      <c r="AM13" s="213">
        <v>6.0000000000000001E-3</v>
      </c>
      <c r="AN13" s="183">
        <f t="shared" si="10"/>
        <v>1751.25</v>
      </c>
      <c r="AO13" s="212"/>
      <c r="AP13" s="213"/>
      <c r="AQ13" s="183">
        <f t="shared" si="11"/>
        <v>0</v>
      </c>
      <c r="AR13" s="212"/>
      <c r="AS13" s="213"/>
      <c r="AT13" s="183">
        <f t="shared" si="12"/>
        <v>0</v>
      </c>
      <c r="AW13" s="183">
        <f t="shared" si="13"/>
        <v>0</v>
      </c>
      <c r="AZ13" s="183">
        <f t="shared" si="14"/>
        <v>0</v>
      </c>
      <c r="BC13" s="183">
        <f t="shared" si="15"/>
        <v>0</v>
      </c>
      <c r="BF13" s="183">
        <f t="shared" si="16"/>
        <v>0</v>
      </c>
      <c r="BI13" s="183">
        <f t="shared" si="17"/>
        <v>0</v>
      </c>
      <c r="BL13" s="183">
        <f t="shared" si="18"/>
        <v>0</v>
      </c>
      <c r="BO13" s="183">
        <f t="shared" si="19"/>
        <v>0</v>
      </c>
      <c r="BR13" s="183">
        <f t="shared" si="20"/>
        <v>0</v>
      </c>
      <c r="BU13" s="183">
        <f t="shared" si="21"/>
        <v>0</v>
      </c>
      <c r="BX13" s="183">
        <f t="shared" si="22"/>
        <v>0</v>
      </c>
      <c r="CA13" s="183">
        <f t="shared" si="23"/>
        <v>0</v>
      </c>
      <c r="CD13" s="183">
        <f t="shared" si="24"/>
        <v>0</v>
      </c>
      <c r="CG13" s="183">
        <f t="shared" si="25"/>
        <v>0</v>
      </c>
      <c r="CJ13" s="183">
        <f t="shared" si="26"/>
        <v>0</v>
      </c>
      <c r="CM13" s="183">
        <f t="shared" si="27"/>
        <v>0</v>
      </c>
      <c r="CP13" s="183">
        <f t="shared" si="28"/>
        <v>0</v>
      </c>
      <c r="CS13" s="183">
        <f t="shared" si="29"/>
        <v>0</v>
      </c>
      <c r="CV13" s="183">
        <f t="shared" si="30"/>
        <v>0</v>
      </c>
      <c r="CY13" s="183">
        <f t="shared" si="31"/>
        <v>0</v>
      </c>
      <c r="DB13" s="183">
        <f t="shared" si="32"/>
        <v>0</v>
      </c>
      <c r="DE13" s="183">
        <f t="shared" si="33"/>
        <v>0</v>
      </c>
      <c r="DH13" s="183">
        <f t="shared" si="34"/>
        <v>0</v>
      </c>
      <c r="DK13" s="183">
        <f t="shared" si="35"/>
        <v>0</v>
      </c>
      <c r="DN13" s="183">
        <f t="shared" si="36"/>
        <v>0</v>
      </c>
      <c r="DQ13" s="183">
        <f t="shared" si="37"/>
        <v>0</v>
      </c>
      <c r="DT13" s="183">
        <f t="shared" si="38"/>
        <v>0</v>
      </c>
      <c r="DW13" s="183">
        <f t="shared" si="39"/>
        <v>0</v>
      </c>
      <c r="DZ13" s="183"/>
      <c r="EA13" s="183"/>
      <c r="EB13" s="214">
        <f t="shared" si="40"/>
        <v>135075000</v>
      </c>
      <c r="EC13" s="214">
        <f t="shared" si="41"/>
        <v>0</v>
      </c>
      <c r="ED13" s="183">
        <f t="shared" si="42"/>
        <v>2626.25</v>
      </c>
      <c r="EE13" s="185">
        <f t="shared" si="43"/>
        <v>6.9994447529150468E-3</v>
      </c>
      <c r="EG13" s="214">
        <f t="shared" si="44"/>
        <v>0</v>
      </c>
      <c r="EH13" s="183">
        <f t="shared" si="45"/>
        <v>0</v>
      </c>
      <c r="EI13" s="185">
        <f t="shared" si="46"/>
        <v>0</v>
      </c>
      <c r="EJ13" s="185"/>
      <c r="EK13" s="214">
        <f t="shared" si="47"/>
        <v>135075000</v>
      </c>
      <c r="EL13" s="214">
        <f t="shared" si="48"/>
        <v>0</v>
      </c>
      <c r="EM13" s="214">
        <f t="shared" si="49"/>
        <v>2626.25</v>
      </c>
      <c r="EN13" s="185">
        <f t="shared" si="50"/>
        <v>6.9994447529150468E-3</v>
      </c>
      <c r="EP13" s="183"/>
    </row>
    <row r="14" spans="1:147" x14ac:dyDescent="0.2">
      <c r="A14" s="211">
        <f t="shared" si="51"/>
        <v>44685</v>
      </c>
      <c r="B14" s="183">
        <v>5625000</v>
      </c>
      <c r="C14" s="185">
        <v>5.72603E-3</v>
      </c>
      <c r="D14" s="183">
        <f t="shared" si="0"/>
        <v>89.469218749999996</v>
      </c>
      <c r="G14" s="183">
        <f t="shared" si="1"/>
        <v>0</v>
      </c>
      <c r="J14" s="183">
        <f t="shared" si="2"/>
        <v>0</v>
      </c>
      <c r="M14" s="183">
        <f t="shared" si="3"/>
        <v>0</v>
      </c>
      <c r="P14" s="183">
        <f t="shared" si="4"/>
        <v>0</v>
      </c>
      <c r="S14" s="183">
        <f t="shared" si="5"/>
        <v>0</v>
      </c>
      <c r="V14" s="183">
        <f t="shared" si="6"/>
        <v>0</v>
      </c>
      <c r="Y14" s="183">
        <f t="shared" si="7"/>
        <v>0</v>
      </c>
      <c r="AB14" s="183">
        <f t="shared" si="8"/>
        <v>0</v>
      </c>
      <c r="AE14" s="183">
        <v>0</v>
      </c>
      <c r="AH14" s="183">
        <v>0</v>
      </c>
      <c r="AI14" s="212">
        <v>30000000</v>
      </c>
      <c r="AJ14" s="213">
        <v>1.0500000000000001E-2</v>
      </c>
      <c r="AK14" s="183">
        <f t="shared" si="9"/>
        <v>875</v>
      </c>
      <c r="AL14" s="212">
        <v>108375000</v>
      </c>
      <c r="AM14" s="213">
        <v>6.0000000000000001E-3</v>
      </c>
      <c r="AN14" s="183">
        <f t="shared" si="10"/>
        <v>1806.25</v>
      </c>
      <c r="AO14" s="212"/>
      <c r="AP14" s="213"/>
      <c r="AQ14" s="183">
        <f t="shared" si="11"/>
        <v>0</v>
      </c>
      <c r="AR14" s="212"/>
      <c r="AS14" s="213"/>
      <c r="AT14" s="183">
        <f t="shared" si="12"/>
        <v>0</v>
      </c>
      <c r="AW14" s="183">
        <f t="shared" si="13"/>
        <v>0</v>
      </c>
      <c r="AZ14" s="183">
        <f t="shared" si="14"/>
        <v>0</v>
      </c>
      <c r="BC14" s="183">
        <f t="shared" si="15"/>
        <v>0</v>
      </c>
      <c r="BF14" s="183">
        <f t="shared" si="16"/>
        <v>0</v>
      </c>
      <c r="BI14" s="183">
        <f t="shared" si="17"/>
        <v>0</v>
      </c>
      <c r="BL14" s="183">
        <f t="shared" si="18"/>
        <v>0</v>
      </c>
      <c r="BO14" s="183">
        <f t="shared" si="19"/>
        <v>0</v>
      </c>
      <c r="BR14" s="183">
        <f t="shared" si="20"/>
        <v>0</v>
      </c>
      <c r="BU14" s="183">
        <f t="shared" si="21"/>
        <v>0</v>
      </c>
      <c r="BX14" s="183">
        <f t="shared" si="22"/>
        <v>0</v>
      </c>
      <c r="CA14" s="183">
        <f t="shared" si="23"/>
        <v>0</v>
      </c>
      <c r="CD14" s="183">
        <f t="shared" si="24"/>
        <v>0</v>
      </c>
      <c r="CG14" s="183">
        <f t="shared" si="25"/>
        <v>0</v>
      </c>
      <c r="CJ14" s="183">
        <f t="shared" si="26"/>
        <v>0</v>
      </c>
      <c r="CM14" s="183">
        <f t="shared" si="27"/>
        <v>0</v>
      </c>
      <c r="CP14" s="183">
        <f t="shared" si="28"/>
        <v>0</v>
      </c>
      <c r="CS14" s="183">
        <f t="shared" si="29"/>
        <v>0</v>
      </c>
      <c r="CV14" s="183">
        <f t="shared" si="30"/>
        <v>0</v>
      </c>
      <c r="CY14" s="183">
        <f t="shared" si="31"/>
        <v>0</v>
      </c>
      <c r="DB14" s="183">
        <f t="shared" si="32"/>
        <v>0</v>
      </c>
      <c r="DE14" s="183">
        <f t="shared" si="33"/>
        <v>0</v>
      </c>
      <c r="DH14" s="183">
        <f t="shared" si="34"/>
        <v>0</v>
      </c>
      <c r="DK14" s="183">
        <f t="shared" si="35"/>
        <v>0</v>
      </c>
      <c r="DN14" s="183">
        <f t="shared" si="36"/>
        <v>0</v>
      </c>
      <c r="DQ14" s="183">
        <f t="shared" si="37"/>
        <v>0</v>
      </c>
      <c r="DT14" s="183">
        <f t="shared" si="38"/>
        <v>0</v>
      </c>
      <c r="DW14" s="183">
        <f t="shared" si="39"/>
        <v>0</v>
      </c>
      <c r="DZ14" s="183"/>
      <c r="EA14" s="183"/>
      <c r="EB14" s="214">
        <f t="shared" si="40"/>
        <v>144000000</v>
      </c>
      <c r="EC14" s="214">
        <f t="shared" si="41"/>
        <v>5625000</v>
      </c>
      <c r="ED14" s="183">
        <f t="shared" si="42"/>
        <v>2770.71921875</v>
      </c>
      <c r="EE14" s="185">
        <f t="shared" si="43"/>
        <v>6.926798046875E-3</v>
      </c>
      <c r="EG14" s="214">
        <f t="shared" si="44"/>
        <v>0</v>
      </c>
      <c r="EH14" s="183">
        <f t="shared" si="45"/>
        <v>0</v>
      </c>
      <c r="EI14" s="185">
        <f t="shared" si="46"/>
        <v>0</v>
      </c>
      <c r="EJ14" s="185"/>
      <c r="EK14" s="214">
        <f t="shared" si="47"/>
        <v>138375000</v>
      </c>
      <c r="EL14" s="214">
        <f t="shared" si="48"/>
        <v>0</v>
      </c>
      <c r="EM14" s="214">
        <f t="shared" si="49"/>
        <v>2681.25</v>
      </c>
      <c r="EN14" s="185">
        <f t="shared" si="50"/>
        <v>6.9756097560975611E-3</v>
      </c>
      <c r="EP14" s="183"/>
    </row>
    <row r="15" spans="1:147" x14ac:dyDescent="0.2">
      <c r="A15" s="211">
        <f t="shared" si="51"/>
        <v>44686</v>
      </c>
      <c r="B15" s="183">
        <v>29750000</v>
      </c>
      <c r="C15" s="185">
        <v>8.0000000000000002E-3</v>
      </c>
      <c r="D15" s="183">
        <f t="shared" si="0"/>
        <v>661.11111111111109</v>
      </c>
      <c r="G15" s="183">
        <f t="shared" si="1"/>
        <v>0</v>
      </c>
      <c r="J15" s="183">
        <f t="shared" si="2"/>
        <v>0</v>
      </c>
      <c r="M15" s="183">
        <f t="shared" si="3"/>
        <v>0</v>
      </c>
      <c r="P15" s="183">
        <f t="shared" si="4"/>
        <v>0</v>
      </c>
      <c r="S15" s="183">
        <f t="shared" si="5"/>
        <v>0</v>
      </c>
      <c r="V15" s="183">
        <f t="shared" si="6"/>
        <v>0</v>
      </c>
      <c r="Y15" s="183">
        <f t="shared" si="7"/>
        <v>0</v>
      </c>
      <c r="AB15" s="183">
        <f t="shared" si="8"/>
        <v>0</v>
      </c>
      <c r="AE15" s="183">
        <v>0</v>
      </c>
      <c r="AH15" s="183">
        <v>0</v>
      </c>
      <c r="AI15" s="212">
        <v>30000000</v>
      </c>
      <c r="AJ15" s="213">
        <v>1.0500000000000001E-2</v>
      </c>
      <c r="AK15" s="183">
        <f t="shared" si="9"/>
        <v>875</v>
      </c>
      <c r="AL15" s="212">
        <v>96000000</v>
      </c>
      <c r="AM15" s="213">
        <v>1.03E-2</v>
      </c>
      <c r="AN15" s="183">
        <f t="shared" si="10"/>
        <v>2746.6666666666665</v>
      </c>
      <c r="AO15" s="212"/>
      <c r="AP15" s="213"/>
      <c r="AQ15" s="183">
        <f t="shared" si="11"/>
        <v>0</v>
      </c>
      <c r="AR15" s="212"/>
      <c r="AS15" s="213"/>
      <c r="AT15" s="183">
        <f t="shared" si="12"/>
        <v>0</v>
      </c>
      <c r="AW15" s="183">
        <f t="shared" si="13"/>
        <v>0</v>
      </c>
      <c r="AZ15" s="183">
        <f t="shared" si="14"/>
        <v>0</v>
      </c>
      <c r="BC15" s="183">
        <f t="shared" si="15"/>
        <v>0</v>
      </c>
      <c r="BF15" s="183">
        <f t="shared" si="16"/>
        <v>0</v>
      </c>
      <c r="BI15" s="183">
        <f t="shared" si="17"/>
        <v>0</v>
      </c>
      <c r="BL15" s="183">
        <f t="shared" si="18"/>
        <v>0</v>
      </c>
      <c r="BO15" s="183">
        <f t="shared" si="19"/>
        <v>0</v>
      </c>
      <c r="BR15" s="183">
        <f t="shared" si="20"/>
        <v>0</v>
      </c>
      <c r="BU15" s="183">
        <f t="shared" si="21"/>
        <v>0</v>
      </c>
      <c r="BX15" s="183">
        <f t="shared" si="22"/>
        <v>0</v>
      </c>
      <c r="CA15" s="183">
        <f t="shared" si="23"/>
        <v>0</v>
      </c>
      <c r="CD15" s="183">
        <f t="shared" si="24"/>
        <v>0</v>
      </c>
      <c r="CG15" s="183">
        <f t="shared" si="25"/>
        <v>0</v>
      </c>
      <c r="CJ15" s="183">
        <f t="shared" si="26"/>
        <v>0</v>
      </c>
      <c r="CM15" s="183">
        <f t="shared" si="27"/>
        <v>0</v>
      </c>
      <c r="CP15" s="183">
        <f t="shared" si="28"/>
        <v>0</v>
      </c>
      <c r="CS15" s="183">
        <f t="shared" si="29"/>
        <v>0</v>
      </c>
      <c r="CV15" s="183">
        <f t="shared" si="30"/>
        <v>0</v>
      </c>
      <c r="CY15" s="183">
        <f t="shared" si="31"/>
        <v>0</v>
      </c>
      <c r="DB15" s="183">
        <f t="shared" si="32"/>
        <v>0</v>
      </c>
      <c r="DE15" s="183">
        <f t="shared" si="33"/>
        <v>0</v>
      </c>
      <c r="DH15" s="183">
        <f t="shared" si="34"/>
        <v>0</v>
      </c>
      <c r="DK15" s="183">
        <f t="shared" si="35"/>
        <v>0</v>
      </c>
      <c r="DN15" s="183">
        <f t="shared" si="36"/>
        <v>0</v>
      </c>
      <c r="DQ15" s="183">
        <f t="shared" si="37"/>
        <v>0</v>
      </c>
      <c r="DT15" s="183">
        <f t="shared" si="38"/>
        <v>0</v>
      </c>
      <c r="DW15" s="183">
        <f t="shared" si="39"/>
        <v>0</v>
      </c>
      <c r="DZ15" s="183"/>
      <c r="EA15" s="183"/>
      <c r="EB15" s="214">
        <f t="shared" si="40"/>
        <v>155750000</v>
      </c>
      <c r="EC15" s="214">
        <f t="shared" si="41"/>
        <v>29750000</v>
      </c>
      <c r="ED15" s="183">
        <f t="shared" si="42"/>
        <v>4282.7777777777774</v>
      </c>
      <c r="EE15" s="185">
        <f t="shared" si="43"/>
        <v>9.8991974317817009E-3</v>
      </c>
      <c r="EG15" s="214">
        <f t="shared" si="44"/>
        <v>0</v>
      </c>
      <c r="EH15" s="183">
        <f t="shared" si="45"/>
        <v>0</v>
      </c>
      <c r="EI15" s="185">
        <f t="shared" si="46"/>
        <v>0</v>
      </c>
      <c r="EJ15" s="185"/>
      <c r="EK15" s="214">
        <f t="shared" si="47"/>
        <v>126000000</v>
      </c>
      <c r="EL15" s="214">
        <f t="shared" si="48"/>
        <v>0</v>
      </c>
      <c r="EM15" s="214">
        <f t="shared" si="49"/>
        <v>3621.6666666666665</v>
      </c>
      <c r="EN15" s="185">
        <f t="shared" si="50"/>
        <v>1.0347619047619046E-2</v>
      </c>
      <c r="EP15" s="183"/>
    </row>
    <row r="16" spans="1:147" x14ac:dyDescent="0.2">
      <c r="A16" s="211">
        <f t="shared" si="51"/>
        <v>44687</v>
      </c>
      <c r="B16" s="183">
        <v>50325000</v>
      </c>
      <c r="C16" s="185">
        <v>8.0000000000000002E-3</v>
      </c>
      <c r="D16" s="183">
        <f t="shared" si="0"/>
        <v>1118.3333333333333</v>
      </c>
      <c r="G16" s="183">
        <f t="shared" si="1"/>
        <v>0</v>
      </c>
      <c r="J16" s="183">
        <f t="shared" si="2"/>
        <v>0</v>
      </c>
      <c r="M16" s="183">
        <f t="shared" si="3"/>
        <v>0</v>
      </c>
      <c r="P16" s="183">
        <f t="shared" si="4"/>
        <v>0</v>
      </c>
      <c r="S16" s="183">
        <f t="shared" si="5"/>
        <v>0</v>
      </c>
      <c r="V16" s="183">
        <f t="shared" si="6"/>
        <v>0</v>
      </c>
      <c r="Y16" s="183">
        <f t="shared" si="7"/>
        <v>0</v>
      </c>
      <c r="AB16" s="183">
        <f t="shared" si="8"/>
        <v>0</v>
      </c>
      <c r="AE16" s="183">
        <v>0</v>
      </c>
      <c r="AH16" s="183">
        <v>0</v>
      </c>
      <c r="AI16" s="212">
        <v>30000000</v>
      </c>
      <c r="AJ16" s="213">
        <v>1.0500000000000001E-2</v>
      </c>
      <c r="AK16" s="183">
        <f t="shared" si="9"/>
        <v>875</v>
      </c>
      <c r="AL16" s="212">
        <v>88000000</v>
      </c>
      <c r="AM16" s="213">
        <v>1.03E-2</v>
      </c>
      <c r="AN16" s="183">
        <f t="shared" si="10"/>
        <v>2517.7777777777778</v>
      </c>
      <c r="AO16" s="212"/>
      <c r="AP16" s="213"/>
      <c r="AQ16" s="183">
        <f t="shared" si="11"/>
        <v>0</v>
      </c>
      <c r="AR16" s="212"/>
      <c r="AS16" s="213"/>
      <c r="AT16" s="183">
        <f t="shared" si="12"/>
        <v>0</v>
      </c>
      <c r="AW16" s="183">
        <f t="shared" si="13"/>
        <v>0</v>
      </c>
      <c r="AZ16" s="183">
        <f t="shared" si="14"/>
        <v>0</v>
      </c>
      <c r="BC16" s="183">
        <f t="shared" si="15"/>
        <v>0</v>
      </c>
      <c r="BF16" s="183">
        <f t="shared" si="16"/>
        <v>0</v>
      </c>
      <c r="BI16" s="183">
        <f t="shared" si="17"/>
        <v>0</v>
      </c>
      <c r="BL16" s="183">
        <f t="shared" si="18"/>
        <v>0</v>
      </c>
      <c r="BO16" s="183">
        <f t="shared" si="19"/>
        <v>0</v>
      </c>
      <c r="BR16" s="183">
        <f t="shared" si="20"/>
        <v>0</v>
      </c>
      <c r="BU16" s="183">
        <f t="shared" si="21"/>
        <v>0</v>
      </c>
      <c r="BX16" s="183">
        <f t="shared" si="22"/>
        <v>0</v>
      </c>
      <c r="CA16" s="183">
        <f t="shared" si="23"/>
        <v>0</v>
      </c>
      <c r="CD16" s="183">
        <f t="shared" si="24"/>
        <v>0</v>
      </c>
      <c r="CG16" s="183">
        <f t="shared" si="25"/>
        <v>0</v>
      </c>
      <c r="CJ16" s="183">
        <f t="shared" si="26"/>
        <v>0</v>
      </c>
      <c r="CM16" s="183">
        <f t="shared" si="27"/>
        <v>0</v>
      </c>
      <c r="CP16" s="183">
        <f t="shared" si="28"/>
        <v>0</v>
      </c>
      <c r="CS16" s="183">
        <f t="shared" si="29"/>
        <v>0</v>
      </c>
      <c r="CV16" s="183">
        <f t="shared" si="30"/>
        <v>0</v>
      </c>
      <c r="CY16" s="183">
        <f t="shared" si="31"/>
        <v>0</v>
      </c>
      <c r="DB16" s="183">
        <f t="shared" si="32"/>
        <v>0</v>
      </c>
      <c r="DE16" s="183">
        <f t="shared" si="33"/>
        <v>0</v>
      </c>
      <c r="DH16" s="183">
        <f t="shared" si="34"/>
        <v>0</v>
      </c>
      <c r="DK16" s="183">
        <f t="shared" si="35"/>
        <v>0</v>
      </c>
      <c r="DN16" s="183">
        <f t="shared" si="36"/>
        <v>0</v>
      </c>
      <c r="DQ16" s="183">
        <f t="shared" si="37"/>
        <v>0</v>
      </c>
      <c r="DT16" s="183">
        <f t="shared" si="38"/>
        <v>0</v>
      </c>
      <c r="DW16" s="183">
        <f t="shared" si="39"/>
        <v>0</v>
      </c>
      <c r="DZ16" s="183"/>
      <c r="EA16" s="183"/>
      <c r="EB16" s="214">
        <f t="shared" si="40"/>
        <v>168325000</v>
      </c>
      <c r="EC16" s="214">
        <f t="shared" si="41"/>
        <v>50325000</v>
      </c>
      <c r="ED16" s="183">
        <f t="shared" si="42"/>
        <v>4511.1111111111113</v>
      </c>
      <c r="EE16" s="185">
        <f t="shared" si="43"/>
        <v>9.6480023763552657E-3</v>
      </c>
      <c r="EG16" s="214">
        <f t="shared" si="44"/>
        <v>0</v>
      </c>
      <c r="EH16" s="183">
        <f t="shared" si="45"/>
        <v>0</v>
      </c>
      <c r="EI16" s="185">
        <f t="shared" si="46"/>
        <v>0</v>
      </c>
      <c r="EJ16" s="185"/>
      <c r="EK16" s="214">
        <f t="shared" si="47"/>
        <v>118000000</v>
      </c>
      <c r="EL16" s="214">
        <f t="shared" si="48"/>
        <v>0</v>
      </c>
      <c r="EM16" s="214">
        <f t="shared" si="49"/>
        <v>3392.7777777777778</v>
      </c>
      <c r="EN16" s="185">
        <f t="shared" si="50"/>
        <v>1.035084745762712E-2</v>
      </c>
      <c r="EP16" s="183"/>
    </row>
    <row r="17" spans="1:146" x14ac:dyDescent="0.2">
      <c r="A17" s="211">
        <f t="shared" si="51"/>
        <v>44688</v>
      </c>
      <c r="B17" s="183">
        <v>50325000</v>
      </c>
      <c r="C17" s="185">
        <v>8.0000000000000002E-3</v>
      </c>
      <c r="D17" s="183">
        <f t="shared" si="0"/>
        <v>1118.3333333333333</v>
      </c>
      <c r="G17" s="183">
        <f t="shared" si="1"/>
        <v>0</v>
      </c>
      <c r="J17" s="183">
        <f t="shared" si="2"/>
        <v>0</v>
      </c>
      <c r="M17" s="183">
        <f t="shared" si="3"/>
        <v>0</v>
      </c>
      <c r="P17" s="183">
        <f t="shared" si="4"/>
        <v>0</v>
      </c>
      <c r="S17" s="183">
        <f t="shared" si="5"/>
        <v>0</v>
      </c>
      <c r="V17" s="183">
        <f t="shared" si="6"/>
        <v>0</v>
      </c>
      <c r="Y17" s="183">
        <f t="shared" si="7"/>
        <v>0</v>
      </c>
      <c r="AB17" s="183">
        <f t="shared" si="8"/>
        <v>0</v>
      </c>
      <c r="AE17" s="183">
        <v>0</v>
      </c>
      <c r="AH17" s="183">
        <v>0</v>
      </c>
      <c r="AI17" s="212">
        <v>30000000</v>
      </c>
      <c r="AJ17" s="213">
        <v>1.0500000000000001E-2</v>
      </c>
      <c r="AK17" s="183">
        <f t="shared" si="9"/>
        <v>875</v>
      </c>
      <c r="AL17" s="212">
        <v>88000000</v>
      </c>
      <c r="AM17" s="213">
        <v>1.03E-2</v>
      </c>
      <c r="AN17" s="183">
        <f t="shared" si="10"/>
        <v>2517.7777777777778</v>
      </c>
      <c r="AO17" s="212"/>
      <c r="AP17" s="213"/>
      <c r="AQ17" s="183">
        <f t="shared" si="11"/>
        <v>0</v>
      </c>
      <c r="AR17" s="212"/>
      <c r="AS17" s="213"/>
      <c r="AT17" s="183">
        <f t="shared" si="12"/>
        <v>0</v>
      </c>
      <c r="AW17" s="183">
        <f t="shared" si="13"/>
        <v>0</v>
      </c>
      <c r="AZ17" s="183">
        <f t="shared" si="14"/>
        <v>0</v>
      </c>
      <c r="BC17" s="183">
        <f t="shared" si="15"/>
        <v>0</v>
      </c>
      <c r="BF17" s="183">
        <f t="shared" si="16"/>
        <v>0</v>
      </c>
      <c r="BI17" s="183">
        <f t="shared" si="17"/>
        <v>0</v>
      </c>
      <c r="BL17" s="183">
        <f t="shared" si="18"/>
        <v>0</v>
      </c>
      <c r="BO17" s="183">
        <f t="shared" si="19"/>
        <v>0</v>
      </c>
      <c r="BR17" s="183">
        <f t="shared" si="20"/>
        <v>0</v>
      </c>
      <c r="BU17" s="183">
        <f t="shared" si="21"/>
        <v>0</v>
      </c>
      <c r="BX17" s="183">
        <f t="shared" si="22"/>
        <v>0</v>
      </c>
      <c r="CA17" s="183">
        <f t="shared" si="23"/>
        <v>0</v>
      </c>
      <c r="CD17" s="183">
        <f t="shared" si="24"/>
        <v>0</v>
      </c>
      <c r="CG17" s="183">
        <f t="shared" si="25"/>
        <v>0</v>
      </c>
      <c r="CJ17" s="183">
        <f t="shared" si="26"/>
        <v>0</v>
      </c>
      <c r="CM17" s="183">
        <f t="shared" si="27"/>
        <v>0</v>
      </c>
      <c r="CP17" s="183">
        <f t="shared" si="28"/>
        <v>0</v>
      </c>
      <c r="CS17" s="183">
        <f t="shared" si="29"/>
        <v>0</v>
      </c>
      <c r="CV17" s="183">
        <f t="shared" si="30"/>
        <v>0</v>
      </c>
      <c r="CY17" s="183">
        <f t="shared" si="31"/>
        <v>0</v>
      </c>
      <c r="DB17" s="183">
        <f t="shared" si="32"/>
        <v>0</v>
      </c>
      <c r="DE17" s="183">
        <f t="shared" si="33"/>
        <v>0</v>
      </c>
      <c r="DH17" s="183">
        <f t="shared" si="34"/>
        <v>0</v>
      </c>
      <c r="DK17" s="183">
        <f t="shared" si="35"/>
        <v>0</v>
      </c>
      <c r="DN17" s="183">
        <f t="shared" si="36"/>
        <v>0</v>
      </c>
      <c r="DQ17" s="183">
        <f t="shared" si="37"/>
        <v>0</v>
      </c>
      <c r="DT17" s="183">
        <f t="shared" si="38"/>
        <v>0</v>
      </c>
      <c r="DW17" s="183">
        <f t="shared" si="39"/>
        <v>0</v>
      </c>
      <c r="DZ17" s="183"/>
      <c r="EA17" s="183"/>
      <c r="EB17" s="214">
        <f t="shared" si="40"/>
        <v>168325000</v>
      </c>
      <c r="EC17" s="214">
        <f t="shared" si="41"/>
        <v>50325000</v>
      </c>
      <c r="ED17" s="183">
        <f t="shared" si="42"/>
        <v>4511.1111111111113</v>
      </c>
      <c r="EE17" s="185">
        <f t="shared" si="43"/>
        <v>9.6480023763552657E-3</v>
      </c>
      <c r="EG17" s="214">
        <f t="shared" si="44"/>
        <v>0</v>
      </c>
      <c r="EH17" s="183">
        <f t="shared" si="45"/>
        <v>0</v>
      </c>
      <c r="EI17" s="185">
        <f t="shared" si="46"/>
        <v>0</v>
      </c>
      <c r="EJ17" s="185"/>
      <c r="EK17" s="214">
        <f t="shared" si="47"/>
        <v>118000000</v>
      </c>
      <c r="EL17" s="214">
        <f t="shared" si="48"/>
        <v>0</v>
      </c>
      <c r="EM17" s="214">
        <f t="shared" si="49"/>
        <v>3392.7777777777778</v>
      </c>
      <c r="EN17" s="185">
        <f t="shared" si="50"/>
        <v>1.035084745762712E-2</v>
      </c>
      <c r="EP17" s="183"/>
    </row>
    <row r="18" spans="1:146" x14ac:dyDescent="0.2">
      <c r="A18" s="211">
        <f t="shared" si="51"/>
        <v>44689</v>
      </c>
      <c r="B18" s="183">
        <v>50325000</v>
      </c>
      <c r="C18" s="185">
        <v>8.0000000000000002E-3</v>
      </c>
      <c r="D18" s="183">
        <f t="shared" si="0"/>
        <v>1118.3333333333333</v>
      </c>
      <c r="G18" s="183">
        <f t="shared" si="1"/>
        <v>0</v>
      </c>
      <c r="J18" s="183">
        <f t="shared" si="2"/>
        <v>0</v>
      </c>
      <c r="M18" s="183">
        <f t="shared" si="3"/>
        <v>0</v>
      </c>
      <c r="P18" s="183">
        <f t="shared" si="4"/>
        <v>0</v>
      </c>
      <c r="S18" s="183">
        <f t="shared" si="5"/>
        <v>0</v>
      </c>
      <c r="V18" s="183">
        <f t="shared" si="6"/>
        <v>0</v>
      </c>
      <c r="Y18" s="183">
        <f t="shared" si="7"/>
        <v>0</v>
      </c>
      <c r="AB18" s="183">
        <f t="shared" si="8"/>
        <v>0</v>
      </c>
      <c r="AE18" s="183">
        <v>0</v>
      </c>
      <c r="AH18" s="183">
        <v>0</v>
      </c>
      <c r="AI18" s="212">
        <v>30000000</v>
      </c>
      <c r="AJ18" s="213">
        <v>1.0500000000000001E-2</v>
      </c>
      <c r="AK18" s="183">
        <f t="shared" si="9"/>
        <v>875</v>
      </c>
      <c r="AL18" s="212">
        <v>88000000</v>
      </c>
      <c r="AM18" s="213">
        <v>1.03E-2</v>
      </c>
      <c r="AN18" s="183">
        <f t="shared" si="10"/>
        <v>2517.7777777777778</v>
      </c>
      <c r="AO18" s="212"/>
      <c r="AP18" s="213"/>
      <c r="AQ18" s="183">
        <f t="shared" si="11"/>
        <v>0</v>
      </c>
      <c r="AR18" s="212"/>
      <c r="AS18" s="213"/>
      <c r="AT18" s="183">
        <f t="shared" si="12"/>
        <v>0</v>
      </c>
      <c r="AW18" s="183">
        <f t="shared" si="13"/>
        <v>0</v>
      </c>
      <c r="AZ18" s="183">
        <f t="shared" si="14"/>
        <v>0</v>
      </c>
      <c r="BC18" s="183">
        <f t="shared" si="15"/>
        <v>0</v>
      </c>
      <c r="BF18" s="183">
        <f t="shared" si="16"/>
        <v>0</v>
      </c>
      <c r="BI18" s="183">
        <f t="shared" si="17"/>
        <v>0</v>
      </c>
      <c r="BL18" s="183">
        <f t="shared" si="18"/>
        <v>0</v>
      </c>
      <c r="BO18" s="183">
        <f t="shared" si="19"/>
        <v>0</v>
      </c>
      <c r="BR18" s="183">
        <f t="shared" si="20"/>
        <v>0</v>
      </c>
      <c r="BU18" s="183">
        <f t="shared" si="21"/>
        <v>0</v>
      </c>
      <c r="BX18" s="183">
        <f t="shared" si="22"/>
        <v>0</v>
      </c>
      <c r="CA18" s="183">
        <f t="shared" si="23"/>
        <v>0</v>
      </c>
      <c r="CD18" s="183">
        <f t="shared" si="24"/>
        <v>0</v>
      </c>
      <c r="CG18" s="183">
        <f t="shared" si="25"/>
        <v>0</v>
      </c>
      <c r="CJ18" s="183">
        <f t="shared" si="26"/>
        <v>0</v>
      </c>
      <c r="CM18" s="183">
        <f t="shared" si="27"/>
        <v>0</v>
      </c>
      <c r="CP18" s="183">
        <f t="shared" si="28"/>
        <v>0</v>
      </c>
      <c r="CS18" s="183">
        <f t="shared" si="29"/>
        <v>0</v>
      </c>
      <c r="CV18" s="183">
        <f t="shared" si="30"/>
        <v>0</v>
      </c>
      <c r="CY18" s="183">
        <f t="shared" si="31"/>
        <v>0</v>
      </c>
      <c r="DB18" s="183">
        <f t="shared" si="32"/>
        <v>0</v>
      </c>
      <c r="DE18" s="183">
        <f t="shared" si="33"/>
        <v>0</v>
      </c>
      <c r="DH18" s="183">
        <f t="shared" si="34"/>
        <v>0</v>
      </c>
      <c r="DK18" s="183">
        <f t="shared" si="35"/>
        <v>0</v>
      </c>
      <c r="DN18" s="183">
        <f t="shared" si="36"/>
        <v>0</v>
      </c>
      <c r="DQ18" s="183">
        <f t="shared" si="37"/>
        <v>0</v>
      </c>
      <c r="DT18" s="183">
        <f t="shared" si="38"/>
        <v>0</v>
      </c>
      <c r="DW18" s="183">
        <f t="shared" si="39"/>
        <v>0</v>
      </c>
      <c r="DZ18" s="183"/>
      <c r="EA18" s="183"/>
      <c r="EB18" s="214">
        <f t="shared" si="40"/>
        <v>168325000</v>
      </c>
      <c r="EC18" s="214">
        <f t="shared" si="41"/>
        <v>50325000</v>
      </c>
      <c r="ED18" s="183">
        <f t="shared" si="42"/>
        <v>4511.1111111111113</v>
      </c>
      <c r="EE18" s="185">
        <f t="shared" si="43"/>
        <v>9.6480023763552657E-3</v>
      </c>
      <c r="EG18" s="214">
        <f t="shared" si="44"/>
        <v>0</v>
      </c>
      <c r="EH18" s="183">
        <f t="shared" si="45"/>
        <v>0</v>
      </c>
      <c r="EI18" s="185">
        <f t="shared" si="46"/>
        <v>0</v>
      </c>
      <c r="EJ18" s="185"/>
      <c r="EK18" s="214">
        <f t="shared" si="47"/>
        <v>118000000</v>
      </c>
      <c r="EL18" s="214">
        <f t="shared" si="48"/>
        <v>0</v>
      </c>
      <c r="EM18" s="214">
        <f t="shared" si="49"/>
        <v>3392.7777777777778</v>
      </c>
      <c r="EN18" s="185">
        <f t="shared" si="50"/>
        <v>1.035084745762712E-2</v>
      </c>
      <c r="EP18" s="183"/>
    </row>
    <row r="19" spans="1:146" x14ac:dyDescent="0.2">
      <c r="A19" s="211">
        <f t="shared" si="51"/>
        <v>44690</v>
      </c>
      <c r="B19" s="183">
        <v>99375000</v>
      </c>
      <c r="C19" s="185">
        <v>8.0000000000000002E-3</v>
      </c>
      <c r="D19" s="183">
        <f t="shared" si="0"/>
        <v>2208.3333333333335</v>
      </c>
      <c r="G19" s="183">
        <f t="shared" si="1"/>
        <v>0</v>
      </c>
      <c r="J19" s="183">
        <f t="shared" si="2"/>
        <v>0</v>
      </c>
      <c r="M19" s="183">
        <f t="shared" si="3"/>
        <v>0</v>
      </c>
      <c r="P19" s="183">
        <f t="shared" si="4"/>
        <v>0</v>
      </c>
      <c r="S19" s="183">
        <f t="shared" si="5"/>
        <v>0</v>
      </c>
      <c r="V19" s="183">
        <f t="shared" si="6"/>
        <v>0</v>
      </c>
      <c r="Y19" s="183">
        <f t="shared" si="7"/>
        <v>0</v>
      </c>
      <c r="AB19" s="183">
        <f t="shared" si="8"/>
        <v>0</v>
      </c>
      <c r="AE19" s="183">
        <v>0</v>
      </c>
      <c r="AH19" s="183">
        <v>0</v>
      </c>
      <c r="AI19" s="212">
        <v>30000000</v>
      </c>
      <c r="AJ19" s="213">
        <v>1.0500000000000001E-2</v>
      </c>
      <c r="AK19" s="183">
        <f t="shared" si="9"/>
        <v>875</v>
      </c>
      <c r="AL19" s="212">
        <v>14800000</v>
      </c>
      <c r="AM19" s="213">
        <v>1.03E-2</v>
      </c>
      <c r="AN19" s="183">
        <f t="shared" si="10"/>
        <v>423.44444444444446</v>
      </c>
      <c r="AO19" s="212"/>
      <c r="AP19" s="213"/>
      <c r="AQ19" s="183">
        <f t="shared" si="11"/>
        <v>0</v>
      </c>
      <c r="AR19" s="212"/>
      <c r="AS19" s="213"/>
      <c r="AT19" s="183">
        <f t="shared" si="12"/>
        <v>0</v>
      </c>
      <c r="AW19" s="183">
        <f t="shared" si="13"/>
        <v>0</v>
      </c>
      <c r="AZ19" s="183">
        <f t="shared" si="14"/>
        <v>0</v>
      </c>
      <c r="BC19" s="183">
        <f t="shared" si="15"/>
        <v>0</v>
      </c>
      <c r="BF19" s="183">
        <f t="shared" si="16"/>
        <v>0</v>
      </c>
      <c r="BI19" s="183">
        <f t="shared" si="17"/>
        <v>0</v>
      </c>
      <c r="BL19" s="183">
        <f t="shared" si="18"/>
        <v>0</v>
      </c>
      <c r="BO19" s="183">
        <f t="shared" si="19"/>
        <v>0</v>
      </c>
      <c r="BR19" s="183">
        <f t="shared" si="20"/>
        <v>0</v>
      </c>
      <c r="BU19" s="183">
        <f t="shared" si="21"/>
        <v>0</v>
      </c>
      <c r="BX19" s="183">
        <f t="shared" si="22"/>
        <v>0</v>
      </c>
      <c r="CA19" s="183">
        <f t="shared" si="23"/>
        <v>0</v>
      </c>
      <c r="CD19" s="183">
        <f t="shared" si="24"/>
        <v>0</v>
      </c>
      <c r="CG19" s="183">
        <f t="shared" si="25"/>
        <v>0</v>
      </c>
      <c r="CJ19" s="183">
        <f t="shared" si="26"/>
        <v>0</v>
      </c>
      <c r="CM19" s="183">
        <f t="shared" si="27"/>
        <v>0</v>
      </c>
      <c r="CP19" s="183">
        <f t="shared" si="28"/>
        <v>0</v>
      </c>
      <c r="CS19" s="183">
        <f t="shared" si="29"/>
        <v>0</v>
      </c>
      <c r="CV19" s="183">
        <f t="shared" si="30"/>
        <v>0</v>
      </c>
      <c r="CY19" s="183">
        <f t="shared" si="31"/>
        <v>0</v>
      </c>
      <c r="DB19" s="183">
        <f t="shared" si="32"/>
        <v>0</v>
      </c>
      <c r="DE19" s="183">
        <f t="shared" si="33"/>
        <v>0</v>
      </c>
      <c r="DH19" s="183">
        <f t="shared" si="34"/>
        <v>0</v>
      </c>
      <c r="DK19" s="183">
        <f t="shared" si="35"/>
        <v>0</v>
      </c>
      <c r="DN19" s="183">
        <f t="shared" si="36"/>
        <v>0</v>
      </c>
      <c r="DQ19" s="183">
        <f t="shared" si="37"/>
        <v>0</v>
      </c>
      <c r="DT19" s="183">
        <f t="shared" si="38"/>
        <v>0</v>
      </c>
      <c r="DW19" s="183">
        <f t="shared" si="39"/>
        <v>0</v>
      </c>
      <c r="DZ19" s="183"/>
      <c r="EA19" s="183"/>
      <c r="EB19" s="214">
        <f t="shared" si="40"/>
        <v>144175000</v>
      </c>
      <c r="EC19" s="214">
        <f t="shared" si="41"/>
        <v>99375000</v>
      </c>
      <c r="ED19" s="183">
        <f t="shared" si="42"/>
        <v>3506.7777777777778</v>
      </c>
      <c r="EE19" s="185">
        <f t="shared" si="43"/>
        <v>8.7563031038668283E-3</v>
      </c>
      <c r="EG19" s="214">
        <f t="shared" si="44"/>
        <v>0</v>
      </c>
      <c r="EH19" s="183">
        <f t="shared" si="45"/>
        <v>0</v>
      </c>
      <c r="EI19" s="185">
        <f t="shared" si="46"/>
        <v>0</v>
      </c>
      <c r="EJ19" s="185"/>
      <c r="EK19" s="214">
        <f t="shared" si="47"/>
        <v>44800000</v>
      </c>
      <c r="EL19" s="214">
        <f t="shared" si="48"/>
        <v>0</v>
      </c>
      <c r="EM19" s="214">
        <f t="shared" si="49"/>
        <v>1298.4444444444443</v>
      </c>
      <c r="EN19" s="185">
        <f t="shared" si="50"/>
        <v>1.0433928571428571E-2</v>
      </c>
      <c r="EP19" s="183"/>
    </row>
    <row r="20" spans="1:146" x14ac:dyDescent="0.2">
      <c r="A20" s="211">
        <f t="shared" si="51"/>
        <v>44691</v>
      </c>
      <c r="B20" s="183">
        <v>81245000</v>
      </c>
      <c r="C20" s="185">
        <v>8.0000000000000002E-3</v>
      </c>
      <c r="D20" s="183">
        <f t="shared" si="0"/>
        <v>1805.4444444444443</v>
      </c>
      <c r="G20" s="183">
        <f t="shared" si="1"/>
        <v>0</v>
      </c>
      <c r="J20" s="183">
        <f t="shared" si="2"/>
        <v>0</v>
      </c>
      <c r="M20" s="183">
        <f t="shared" si="3"/>
        <v>0</v>
      </c>
      <c r="P20" s="183">
        <f t="shared" si="4"/>
        <v>0</v>
      </c>
      <c r="S20" s="183">
        <f t="shared" si="5"/>
        <v>0</v>
      </c>
      <c r="V20" s="183">
        <f t="shared" si="6"/>
        <v>0</v>
      </c>
      <c r="Y20" s="183">
        <f t="shared" si="7"/>
        <v>0</v>
      </c>
      <c r="AB20" s="183">
        <f t="shared" si="8"/>
        <v>0</v>
      </c>
      <c r="AE20" s="183">
        <v>0</v>
      </c>
      <c r="AH20" s="183">
        <v>0</v>
      </c>
      <c r="AI20" s="212">
        <v>30000000</v>
      </c>
      <c r="AJ20" s="213">
        <v>1.0500000000000001E-2</v>
      </c>
      <c r="AK20" s="183">
        <f t="shared" si="9"/>
        <v>875</v>
      </c>
      <c r="AL20" s="212"/>
      <c r="AM20" s="213"/>
      <c r="AN20" s="183">
        <f t="shared" si="10"/>
        <v>0</v>
      </c>
      <c r="AO20" s="212"/>
      <c r="AP20" s="213"/>
      <c r="AQ20" s="183">
        <f t="shared" si="11"/>
        <v>0</v>
      </c>
      <c r="AR20" s="212"/>
      <c r="AS20" s="213"/>
      <c r="AT20" s="183">
        <f t="shared" si="12"/>
        <v>0</v>
      </c>
      <c r="AW20" s="183">
        <f t="shared" si="13"/>
        <v>0</v>
      </c>
      <c r="AZ20" s="183">
        <f t="shared" si="14"/>
        <v>0</v>
      </c>
      <c r="BC20" s="183">
        <f t="shared" si="15"/>
        <v>0</v>
      </c>
      <c r="BF20" s="183">
        <f t="shared" si="16"/>
        <v>0</v>
      </c>
      <c r="BI20" s="183">
        <f t="shared" si="17"/>
        <v>0</v>
      </c>
      <c r="BL20" s="183">
        <f t="shared" si="18"/>
        <v>0</v>
      </c>
      <c r="BO20" s="183">
        <f t="shared" si="19"/>
        <v>0</v>
      </c>
      <c r="BR20" s="183">
        <f t="shared" si="20"/>
        <v>0</v>
      </c>
      <c r="BU20" s="183">
        <f t="shared" si="21"/>
        <v>0</v>
      </c>
      <c r="BX20" s="183">
        <f t="shared" si="22"/>
        <v>0</v>
      </c>
      <c r="CA20" s="183">
        <f t="shared" si="23"/>
        <v>0</v>
      </c>
      <c r="CD20" s="183">
        <f t="shared" si="24"/>
        <v>0</v>
      </c>
      <c r="CG20" s="183">
        <f t="shared" si="25"/>
        <v>0</v>
      </c>
      <c r="CJ20" s="183">
        <f t="shared" si="26"/>
        <v>0</v>
      </c>
      <c r="CM20" s="183">
        <f t="shared" si="27"/>
        <v>0</v>
      </c>
      <c r="CP20" s="183">
        <f t="shared" si="28"/>
        <v>0</v>
      </c>
      <c r="CS20" s="183">
        <f t="shared" si="29"/>
        <v>0</v>
      </c>
      <c r="CV20" s="183">
        <f t="shared" si="30"/>
        <v>0</v>
      </c>
      <c r="CY20" s="183">
        <f t="shared" si="31"/>
        <v>0</v>
      </c>
      <c r="DB20" s="183">
        <f t="shared" si="32"/>
        <v>0</v>
      </c>
      <c r="DE20" s="183">
        <f t="shared" si="33"/>
        <v>0</v>
      </c>
      <c r="DH20" s="183">
        <f t="shared" si="34"/>
        <v>0</v>
      </c>
      <c r="DK20" s="183">
        <f t="shared" si="35"/>
        <v>0</v>
      </c>
      <c r="DN20" s="183">
        <f t="shared" si="36"/>
        <v>0</v>
      </c>
      <c r="DQ20" s="183">
        <f t="shared" si="37"/>
        <v>0</v>
      </c>
      <c r="DT20" s="183">
        <f t="shared" si="38"/>
        <v>0</v>
      </c>
      <c r="DW20" s="183">
        <f t="shared" si="39"/>
        <v>0</v>
      </c>
      <c r="DZ20" s="183"/>
      <c r="EA20" s="183"/>
      <c r="EB20" s="214">
        <f t="shared" si="40"/>
        <v>111245000</v>
      </c>
      <c r="EC20" s="214">
        <f t="shared" si="41"/>
        <v>81245000</v>
      </c>
      <c r="ED20" s="183">
        <f t="shared" si="42"/>
        <v>2680.4444444444443</v>
      </c>
      <c r="EE20" s="185">
        <f t="shared" si="43"/>
        <v>8.674187603937256E-3</v>
      </c>
      <c r="EG20" s="214">
        <f t="shared" si="44"/>
        <v>0</v>
      </c>
      <c r="EH20" s="183">
        <f t="shared" si="45"/>
        <v>0</v>
      </c>
      <c r="EI20" s="185">
        <f t="shared" si="46"/>
        <v>0</v>
      </c>
      <c r="EJ20" s="185"/>
      <c r="EK20" s="214">
        <f t="shared" si="47"/>
        <v>30000000</v>
      </c>
      <c r="EL20" s="214">
        <f t="shared" si="48"/>
        <v>0</v>
      </c>
      <c r="EM20" s="214">
        <f t="shared" si="49"/>
        <v>875</v>
      </c>
      <c r="EN20" s="185">
        <f t="shared" si="50"/>
        <v>1.0500000000000001E-2</v>
      </c>
      <c r="EP20" s="183"/>
    </row>
    <row r="21" spans="1:146" x14ac:dyDescent="0.2">
      <c r="A21" s="211">
        <f t="shared" si="51"/>
        <v>44692</v>
      </c>
      <c r="B21" s="183">
        <v>32920000</v>
      </c>
      <c r="C21" s="185">
        <v>8.3999999999999995E-3</v>
      </c>
      <c r="D21" s="183">
        <f t="shared" si="0"/>
        <v>768.13333333333333</v>
      </c>
      <c r="G21" s="183">
        <f t="shared" si="1"/>
        <v>0</v>
      </c>
      <c r="J21" s="183">
        <f t="shared" si="2"/>
        <v>0</v>
      </c>
      <c r="M21" s="183">
        <f t="shared" si="3"/>
        <v>0</v>
      </c>
      <c r="P21" s="183">
        <f t="shared" si="4"/>
        <v>0</v>
      </c>
      <c r="S21" s="183">
        <f t="shared" si="5"/>
        <v>0</v>
      </c>
      <c r="V21" s="183">
        <f t="shared" si="6"/>
        <v>0</v>
      </c>
      <c r="Y21" s="183">
        <f t="shared" si="7"/>
        <v>0</v>
      </c>
      <c r="AB21" s="183">
        <f t="shared" si="8"/>
        <v>0</v>
      </c>
      <c r="AE21" s="183">
        <v>0</v>
      </c>
      <c r="AH21" s="183">
        <v>0</v>
      </c>
      <c r="AI21" s="212">
        <v>30000000</v>
      </c>
      <c r="AJ21" s="213">
        <v>1.0500000000000001E-2</v>
      </c>
      <c r="AK21" s="183">
        <f t="shared" si="9"/>
        <v>875</v>
      </c>
      <c r="AL21" s="212">
        <v>39125000</v>
      </c>
      <c r="AM21" s="213">
        <v>1.03E-2</v>
      </c>
      <c r="AN21" s="183">
        <f t="shared" si="10"/>
        <v>1119.4097222222222</v>
      </c>
      <c r="AO21" s="212"/>
      <c r="AP21" s="213"/>
      <c r="AQ21" s="183">
        <f t="shared" si="11"/>
        <v>0</v>
      </c>
      <c r="AR21" s="212"/>
      <c r="AS21" s="213"/>
      <c r="AT21" s="183">
        <f t="shared" si="12"/>
        <v>0</v>
      </c>
      <c r="AW21" s="183">
        <f t="shared" si="13"/>
        <v>0</v>
      </c>
      <c r="AZ21" s="183">
        <f t="shared" si="14"/>
        <v>0</v>
      </c>
      <c r="BC21" s="183">
        <f t="shared" si="15"/>
        <v>0</v>
      </c>
      <c r="BF21" s="183">
        <f t="shared" si="16"/>
        <v>0</v>
      </c>
      <c r="BI21" s="183">
        <f t="shared" si="17"/>
        <v>0</v>
      </c>
      <c r="BL21" s="183">
        <f t="shared" si="18"/>
        <v>0</v>
      </c>
      <c r="BO21" s="183">
        <f t="shared" si="19"/>
        <v>0</v>
      </c>
      <c r="BR21" s="183">
        <f t="shared" si="20"/>
        <v>0</v>
      </c>
      <c r="BU21" s="183">
        <f t="shared" si="21"/>
        <v>0</v>
      </c>
      <c r="BX21" s="183">
        <f t="shared" si="22"/>
        <v>0</v>
      </c>
      <c r="CA21" s="183">
        <f t="shared" si="23"/>
        <v>0</v>
      </c>
      <c r="CD21" s="183">
        <f t="shared" si="24"/>
        <v>0</v>
      </c>
      <c r="CG21" s="183">
        <f t="shared" si="25"/>
        <v>0</v>
      </c>
      <c r="CJ21" s="183">
        <f t="shared" si="26"/>
        <v>0</v>
      </c>
      <c r="CM21" s="183">
        <f t="shared" si="27"/>
        <v>0</v>
      </c>
      <c r="CP21" s="183">
        <f t="shared" si="28"/>
        <v>0</v>
      </c>
      <c r="CS21" s="183">
        <f t="shared" si="29"/>
        <v>0</v>
      </c>
      <c r="CV21" s="183">
        <f t="shared" si="30"/>
        <v>0</v>
      </c>
      <c r="CY21" s="183">
        <f t="shared" si="31"/>
        <v>0</v>
      </c>
      <c r="DB21" s="183">
        <f t="shared" si="32"/>
        <v>0</v>
      </c>
      <c r="DE21" s="183">
        <f t="shared" si="33"/>
        <v>0</v>
      </c>
      <c r="DH21" s="183">
        <f t="shared" si="34"/>
        <v>0</v>
      </c>
      <c r="DK21" s="183">
        <f t="shared" si="35"/>
        <v>0</v>
      </c>
      <c r="DN21" s="183">
        <f t="shared" si="36"/>
        <v>0</v>
      </c>
      <c r="DQ21" s="183">
        <f t="shared" si="37"/>
        <v>0</v>
      </c>
      <c r="DT21" s="183">
        <f t="shared" si="38"/>
        <v>0</v>
      </c>
      <c r="DW21" s="183">
        <f t="shared" si="39"/>
        <v>0</v>
      </c>
      <c r="DZ21" s="183"/>
      <c r="EA21" s="183"/>
      <c r="EB21" s="214">
        <f t="shared" si="40"/>
        <v>102045000</v>
      </c>
      <c r="EC21" s="214">
        <f t="shared" si="41"/>
        <v>32920000</v>
      </c>
      <c r="ED21" s="183">
        <f t="shared" si="42"/>
        <v>2762.5430555555554</v>
      </c>
      <c r="EE21" s="185">
        <f t="shared" si="43"/>
        <v>9.745852320054876E-3</v>
      </c>
      <c r="EG21" s="214">
        <f t="shared" si="44"/>
        <v>0</v>
      </c>
      <c r="EH21" s="183">
        <f t="shared" si="45"/>
        <v>0</v>
      </c>
      <c r="EI21" s="185">
        <f t="shared" si="46"/>
        <v>0</v>
      </c>
      <c r="EJ21" s="185"/>
      <c r="EK21" s="214">
        <f t="shared" si="47"/>
        <v>69125000</v>
      </c>
      <c r="EL21" s="214">
        <f t="shared" si="48"/>
        <v>0</v>
      </c>
      <c r="EM21" s="214">
        <f t="shared" si="49"/>
        <v>1994.4097222222222</v>
      </c>
      <c r="EN21" s="185">
        <f t="shared" si="50"/>
        <v>1.0386799276672694E-2</v>
      </c>
      <c r="EP21" s="183"/>
    </row>
    <row r="22" spans="1:146" x14ac:dyDescent="0.2">
      <c r="A22" s="211">
        <f t="shared" si="51"/>
        <v>44693</v>
      </c>
      <c r="B22" s="183">
        <v>42795000</v>
      </c>
      <c r="C22" s="185">
        <v>8.199999999999999E-3</v>
      </c>
      <c r="D22" s="183">
        <f t="shared" si="0"/>
        <v>974.77499999999986</v>
      </c>
      <c r="G22" s="183">
        <f t="shared" si="1"/>
        <v>0</v>
      </c>
      <c r="J22" s="183">
        <f t="shared" si="2"/>
        <v>0</v>
      </c>
      <c r="M22" s="183">
        <f t="shared" si="3"/>
        <v>0</v>
      </c>
      <c r="P22" s="183">
        <f t="shared" si="4"/>
        <v>0</v>
      </c>
      <c r="S22" s="183">
        <f t="shared" si="5"/>
        <v>0</v>
      </c>
      <c r="V22" s="183">
        <f t="shared" si="6"/>
        <v>0</v>
      </c>
      <c r="Y22" s="183">
        <f t="shared" si="7"/>
        <v>0</v>
      </c>
      <c r="AB22" s="183">
        <f t="shared" si="8"/>
        <v>0</v>
      </c>
      <c r="AE22" s="183">
        <v>0</v>
      </c>
      <c r="AH22" s="183">
        <v>0</v>
      </c>
      <c r="AI22" s="212">
        <v>30000000</v>
      </c>
      <c r="AJ22" s="213">
        <v>1.0500000000000001E-2</v>
      </c>
      <c r="AK22" s="183">
        <f t="shared" si="9"/>
        <v>875</v>
      </c>
      <c r="AL22" s="212">
        <v>35050000</v>
      </c>
      <c r="AM22" s="213">
        <v>1.03E-2</v>
      </c>
      <c r="AN22" s="183">
        <f t="shared" si="10"/>
        <v>1002.8194444444445</v>
      </c>
      <c r="AO22" s="212"/>
      <c r="AP22" s="213"/>
      <c r="AQ22" s="183">
        <f t="shared" si="11"/>
        <v>0</v>
      </c>
      <c r="AR22" s="212"/>
      <c r="AS22" s="213"/>
      <c r="AT22" s="183">
        <f t="shared" si="12"/>
        <v>0</v>
      </c>
      <c r="AW22" s="183">
        <f t="shared" si="13"/>
        <v>0</v>
      </c>
      <c r="AZ22" s="183">
        <f t="shared" si="14"/>
        <v>0</v>
      </c>
      <c r="BC22" s="183">
        <f t="shared" si="15"/>
        <v>0</v>
      </c>
      <c r="BF22" s="183">
        <f t="shared" si="16"/>
        <v>0</v>
      </c>
      <c r="BI22" s="183">
        <f t="shared" si="17"/>
        <v>0</v>
      </c>
      <c r="BL22" s="183">
        <f t="shared" si="18"/>
        <v>0</v>
      </c>
      <c r="BO22" s="183">
        <f t="shared" si="19"/>
        <v>0</v>
      </c>
      <c r="BR22" s="183">
        <f t="shared" si="20"/>
        <v>0</v>
      </c>
      <c r="BU22" s="183">
        <f t="shared" si="21"/>
        <v>0</v>
      </c>
      <c r="BX22" s="183">
        <f t="shared" si="22"/>
        <v>0</v>
      </c>
      <c r="CA22" s="183">
        <f t="shared" si="23"/>
        <v>0</v>
      </c>
      <c r="CD22" s="183">
        <f t="shared" si="24"/>
        <v>0</v>
      </c>
      <c r="CG22" s="183">
        <f t="shared" si="25"/>
        <v>0</v>
      </c>
      <c r="CJ22" s="183">
        <f t="shared" si="26"/>
        <v>0</v>
      </c>
      <c r="CM22" s="183">
        <f t="shared" si="27"/>
        <v>0</v>
      </c>
      <c r="CP22" s="183">
        <f t="shared" si="28"/>
        <v>0</v>
      </c>
      <c r="CS22" s="183">
        <f t="shared" si="29"/>
        <v>0</v>
      </c>
      <c r="CV22" s="183">
        <f t="shared" si="30"/>
        <v>0</v>
      </c>
      <c r="CY22" s="183">
        <f t="shared" si="31"/>
        <v>0</v>
      </c>
      <c r="DB22" s="183">
        <f t="shared" si="32"/>
        <v>0</v>
      </c>
      <c r="DE22" s="183">
        <f t="shared" si="33"/>
        <v>0</v>
      </c>
      <c r="DH22" s="183">
        <f t="shared" si="34"/>
        <v>0</v>
      </c>
      <c r="DK22" s="183">
        <f t="shared" si="35"/>
        <v>0</v>
      </c>
      <c r="DN22" s="183">
        <f t="shared" si="36"/>
        <v>0</v>
      </c>
      <c r="DQ22" s="183">
        <f t="shared" si="37"/>
        <v>0</v>
      </c>
      <c r="DT22" s="183">
        <f t="shared" si="38"/>
        <v>0</v>
      </c>
      <c r="DW22" s="183">
        <f t="shared" si="39"/>
        <v>0</v>
      </c>
      <c r="DZ22" s="183"/>
      <c r="EA22" s="183"/>
      <c r="EB22" s="214">
        <f t="shared" si="40"/>
        <v>107845000</v>
      </c>
      <c r="EC22" s="214">
        <f t="shared" si="41"/>
        <v>42795000</v>
      </c>
      <c r="ED22" s="183">
        <f t="shared" si="42"/>
        <v>2852.5944444444444</v>
      </c>
      <c r="EE22" s="185">
        <f t="shared" si="43"/>
        <v>9.5223144327507073E-3</v>
      </c>
      <c r="EG22" s="214">
        <f t="shared" si="44"/>
        <v>0</v>
      </c>
      <c r="EH22" s="183">
        <f t="shared" si="45"/>
        <v>0</v>
      </c>
      <c r="EI22" s="185">
        <f t="shared" si="46"/>
        <v>0</v>
      </c>
      <c r="EJ22" s="185"/>
      <c r="EK22" s="214">
        <f t="shared" si="47"/>
        <v>65050000</v>
      </c>
      <c r="EL22" s="214">
        <f t="shared" si="48"/>
        <v>0</v>
      </c>
      <c r="EM22" s="214">
        <f t="shared" si="49"/>
        <v>1877.8194444444443</v>
      </c>
      <c r="EN22" s="185">
        <f t="shared" si="50"/>
        <v>1.0392236740968485E-2</v>
      </c>
      <c r="EP22" s="183"/>
    </row>
    <row r="23" spans="1:146" x14ac:dyDescent="0.2">
      <c r="A23" s="211">
        <f t="shared" si="51"/>
        <v>44694</v>
      </c>
      <c r="B23" s="183">
        <v>38920000</v>
      </c>
      <c r="C23" s="185">
        <v>8.199999999999999E-3</v>
      </c>
      <c r="D23" s="183">
        <f t="shared" si="0"/>
        <v>886.51111111111095</v>
      </c>
      <c r="G23" s="183">
        <f t="shared" si="1"/>
        <v>0</v>
      </c>
      <c r="J23" s="183">
        <f t="shared" si="2"/>
        <v>0</v>
      </c>
      <c r="M23" s="183">
        <f t="shared" si="3"/>
        <v>0</v>
      </c>
      <c r="P23" s="183">
        <f t="shared" si="4"/>
        <v>0</v>
      </c>
      <c r="S23" s="183">
        <f t="shared" si="5"/>
        <v>0</v>
      </c>
      <c r="V23" s="183">
        <f t="shared" si="6"/>
        <v>0</v>
      </c>
      <c r="Y23" s="183">
        <f t="shared" si="7"/>
        <v>0</v>
      </c>
      <c r="AB23" s="183">
        <f t="shared" si="8"/>
        <v>0</v>
      </c>
      <c r="AE23" s="183">
        <v>0</v>
      </c>
      <c r="AH23" s="183">
        <v>0</v>
      </c>
      <c r="AI23" s="212">
        <v>30000000</v>
      </c>
      <c r="AJ23" s="213">
        <v>1.0500000000000001E-2</v>
      </c>
      <c r="AK23" s="183">
        <f t="shared" si="9"/>
        <v>875</v>
      </c>
      <c r="AL23" s="212">
        <v>55925000</v>
      </c>
      <c r="AM23" s="213">
        <v>1.03E-2</v>
      </c>
      <c r="AN23" s="183">
        <f t="shared" si="10"/>
        <v>1600.0763888888889</v>
      </c>
      <c r="AO23" s="212"/>
      <c r="AP23" s="213"/>
      <c r="AQ23" s="183">
        <f t="shared" si="11"/>
        <v>0</v>
      </c>
      <c r="AR23" s="212"/>
      <c r="AS23" s="213"/>
      <c r="AT23" s="183">
        <f t="shared" si="12"/>
        <v>0</v>
      </c>
      <c r="AW23" s="183">
        <f t="shared" si="13"/>
        <v>0</v>
      </c>
      <c r="AZ23" s="183">
        <f t="shared" si="14"/>
        <v>0</v>
      </c>
      <c r="BC23" s="183">
        <f t="shared" si="15"/>
        <v>0</v>
      </c>
      <c r="BF23" s="183">
        <f t="shared" si="16"/>
        <v>0</v>
      </c>
      <c r="BI23" s="183">
        <f t="shared" si="17"/>
        <v>0</v>
      </c>
      <c r="BL23" s="183">
        <f t="shared" si="18"/>
        <v>0</v>
      </c>
      <c r="BO23" s="183">
        <f t="shared" si="19"/>
        <v>0</v>
      </c>
      <c r="BR23" s="183">
        <f t="shared" si="20"/>
        <v>0</v>
      </c>
      <c r="BU23" s="183">
        <f t="shared" si="21"/>
        <v>0</v>
      </c>
      <c r="BX23" s="183">
        <f t="shared" si="22"/>
        <v>0</v>
      </c>
      <c r="CA23" s="183">
        <f t="shared" si="23"/>
        <v>0</v>
      </c>
      <c r="CD23" s="183">
        <f t="shared" si="24"/>
        <v>0</v>
      </c>
      <c r="CG23" s="183">
        <f t="shared" si="25"/>
        <v>0</v>
      </c>
      <c r="CJ23" s="183">
        <f t="shared" si="26"/>
        <v>0</v>
      </c>
      <c r="CM23" s="183">
        <f t="shared" si="27"/>
        <v>0</v>
      </c>
      <c r="CP23" s="183">
        <f t="shared" si="28"/>
        <v>0</v>
      </c>
      <c r="CS23" s="183">
        <f t="shared" si="29"/>
        <v>0</v>
      </c>
      <c r="CV23" s="183">
        <f t="shared" si="30"/>
        <v>0</v>
      </c>
      <c r="CY23" s="183">
        <f t="shared" si="31"/>
        <v>0</v>
      </c>
      <c r="DB23" s="183">
        <f t="shared" si="32"/>
        <v>0</v>
      </c>
      <c r="DE23" s="183">
        <f t="shared" si="33"/>
        <v>0</v>
      </c>
      <c r="DH23" s="183">
        <f t="shared" si="34"/>
        <v>0</v>
      </c>
      <c r="DK23" s="183">
        <f t="shared" si="35"/>
        <v>0</v>
      </c>
      <c r="DN23" s="183">
        <f t="shared" si="36"/>
        <v>0</v>
      </c>
      <c r="DQ23" s="183">
        <f t="shared" si="37"/>
        <v>0</v>
      </c>
      <c r="DT23" s="183">
        <f t="shared" si="38"/>
        <v>0</v>
      </c>
      <c r="DW23" s="183">
        <f t="shared" si="39"/>
        <v>0</v>
      </c>
      <c r="DZ23" s="183"/>
      <c r="EA23" s="183"/>
      <c r="EB23" s="214">
        <f t="shared" si="40"/>
        <v>124845000</v>
      </c>
      <c r="EC23" s="214">
        <f t="shared" si="41"/>
        <v>38920000</v>
      </c>
      <c r="ED23" s="183">
        <f t="shared" si="42"/>
        <v>3361.5874999999996</v>
      </c>
      <c r="EE23" s="185">
        <f t="shared" si="43"/>
        <v>9.6933918058392399E-3</v>
      </c>
      <c r="EG23" s="214">
        <f t="shared" si="44"/>
        <v>0</v>
      </c>
      <c r="EH23" s="183">
        <f t="shared" si="45"/>
        <v>0</v>
      </c>
      <c r="EI23" s="185">
        <f t="shared" si="46"/>
        <v>0</v>
      </c>
      <c r="EJ23" s="185"/>
      <c r="EK23" s="214">
        <f t="shared" si="47"/>
        <v>85925000</v>
      </c>
      <c r="EL23" s="214">
        <f t="shared" si="48"/>
        <v>0</v>
      </c>
      <c r="EM23" s="214">
        <f t="shared" si="49"/>
        <v>2475.0763888888887</v>
      </c>
      <c r="EN23" s="185">
        <f t="shared" si="50"/>
        <v>1.0369828338667442E-2</v>
      </c>
      <c r="EP23" s="183"/>
    </row>
    <row r="24" spans="1:146" x14ac:dyDescent="0.2">
      <c r="A24" s="211">
        <f t="shared" si="51"/>
        <v>44695</v>
      </c>
      <c r="B24" s="183">
        <v>38920000</v>
      </c>
      <c r="C24" s="185">
        <v>8.199999999999999E-3</v>
      </c>
      <c r="D24" s="183">
        <f t="shared" si="0"/>
        <v>886.51111111111095</v>
      </c>
      <c r="G24" s="183">
        <f t="shared" si="1"/>
        <v>0</v>
      </c>
      <c r="J24" s="183">
        <f t="shared" si="2"/>
        <v>0</v>
      </c>
      <c r="M24" s="183">
        <f t="shared" si="3"/>
        <v>0</v>
      </c>
      <c r="P24" s="183">
        <f t="shared" si="4"/>
        <v>0</v>
      </c>
      <c r="S24" s="183">
        <f t="shared" si="5"/>
        <v>0</v>
      </c>
      <c r="V24" s="183">
        <f t="shared" si="6"/>
        <v>0</v>
      </c>
      <c r="Y24" s="183">
        <f t="shared" si="7"/>
        <v>0</v>
      </c>
      <c r="AB24" s="183">
        <f t="shared" si="8"/>
        <v>0</v>
      </c>
      <c r="AE24" s="183">
        <v>0</v>
      </c>
      <c r="AH24" s="183">
        <v>0</v>
      </c>
      <c r="AI24" s="212">
        <v>30000000</v>
      </c>
      <c r="AJ24" s="213">
        <v>1.0500000000000001E-2</v>
      </c>
      <c r="AK24" s="183">
        <f t="shared" si="9"/>
        <v>875</v>
      </c>
      <c r="AL24" s="212">
        <v>55925000</v>
      </c>
      <c r="AM24" s="213">
        <v>1.03E-2</v>
      </c>
      <c r="AN24" s="183">
        <f t="shared" si="10"/>
        <v>1600.0763888888889</v>
      </c>
      <c r="AO24" s="212"/>
      <c r="AP24" s="213"/>
      <c r="AQ24" s="183">
        <f t="shared" si="11"/>
        <v>0</v>
      </c>
      <c r="AR24" s="212"/>
      <c r="AS24" s="213"/>
      <c r="AT24" s="183">
        <f t="shared" si="12"/>
        <v>0</v>
      </c>
      <c r="AW24" s="183">
        <f t="shared" si="13"/>
        <v>0</v>
      </c>
      <c r="AZ24" s="183">
        <f t="shared" si="14"/>
        <v>0</v>
      </c>
      <c r="BC24" s="183">
        <f t="shared" si="15"/>
        <v>0</v>
      </c>
      <c r="BF24" s="183">
        <f t="shared" si="16"/>
        <v>0</v>
      </c>
      <c r="BI24" s="183">
        <f t="shared" si="17"/>
        <v>0</v>
      </c>
      <c r="BL24" s="183">
        <f t="shared" si="18"/>
        <v>0</v>
      </c>
      <c r="BO24" s="183">
        <f t="shared" si="19"/>
        <v>0</v>
      </c>
      <c r="BR24" s="183">
        <f t="shared" si="20"/>
        <v>0</v>
      </c>
      <c r="BU24" s="183">
        <f t="shared" si="21"/>
        <v>0</v>
      </c>
      <c r="BX24" s="183">
        <f t="shared" si="22"/>
        <v>0</v>
      </c>
      <c r="CA24" s="183">
        <f t="shared" si="23"/>
        <v>0</v>
      </c>
      <c r="CD24" s="183">
        <f t="shared" si="24"/>
        <v>0</v>
      </c>
      <c r="CG24" s="183">
        <f t="shared" si="25"/>
        <v>0</v>
      </c>
      <c r="CJ24" s="183">
        <f t="shared" si="26"/>
        <v>0</v>
      </c>
      <c r="CM24" s="183">
        <f t="shared" si="27"/>
        <v>0</v>
      </c>
      <c r="CP24" s="183">
        <f t="shared" si="28"/>
        <v>0</v>
      </c>
      <c r="CS24" s="183">
        <f t="shared" si="29"/>
        <v>0</v>
      </c>
      <c r="CV24" s="183">
        <f t="shared" si="30"/>
        <v>0</v>
      </c>
      <c r="CY24" s="183">
        <f t="shared" si="31"/>
        <v>0</v>
      </c>
      <c r="DB24" s="183">
        <f t="shared" si="32"/>
        <v>0</v>
      </c>
      <c r="DE24" s="183">
        <f t="shared" si="33"/>
        <v>0</v>
      </c>
      <c r="DH24" s="183">
        <f t="shared" si="34"/>
        <v>0</v>
      </c>
      <c r="DK24" s="183">
        <f t="shared" si="35"/>
        <v>0</v>
      </c>
      <c r="DN24" s="183">
        <f t="shared" si="36"/>
        <v>0</v>
      </c>
      <c r="DQ24" s="183">
        <f t="shared" si="37"/>
        <v>0</v>
      </c>
      <c r="DT24" s="183">
        <f t="shared" si="38"/>
        <v>0</v>
      </c>
      <c r="DW24" s="183">
        <f t="shared" si="39"/>
        <v>0</v>
      </c>
      <c r="DZ24" s="183"/>
      <c r="EA24" s="183"/>
      <c r="EB24" s="214">
        <f t="shared" si="40"/>
        <v>124845000</v>
      </c>
      <c r="EC24" s="214">
        <f t="shared" si="41"/>
        <v>38920000</v>
      </c>
      <c r="ED24" s="183">
        <f t="shared" si="42"/>
        <v>3361.5874999999996</v>
      </c>
      <c r="EE24" s="185">
        <f t="shared" si="43"/>
        <v>9.6933918058392399E-3</v>
      </c>
      <c r="EG24" s="214">
        <f t="shared" si="44"/>
        <v>0</v>
      </c>
      <c r="EH24" s="183">
        <f t="shared" si="45"/>
        <v>0</v>
      </c>
      <c r="EI24" s="185">
        <f t="shared" si="46"/>
        <v>0</v>
      </c>
      <c r="EJ24" s="185"/>
      <c r="EK24" s="214">
        <f t="shared" si="47"/>
        <v>85925000</v>
      </c>
      <c r="EL24" s="214">
        <f t="shared" si="48"/>
        <v>0</v>
      </c>
      <c r="EM24" s="214">
        <f t="shared" si="49"/>
        <v>2475.0763888888887</v>
      </c>
      <c r="EN24" s="185">
        <f t="shared" si="50"/>
        <v>1.0369828338667442E-2</v>
      </c>
      <c r="EP24" s="183"/>
    </row>
    <row r="25" spans="1:146" x14ac:dyDescent="0.2">
      <c r="A25" s="211">
        <f t="shared" si="51"/>
        <v>44696</v>
      </c>
      <c r="B25" s="183">
        <v>38920000</v>
      </c>
      <c r="C25" s="185">
        <v>8.199999999999999E-3</v>
      </c>
      <c r="D25" s="183">
        <f t="shared" si="0"/>
        <v>886.51111111111095</v>
      </c>
      <c r="G25" s="183">
        <f t="shared" si="1"/>
        <v>0</v>
      </c>
      <c r="J25" s="183">
        <f t="shared" si="2"/>
        <v>0</v>
      </c>
      <c r="M25" s="183">
        <f t="shared" si="3"/>
        <v>0</v>
      </c>
      <c r="P25" s="183">
        <f t="shared" si="4"/>
        <v>0</v>
      </c>
      <c r="S25" s="183">
        <f t="shared" si="5"/>
        <v>0</v>
      </c>
      <c r="V25" s="183">
        <f t="shared" si="6"/>
        <v>0</v>
      </c>
      <c r="Y25" s="183">
        <f t="shared" si="7"/>
        <v>0</v>
      </c>
      <c r="AB25" s="183">
        <f t="shared" si="8"/>
        <v>0</v>
      </c>
      <c r="AE25" s="183">
        <v>0</v>
      </c>
      <c r="AH25" s="183">
        <v>0</v>
      </c>
      <c r="AI25" s="212">
        <v>30000000</v>
      </c>
      <c r="AJ25" s="213">
        <v>1.0500000000000001E-2</v>
      </c>
      <c r="AK25" s="183">
        <f t="shared" si="9"/>
        <v>875</v>
      </c>
      <c r="AL25" s="212">
        <v>55925000</v>
      </c>
      <c r="AM25" s="213">
        <v>1.03E-2</v>
      </c>
      <c r="AN25" s="183">
        <f t="shared" si="10"/>
        <v>1600.0763888888889</v>
      </c>
      <c r="AO25" s="212"/>
      <c r="AP25" s="213"/>
      <c r="AQ25" s="183">
        <f t="shared" si="11"/>
        <v>0</v>
      </c>
      <c r="AR25" s="212"/>
      <c r="AS25" s="213"/>
      <c r="AT25" s="183">
        <f t="shared" si="12"/>
        <v>0</v>
      </c>
      <c r="AW25" s="183">
        <f t="shared" si="13"/>
        <v>0</v>
      </c>
      <c r="AZ25" s="183">
        <f t="shared" si="14"/>
        <v>0</v>
      </c>
      <c r="BC25" s="183">
        <f t="shared" si="15"/>
        <v>0</v>
      </c>
      <c r="BF25" s="183">
        <f t="shared" si="16"/>
        <v>0</v>
      </c>
      <c r="BI25" s="183">
        <f t="shared" si="17"/>
        <v>0</v>
      </c>
      <c r="BL25" s="183">
        <f t="shared" si="18"/>
        <v>0</v>
      </c>
      <c r="BO25" s="183">
        <f t="shared" si="19"/>
        <v>0</v>
      </c>
      <c r="BR25" s="183">
        <f t="shared" si="20"/>
        <v>0</v>
      </c>
      <c r="BU25" s="183">
        <f t="shared" si="21"/>
        <v>0</v>
      </c>
      <c r="BX25" s="183">
        <f t="shared" si="22"/>
        <v>0</v>
      </c>
      <c r="CA25" s="183">
        <f t="shared" si="23"/>
        <v>0</v>
      </c>
      <c r="CD25" s="183">
        <f t="shared" si="24"/>
        <v>0</v>
      </c>
      <c r="CG25" s="183">
        <f t="shared" si="25"/>
        <v>0</v>
      </c>
      <c r="CJ25" s="183">
        <f t="shared" si="26"/>
        <v>0</v>
      </c>
      <c r="CM25" s="183">
        <f t="shared" si="27"/>
        <v>0</v>
      </c>
      <c r="CP25" s="183">
        <f t="shared" si="28"/>
        <v>0</v>
      </c>
      <c r="CS25" s="183">
        <f t="shared" si="29"/>
        <v>0</v>
      </c>
      <c r="CV25" s="183">
        <f t="shared" si="30"/>
        <v>0</v>
      </c>
      <c r="CY25" s="183">
        <f t="shared" si="31"/>
        <v>0</v>
      </c>
      <c r="DB25" s="183">
        <f t="shared" si="32"/>
        <v>0</v>
      </c>
      <c r="DE25" s="183">
        <f t="shared" si="33"/>
        <v>0</v>
      </c>
      <c r="DH25" s="183">
        <f t="shared" si="34"/>
        <v>0</v>
      </c>
      <c r="DK25" s="183">
        <f t="shared" si="35"/>
        <v>0</v>
      </c>
      <c r="DN25" s="183">
        <f t="shared" si="36"/>
        <v>0</v>
      </c>
      <c r="DQ25" s="183">
        <f t="shared" si="37"/>
        <v>0</v>
      </c>
      <c r="DT25" s="183">
        <f t="shared" si="38"/>
        <v>0</v>
      </c>
      <c r="DW25" s="183">
        <f t="shared" si="39"/>
        <v>0</v>
      </c>
      <c r="DZ25" s="183"/>
      <c r="EA25" s="183"/>
      <c r="EB25" s="214">
        <f t="shared" si="40"/>
        <v>124845000</v>
      </c>
      <c r="EC25" s="214">
        <f t="shared" si="41"/>
        <v>38920000</v>
      </c>
      <c r="ED25" s="183">
        <f t="shared" si="42"/>
        <v>3361.5874999999996</v>
      </c>
      <c r="EE25" s="185">
        <f t="shared" si="43"/>
        <v>9.6933918058392399E-3</v>
      </c>
      <c r="EG25" s="214">
        <f t="shared" si="44"/>
        <v>0</v>
      </c>
      <c r="EH25" s="183">
        <f t="shared" si="45"/>
        <v>0</v>
      </c>
      <c r="EI25" s="185">
        <f t="shared" si="46"/>
        <v>0</v>
      </c>
      <c r="EJ25" s="185"/>
      <c r="EK25" s="214">
        <f t="shared" si="47"/>
        <v>85925000</v>
      </c>
      <c r="EL25" s="214">
        <f t="shared" si="48"/>
        <v>0</v>
      </c>
      <c r="EM25" s="214">
        <f t="shared" si="49"/>
        <v>2475.0763888888887</v>
      </c>
      <c r="EN25" s="185">
        <f t="shared" si="50"/>
        <v>1.0369828338667442E-2</v>
      </c>
      <c r="EP25" s="183"/>
    </row>
    <row r="26" spans="1:146" x14ac:dyDescent="0.2">
      <c r="A26" s="211">
        <f t="shared" si="51"/>
        <v>44697</v>
      </c>
      <c r="B26" s="183">
        <v>30220000</v>
      </c>
      <c r="C26" s="185">
        <v>8.6E-3</v>
      </c>
      <c r="D26" s="183">
        <f t="shared" si="0"/>
        <v>721.92222222222222</v>
      </c>
      <c r="G26" s="183">
        <f t="shared" si="1"/>
        <v>0</v>
      </c>
      <c r="J26" s="183">
        <f t="shared" si="2"/>
        <v>0</v>
      </c>
      <c r="M26" s="183">
        <f t="shared" si="3"/>
        <v>0</v>
      </c>
      <c r="P26" s="183">
        <f t="shared" si="4"/>
        <v>0</v>
      </c>
      <c r="S26" s="183">
        <f t="shared" si="5"/>
        <v>0</v>
      </c>
      <c r="V26" s="183">
        <f t="shared" si="6"/>
        <v>0</v>
      </c>
      <c r="Y26" s="183">
        <f t="shared" si="7"/>
        <v>0</v>
      </c>
      <c r="AB26" s="183">
        <f t="shared" si="8"/>
        <v>0</v>
      </c>
      <c r="AE26" s="183">
        <v>0</v>
      </c>
      <c r="AH26" s="183">
        <v>0</v>
      </c>
      <c r="AI26" s="212">
        <v>30000000</v>
      </c>
      <c r="AJ26" s="213">
        <v>1.0500000000000001E-2</v>
      </c>
      <c r="AK26" s="183">
        <f t="shared" si="9"/>
        <v>875</v>
      </c>
      <c r="AL26" s="212">
        <v>79575000</v>
      </c>
      <c r="AM26" s="213">
        <v>1.03E-2</v>
      </c>
      <c r="AN26" s="183">
        <f t="shared" si="10"/>
        <v>2276.7291666666665</v>
      </c>
      <c r="AO26" s="212"/>
      <c r="AP26" s="213"/>
      <c r="AQ26" s="183">
        <f t="shared" si="11"/>
        <v>0</v>
      </c>
      <c r="AR26" s="212"/>
      <c r="AS26" s="213"/>
      <c r="AT26" s="183">
        <f t="shared" si="12"/>
        <v>0</v>
      </c>
      <c r="AW26" s="183">
        <f t="shared" si="13"/>
        <v>0</v>
      </c>
      <c r="AZ26" s="183">
        <f t="shared" si="14"/>
        <v>0</v>
      </c>
      <c r="BC26" s="183">
        <f t="shared" si="15"/>
        <v>0</v>
      </c>
      <c r="BF26" s="183">
        <f t="shared" si="16"/>
        <v>0</v>
      </c>
      <c r="BI26" s="183">
        <f t="shared" si="17"/>
        <v>0</v>
      </c>
      <c r="BL26" s="183">
        <f t="shared" si="18"/>
        <v>0</v>
      </c>
      <c r="BO26" s="183">
        <f t="shared" si="19"/>
        <v>0</v>
      </c>
      <c r="BR26" s="183">
        <f t="shared" si="20"/>
        <v>0</v>
      </c>
      <c r="BU26" s="183">
        <f t="shared" si="21"/>
        <v>0</v>
      </c>
      <c r="BX26" s="183">
        <f t="shared" si="22"/>
        <v>0</v>
      </c>
      <c r="CA26" s="183">
        <f t="shared" si="23"/>
        <v>0</v>
      </c>
      <c r="CD26" s="183">
        <f t="shared" si="24"/>
        <v>0</v>
      </c>
      <c r="CG26" s="183">
        <f t="shared" si="25"/>
        <v>0</v>
      </c>
      <c r="CJ26" s="183">
        <f t="shared" si="26"/>
        <v>0</v>
      </c>
      <c r="CM26" s="183">
        <f t="shared" si="27"/>
        <v>0</v>
      </c>
      <c r="CP26" s="183">
        <f t="shared" si="28"/>
        <v>0</v>
      </c>
      <c r="CS26" s="183">
        <f t="shared" si="29"/>
        <v>0</v>
      </c>
      <c r="CV26" s="183">
        <f t="shared" si="30"/>
        <v>0</v>
      </c>
      <c r="CY26" s="183">
        <f t="shared" si="31"/>
        <v>0</v>
      </c>
      <c r="DB26" s="183">
        <f t="shared" si="32"/>
        <v>0</v>
      </c>
      <c r="DE26" s="183">
        <f t="shared" si="33"/>
        <v>0</v>
      </c>
      <c r="DH26" s="183">
        <f t="shared" si="34"/>
        <v>0</v>
      </c>
      <c r="DK26" s="183">
        <f t="shared" si="35"/>
        <v>0</v>
      </c>
      <c r="DN26" s="183">
        <f t="shared" si="36"/>
        <v>0</v>
      </c>
      <c r="DQ26" s="183">
        <f t="shared" si="37"/>
        <v>0</v>
      </c>
      <c r="DT26" s="183">
        <f t="shared" si="38"/>
        <v>0</v>
      </c>
      <c r="DW26" s="183">
        <f t="shared" si="39"/>
        <v>0</v>
      </c>
      <c r="DZ26" s="183"/>
      <c r="EA26" s="183"/>
      <c r="EB26" s="214">
        <f t="shared" si="40"/>
        <v>139795000</v>
      </c>
      <c r="EC26" s="214">
        <f t="shared" si="41"/>
        <v>30220000</v>
      </c>
      <c r="ED26" s="183">
        <f t="shared" si="42"/>
        <v>3873.6513888888885</v>
      </c>
      <c r="EE26" s="185">
        <f t="shared" si="43"/>
        <v>9.9754247290675616E-3</v>
      </c>
      <c r="EG26" s="214">
        <f t="shared" si="44"/>
        <v>0</v>
      </c>
      <c r="EH26" s="183">
        <f t="shared" si="45"/>
        <v>0</v>
      </c>
      <c r="EI26" s="185">
        <f t="shared" si="46"/>
        <v>0</v>
      </c>
      <c r="EJ26" s="185"/>
      <c r="EK26" s="214">
        <f t="shared" si="47"/>
        <v>109575000</v>
      </c>
      <c r="EL26" s="214">
        <f t="shared" si="48"/>
        <v>0</v>
      </c>
      <c r="EM26" s="214">
        <f t="shared" si="49"/>
        <v>3151.7291666666665</v>
      </c>
      <c r="EN26" s="185">
        <f t="shared" si="50"/>
        <v>1.0354757015742641E-2</v>
      </c>
      <c r="EP26" s="183"/>
    </row>
    <row r="27" spans="1:146" x14ac:dyDescent="0.2">
      <c r="A27" s="211">
        <f t="shared" si="51"/>
        <v>44698</v>
      </c>
      <c r="B27" s="183">
        <v>84945000</v>
      </c>
      <c r="C27" s="185">
        <v>8.199999999999999E-3</v>
      </c>
      <c r="D27" s="183">
        <f t="shared" si="0"/>
        <v>1934.8583333333331</v>
      </c>
      <c r="G27" s="183">
        <f t="shared" si="1"/>
        <v>0</v>
      </c>
      <c r="J27" s="183">
        <f t="shared" si="2"/>
        <v>0</v>
      </c>
      <c r="M27" s="183">
        <f t="shared" si="3"/>
        <v>0</v>
      </c>
      <c r="P27" s="183">
        <f t="shared" si="4"/>
        <v>0</v>
      </c>
      <c r="S27" s="183">
        <f t="shared" si="5"/>
        <v>0</v>
      </c>
      <c r="V27" s="183">
        <f t="shared" si="6"/>
        <v>0</v>
      </c>
      <c r="Y27" s="183">
        <f t="shared" si="7"/>
        <v>0</v>
      </c>
      <c r="AB27" s="183">
        <f t="shared" si="8"/>
        <v>0</v>
      </c>
      <c r="AE27" s="183">
        <v>0</v>
      </c>
      <c r="AH27" s="183">
        <v>0</v>
      </c>
      <c r="AI27" s="212">
        <v>30000000</v>
      </c>
      <c r="AJ27" s="213">
        <v>1.0500000000000001E-2</v>
      </c>
      <c r="AK27" s="183">
        <f t="shared" si="9"/>
        <v>875</v>
      </c>
      <c r="AL27" s="212">
        <v>11750000</v>
      </c>
      <c r="AM27" s="213">
        <v>1.03E-2</v>
      </c>
      <c r="AN27" s="183">
        <f t="shared" si="10"/>
        <v>336.18055555555554</v>
      </c>
      <c r="AO27" s="212"/>
      <c r="AP27" s="213"/>
      <c r="AQ27" s="183">
        <f t="shared" si="11"/>
        <v>0</v>
      </c>
      <c r="AR27" s="212"/>
      <c r="AS27" s="213"/>
      <c r="AT27" s="183">
        <f t="shared" si="12"/>
        <v>0</v>
      </c>
      <c r="AW27" s="183">
        <f t="shared" si="13"/>
        <v>0</v>
      </c>
      <c r="AZ27" s="183">
        <f t="shared" si="14"/>
        <v>0</v>
      </c>
      <c r="BC27" s="183">
        <f t="shared" si="15"/>
        <v>0</v>
      </c>
      <c r="BF27" s="183">
        <f t="shared" si="16"/>
        <v>0</v>
      </c>
      <c r="BI27" s="183">
        <f t="shared" si="17"/>
        <v>0</v>
      </c>
      <c r="BL27" s="183">
        <f t="shared" si="18"/>
        <v>0</v>
      </c>
      <c r="BO27" s="183">
        <f t="shared" si="19"/>
        <v>0</v>
      </c>
      <c r="BR27" s="183">
        <f t="shared" si="20"/>
        <v>0</v>
      </c>
      <c r="BU27" s="183">
        <f t="shared" si="21"/>
        <v>0</v>
      </c>
      <c r="BX27" s="183">
        <f t="shared" si="22"/>
        <v>0</v>
      </c>
      <c r="CA27" s="183">
        <f t="shared" si="23"/>
        <v>0</v>
      </c>
      <c r="CD27" s="183">
        <f t="shared" si="24"/>
        <v>0</v>
      </c>
      <c r="CG27" s="183">
        <f t="shared" si="25"/>
        <v>0</v>
      </c>
      <c r="CJ27" s="183">
        <f t="shared" si="26"/>
        <v>0</v>
      </c>
      <c r="CM27" s="183">
        <f t="shared" si="27"/>
        <v>0</v>
      </c>
      <c r="CP27" s="183">
        <f t="shared" si="28"/>
        <v>0</v>
      </c>
      <c r="CS27" s="183">
        <f t="shared" si="29"/>
        <v>0</v>
      </c>
      <c r="CV27" s="183">
        <f t="shared" si="30"/>
        <v>0</v>
      </c>
      <c r="CY27" s="183">
        <f t="shared" si="31"/>
        <v>0</v>
      </c>
      <c r="DB27" s="183">
        <f t="shared" si="32"/>
        <v>0</v>
      </c>
      <c r="DE27" s="183">
        <f t="shared" si="33"/>
        <v>0</v>
      </c>
      <c r="DH27" s="183">
        <f t="shared" si="34"/>
        <v>0</v>
      </c>
      <c r="DK27" s="183">
        <f t="shared" si="35"/>
        <v>0</v>
      </c>
      <c r="DN27" s="183">
        <f t="shared" si="36"/>
        <v>0</v>
      </c>
      <c r="DQ27" s="183">
        <f t="shared" si="37"/>
        <v>0</v>
      </c>
      <c r="DT27" s="183">
        <f t="shared" si="38"/>
        <v>0</v>
      </c>
      <c r="DW27" s="183">
        <f t="shared" si="39"/>
        <v>0</v>
      </c>
      <c r="DZ27" s="183"/>
      <c r="EA27" s="183"/>
      <c r="EB27" s="214">
        <f t="shared" si="40"/>
        <v>126695000</v>
      </c>
      <c r="EC27" s="214">
        <f t="shared" si="41"/>
        <v>84945000</v>
      </c>
      <c r="ED27" s="183">
        <f t="shared" si="42"/>
        <v>3146.0388888888888</v>
      </c>
      <c r="EE27" s="185">
        <f t="shared" si="43"/>
        <v>8.9393740873751921E-3</v>
      </c>
      <c r="EG27" s="214">
        <f t="shared" si="44"/>
        <v>0</v>
      </c>
      <c r="EH27" s="183">
        <f t="shared" si="45"/>
        <v>0</v>
      </c>
      <c r="EI27" s="185">
        <f t="shared" si="46"/>
        <v>0</v>
      </c>
      <c r="EJ27" s="185"/>
      <c r="EK27" s="214">
        <f t="shared" si="47"/>
        <v>41750000</v>
      </c>
      <c r="EL27" s="214">
        <f t="shared" si="48"/>
        <v>0</v>
      </c>
      <c r="EM27" s="214">
        <f t="shared" si="49"/>
        <v>1211.1805555555557</v>
      </c>
      <c r="EN27" s="185">
        <f t="shared" si="50"/>
        <v>1.04437125748503E-2</v>
      </c>
      <c r="EP27" s="183"/>
    </row>
    <row r="28" spans="1:146" x14ac:dyDescent="0.2">
      <c r="A28" s="211">
        <f t="shared" si="51"/>
        <v>44699</v>
      </c>
      <c r="B28" s="183">
        <v>68570000</v>
      </c>
      <c r="C28" s="185">
        <v>8.0000000000000002E-3</v>
      </c>
      <c r="D28" s="183">
        <f t="shared" si="0"/>
        <v>1523.7777777777778</v>
      </c>
      <c r="G28" s="183">
        <f t="shared" si="1"/>
        <v>0</v>
      </c>
      <c r="J28" s="183">
        <f t="shared" si="2"/>
        <v>0</v>
      </c>
      <c r="M28" s="183">
        <f t="shared" si="3"/>
        <v>0</v>
      </c>
      <c r="P28" s="183">
        <f t="shared" si="4"/>
        <v>0</v>
      </c>
      <c r="S28" s="183">
        <f t="shared" si="5"/>
        <v>0</v>
      </c>
      <c r="V28" s="183">
        <f t="shared" si="6"/>
        <v>0</v>
      </c>
      <c r="Y28" s="183">
        <f t="shared" si="7"/>
        <v>0</v>
      </c>
      <c r="AB28" s="183">
        <f t="shared" si="8"/>
        <v>0</v>
      </c>
      <c r="AE28" s="183">
        <v>0</v>
      </c>
      <c r="AH28" s="183">
        <v>0</v>
      </c>
      <c r="AI28" s="212">
        <v>30000000</v>
      </c>
      <c r="AJ28" s="213">
        <v>1.0500000000000001E-2</v>
      </c>
      <c r="AK28" s="183">
        <f t="shared" si="9"/>
        <v>875</v>
      </c>
      <c r="AL28" s="212">
        <v>73725000</v>
      </c>
      <c r="AM28" s="213">
        <v>1.03E-2</v>
      </c>
      <c r="AN28" s="183">
        <f t="shared" si="10"/>
        <v>2109.3541666666665</v>
      </c>
      <c r="AO28" s="212"/>
      <c r="AP28" s="213"/>
      <c r="AQ28" s="183">
        <f t="shared" si="11"/>
        <v>0</v>
      </c>
      <c r="AR28" s="212"/>
      <c r="AS28" s="213"/>
      <c r="AT28" s="183">
        <f t="shared" si="12"/>
        <v>0</v>
      </c>
      <c r="AW28" s="183">
        <f t="shared" si="13"/>
        <v>0</v>
      </c>
      <c r="AZ28" s="183">
        <f t="shared" si="14"/>
        <v>0</v>
      </c>
      <c r="BC28" s="183">
        <f t="shared" si="15"/>
        <v>0</v>
      </c>
      <c r="BF28" s="183">
        <f t="shared" si="16"/>
        <v>0</v>
      </c>
      <c r="BI28" s="183">
        <f t="shared" si="17"/>
        <v>0</v>
      </c>
      <c r="BL28" s="183">
        <f t="shared" si="18"/>
        <v>0</v>
      </c>
      <c r="BO28" s="183">
        <f t="shared" si="19"/>
        <v>0</v>
      </c>
      <c r="BR28" s="183">
        <f t="shared" si="20"/>
        <v>0</v>
      </c>
      <c r="BU28" s="183">
        <f t="shared" si="21"/>
        <v>0</v>
      </c>
      <c r="BX28" s="183">
        <f t="shared" si="22"/>
        <v>0</v>
      </c>
      <c r="CA28" s="183">
        <f t="shared" si="23"/>
        <v>0</v>
      </c>
      <c r="CD28" s="183">
        <f t="shared" si="24"/>
        <v>0</v>
      </c>
      <c r="CG28" s="183">
        <f t="shared" si="25"/>
        <v>0</v>
      </c>
      <c r="CJ28" s="183">
        <f t="shared" si="26"/>
        <v>0</v>
      </c>
      <c r="CM28" s="183">
        <f t="shared" si="27"/>
        <v>0</v>
      </c>
      <c r="CP28" s="183">
        <f t="shared" si="28"/>
        <v>0</v>
      </c>
      <c r="CS28" s="183">
        <f t="shared" si="29"/>
        <v>0</v>
      </c>
      <c r="CV28" s="183">
        <f t="shared" si="30"/>
        <v>0</v>
      </c>
      <c r="CY28" s="183">
        <f t="shared" si="31"/>
        <v>0</v>
      </c>
      <c r="DB28" s="183">
        <f t="shared" si="32"/>
        <v>0</v>
      </c>
      <c r="DE28" s="183">
        <f t="shared" si="33"/>
        <v>0</v>
      </c>
      <c r="DH28" s="183">
        <f t="shared" si="34"/>
        <v>0</v>
      </c>
      <c r="DK28" s="183">
        <f t="shared" si="35"/>
        <v>0</v>
      </c>
      <c r="DN28" s="183">
        <f t="shared" si="36"/>
        <v>0</v>
      </c>
      <c r="DQ28" s="183">
        <f t="shared" si="37"/>
        <v>0</v>
      </c>
      <c r="DT28" s="183">
        <f t="shared" si="38"/>
        <v>0</v>
      </c>
      <c r="DW28" s="183">
        <f t="shared" si="39"/>
        <v>0</v>
      </c>
      <c r="DZ28" s="183"/>
      <c r="EA28" s="183"/>
      <c r="EB28" s="214">
        <f t="shared" si="40"/>
        <v>172295000</v>
      </c>
      <c r="EC28" s="214">
        <f t="shared" si="41"/>
        <v>68570000</v>
      </c>
      <c r="ED28" s="183">
        <f t="shared" si="42"/>
        <v>4508.1319444444443</v>
      </c>
      <c r="EE28" s="185">
        <f t="shared" si="43"/>
        <v>9.4194695144954876E-3</v>
      </c>
      <c r="EG28" s="214">
        <f t="shared" si="44"/>
        <v>0</v>
      </c>
      <c r="EH28" s="183">
        <f t="shared" si="45"/>
        <v>0</v>
      </c>
      <c r="EI28" s="185">
        <f t="shared" si="46"/>
        <v>0</v>
      </c>
      <c r="EJ28" s="185"/>
      <c r="EK28" s="214">
        <f t="shared" si="47"/>
        <v>103725000</v>
      </c>
      <c r="EL28" s="214">
        <f t="shared" si="48"/>
        <v>0</v>
      </c>
      <c r="EM28" s="214">
        <f t="shared" si="49"/>
        <v>2984.3541666666665</v>
      </c>
      <c r="EN28" s="185">
        <f t="shared" si="50"/>
        <v>1.0357845263919016E-2</v>
      </c>
      <c r="EP28" s="183"/>
    </row>
    <row r="29" spans="1:146" x14ac:dyDescent="0.2">
      <c r="A29" s="211">
        <f t="shared" si="51"/>
        <v>44700</v>
      </c>
      <c r="B29" s="183">
        <v>70795000</v>
      </c>
      <c r="C29" s="185">
        <v>8.3999999999999995E-3</v>
      </c>
      <c r="D29" s="183">
        <f t="shared" si="0"/>
        <v>1651.8833333333334</v>
      </c>
      <c r="G29" s="183">
        <f t="shared" si="1"/>
        <v>0</v>
      </c>
      <c r="J29" s="183">
        <f t="shared" si="2"/>
        <v>0</v>
      </c>
      <c r="M29" s="183">
        <f t="shared" si="3"/>
        <v>0</v>
      </c>
      <c r="P29" s="183">
        <f t="shared" si="4"/>
        <v>0</v>
      </c>
      <c r="S29" s="183">
        <f t="shared" si="5"/>
        <v>0</v>
      </c>
      <c r="V29" s="183">
        <f t="shared" si="6"/>
        <v>0</v>
      </c>
      <c r="Y29" s="183">
        <f t="shared" si="7"/>
        <v>0</v>
      </c>
      <c r="AB29" s="183">
        <f t="shared" si="8"/>
        <v>0</v>
      </c>
      <c r="AE29" s="183">
        <v>0</v>
      </c>
      <c r="AH29" s="183">
        <v>0</v>
      </c>
      <c r="AI29" s="212">
        <v>30000000</v>
      </c>
      <c r="AJ29" s="213">
        <v>1.0500000000000001E-2</v>
      </c>
      <c r="AK29" s="183">
        <f t="shared" si="9"/>
        <v>875</v>
      </c>
      <c r="AL29" s="212">
        <v>72500000</v>
      </c>
      <c r="AM29" s="213">
        <v>1.03E-2</v>
      </c>
      <c r="AN29" s="183">
        <f t="shared" si="10"/>
        <v>2074.3055555555557</v>
      </c>
      <c r="AO29" s="212"/>
      <c r="AP29" s="213"/>
      <c r="AQ29" s="183">
        <f t="shared" si="11"/>
        <v>0</v>
      </c>
      <c r="AR29" s="212"/>
      <c r="AS29" s="213"/>
      <c r="AT29" s="183">
        <f t="shared" si="12"/>
        <v>0</v>
      </c>
      <c r="AW29" s="183">
        <f t="shared" si="13"/>
        <v>0</v>
      </c>
      <c r="AZ29" s="183">
        <f t="shared" si="14"/>
        <v>0</v>
      </c>
      <c r="BC29" s="183">
        <f t="shared" si="15"/>
        <v>0</v>
      </c>
      <c r="BF29" s="183">
        <f t="shared" si="16"/>
        <v>0</v>
      </c>
      <c r="BI29" s="183">
        <f t="shared" si="17"/>
        <v>0</v>
      </c>
      <c r="BL29" s="183">
        <f t="shared" si="18"/>
        <v>0</v>
      </c>
      <c r="BO29" s="183">
        <f t="shared" si="19"/>
        <v>0</v>
      </c>
      <c r="BR29" s="183">
        <f t="shared" si="20"/>
        <v>0</v>
      </c>
      <c r="BU29" s="183">
        <f t="shared" si="21"/>
        <v>0</v>
      </c>
      <c r="BX29" s="183">
        <f t="shared" si="22"/>
        <v>0</v>
      </c>
      <c r="CA29" s="183">
        <f t="shared" si="23"/>
        <v>0</v>
      </c>
      <c r="CD29" s="183">
        <f t="shared" si="24"/>
        <v>0</v>
      </c>
      <c r="CG29" s="183">
        <f t="shared" si="25"/>
        <v>0</v>
      </c>
      <c r="CJ29" s="183">
        <f t="shared" si="26"/>
        <v>0</v>
      </c>
      <c r="CM29" s="183">
        <f t="shared" si="27"/>
        <v>0</v>
      </c>
      <c r="CP29" s="183">
        <f t="shared" si="28"/>
        <v>0</v>
      </c>
      <c r="CS29" s="183">
        <f t="shared" si="29"/>
        <v>0</v>
      </c>
      <c r="CV29" s="183">
        <f t="shared" si="30"/>
        <v>0</v>
      </c>
      <c r="CY29" s="183">
        <f t="shared" si="31"/>
        <v>0</v>
      </c>
      <c r="DB29" s="183">
        <f t="shared" si="32"/>
        <v>0</v>
      </c>
      <c r="DE29" s="183">
        <f t="shared" si="33"/>
        <v>0</v>
      </c>
      <c r="DH29" s="183">
        <f t="shared" si="34"/>
        <v>0</v>
      </c>
      <c r="DK29" s="183">
        <f t="shared" si="35"/>
        <v>0</v>
      </c>
      <c r="DN29" s="183">
        <f t="shared" si="36"/>
        <v>0</v>
      </c>
      <c r="DQ29" s="183">
        <f t="shared" si="37"/>
        <v>0</v>
      </c>
      <c r="DT29" s="183">
        <f t="shared" si="38"/>
        <v>0</v>
      </c>
      <c r="DW29" s="183">
        <f t="shared" si="39"/>
        <v>0</v>
      </c>
      <c r="DZ29" s="183"/>
      <c r="EA29" s="183"/>
      <c r="EB29" s="214">
        <f t="shared" si="40"/>
        <v>173295000</v>
      </c>
      <c r="EC29" s="214">
        <f t="shared" si="41"/>
        <v>70795000</v>
      </c>
      <c r="ED29" s="183">
        <f t="shared" si="42"/>
        <v>4601.1888888888889</v>
      </c>
      <c r="EE29" s="185">
        <f t="shared" si="43"/>
        <v>9.5584292680111951E-3</v>
      </c>
      <c r="EG29" s="214">
        <f t="shared" si="44"/>
        <v>0</v>
      </c>
      <c r="EH29" s="183">
        <f t="shared" si="45"/>
        <v>0</v>
      </c>
      <c r="EI29" s="185">
        <f t="shared" si="46"/>
        <v>0</v>
      </c>
      <c r="EJ29" s="185"/>
      <c r="EK29" s="214">
        <f t="shared" si="47"/>
        <v>102500000</v>
      </c>
      <c r="EL29" s="214">
        <f t="shared" si="48"/>
        <v>0</v>
      </c>
      <c r="EM29" s="214">
        <f t="shared" si="49"/>
        <v>2949.3055555555557</v>
      </c>
      <c r="EN29" s="185">
        <f t="shared" si="50"/>
        <v>1.0358536585365853E-2</v>
      </c>
      <c r="EP29" s="183"/>
    </row>
    <row r="30" spans="1:146" x14ac:dyDescent="0.2">
      <c r="A30" s="211">
        <f t="shared" si="51"/>
        <v>44701</v>
      </c>
      <c r="B30" s="183">
        <v>63495000</v>
      </c>
      <c r="C30" s="185">
        <v>8.5000000000000006E-3</v>
      </c>
      <c r="D30" s="183">
        <f t="shared" si="0"/>
        <v>1499.1875</v>
      </c>
      <c r="G30" s="183">
        <f t="shared" si="1"/>
        <v>0</v>
      </c>
      <c r="J30" s="183">
        <f t="shared" si="2"/>
        <v>0</v>
      </c>
      <c r="M30" s="183">
        <f t="shared" si="3"/>
        <v>0</v>
      </c>
      <c r="P30" s="183">
        <f t="shared" si="4"/>
        <v>0</v>
      </c>
      <c r="S30" s="183">
        <f t="shared" si="5"/>
        <v>0</v>
      </c>
      <c r="V30" s="183">
        <f t="shared" si="6"/>
        <v>0</v>
      </c>
      <c r="Y30" s="183">
        <f t="shared" si="7"/>
        <v>0</v>
      </c>
      <c r="AB30" s="183">
        <f t="shared" si="8"/>
        <v>0</v>
      </c>
      <c r="AE30" s="183">
        <v>0</v>
      </c>
      <c r="AH30" s="183">
        <v>0</v>
      </c>
      <c r="AI30" s="212">
        <v>30000000</v>
      </c>
      <c r="AJ30" s="213">
        <v>1.0500000000000001E-2</v>
      </c>
      <c r="AK30" s="183">
        <f t="shared" si="9"/>
        <v>875</v>
      </c>
      <c r="AL30" s="212">
        <v>80200000</v>
      </c>
      <c r="AM30" s="213">
        <v>1.03E-2</v>
      </c>
      <c r="AN30" s="183">
        <f t="shared" si="10"/>
        <v>2294.6111111111113</v>
      </c>
      <c r="AO30" s="212"/>
      <c r="AP30" s="213"/>
      <c r="AQ30" s="183">
        <f t="shared" si="11"/>
        <v>0</v>
      </c>
      <c r="AR30" s="212"/>
      <c r="AS30" s="213"/>
      <c r="AT30" s="183">
        <f t="shared" si="12"/>
        <v>0</v>
      </c>
      <c r="AW30" s="183">
        <f t="shared" si="13"/>
        <v>0</v>
      </c>
      <c r="AZ30" s="183">
        <f t="shared" si="14"/>
        <v>0</v>
      </c>
      <c r="BC30" s="183">
        <f t="shared" si="15"/>
        <v>0</v>
      </c>
      <c r="BF30" s="183">
        <f t="shared" si="16"/>
        <v>0</v>
      </c>
      <c r="BI30" s="183">
        <f t="shared" si="17"/>
        <v>0</v>
      </c>
      <c r="BL30" s="183">
        <f t="shared" si="18"/>
        <v>0</v>
      </c>
      <c r="BO30" s="183">
        <f t="shared" si="19"/>
        <v>0</v>
      </c>
      <c r="BR30" s="183">
        <f t="shared" si="20"/>
        <v>0</v>
      </c>
      <c r="BU30" s="183">
        <f t="shared" si="21"/>
        <v>0</v>
      </c>
      <c r="BX30" s="183">
        <f t="shared" si="22"/>
        <v>0</v>
      </c>
      <c r="CA30" s="183">
        <f t="shared" si="23"/>
        <v>0</v>
      </c>
      <c r="CD30" s="183">
        <f t="shared" si="24"/>
        <v>0</v>
      </c>
      <c r="CG30" s="183">
        <f t="shared" si="25"/>
        <v>0</v>
      </c>
      <c r="CJ30" s="183">
        <f t="shared" si="26"/>
        <v>0</v>
      </c>
      <c r="CM30" s="183">
        <f t="shared" si="27"/>
        <v>0</v>
      </c>
      <c r="CP30" s="183">
        <f t="shared" si="28"/>
        <v>0</v>
      </c>
      <c r="CS30" s="183">
        <f t="shared" si="29"/>
        <v>0</v>
      </c>
      <c r="CV30" s="183">
        <f t="shared" si="30"/>
        <v>0</v>
      </c>
      <c r="CY30" s="183">
        <f t="shared" si="31"/>
        <v>0</v>
      </c>
      <c r="DB30" s="183">
        <f t="shared" si="32"/>
        <v>0</v>
      </c>
      <c r="DE30" s="183">
        <f t="shared" si="33"/>
        <v>0</v>
      </c>
      <c r="DH30" s="183">
        <f t="shared" si="34"/>
        <v>0</v>
      </c>
      <c r="DK30" s="183">
        <f t="shared" si="35"/>
        <v>0</v>
      </c>
      <c r="DN30" s="183">
        <f t="shared" si="36"/>
        <v>0</v>
      </c>
      <c r="DQ30" s="183">
        <f t="shared" si="37"/>
        <v>0</v>
      </c>
      <c r="DT30" s="183">
        <f t="shared" si="38"/>
        <v>0</v>
      </c>
      <c r="DW30" s="183">
        <f t="shared" si="39"/>
        <v>0</v>
      </c>
      <c r="DZ30" s="183"/>
      <c r="EA30" s="183"/>
      <c r="EB30" s="214">
        <f t="shared" si="40"/>
        <v>173695000</v>
      </c>
      <c r="EC30" s="214">
        <f t="shared" si="41"/>
        <v>63495000</v>
      </c>
      <c r="ED30" s="183">
        <f t="shared" si="42"/>
        <v>4668.7986111111113</v>
      </c>
      <c r="EE30" s="185">
        <f t="shared" si="43"/>
        <v>9.6765450934108641E-3</v>
      </c>
      <c r="EG30" s="214">
        <f t="shared" si="44"/>
        <v>0</v>
      </c>
      <c r="EH30" s="183">
        <f t="shared" si="45"/>
        <v>0</v>
      </c>
      <c r="EI30" s="185">
        <f t="shared" si="46"/>
        <v>0</v>
      </c>
      <c r="EJ30" s="185"/>
      <c r="EK30" s="214">
        <f t="shared" si="47"/>
        <v>110200000</v>
      </c>
      <c r="EL30" s="214">
        <f t="shared" si="48"/>
        <v>0</v>
      </c>
      <c r="EM30" s="214">
        <f t="shared" si="49"/>
        <v>3169.6111111111113</v>
      </c>
      <c r="EN30" s="185">
        <f t="shared" si="50"/>
        <v>1.0354446460980037E-2</v>
      </c>
      <c r="EP30" s="183"/>
    </row>
    <row r="31" spans="1:146" x14ac:dyDescent="0.2">
      <c r="A31" s="211">
        <f t="shared" si="51"/>
        <v>44702</v>
      </c>
      <c r="B31" s="183">
        <v>63495000</v>
      </c>
      <c r="C31" s="185">
        <v>8.5000000000000006E-3</v>
      </c>
      <c r="D31" s="183">
        <f t="shared" si="0"/>
        <v>1499.1875</v>
      </c>
      <c r="G31" s="183">
        <f t="shared" si="1"/>
        <v>0</v>
      </c>
      <c r="J31" s="183">
        <f t="shared" si="2"/>
        <v>0</v>
      </c>
      <c r="M31" s="183">
        <f t="shared" si="3"/>
        <v>0</v>
      </c>
      <c r="P31" s="183">
        <f t="shared" si="4"/>
        <v>0</v>
      </c>
      <c r="S31" s="183">
        <f t="shared" si="5"/>
        <v>0</v>
      </c>
      <c r="V31" s="183">
        <f t="shared" si="6"/>
        <v>0</v>
      </c>
      <c r="Y31" s="183">
        <f t="shared" si="7"/>
        <v>0</v>
      </c>
      <c r="AB31" s="183">
        <f t="shared" si="8"/>
        <v>0</v>
      </c>
      <c r="AE31" s="183">
        <v>0</v>
      </c>
      <c r="AH31" s="183">
        <v>0</v>
      </c>
      <c r="AI31" s="212">
        <v>30000000</v>
      </c>
      <c r="AJ31" s="213">
        <v>1.0500000000000001E-2</v>
      </c>
      <c r="AK31" s="183">
        <f t="shared" si="9"/>
        <v>875</v>
      </c>
      <c r="AL31" s="212">
        <v>80200000</v>
      </c>
      <c r="AM31" s="213">
        <v>1.03E-2</v>
      </c>
      <c r="AN31" s="183">
        <f t="shared" si="10"/>
        <v>2294.6111111111113</v>
      </c>
      <c r="AO31" s="212"/>
      <c r="AP31" s="213"/>
      <c r="AQ31" s="183">
        <f t="shared" si="11"/>
        <v>0</v>
      </c>
      <c r="AR31" s="212"/>
      <c r="AS31" s="213"/>
      <c r="AT31" s="183">
        <f t="shared" si="12"/>
        <v>0</v>
      </c>
      <c r="AW31" s="183">
        <f t="shared" si="13"/>
        <v>0</v>
      </c>
      <c r="AZ31" s="183">
        <f t="shared" si="14"/>
        <v>0</v>
      </c>
      <c r="BC31" s="183">
        <f t="shared" si="15"/>
        <v>0</v>
      </c>
      <c r="BF31" s="183">
        <f t="shared" si="16"/>
        <v>0</v>
      </c>
      <c r="BI31" s="183">
        <f t="shared" si="17"/>
        <v>0</v>
      </c>
      <c r="BL31" s="183">
        <f t="shared" si="18"/>
        <v>0</v>
      </c>
      <c r="BO31" s="183">
        <f t="shared" si="19"/>
        <v>0</v>
      </c>
      <c r="BR31" s="183">
        <f t="shared" si="20"/>
        <v>0</v>
      </c>
      <c r="BU31" s="183">
        <f t="shared" si="21"/>
        <v>0</v>
      </c>
      <c r="BX31" s="183">
        <f t="shared" si="22"/>
        <v>0</v>
      </c>
      <c r="CA31" s="183">
        <f t="shared" si="23"/>
        <v>0</v>
      </c>
      <c r="CD31" s="183">
        <f t="shared" si="24"/>
        <v>0</v>
      </c>
      <c r="CG31" s="183">
        <f t="shared" si="25"/>
        <v>0</v>
      </c>
      <c r="CJ31" s="183">
        <f t="shared" si="26"/>
        <v>0</v>
      </c>
      <c r="CM31" s="183">
        <f t="shared" si="27"/>
        <v>0</v>
      </c>
      <c r="CP31" s="183">
        <f t="shared" si="28"/>
        <v>0</v>
      </c>
      <c r="CS31" s="183">
        <f t="shared" si="29"/>
        <v>0</v>
      </c>
      <c r="CV31" s="183">
        <f t="shared" si="30"/>
        <v>0</v>
      </c>
      <c r="CY31" s="183">
        <f t="shared" si="31"/>
        <v>0</v>
      </c>
      <c r="DB31" s="183">
        <f t="shared" si="32"/>
        <v>0</v>
      </c>
      <c r="DE31" s="183">
        <f t="shared" si="33"/>
        <v>0</v>
      </c>
      <c r="DH31" s="183">
        <f t="shared" si="34"/>
        <v>0</v>
      </c>
      <c r="DK31" s="183">
        <f t="shared" si="35"/>
        <v>0</v>
      </c>
      <c r="DN31" s="183">
        <f t="shared" si="36"/>
        <v>0</v>
      </c>
      <c r="DQ31" s="183">
        <f t="shared" si="37"/>
        <v>0</v>
      </c>
      <c r="DT31" s="183">
        <f t="shared" si="38"/>
        <v>0</v>
      </c>
      <c r="DW31" s="183">
        <f t="shared" si="39"/>
        <v>0</v>
      </c>
      <c r="DZ31" s="183"/>
      <c r="EA31" s="183"/>
      <c r="EB31" s="214">
        <f t="shared" si="40"/>
        <v>173695000</v>
      </c>
      <c r="EC31" s="214">
        <f t="shared" si="41"/>
        <v>63495000</v>
      </c>
      <c r="ED31" s="183">
        <f t="shared" si="42"/>
        <v>4668.7986111111113</v>
      </c>
      <c r="EE31" s="185">
        <f t="shared" si="43"/>
        <v>9.6765450934108641E-3</v>
      </c>
      <c r="EG31" s="214">
        <f t="shared" si="44"/>
        <v>0</v>
      </c>
      <c r="EH31" s="183">
        <f t="shared" si="45"/>
        <v>0</v>
      </c>
      <c r="EI31" s="185">
        <f t="shared" si="46"/>
        <v>0</v>
      </c>
      <c r="EJ31" s="185"/>
      <c r="EK31" s="214">
        <f t="shared" si="47"/>
        <v>110200000</v>
      </c>
      <c r="EL31" s="214">
        <f t="shared" si="48"/>
        <v>0</v>
      </c>
      <c r="EM31" s="214">
        <f t="shared" si="49"/>
        <v>3169.6111111111113</v>
      </c>
      <c r="EN31" s="185">
        <f t="shared" si="50"/>
        <v>1.0354446460980037E-2</v>
      </c>
      <c r="EP31" s="183"/>
    </row>
    <row r="32" spans="1:146" x14ac:dyDescent="0.2">
      <c r="A32" s="211">
        <f t="shared" si="51"/>
        <v>44703</v>
      </c>
      <c r="B32" s="183">
        <v>63495000</v>
      </c>
      <c r="C32" s="185">
        <v>8.5000000000000006E-3</v>
      </c>
      <c r="D32" s="183">
        <f t="shared" si="0"/>
        <v>1499.1875</v>
      </c>
      <c r="G32" s="183">
        <f t="shared" si="1"/>
        <v>0</v>
      </c>
      <c r="J32" s="183">
        <f t="shared" si="2"/>
        <v>0</v>
      </c>
      <c r="M32" s="183">
        <f t="shared" si="3"/>
        <v>0</v>
      </c>
      <c r="P32" s="183">
        <f t="shared" si="4"/>
        <v>0</v>
      </c>
      <c r="S32" s="183">
        <f t="shared" si="5"/>
        <v>0</v>
      </c>
      <c r="V32" s="183">
        <f t="shared" si="6"/>
        <v>0</v>
      </c>
      <c r="Y32" s="183">
        <f t="shared" si="7"/>
        <v>0</v>
      </c>
      <c r="AB32" s="183">
        <f t="shared" si="8"/>
        <v>0</v>
      </c>
      <c r="AE32" s="183">
        <v>0</v>
      </c>
      <c r="AH32" s="183">
        <v>0</v>
      </c>
      <c r="AI32" s="212">
        <v>30000000</v>
      </c>
      <c r="AJ32" s="213">
        <v>1.0500000000000001E-2</v>
      </c>
      <c r="AK32" s="183">
        <f t="shared" si="9"/>
        <v>875</v>
      </c>
      <c r="AL32" s="212">
        <v>80200000</v>
      </c>
      <c r="AM32" s="213">
        <v>1.03E-2</v>
      </c>
      <c r="AN32" s="183">
        <f t="shared" si="10"/>
        <v>2294.6111111111113</v>
      </c>
      <c r="AO32" s="212"/>
      <c r="AP32" s="213"/>
      <c r="AQ32" s="183">
        <f t="shared" si="11"/>
        <v>0</v>
      </c>
      <c r="AR32" s="212"/>
      <c r="AS32" s="213"/>
      <c r="AT32" s="183">
        <f t="shared" si="12"/>
        <v>0</v>
      </c>
      <c r="AW32" s="183">
        <f t="shared" si="13"/>
        <v>0</v>
      </c>
      <c r="AZ32" s="183">
        <f t="shared" si="14"/>
        <v>0</v>
      </c>
      <c r="BC32" s="183">
        <f t="shared" si="15"/>
        <v>0</v>
      </c>
      <c r="BF32" s="183">
        <f t="shared" si="16"/>
        <v>0</v>
      </c>
      <c r="BI32" s="183">
        <f t="shared" si="17"/>
        <v>0</v>
      </c>
      <c r="BL32" s="183">
        <f t="shared" si="18"/>
        <v>0</v>
      </c>
      <c r="BO32" s="183">
        <f t="shared" si="19"/>
        <v>0</v>
      </c>
      <c r="BR32" s="183">
        <f t="shared" si="20"/>
        <v>0</v>
      </c>
      <c r="BU32" s="183">
        <f t="shared" si="21"/>
        <v>0</v>
      </c>
      <c r="BX32" s="183">
        <f t="shared" si="22"/>
        <v>0</v>
      </c>
      <c r="CA32" s="183">
        <f t="shared" si="23"/>
        <v>0</v>
      </c>
      <c r="CD32" s="183">
        <f t="shared" si="24"/>
        <v>0</v>
      </c>
      <c r="CG32" s="183">
        <f t="shared" si="25"/>
        <v>0</v>
      </c>
      <c r="CJ32" s="183">
        <f t="shared" si="26"/>
        <v>0</v>
      </c>
      <c r="CM32" s="183">
        <f t="shared" si="27"/>
        <v>0</v>
      </c>
      <c r="CP32" s="183">
        <f t="shared" si="28"/>
        <v>0</v>
      </c>
      <c r="CS32" s="183">
        <f t="shared" si="29"/>
        <v>0</v>
      </c>
      <c r="CV32" s="183">
        <f t="shared" si="30"/>
        <v>0</v>
      </c>
      <c r="CY32" s="183">
        <f t="shared" si="31"/>
        <v>0</v>
      </c>
      <c r="DB32" s="183">
        <f t="shared" si="32"/>
        <v>0</v>
      </c>
      <c r="DE32" s="183">
        <f t="shared" si="33"/>
        <v>0</v>
      </c>
      <c r="DH32" s="183">
        <f t="shared" si="34"/>
        <v>0</v>
      </c>
      <c r="DK32" s="183">
        <f t="shared" si="35"/>
        <v>0</v>
      </c>
      <c r="DN32" s="183">
        <f t="shared" si="36"/>
        <v>0</v>
      </c>
      <c r="DQ32" s="183">
        <f t="shared" si="37"/>
        <v>0</v>
      </c>
      <c r="DT32" s="183">
        <f t="shared" si="38"/>
        <v>0</v>
      </c>
      <c r="DW32" s="183">
        <f t="shared" si="39"/>
        <v>0</v>
      </c>
      <c r="DZ32" s="183"/>
      <c r="EA32" s="183"/>
      <c r="EB32" s="214">
        <f t="shared" si="40"/>
        <v>173695000</v>
      </c>
      <c r="EC32" s="214">
        <f t="shared" si="41"/>
        <v>63495000</v>
      </c>
      <c r="ED32" s="183">
        <f t="shared" si="42"/>
        <v>4668.7986111111113</v>
      </c>
      <c r="EE32" s="185">
        <f t="shared" si="43"/>
        <v>9.6765450934108641E-3</v>
      </c>
      <c r="EG32" s="214">
        <f t="shared" si="44"/>
        <v>0</v>
      </c>
      <c r="EH32" s="183">
        <f t="shared" si="45"/>
        <v>0</v>
      </c>
      <c r="EI32" s="185">
        <f t="shared" si="46"/>
        <v>0</v>
      </c>
      <c r="EJ32" s="185"/>
      <c r="EK32" s="214">
        <f t="shared" si="47"/>
        <v>110200000</v>
      </c>
      <c r="EL32" s="214">
        <f t="shared" si="48"/>
        <v>0</v>
      </c>
      <c r="EM32" s="214">
        <f t="shared" si="49"/>
        <v>3169.6111111111113</v>
      </c>
      <c r="EN32" s="185">
        <f t="shared" si="50"/>
        <v>1.0354446460980037E-2</v>
      </c>
      <c r="EP32" s="183"/>
    </row>
    <row r="33" spans="1:146" x14ac:dyDescent="0.2">
      <c r="A33" s="211">
        <f t="shared" si="51"/>
        <v>44704</v>
      </c>
      <c r="B33" s="183">
        <v>53920000</v>
      </c>
      <c r="C33" s="185">
        <v>8.5000000000000006E-3</v>
      </c>
      <c r="D33" s="183">
        <f t="shared" si="0"/>
        <v>1273.1111111111113</v>
      </c>
      <c r="G33" s="183">
        <f t="shared" si="1"/>
        <v>0</v>
      </c>
      <c r="J33" s="183">
        <f t="shared" si="2"/>
        <v>0</v>
      </c>
      <c r="M33" s="183">
        <f t="shared" si="3"/>
        <v>0</v>
      </c>
      <c r="P33" s="183">
        <f t="shared" si="4"/>
        <v>0</v>
      </c>
      <c r="S33" s="183">
        <f t="shared" si="5"/>
        <v>0</v>
      </c>
      <c r="V33" s="183">
        <f t="shared" si="6"/>
        <v>0</v>
      </c>
      <c r="Y33" s="183">
        <f t="shared" si="7"/>
        <v>0</v>
      </c>
      <c r="AB33" s="183">
        <f t="shared" si="8"/>
        <v>0</v>
      </c>
      <c r="AE33" s="183">
        <v>0</v>
      </c>
      <c r="AH33" s="183">
        <v>0</v>
      </c>
      <c r="AI33" s="212">
        <v>30000000</v>
      </c>
      <c r="AJ33" s="213">
        <v>1.0500000000000001E-2</v>
      </c>
      <c r="AK33" s="183">
        <f t="shared" si="9"/>
        <v>875</v>
      </c>
      <c r="AL33" s="212">
        <v>97175000</v>
      </c>
      <c r="AM33" s="213">
        <v>1.03E-2</v>
      </c>
      <c r="AN33" s="183">
        <f t="shared" si="10"/>
        <v>2780.2847222222222</v>
      </c>
      <c r="AO33" s="212"/>
      <c r="AP33" s="213"/>
      <c r="AQ33" s="183">
        <f t="shared" si="11"/>
        <v>0</v>
      </c>
      <c r="AR33" s="212"/>
      <c r="AS33" s="213"/>
      <c r="AT33" s="183">
        <f t="shared" si="12"/>
        <v>0</v>
      </c>
      <c r="AW33" s="183">
        <f t="shared" si="13"/>
        <v>0</v>
      </c>
      <c r="AZ33" s="183">
        <f t="shared" si="14"/>
        <v>0</v>
      </c>
      <c r="BC33" s="183">
        <f t="shared" si="15"/>
        <v>0</v>
      </c>
      <c r="BF33" s="183">
        <f t="shared" si="16"/>
        <v>0</v>
      </c>
      <c r="BI33" s="183">
        <f t="shared" si="17"/>
        <v>0</v>
      </c>
      <c r="BL33" s="183">
        <f t="shared" si="18"/>
        <v>0</v>
      </c>
      <c r="BO33" s="183">
        <f t="shared" si="19"/>
        <v>0</v>
      </c>
      <c r="BR33" s="183">
        <f t="shared" si="20"/>
        <v>0</v>
      </c>
      <c r="BU33" s="183">
        <f t="shared" si="21"/>
        <v>0</v>
      </c>
      <c r="BX33" s="183">
        <f t="shared" si="22"/>
        <v>0</v>
      </c>
      <c r="CA33" s="183">
        <f t="shared" si="23"/>
        <v>0</v>
      </c>
      <c r="CD33" s="183">
        <f t="shared" si="24"/>
        <v>0</v>
      </c>
      <c r="CG33" s="183">
        <f t="shared" si="25"/>
        <v>0</v>
      </c>
      <c r="CJ33" s="183">
        <f t="shared" si="26"/>
        <v>0</v>
      </c>
      <c r="CM33" s="183">
        <f t="shared" si="27"/>
        <v>0</v>
      </c>
      <c r="CP33" s="183">
        <f t="shared" si="28"/>
        <v>0</v>
      </c>
      <c r="CS33" s="183">
        <f t="shared" si="29"/>
        <v>0</v>
      </c>
      <c r="CV33" s="183">
        <f t="shared" si="30"/>
        <v>0</v>
      </c>
      <c r="CY33" s="183">
        <f t="shared" si="31"/>
        <v>0</v>
      </c>
      <c r="DB33" s="183">
        <f t="shared" si="32"/>
        <v>0</v>
      </c>
      <c r="DE33" s="183">
        <f t="shared" si="33"/>
        <v>0</v>
      </c>
      <c r="DH33" s="183">
        <f t="shared" si="34"/>
        <v>0</v>
      </c>
      <c r="DK33" s="183">
        <f t="shared" si="35"/>
        <v>0</v>
      </c>
      <c r="DN33" s="183">
        <f t="shared" si="36"/>
        <v>0</v>
      </c>
      <c r="DQ33" s="183">
        <f t="shared" si="37"/>
        <v>0</v>
      </c>
      <c r="DT33" s="183">
        <f t="shared" si="38"/>
        <v>0</v>
      </c>
      <c r="DW33" s="183">
        <f t="shared" si="39"/>
        <v>0</v>
      </c>
      <c r="DZ33" s="183"/>
      <c r="EA33" s="183"/>
      <c r="EB33" s="214">
        <f t="shared" si="40"/>
        <v>181095000</v>
      </c>
      <c r="EC33" s="214">
        <f t="shared" si="41"/>
        <v>53920000</v>
      </c>
      <c r="ED33" s="183">
        <f t="shared" si="42"/>
        <v>4928.3958333333339</v>
      </c>
      <c r="EE33" s="185">
        <f t="shared" si="43"/>
        <v>9.7971920815041851E-3</v>
      </c>
      <c r="EG33" s="214">
        <f t="shared" si="44"/>
        <v>0</v>
      </c>
      <c r="EH33" s="183">
        <f t="shared" si="45"/>
        <v>0</v>
      </c>
      <c r="EI33" s="185">
        <f t="shared" si="46"/>
        <v>0</v>
      </c>
      <c r="EJ33" s="185"/>
      <c r="EK33" s="214">
        <f t="shared" si="47"/>
        <v>127175000</v>
      </c>
      <c r="EL33" s="214">
        <f t="shared" si="48"/>
        <v>0</v>
      </c>
      <c r="EM33" s="214">
        <f t="shared" si="49"/>
        <v>3655.2847222222222</v>
      </c>
      <c r="EN33" s="185">
        <f t="shared" si="50"/>
        <v>1.0347179083939454E-2</v>
      </c>
      <c r="EP33" s="183"/>
    </row>
    <row r="34" spans="1:146" x14ac:dyDescent="0.2">
      <c r="A34" s="211">
        <f t="shared" si="51"/>
        <v>44705</v>
      </c>
      <c r="B34" s="183">
        <v>64020000</v>
      </c>
      <c r="C34" s="185">
        <v>8.3999999999999995E-3</v>
      </c>
      <c r="D34" s="183">
        <f t="shared" si="0"/>
        <v>1493.8</v>
      </c>
      <c r="G34" s="183">
        <f t="shared" si="1"/>
        <v>0</v>
      </c>
      <c r="J34" s="183">
        <f t="shared" si="2"/>
        <v>0</v>
      </c>
      <c r="M34" s="183">
        <f t="shared" si="3"/>
        <v>0</v>
      </c>
      <c r="P34" s="183">
        <f t="shared" si="4"/>
        <v>0</v>
      </c>
      <c r="S34" s="183">
        <f t="shared" si="5"/>
        <v>0</v>
      </c>
      <c r="V34" s="183">
        <f t="shared" si="6"/>
        <v>0</v>
      </c>
      <c r="Y34" s="183">
        <f t="shared" si="7"/>
        <v>0</v>
      </c>
      <c r="AB34" s="183">
        <f t="shared" si="8"/>
        <v>0</v>
      </c>
      <c r="AE34" s="183">
        <v>0</v>
      </c>
      <c r="AH34" s="183">
        <v>0</v>
      </c>
      <c r="AI34" s="212">
        <v>30000000</v>
      </c>
      <c r="AJ34" s="213">
        <v>1.0500000000000001E-2</v>
      </c>
      <c r="AK34" s="183">
        <f t="shared" si="9"/>
        <v>875</v>
      </c>
      <c r="AL34" s="212">
        <v>82825000</v>
      </c>
      <c r="AM34" s="213">
        <v>1.03E-2</v>
      </c>
      <c r="AN34" s="183">
        <f t="shared" si="10"/>
        <v>2369.7152777777778</v>
      </c>
      <c r="AO34" s="212"/>
      <c r="AP34" s="213"/>
      <c r="AQ34" s="183">
        <f t="shared" si="11"/>
        <v>0</v>
      </c>
      <c r="AR34" s="212"/>
      <c r="AS34" s="213"/>
      <c r="AT34" s="183">
        <f t="shared" si="12"/>
        <v>0</v>
      </c>
      <c r="AW34" s="183">
        <f t="shared" si="13"/>
        <v>0</v>
      </c>
      <c r="AZ34" s="183">
        <f t="shared" si="14"/>
        <v>0</v>
      </c>
      <c r="BC34" s="183">
        <f t="shared" si="15"/>
        <v>0</v>
      </c>
      <c r="BF34" s="183">
        <f t="shared" si="16"/>
        <v>0</v>
      </c>
      <c r="BI34" s="183">
        <f t="shared" si="17"/>
        <v>0</v>
      </c>
      <c r="BL34" s="183">
        <f t="shared" si="18"/>
        <v>0</v>
      </c>
      <c r="BO34" s="183">
        <f t="shared" si="19"/>
        <v>0</v>
      </c>
      <c r="BR34" s="183">
        <f t="shared" si="20"/>
        <v>0</v>
      </c>
      <c r="BU34" s="183">
        <f t="shared" si="21"/>
        <v>0</v>
      </c>
      <c r="BX34" s="183">
        <f t="shared" si="22"/>
        <v>0</v>
      </c>
      <c r="CA34" s="183">
        <f t="shared" si="23"/>
        <v>0</v>
      </c>
      <c r="CD34" s="183">
        <f t="shared" si="24"/>
        <v>0</v>
      </c>
      <c r="CG34" s="183">
        <f t="shared" si="25"/>
        <v>0</v>
      </c>
      <c r="CJ34" s="183">
        <f t="shared" si="26"/>
        <v>0</v>
      </c>
      <c r="CM34" s="183">
        <f t="shared" si="27"/>
        <v>0</v>
      </c>
      <c r="CP34" s="183">
        <f t="shared" si="28"/>
        <v>0</v>
      </c>
      <c r="CS34" s="183">
        <f t="shared" si="29"/>
        <v>0</v>
      </c>
      <c r="CV34" s="183">
        <f t="shared" si="30"/>
        <v>0</v>
      </c>
      <c r="CY34" s="183">
        <f t="shared" si="31"/>
        <v>0</v>
      </c>
      <c r="DB34" s="183">
        <f t="shared" si="32"/>
        <v>0</v>
      </c>
      <c r="DE34" s="183">
        <f t="shared" si="33"/>
        <v>0</v>
      </c>
      <c r="DH34" s="183">
        <f t="shared" si="34"/>
        <v>0</v>
      </c>
      <c r="DK34" s="183">
        <f t="shared" si="35"/>
        <v>0</v>
      </c>
      <c r="DN34" s="183">
        <f t="shared" si="36"/>
        <v>0</v>
      </c>
      <c r="DQ34" s="183">
        <f t="shared" si="37"/>
        <v>0</v>
      </c>
      <c r="DT34" s="183">
        <f t="shared" si="38"/>
        <v>0</v>
      </c>
      <c r="DW34" s="183">
        <f t="shared" si="39"/>
        <v>0</v>
      </c>
      <c r="DZ34" s="183"/>
      <c r="EA34" s="183"/>
      <c r="EB34" s="214">
        <f t="shared" si="40"/>
        <v>176845000</v>
      </c>
      <c r="EC34" s="214">
        <f t="shared" si="41"/>
        <v>64020000</v>
      </c>
      <c r="ED34" s="183">
        <f t="shared" si="42"/>
        <v>4738.5152777777785</v>
      </c>
      <c r="EE34" s="185">
        <f t="shared" si="43"/>
        <v>9.6461053464898649E-3</v>
      </c>
      <c r="EG34" s="214">
        <f t="shared" si="44"/>
        <v>0</v>
      </c>
      <c r="EH34" s="183">
        <f t="shared" si="45"/>
        <v>0</v>
      </c>
      <c r="EI34" s="185">
        <f t="shared" si="46"/>
        <v>0</v>
      </c>
      <c r="EJ34" s="185"/>
      <c r="EK34" s="214">
        <f t="shared" si="47"/>
        <v>112825000</v>
      </c>
      <c r="EL34" s="214">
        <f t="shared" si="48"/>
        <v>0</v>
      </c>
      <c r="EM34" s="214">
        <f t="shared" si="49"/>
        <v>3244.7152777777778</v>
      </c>
      <c r="EN34" s="185">
        <f t="shared" si="50"/>
        <v>1.0353179703079992E-2</v>
      </c>
      <c r="EP34" s="183"/>
    </row>
    <row r="35" spans="1:146" x14ac:dyDescent="0.2">
      <c r="A35" s="211">
        <f t="shared" si="51"/>
        <v>44706</v>
      </c>
      <c r="B35" s="183">
        <v>35695000</v>
      </c>
      <c r="C35" s="185">
        <v>9.1000000000000004E-3</v>
      </c>
      <c r="D35" s="183">
        <f t="shared" si="0"/>
        <v>902.29027777777776</v>
      </c>
      <c r="G35" s="183">
        <f t="shared" si="1"/>
        <v>0</v>
      </c>
      <c r="J35" s="183">
        <f t="shared" si="2"/>
        <v>0</v>
      </c>
      <c r="M35" s="183">
        <f t="shared" si="3"/>
        <v>0</v>
      </c>
      <c r="P35" s="183">
        <f t="shared" si="4"/>
        <v>0</v>
      </c>
      <c r="S35" s="183">
        <f t="shared" si="5"/>
        <v>0</v>
      </c>
      <c r="V35" s="183">
        <f t="shared" si="6"/>
        <v>0</v>
      </c>
      <c r="Y35" s="183">
        <f t="shared" si="7"/>
        <v>0</v>
      </c>
      <c r="AB35" s="183">
        <f t="shared" si="8"/>
        <v>0</v>
      </c>
      <c r="AE35" s="183">
        <v>0</v>
      </c>
      <c r="AH35" s="183">
        <v>0</v>
      </c>
      <c r="AI35" s="212">
        <v>30000000</v>
      </c>
      <c r="AJ35" s="213">
        <v>1.0500000000000001E-2</v>
      </c>
      <c r="AK35" s="183">
        <f t="shared" si="9"/>
        <v>875</v>
      </c>
      <c r="AL35" s="212">
        <v>107675000</v>
      </c>
      <c r="AM35" s="213">
        <v>1.03E-2</v>
      </c>
      <c r="AN35" s="183">
        <f t="shared" si="10"/>
        <v>3080.7013888888887</v>
      </c>
      <c r="AO35" s="212"/>
      <c r="AP35" s="213"/>
      <c r="AQ35" s="183">
        <f t="shared" si="11"/>
        <v>0</v>
      </c>
      <c r="AR35" s="212"/>
      <c r="AS35" s="213"/>
      <c r="AT35" s="183">
        <f t="shared" si="12"/>
        <v>0</v>
      </c>
      <c r="AW35" s="183">
        <f t="shared" si="13"/>
        <v>0</v>
      </c>
      <c r="AZ35" s="183">
        <f t="shared" si="14"/>
        <v>0</v>
      </c>
      <c r="BC35" s="183">
        <f t="shared" si="15"/>
        <v>0</v>
      </c>
      <c r="BF35" s="183">
        <f t="shared" si="16"/>
        <v>0</v>
      </c>
      <c r="BI35" s="183">
        <f t="shared" si="17"/>
        <v>0</v>
      </c>
      <c r="BL35" s="183">
        <f t="shared" si="18"/>
        <v>0</v>
      </c>
      <c r="BO35" s="183">
        <f t="shared" si="19"/>
        <v>0</v>
      </c>
      <c r="BR35" s="183">
        <f t="shared" si="20"/>
        <v>0</v>
      </c>
      <c r="BU35" s="183">
        <f t="shared" si="21"/>
        <v>0</v>
      </c>
      <c r="BX35" s="183">
        <f t="shared" si="22"/>
        <v>0</v>
      </c>
      <c r="CA35" s="183">
        <f t="shared" si="23"/>
        <v>0</v>
      </c>
      <c r="CD35" s="183">
        <f t="shared" si="24"/>
        <v>0</v>
      </c>
      <c r="CG35" s="183">
        <f t="shared" si="25"/>
        <v>0</v>
      </c>
      <c r="CJ35" s="183">
        <f t="shared" si="26"/>
        <v>0</v>
      </c>
      <c r="CM35" s="183">
        <f t="shared" si="27"/>
        <v>0</v>
      </c>
      <c r="CP35" s="183">
        <f t="shared" si="28"/>
        <v>0</v>
      </c>
      <c r="CS35" s="183">
        <f t="shared" si="29"/>
        <v>0</v>
      </c>
      <c r="CV35" s="183">
        <f t="shared" si="30"/>
        <v>0</v>
      </c>
      <c r="CY35" s="183">
        <f t="shared" si="31"/>
        <v>0</v>
      </c>
      <c r="DB35" s="183">
        <f t="shared" si="32"/>
        <v>0</v>
      </c>
      <c r="DE35" s="183">
        <f t="shared" si="33"/>
        <v>0</v>
      </c>
      <c r="DH35" s="183">
        <f t="shared" si="34"/>
        <v>0</v>
      </c>
      <c r="DK35" s="183">
        <f t="shared" si="35"/>
        <v>0</v>
      </c>
      <c r="DN35" s="183">
        <f t="shared" si="36"/>
        <v>0</v>
      </c>
      <c r="DQ35" s="183">
        <f t="shared" si="37"/>
        <v>0</v>
      </c>
      <c r="DT35" s="183">
        <f t="shared" si="38"/>
        <v>0</v>
      </c>
      <c r="DW35" s="183">
        <f t="shared" si="39"/>
        <v>0</v>
      </c>
      <c r="DZ35" s="183"/>
      <c r="EA35" s="183"/>
      <c r="EB35" s="214">
        <f t="shared" si="40"/>
        <v>173370000</v>
      </c>
      <c r="EC35" s="214">
        <f t="shared" si="41"/>
        <v>35695000</v>
      </c>
      <c r="ED35" s="183">
        <f t="shared" si="42"/>
        <v>4857.9916666666668</v>
      </c>
      <c r="EE35" s="185">
        <f t="shared" si="43"/>
        <v>1.0087541097075619E-2</v>
      </c>
      <c r="EG35" s="214">
        <f t="shared" si="44"/>
        <v>0</v>
      </c>
      <c r="EH35" s="183">
        <f t="shared" si="45"/>
        <v>0</v>
      </c>
      <c r="EI35" s="185">
        <f t="shared" si="46"/>
        <v>0</v>
      </c>
      <c r="EJ35" s="185"/>
      <c r="EK35" s="214">
        <f t="shared" si="47"/>
        <v>137675000</v>
      </c>
      <c r="EL35" s="214">
        <f t="shared" si="48"/>
        <v>0</v>
      </c>
      <c r="EM35" s="214">
        <f t="shared" si="49"/>
        <v>3955.7013888888887</v>
      </c>
      <c r="EN35" s="185">
        <f t="shared" si="50"/>
        <v>1.0343580897040129E-2</v>
      </c>
      <c r="EP35" s="183"/>
    </row>
    <row r="36" spans="1:146" x14ac:dyDescent="0.2">
      <c r="A36" s="211">
        <f t="shared" si="51"/>
        <v>44707</v>
      </c>
      <c r="B36" s="183">
        <v>35770000</v>
      </c>
      <c r="C36" s="185">
        <v>8.6E-3</v>
      </c>
      <c r="D36" s="183">
        <f t="shared" si="0"/>
        <v>854.50555555555559</v>
      </c>
      <c r="G36" s="183">
        <f t="shared" si="1"/>
        <v>0</v>
      </c>
      <c r="J36" s="183">
        <f t="shared" si="2"/>
        <v>0</v>
      </c>
      <c r="M36" s="183">
        <f t="shared" si="3"/>
        <v>0</v>
      </c>
      <c r="P36" s="183">
        <f t="shared" si="4"/>
        <v>0</v>
      </c>
      <c r="S36" s="183">
        <f t="shared" si="5"/>
        <v>0</v>
      </c>
      <c r="V36" s="183">
        <f t="shared" si="6"/>
        <v>0</v>
      </c>
      <c r="Y36" s="183">
        <f t="shared" si="7"/>
        <v>0</v>
      </c>
      <c r="AB36" s="183">
        <f t="shared" si="8"/>
        <v>0</v>
      </c>
      <c r="AE36" s="183">
        <v>0</v>
      </c>
      <c r="AH36" s="183">
        <v>0</v>
      </c>
      <c r="AI36" s="212">
        <v>30000000</v>
      </c>
      <c r="AJ36" s="213">
        <v>1.0500000000000001E-2</v>
      </c>
      <c r="AK36" s="183">
        <f t="shared" si="9"/>
        <v>875</v>
      </c>
      <c r="AL36" s="212">
        <v>112575000</v>
      </c>
      <c r="AM36" s="213">
        <v>1.0500000000000001E-2</v>
      </c>
      <c r="AN36" s="183">
        <f t="shared" si="10"/>
        <v>3283.4375</v>
      </c>
      <c r="AO36" s="212"/>
      <c r="AP36" s="213"/>
      <c r="AQ36" s="183">
        <f t="shared" si="11"/>
        <v>0</v>
      </c>
      <c r="AR36" s="212"/>
      <c r="AS36" s="213"/>
      <c r="AT36" s="183">
        <f t="shared" si="12"/>
        <v>0</v>
      </c>
      <c r="AW36" s="183">
        <f t="shared" si="13"/>
        <v>0</v>
      </c>
      <c r="AZ36" s="183">
        <f t="shared" si="14"/>
        <v>0</v>
      </c>
      <c r="BC36" s="183">
        <f t="shared" si="15"/>
        <v>0</v>
      </c>
      <c r="BF36" s="183">
        <f t="shared" si="16"/>
        <v>0</v>
      </c>
      <c r="BI36" s="183">
        <f t="shared" si="17"/>
        <v>0</v>
      </c>
      <c r="BL36" s="183">
        <f t="shared" si="18"/>
        <v>0</v>
      </c>
      <c r="BO36" s="183">
        <f t="shared" si="19"/>
        <v>0</v>
      </c>
      <c r="BR36" s="183">
        <f t="shared" si="20"/>
        <v>0</v>
      </c>
      <c r="BU36" s="183">
        <f t="shared" si="21"/>
        <v>0</v>
      </c>
      <c r="BX36" s="183">
        <f t="shared" si="22"/>
        <v>0</v>
      </c>
      <c r="CA36" s="183">
        <f t="shared" si="23"/>
        <v>0</v>
      </c>
      <c r="CD36" s="183">
        <f t="shared" si="24"/>
        <v>0</v>
      </c>
      <c r="CG36" s="183">
        <f t="shared" si="25"/>
        <v>0</v>
      </c>
      <c r="CJ36" s="183">
        <f t="shared" si="26"/>
        <v>0</v>
      </c>
      <c r="CM36" s="183">
        <f t="shared" si="27"/>
        <v>0</v>
      </c>
      <c r="CP36" s="183">
        <f t="shared" si="28"/>
        <v>0</v>
      </c>
      <c r="CS36" s="183">
        <f t="shared" si="29"/>
        <v>0</v>
      </c>
      <c r="CV36" s="183">
        <f t="shared" si="30"/>
        <v>0</v>
      </c>
      <c r="CY36" s="183">
        <f t="shared" si="31"/>
        <v>0</v>
      </c>
      <c r="DB36" s="183">
        <f t="shared" si="32"/>
        <v>0</v>
      </c>
      <c r="DE36" s="183">
        <f t="shared" si="33"/>
        <v>0</v>
      </c>
      <c r="DH36" s="183">
        <f t="shared" si="34"/>
        <v>0</v>
      </c>
      <c r="DK36" s="183">
        <f t="shared" si="35"/>
        <v>0</v>
      </c>
      <c r="DN36" s="183">
        <f t="shared" si="36"/>
        <v>0</v>
      </c>
      <c r="DQ36" s="183">
        <f t="shared" si="37"/>
        <v>0</v>
      </c>
      <c r="DT36" s="183">
        <f t="shared" si="38"/>
        <v>0</v>
      </c>
      <c r="DW36" s="183">
        <f t="shared" si="39"/>
        <v>0</v>
      </c>
      <c r="DZ36" s="183"/>
      <c r="EA36" s="183"/>
      <c r="EB36" s="214">
        <f t="shared" si="40"/>
        <v>178345000</v>
      </c>
      <c r="EC36" s="214">
        <f t="shared" si="41"/>
        <v>35770000</v>
      </c>
      <c r="ED36" s="183">
        <f t="shared" si="42"/>
        <v>5012.9430555555555</v>
      </c>
      <c r="EE36" s="185">
        <f t="shared" si="43"/>
        <v>1.0118923995626455E-2</v>
      </c>
      <c r="EG36" s="214">
        <f t="shared" si="44"/>
        <v>0</v>
      </c>
      <c r="EH36" s="183">
        <f t="shared" si="45"/>
        <v>0</v>
      </c>
      <c r="EI36" s="185">
        <f t="shared" si="46"/>
        <v>0</v>
      </c>
      <c r="EJ36" s="185"/>
      <c r="EK36" s="214">
        <f t="shared" si="47"/>
        <v>142575000</v>
      </c>
      <c r="EL36" s="214">
        <f t="shared" si="48"/>
        <v>0</v>
      </c>
      <c r="EM36" s="214">
        <f t="shared" si="49"/>
        <v>4158.4375</v>
      </c>
      <c r="EN36" s="185">
        <f t="shared" si="50"/>
        <v>1.0500000000000001E-2</v>
      </c>
      <c r="EP36" s="183"/>
    </row>
    <row r="37" spans="1:146" x14ac:dyDescent="0.2">
      <c r="A37" s="211">
        <f t="shared" si="51"/>
        <v>44708</v>
      </c>
      <c r="B37" s="183">
        <v>20845000</v>
      </c>
      <c r="C37" s="185">
        <v>8.6E-3</v>
      </c>
      <c r="D37" s="183">
        <f t="shared" si="0"/>
        <v>497.9638888888889</v>
      </c>
      <c r="G37" s="183">
        <f t="shared" si="1"/>
        <v>0</v>
      </c>
      <c r="J37" s="183">
        <f t="shared" si="2"/>
        <v>0</v>
      </c>
      <c r="M37" s="183">
        <f t="shared" si="3"/>
        <v>0</v>
      </c>
      <c r="P37" s="183">
        <f t="shared" si="4"/>
        <v>0</v>
      </c>
      <c r="S37" s="183">
        <f t="shared" si="5"/>
        <v>0</v>
      </c>
      <c r="V37" s="183">
        <f t="shared" si="6"/>
        <v>0</v>
      </c>
      <c r="Y37" s="183">
        <f t="shared" si="7"/>
        <v>0</v>
      </c>
      <c r="AB37" s="183">
        <f t="shared" si="8"/>
        <v>0</v>
      </c>
      <c r="AE37" s="183">
        <v>0</v>
      </c>
      <c r="AH37" s="183">
        <v>0</v>
      </c>
      <c r="AI37" s="212">
        <v>30000000</v>
      </c>
      <c r="AJ37" s="213">
        <v>1.0500000000000001E-2</v>
      </c>
      <c r="AK37" s="183">
        <f t="shared" si="9"/>
        <v>875</v>
      </c>
      <c r="AL37" s="212">
        <v>153975000</v>
      </c>
      <c r="AM37" s="213">
        <v>1.0500000000000001E-2</v>
      </c>
      <c r="AN37" s="183">
        <f t="shared" si="10"/>
        <v>4490.9375</v>
      </c>
      <c r="AO37" s="212"/>
      <c r="AP37" s="213"/>
      <c r="AQ37" s="183">
        <f t="shared" si="11"/>
        <v>0</v>
      </c>
      <c r="AR37" s="212"/>
      <c r="AS37" s="213"/>
      <c r="AT37" s="183">
        <f t="shared" si="12"/>
        <v>0</v>
      </c>
      <c r="AW37" s="183">
        <f t="shared" si="13"/>
        <v>0</v>
      </c>
      <c r="AZ37" s="183">
        <f t="shared" si="14"/>
        <v>0</v>
      </c>
      <c r="BC37" s="183">
        <f t="shared" si="15"/>
        <v>0</v>
      </c>
      <c r="BF37" s="183">
        <f t="shared" si="16"/>
        <v>0</v>
      </c>
      <c r="BI37" s="183">
        <f t="shared" si="17"/>
        <v>0</v>
      </c>
      <c r="BL37" s="183">
        <f t="shared" si="18"/>
        <v>0</v>
      </c>
      <c r="BO37" s="183">
        <f t="shared" si="19"/>
        <v>0</v>
      </c>
      <c r="BR37" s="183">
        <f t="shared" si="20"/>
        <v>0</v>
      </c>
      <c r="BU37" s="183">
        <f t="shared" si="21"/>
        <v>0</v>
      </c>
      <c r="BX37" s="183">
        <f t="shared" si="22"/>
        <v>0</v>
      </c>
      <c r="CA37" s="183">
        <f t="shared" si="23"/>
        <v>0</v>
      </c>
      <c r="CD37" s="183">
        <f t="shared" si="24"/>
        <v>0</v>
      </c>
      <c r="CG37" s="183">
        <f t="shared" si="25"/>
        <v>0</v>
      </c>
      <c r="CJ37" s="183">
        <f t="shared" si="26"/>
        <v>0</v>
      </c>
      <c r="CM37" s="183">
        <f t="shared" si="27"/>
        <v>0</v>
      </c>
      <c r="CP37" s="183">
        <f t="shared" si="28"/>
        <v>0</v>
      </c>
      <c r="CS37" s="183">
        <f t="shared" si="29"/>
        <v>0</v>
      </c>
      <c r="CV37" s="183">
        <f t="shared" si="30"/>
        <v>0</v>
      </c>
      <c r="CY37" s="183">
        <f t="shared" si="31"/>
        <v>0</v>
      </c>
      <c r="DB37" s="183">
        <f t="shared" si="32"/>
        <v>0</v>
      </c>
      <c r="DE37" s="183">
        <f t="shared" si="33"/>
        <v>0</v>
      </c>
      <c r="DH37" s="183">
        <f t="shared" si="34"/>
        <v>0</v>
      </c>
      <c r="DK37" s="183">
        <f t="shared" si="35"/>
        <v>0</v>
      </c>
      <c r="DN37" s="183">
        <f t="shared" si="36"/>
        <v>0</v>
      </c>
      <c r="DQ37" s="183">
        <f t="shared" si="37"/>
        <v>0</v>
      </c>
      <c r="DT37" s="183">
        <f t="shared" si="38"/>
        <v>0</v>
      </c>
      <c r="DW37" s="183">
        <f t="shared" si="39"/>
        <v>0</v>
      </c>
      <c r="DZ37" s="183"/>
      <c r="EA37" s="183"/>
      <c r="EB37" s="214">
        <f t="shared" si="40"/>
        <v>204820000</v>
      </c>
      <c r="EC37" s="214">
        <f t="shared" si="41"/>
        <v>20845000</v>
      </c>
      <c r="ED37" s="183">
        <f t="shared" si="42"/>
        <v>5863.9013888888894</v>
      </c>
      <c r="EE37" s="185">
        <f t="shared" si="43"/>
        <v>1.0306632653061224E-2</v>
      </c>
      <c r="EG37" s="214">
        <f t="shared" si="44"/>
        <v>0</v>
      </c>
      <c r="EH37" s="183">
        <f t="shared" si="45"/>
        <v>0</v>
      </c>
      <c r="EI37" s="185">
        <f t="shared" si="46"/>
        <v>0</v>
      </c>
      <c r="EJ37" s="185"/>
      <c r="EK37" s="214">
        <f t="shared" si="47"/>
        <v>183975000</v>
      </c>
      <c r="EL37" s="214">
        <f t="shared" si="48"/>
        <v>0</v>
      </c>
      <c r="EM37" s="214">
        <f t="shared" si="49"/>
        <v>5365.9375</v>
      </c>
      <c r="EN37" s="185">
        <f t="shared" si="50"/>
        <v>1.0500000000000001E-2</v>
      </c>
      <c r="EP37" s="183"/>
    </row>
    <row r="38" spans="1:146" x14ac:dyDescent="0.2">
      <c r="A38" s="211">
        <f t="shared" si="51"/>
        <v>44709</v>
      </c>
      <c r="B38" s="183">
        <v>20845000</v>
      </c>
      <c r="C38" s="185">
        <v>8.6E-3</v>
      </c>
      <c r="D38" s="183">
        <f t="shared" si="0"/>
        <v>497.9638888888889</v>
      </c>
      <c r="G38" s="183">
        <f t="shared" si="1"/>
        <v>0</v>
      </c>
      <c r="J38" s="183">
        <f t="shared" si="2"/>
        <v>0</v>
      </c>
      <c r="M38" s="183">
        <f t="shared" si="3"/>
        <v>0</v>
      </c>
      <c r="P38" s="183">
        <f t="shared" si="4"/>
        <v>0</v>
      </c>
      <c r="S38" s="183">
        <f t="shared" si="5"/>
        <v>0</v>
      </c>
      <c r="V38" s="183">
        <f t="shared" si="6"/>
        <v>0</v>
      </c>
      <c r="Y38" s="183">
        <f t="shared" si="7"/>
        <v>0</v>
      </c>
      <c r="AB38" s="183">
        <f t="shared" si="8"/>
        <v>0</v>
      </c>
      <c r="AE38" s="183">
        <v>0</v>
      </c>
      <c r="AH38" s="183">
        <v>0</v>
      </c>
      <c r="AI38" s="212">
        <v>30000000</v>
      </c>
      <c r="AJ38" s="213">
        <v>1.0500000000000001E-2</v>
      </c>
      <c r="AK38" s="183">
        <f t="shared" si="9"/>
        <v>875</v>
      </c>
      <c r="AL38" s="212">
        <v>153975000</v>
      </c>
      <c r="AM38" s="213">
        <v>1.0500000000000001E-2</v>
      </c>
      <c r="AN38" s="183">
        <f t="shared" si="10"/>
        <v>4490.9375</v>
      </c>
      <c r="AO38" s="212"/>
      <c r="AP38" s="213"/>
      <c r="AQ38" s="183">
        <f t="shared" si="11"/>
        <v>0</v>
      </c>
      <c r="AR38" s="212"/>
      <c r="AS38" s="213"/>
      <c r="AT38" s="183">
        <f t="shared" si="12"/>
        <v>0</v>
      </c>
      <c r="AW38" s="183">
        <f t="shared" si="13"/>
        <v>0</v>
      </c>
      <c r="AZ38" s="183">
        <f t="shared" si="14"/>
        <v>0</v>
      </c>
      <c r="BC38" s="183">
        <f t="shared" si="15"/>
        <v>0</v>
      </c>
      <c r="BF38" s="183">
        <f t="shared" si="16"/>
        <v>0</v>
      </c>
      <c r="BI38" s="183">
        <f t="shared" si="17"/>
        <v>0</v>
      </c>
      <c r="BL38" s="183">
        <f t="shared" si="18"/>
        <v>0</v>
      </c>
      <c r="BO38" s="183">
        <f t="shared" si="19"/>
        <v>0</v>
      </c>
      <c r="BR38" s="183">
        <f t="shared" si="20"/>
        <v>0</v>
      </c>
      <c r="BU38" s="183">
        <f t="shared" si="21"/>
        <v>0</v>
      </c>
      <c r="BX38" s="183">
        <f t="shared" si="22"/>
        <v>0</v>
      </c>
      <c r="CA38" s="183">
        <f t="shared" si="23"/>
        <v>0</v>
      </c>
      <c r="CD38" s="183">
        <f t="shared" si="24"/>
        <v>0</v>
      </c>
      <c r="CG38" s="183">
        <f t="shared" si="25"/>
        <v>0</v>
      </c>
      <c r="CJ38" s="183">
        <f t="shared" si="26"/>
        <v>0</v>
      </c>
      <c r="CM38" s="183">
        <f t="shared" si="27"/>
        <v>0</v>
      </c>
      <c r="CP38" s="183">
        <f t="shared" si="28"/>
        <v>0</v>
      </c>
      <c r="CS38" s="183">
        <f t="shared" si="29"/>
        <v>0</v>
      </c>
      <c r="CV38" s="183">
        <f t="shared" si="30"/>
        <v>0</v>
      </c>
      <c r="CY38" s="183">
        <f t="shared" si="31"/>
        <v>0</v>
      </c>
      <c r="DB38" s="183">
        <f t="shared" si="32"/>
        <v>0</v>
      </c>
      <c r="DE38" s="183">
        <f t="shared" si="33"/>
        <v>0</v>
      </c>
      <c r="DH38" s="183">
        <f t="shared" si="34"/>
        <v>0</v>
      </c>
      <c r="DK38" s="183">
        <f t="shared" si="35"/>
        <v>0</v>
      </c>
      <c r="DN38" s="183">
        <f t="shared" si="36"/>
        <v>0</v>
      </c>
      <c r="DQ38" s="183">
        <f t="shared" si="37"/>
        <v>0</v>
      </c>
      <c r="DT38" s="183">
        <f t="shared" si="38"/>
        <v>0</v>
      </c>
      <c r="DW38" s="183">
        <f t="shared" si="39"/>
        <v>0</v>
      </c>
      <c r="DZ38" s="183"/>
      <c r="EA38" s="183"/>
      <c r="EB38" s="214">
        <f t="shared" si="40"/>
        <v>204820000</v>
      </c>
      <c r="EC38" s="214">
        <f t="shared" si="41"/>
        <v>20845000</v>
      </c>
      <c r="ED38" s="183">
        <f t="shared" si="42"/>
        <v>5863.9013888888894</v>
      </c>
      <c r="EE38" s="185">
        <f t="shared" si="43"/>
        <v>1.0306632653061224E-2</v>
      </c>
      <c r="EG38" s="214">
        <f t="shared" si="44"/>
        <v>0</v>
      </c>
      <c r="EH38" s="183">
        <f t="shared" si="45"/>
        <v>0</v>
      </c>
      <c r="EI38" s="185">
        <f t="shared" si="46"/>
        <v>0</v>
      </c>
      <c r="EJ38" s="185"/>
      <c r="EK38" s="214">
        <f t="shared" si="47"/>
        <v>183975000</v>
      </c>
      <c r="EL38" s="214">
        <f t="shared" si="48"/>
        <v>0</v>
      </c>
      <c r="EM38" s="214">
        <f t="shared" si="49"/>
        <v>5365.9375</v>
      </c>
      <c r="EN38" s="185">
        <f t="shared" si="50"/>
        <v>1.0500000000000001E-2</v>
      </c>
      <c r="EP38" s="183"/>
    </row>
    <row r="39" spans="1:146" x14ac:dyDescent="0.2">
      <c r="A39" s="211">
        <f t="shared" si="51"/>
        <v>44710</v>
      </c>
      <c r="B39" s="183">
        <v>20845000</v>
      </c>
      <c r="C39" s="185">
        <v>8.6E-3</v>
      </c>
      <c r="D39" s="183">
        <f t="shared" si="0"/>
        <v>497.9638888888889</v>
      </c>
      <c r="G39" s="183">
        <f t="shared" si="1"/>
        <v>0</v>
      </c>
      <c r="J39" s="183">
        <f t="shared" si="2"/>
        <v>0</v>
      </c>
      <c r="M39" s="183">
        <f t="shared" si="3"/>
        <v>0</v>
      </c>
      <c r="P39" s="183">
        <f t="shared" si="4"/>
        <v>0</v>
      </c>
      <c r="S39" s="183">
        <f t="shared" si="5"/>
        <v>0</v>
      </c>
      <c r="V39" s="183">
        <f t="shared" si="6"/>
        <v>0</v>
      </c>
      <c r="Y39" s="183">
        <f t="shared" si="7"/>
        <v>0</v>
      </c>
      <c r="AB39" s="183">
        <f t="shared" si="8"/>
        <v>0</v>
      </c>
      <c r="AE39" s="183">
        <v>0</v>
      </c>
      <c r="AH39" s="183">
        <v>0</v>
      </c>
      <c r="AI39" s="212">
        <v>30000000</v>
      </c>
      <c r="AJ39" s="213">
        <v>1.0500000000000001E-2</v>
      </c>
      <c r="AK39" s="183">
        <f t="shared" si="9"/>
        <v>875</v>
      </c>
      <c r="AL39" s="212">
        <v>153975000</v>
      </c>
      <c r="AM39" s="213">
        <v>1.0500000000000001E-2</v>
      </c>
      <c r="AN39" s="183">
        <f t="shared" si="10"/>
        <v>4490.9375</v>
      </c>
      <c r="AO39" s="212"/>
      <c r="AP39" s="213"/>
      <c r="AQ39" s="183">
        <f t="shared" si="11"/>
        <v>0</v>
      </c>
      <c r="AR39" s="212"/>
      <c r="AS39" s="213"/>
      <c r="AT39" s="183">
        <f t="shared" si="12"/>
        <v>0</v>
      </c>
      <c r="AW39" s="183">
        <f t="shared" si="13"/>
        <v>0</v>
      </c>
      <c r="AZ39" s="183">
        <f t="shared" si="14"/>
        <v>0</v>
      </c>
      <c r="BC39" s="183">
        <f t="shared" si="15"/>
        <v>0</v>
      </c>
      <c r="BF39" s="183">
        <f t="shared" si="16"/>
        <v>0</v>
      </c>
      <c r="BI39" s="183">
        <f t="shared" si="17"/>
        <v>0</v>
      </c>
      <c r="BL39" s="183">
        <f t="shared" si="18"/>
        <v>0</v>
      </c>
      <c r="BO39" s="183">
        <f t="shared" si="19"/>
        <v>0</v>
      </c>
      <c r="BR39" s="183">
        <f t="shared" si="20"/>
        <v>0</v>
      </c>
      <c r="BU39" s="183">
        <f t="shared" si="21"/>
        <v>0</v>
      </c>
      <c r="BX39" s="183">
        <f t="shared" si="22"/>
        <v>0</v>
      </c>
      <c r="CA39" s="183">
        <f t="shared" si="23"/>
        <v>0</v>
      </c>
      <c r="CD39" s="183">
        <f t="shared" si="24"/>
        <v>0</v>
      </c>
      <c r="CG39" s="183">
        <f t="shared" si="25"/>
        <v>0</v>
      </c>
      <c r="CJ39" s="183">
        <f t="shared" si="26"/>
        <v>0</v>
      </c>
      <c r="CM39" s="183">
        <f t="shared" si="27"/>
        <v>0</v>
      </c>
      <c r="CP39" s="183">
        <f t="shared" si="28"/>
        <v>0</v>
      </c>
      <c r="CS39" s="183">
        <f t="shared" si="29"/>
        <v>0</v>
      </c>
      <c r="CV39" s="183">
        <f t="shared" si="30"/>
        <v>0</v>
      </c>
      <c r="CY39" s="183">
        <f t="shared" si="31"/>
        <v>0</v>
      </c>
      <c r="DB39" s="183">
        <f t="shared" si="32"/>
        <v>0</v>
      </c>
      <c r="DE39" s="183">
        <f t="shared" si="33"/>
        <v>0</v>
      </c>
      <c r="DH39" s="183">
        <f t="shared" si="34"/>
        <v>0</v>
      </c>
      <c r="DK39" s="183">
        <f t="shared" si="35"/>
        <v>0</v>
      </c>
      <c r="DN39" s="183">
        <f t="shared" si="36"/>
        <v>0</v>
      </c>
      <c r="DQ39" s="183">
        <f t="shared" si="37"/>
        <v>0</v>
      </c>
      <c r="DT39" s="183">
        <f t="shared" si="38"/>
        <v>0</v>
      </c>
      <c r="DW39" s="183">
        <f t="shared" si="39"/>
        <v>0</v>
      </c>
      <c r="DZ39" s="183"/>
      <c r="EA39" s="183"/>
      <c r="EB39" s="214">
        <f t="shared" si="40"/>
        <v>204820000</v>
      </c>
      <c r="EC39" s="214">
        <f t="shared" si="41"/>
        <v>20845000</v>
      </c>
      <c r="ED39" s="183">
        <f t="shared" si="42"/>
        <v>5863.9013888888894</v>
      </c>
      <c r="EE39" s="185">
        <f t="shared" si="43"/>
        <v>1.0306632653061224E-2</v>
      </c>
      <c r="EG39" s="214">
        <f t="shared" si="44"/>
        <v>0</v>
      </c>
      <c r="EH39" s="183">
        <f t="shared" si="45"/>
        <v>0</v>
      </c>
      <c r="EI39" s="185">
        <f t="shared" si="46"/>
        <v>0</v>
      </c>
      <c r="EJ39" s="185"/>
      <c r="EK39" s="214">
        <f t="shared" si="47"/>
        <v>183975000</v>
      </c>
      <c r="EL39" s="214">
        <f t="shared" si="48"/>
        <v>0</v>
      </c>
      <c r="EM39" s="214">
        <f t="shared" si="49"/>
        <v>5365.9375</v>
      </c>
      <c r="EN39" s="185">
        <f t="shared" si="50"/>
        <v>1.0500000000000001E-2</v>
      </c>
      <c r="EP39" s="183"/>
    </row>
    <row r="40" spans="1:146" x14ac:dyDescent="0.2">
      <c r="A40" s="211">
        <f t="shared" si="51"/>
        <v>44711</v>
      </c>
      <c r="B40" s="183">
        <v>20845000</v>
      </c>
      <c r="C40" s="185">
        <v>8.6E-3</v>
      </c>
      <c r="D40" s="183">
        <f t="shared" si="0"/>
        <v>497.9638888888889</v>
      </c>
      <c r="G40" s="183">
        <f t="shared" si="1"/>
        <v>0</v>
      </c>
      <c r="J40" s="183">
        <f t="shared" si="2"/>
        <v>0</v>
      </c>
      <c r="M40" s="183">
        <f t="shared" si="3"/>
        <v>0</v>
      </c>
      <c r="P40" s="183">
        <f t="shared" si="4"/>
        <v>0</v>
      </c>
      <c r="S40" s="183">
        <f t="shared" si="5"/>
        <v>0</v>
      </c>
      <c r="V40" s="183">
        <f t="shared" si="6"/>
        <v>0</v>
      </c>
      <c r="Y40" s="183">
        <f t="shared" si="7"/>
        <v>0</v>
      </c>
      <c r="AB40" s="183">
        <f t="shared" si="8"/>
        <v>0</v>
      </c>
      <c r="AE40" s="183">
        <v>0</v>
      </c>
      <c r="AH40" s="183">
        <v>0</v>
      </c>
      <c r="AI40" s="212">
        <v>30000000</v>
      </c>
      <c r="AJ40" s="213">
        <v>1.0500000000000001E-2</v>
      </c>
      <c r="AK40" s="183">
        <f t="shared" si="9"/>
        <v>875</v>
      </c>
      <c r="AL40" s="212">
        <v>153975000</v>
      </c>
      <c r="AM40" s="213">
        <v>1.0500000000000001E-2</v>
      </c>
      <c r="AN40" s="183">
        <f t="shared" si="10"/>
        <v>4490.9375</v>
      </c>
      <c r="AO40" s="212"/>
      <c r="AP40" s="213"/>
      <c r="AQ40" s="183">
        <f t="shared" si="11"/>
        <v>0</v>
      </c>
      <c r="AR40" s="212"/>
      <c r="AS40" s="213"/>
      <c r="AT40" s="183">
        <f t="shared" si="12"/>
        <v>0</v>
      </c>
      <c r="AW40" s="183">
        <f t="shared" si="13"/>
        <v>0</v>
      </c>
      <c r="AZ40" s="183">
        <f t="shared" si="14"/>
        <v>0</v>
      </c>
      <c r="BC40" s="183">
        <f t="shared" si="15"/>
        <v>0</v>
      </c>
      <c r="BF40" s="183">
        <f t="shared" si="16"/>
        <v>0</v>
      </c>
      <c r="BI40" s="183">
        <f t="shared" si="17"/>
        <v>0</v>
      </c>
      <c r="BL40" s="183">
        <f t="shared" si="18"/>
        <v>0</v>
      </c>
      <c r="BO40" s="183">
        <f t="shared" si="19"/>
        <v>0</v>
      </c>
      <c r="BR40" s="183">
        <f t="shared" si="20"/>
        <v>0</v>
      </c>
      <c r="BU40" s="183">
        <f t="shared" si="21"/>
        <v>0</v>
      </c>
      <c r="BX40" s="183">
        <f t="shared" si="22"/>
        <v>0</v>
      </c>
      <c r="CA40" s="183">
        <f t="shared" si="23"/>
        <v>0</v>
      </c>
      <c r="CD40" s="183">
        <f t="shared" si="24"/>
        <v>0</v>
      </c>
      <c r="CG40" s="183">
        <f t="shared" si="25"/>
        <v>0</v>
      </c>
      <c r="CJ40" s="183">
        <f t="shared" si="26"/>
        <v>0</v>
      </c>
      <c r="CM40" s="183">
        <f t="shared" si="27"/>
        <v>0</v>
      </c>
      <c r="CP40" s="183">
        <f t="shared" si="28"/>
        <v>0</v>
      </c>
      <c r="CS40" s="183">
        <f t="shared" si="29"/>
        <v>0</v>
      </c>
      <c r="CV40" s="183">
        <f t="shared" si="30"/>
        <v>0</v>
      </c>
      <c r="CY40" s="183">
        <f t="shared" si="31"/>
        <v>0</v>
      </c>
      <c r="DB40" s="183">
        <f t="shared" si="32"/>
        <v>0</v>
      </c>
      <c r="DE40" s="183">
        <f t="shared" si="33"/>
        <v>0</v>
      </c>
      <c r="DH40" s="183">
        <f t="shared" si="34"/>
        <v>0</v>
      </c>
      <c r="DK40" s="183">
        <f t="shared" si="35"/>
        <v>0</v>
      </c>
      <c r="DN40" s="183">
        <f t="shared" si="36"/>
        <v>0</v>
      </c>
      <c r="DQ40" s="183">
        <f t="shared" si="37"/>
        <v>0</v>
      </c>
      <c r="DT40" s="183">
        <f t="shared" si="38"/>
        <v>0</v>
      </c>
      <c r="DW40" s="183">
        <f t="shared" si="39"/>
        <v>0</v>
      </c>
      <c r="DZ40" s="183"/>
      <c r="EA40" s="183"/>
      <c r="EB40" s="214">
        <f t="shared" si="40"/>
        <v>204820000</v>
      </c>
      <c r="EC40" s="214">
        <f t="shared" si="41"/>
        <v>20845000</v>
      </c>
      <c r="ED40" s="183">
        <f t="shared" si="42"/>
        <v>5863.9013888888894</v>
      </c>
      <c r="EE40" s="185">
        <f t="shared" si="43"/>
        <v>1.0306632653061224E-2</v>
      </c>
      <c r="EG40" s="214">
        <f t="shared" si="44"/>
        <v>0</v>
      </c>
      <c r="EH40" s="183">
        <f t="shared" si="45"/>
        <v>0</v>
      </c>
      <c r="EI40" s="185">
        <f t="shared" si="46"/>
        <v>0</v>
      </c>
      <c r="EJ40" s="185"/>
      <c r="EK40" s="214">
        <f t="shared" si="47"/>
        <v>183975000</v>
      </c>
      <c r="EL40" s="214">
        <f t="shared" si="48"/>
        <v>0</v>
      </c>
      <c r="EM40" s="214">
        <f t="shared" si="49"/>
        <v>5365.9375</v>
      </c>
      <c r="EN40" s="185">
        <f t="shared" si="50"/>
        <v>1.0500000000000001E-2</v>
      </c>
      <c r="EP40" s="183"/>
    </row>
    <row r="41" spans="1:146" x14ac:dyDescent="0.2">
      <c r="A41" s="211">
        <f t="shared" si="51"/>
        <v>44712</v>
      </c>
      <c r="B41" s="183">
        <v>0</v>
      </c>
      <c r="C41" s="185">
        <v>8.882590000000001E-3</v>
      </c>
      <c r="D41" s="183">
        <f t="shared" si="0"/>
        <v>0</v>
      </c>
      <c r="G41" s="183">
        <f t="shared" si="1"/>
        <v>0</v>
      </c>
      <c r="J41" s="183">
        <f t="shared" si="2"/>
        <v>0</v>
      </c>
      <c r="M41" s="183">
        <f t="shared" si="3"/>
        <v>0</v>
      </c>
      <c r="P41" s="183">
        <f t="shared" si="4"/>
        <v>0</v>
      </c>
      <c r="S41" s="183">
        <f t="shared" si="5"/>
        <v>0</v>
      </c>
      <c r="V41" s="183">
        <f t="shared" si="6"/>
        <v>0</v>
      </c>
      <c r="Y41" s="183">
        <f t="shared" si="7"/>
        <v>0</v>
      </c>
      <c r="AB41" s="183">
        <f t="shared" si="8"/>
        <v>0</v>
      </c>
      <c r="AE41" s="183">
        <v>0</v>
      </c>
      <c r="AH41" s="183">
        <v>0</v>
      </c>
      <c r="AI41" s="212">
        <v>30000000</v>
      </c>
      <c r="AJ41" s="213">
        <v>1.0500000000000001E-2</v>
      </c>
      <c r="AK41" s="183">
        <f t="shared" si="9"/>
        <v>875</v>
      </c>
      <c r="AL41" s="212">
        <v>189150000</v>
      </c>
      <c r="AM41" s="213">
        <v>1.0500000000000001E-2</v>
      </c>
      <c r="AN41" s="183">
        <f t="shared" si="10"/>
        <v>5516.8750000000009</v>
      </c>
      <c r="AO41" s="212"/>
      <c r="AP41" s="213"/>
      <c r="AQ41" s="183">
        <f t="shared" si="11"/>
        <v>0</v>
      </c>
      <c r="AR41" s="212"/>
      <c r="AS41" s="213"/>
      <c r="AT41" s="183">
        <f t="shared" si="12"/>
        <v>0</v>
      </c>
      <c r="AW41" s="183">
        <f t="shared" si="13"/>
        <v>0</v>
      </c>
      <c r="AZ41" s="183">
        <f t="shared" si="14"/>
        <v>0</v>
      </c>
      <c r="BC41" s="183">
        <f t="shared" si="15"/>
        <v>0</v>
      </c>
      <c r="BF41" s="183">
        <f t="shared" si="16"/>
        <v>0</v>
      </c>
      <c r="BI41" s="183">
        <f t="shared" si="17"/>
        <v>0</v>
      </c>
      <c r="BL41" s="183">
        <f t="shared" si="18"/>
        <v>0</v>
      </c>
      <c r="BO41" s="183">
        <f t="shared" si="19"/>
        <v>0</v>
      </c>
      <c r="BR41" s="183">
        <f t="shared" si="20"/>
        <v>0</v>
      </c>
      <c r="BU41" s="183">
        <f t="shared" si="21"/>
        <v>0</v>
      </c>
      <c r="BX41" s="183">
        <f t="shared" si="22"/>
        <v>0</v>
      </c>
      <c r="CA41" s="183">
        <f t="shared" si="23"/>
        <v>0</v>
      </c>
      <c r="CD41" s="183">
        <f t="shared" si="24"/>
        <v>0</v>
      </c>
      <c r="CG41" s="183">
        <f t="shared" si="25"/>
        <v>0</v>
      </c>
      <c r="CJ41" s="183">
        <f t="shared" si="26"/>
        <v>0</v>
      </c>
      <c r="CM41" s="183">
        <f t="shared" si="27"/>
        <v>0</v>
      </c>
      <c r="CP41" s="183">
        <f t="shared" si="28"/>
        <v>0</v>
      </c>
      <c r="CS41" s="183">
        <f t="shared" si="29"/>
        <v>0</v>
      </c>
      <c r="CV41" s="183">
        <f t="shared" si="30"/>
        <v>0</v>
      </c>
      <c r="CY41" s="183">
        <f t="shared" si="31"/>
        <v>0</v>
      </c>
      <c r="DB41" s="183">
        <f t="shared" si="32"/>
        <v>0</v>
      </c>
      <c r="DE41" s="183">
        <f t="shared" si="33"/>
        <v>0</v>
      </c>
      <c r="DH41" s="183">
        <f t="shared" si="34"/>
        <v>0</v>
      </c>
      <c r="DK41" s="183">
        <f t="shared" si="35"/>
        <v>0</v>
      </c>
      <c r="DN41" s="183">
        <f t="shared" si="36"/>
        <v>0</v>
      </c>
      <c r="DQ41" s="183">
        <f t="shared" si="37"/>
        <v>0</v>
      </c>
      <c r="DT41" s="183">
        <f t="shared" si="38"/>
        <v>0</v>
      </c>
      <c r="DW41" s="183">
        <f t="shared" si="39"/>
        <v>0</v>
      </c>
      <c r="DZ41" s="183"/>
      <c r="EA41" s="183"/>
      <c r="EB41" s="214">
        <f t="shared" si="40"/>
        <v>219150000</v>
      </c>
      <c r="EC41" s="214">
        <f t="shared" si="41"/>
        <v>0</v>
      </c>
      <c r="ED41" s="183">
        <f t="shared" si="42"/>
        <v>6391.8750000000009</v>
      </c>
      <c r="EE41" s="185">
        <f t="shared" si="43"/>
        <v>1.0500000000000001E-2</v>
      </c>
      <c r="EG41" s="214">
        <f t="shared" si="44"/>
        <v>0</v>
      </c>
      <c r="EH41" s="183">
        <f t="shared" si="45"/>
        <v>0</v>
      </c>
      <c r="EI41" s="185">
        <f t="shared" si="46"/>
        <v>0</v>
      </c>
      <c r="EJ41" s="185"/>
      <c r="EK41" s="214">
        <f t="shared" si="47"/>
        <v>219150000</v>
      </c>
      <c r="EL41" s="214">
        <f t="shared" si="48"/>
        <v>0</v>
      </c>
      <c r="EM41" s="214">
        <f t="shared" si="49"/>
        <v>6391.8750000000009</v>
      </c>
      <c r="EN41" s="185">
        <f t="shared" si="50"/>
        <v>1.0500000000000001E-2</v>
      </c>
      <c r="EP41" s="183"/>
    </row>
    <row r="42" spans="1:146" x14ac:dyDescent="0.2">
      <c r="A42" s="215" t="s">
        <v>75</v>
      </c>
      <c r="D42" s="216">
        <f>SUM(D11:D41)</f>
        <v>29435.479685416663</v>
      </c>
      <c r="G42" s="216">
        <f>SUM(G11:G41)</f>
        <v>0</v>
      </c>
      <c r="J42" s="216">
        <f>SUM(J11:J41)</f>
        <v>0</v>
      </c>
      <c r="M42" s="216">
        <f>SUM(M11:M41)</f>
        <v>0</v>
      </c>
      <c r="P42" s="216">
        <f>SUM(P11:P41)</f>
        <v>0</v>
      </c>
      <c r="S42" s="216">
        <f>SUM(S11:S41)</f>
        <v>0</v>
      </c>
      <c r="V42" s="216">
        <f>SUM(V11:V41)</f>
        <v>0</v>
      </c>
      <c r="Y42" s="216">
        <f>SUM(Y11:Y41)</f>
        <v>0</v>
      </c>
      <c r="AB42" s="216">
        <f>SUM(AB11:AB41)</f>
        <v>0</v>
      </c>
      <c r="AE42" s="216">
        <f>SUM(AE11:AE41)</f>
        <v>0</v>
      </c>
      <c r="AH42" s="216">
        <f>SUM(AH11:AH41)</f>
        <v>0</v>
      </c>
      <c r="AK42" s="216">
        <f>SUM(AK11:AK41)</f>
        <v>26250</v>
      </c>
      <c r="AN42" s="216">
        <f>SUM(AN11:AN41)</f>
        <v>72847.736111111124</v>
      </c>
      <c r="AQ42" s="216">
        <f>SUM(AQ11:AQ41)</f>
        <v>0</v>
      </c>
      <c r="AT42" s="216">
        <f>SUM(AT11:AT41)</f>
        <v>0</v>
      </c>
      <c r="AW42" s="216">
        <f>SUM(AW11:AW41)</f>
        <v>0</v>
      </c>
      <c r="AZ42" s="216">
        <f>SUM(AZ11:AZ41)</f>
        <v>0</v>
      </c>
      <c r="BC42" s="216">
        <f>SUM(BC11:BC41)</f>
        <v>0</v>
      </c>
      <c r="BF42" s="216">
        <f>SUM(BF11:BF41)</f>
        <v>0</v>
      </c>
      <c r="BI42" s="216">
        <f>SUM(BI11:BI41)</f>
        <v>0</v>
      </c>
      <c r="BL42" s="216">
        <f>SUM(BL11:BL41)</f>
        <v>0</v>
      </c>
      <c r="BO42" s="216">
        <f>SUM(BO11:BO41)</f>
        <v>0</v>
      </c>
      <c r="BR42" s="216">
        <f>SUM(BR11:BR41)</f>
        <v>0</v>
      </c>
      <c r="BU42" s="216">
        <f>SUM(BU11:BU41)</f>
        <v>0</v>
      </c>
      <c r="BX42" s="216">
        <f>SUM(BX11:BX41)</f>
        <v>0</v>
      </c>
      <c r="CA42" s="216">
        <f>SUM(CA11:CA41)</f>
        <v>0</v>
      </c>
      <c r="CD42" s="216">
        <f>SUM(CD11:CD41)</f>
        <v>0</v>
      </c>
      <c r="CG42" s="216">
        <f>SUM(CG11:CG41)</f>
        <v>0</v>
      </c>
      <c r="CJ42" s="216">
        <f>SUM(CJ11:CJ41)</f>
        <v>0</v>
      </c>
      <c r="CM42" s="216">
        <f>SUM(CM11:CM41)</f>
        <v>0</v>
      </c>
      <c r="CP42" s="216">
        <f>SUM(CP11:CP41)</f>
        <v>0</v>
      </c>
      <c r="CS42" s="216">
        <f>SUM(CS11:CS41)</f>
        <v>0</v>
      </c>
      <c r="CV42" s="216">
        <f>SUM(CV11:CV41)</f>
        <v>0</v>
      </c>
      <c r="CY42" s="216">
        <f>SUM(CY11:CY41)</f>
        <v>0</v>
      </c>
      <c r="DB42" s="216">
        <f>SUM(DB11:DB41)</f>
        <v>0</v>
      </c>
      <c r="DE42" s="216">
        <f>SUM(DE11:DE41)</f>
        <v>0</v>
      </c>
      <c r="DH42" s="216">
        <f>SUM(DH11:DH41)</f>
        <v>0</v>
      </c>
      <c r="DK42" s="216">
        <f>SUM(DK11:DK41)</f>
        <v>0</v>
      </c>
      <c r="DN42" s="216">
        <f>SUM(DN11:DN41)</f>
        <v>0</v>
      </c>
      <c r="DQ42" s="216">
        <f>SUM(DQ11:DQ41)</f>
        <v>0</v>
      </c>
      <c r="DT42" s="216">
        <f>SUM(DT11:DT41)</f>
        <v>0</v>
      </c>
      <c r="DW42" s="216">
        <f>SUM(DW11:DW41)</f>
        <v>0</v>
      </c>
      <c r="DZ42" s="183"/>
      <c r="EA42" s="183"/>
      <c r="EB42" s="183"/>
      <c r="EC42" s="183"/>
      <c r="ED42" s="216">
        <f>SUM(ED11:ED41)</f>
        <v>128533.21579652779</v>
      </c>
      <c r="EE42" s="185"/>
      <c r="EG42" s="183"/>
      <c r="EH42" s="216">
        <f>SUM(EH11:EH41)</f>
        <v>0</v>
      </c>
      <c r="EI42" s="185"/>
      <c r="EJ42" s="185"/>
      <c r="EK42" s="183"/>
      <c r="EL42" s="183"/>
      <c r="EM42" s="216">
        <f>SUM(EM11:EM41)</f>
        <v>99097.736111111095</v>
      </c>
      <c r="EN42" s="185"/>
    </row>
    <row r="44" spans="1:146" x14ac:dyDescent="0.2">
      <c r="EM44" s="217"/>
    </row>
    <row r="46" spans="1:146" x14ac:dyDescent="0.2">
      <c r="EM46" s="183"/>
    </row>
    <row r="48" spans="1:146" x14ac:dyDescent="0.2">
      <c r="EM48" s="18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2">
    <pageSetUpPr fitToPage="1"/>
  </sheetPr>
  <dimension ref="A1:P41"/>
  <sheetViews>
    <sheetView topLeftCell="D1" zoomScaleNormal="100" workbookViewId="0">
      <pane ySplit="4" topLeftCell="A5" activePane="bottomLeft" state="frozen"/>
      <selection pane="bottomLeft" activeCell="N14" sqref="N14:P32"/>
    </sheetView>
  </sheetViews>
  <sheetFormatPr defaultColWidth="13.42578125" defaultRowHeight="15" x14ac:dyDescent="0.25"/>
  <cols>
    <col min="1" max="1" width="47" customWidth="1"/>
    <col min="2" max="2" width="19.28515625" bestFit="1" customWidth="1"/>
    <col min="3" max="4" width="21.140625" bestFit="1" customWidth="1"/>
    <col min="5" max="13" width="21.140625" customWidth="1"/>
    <col min="16" max="16" width="13.5703125" bestFit="1" customWidth="1"/>
  </cols>
  <sheetData>
    <row r="1" spans="1:13" x14ac:dyDescent="0.25">
      <c r="A1" t="s">
        <v>0</v>
      </c>
    </row>
    <row r="2" spans="1:13" ht="15.75" thickBot="1" x14ac:dyDescent="0.3">
      <c r="A2" t="s">
        <v>1</v>
      </c>
    </row>
    <row r="3" spans="1:13" ht="15.75" thickBot="1" x14ac:dyDescent="0.3">
      <c r="A3" t="s">
        <v>241</v>
      </c>
      <c r="B3" s="317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9"/>
    </row>
    <row r="4" spans="1:13" x14ac:dyDescent="0.25">
      <c r="A4" s="1"/>
      <c r="B4" s="16">
        <v>44409</v>
      </c>
      <c r="C4" s="17">
        <v>44440</v>
      </c>
      <c r="D4" s="17">
        <v>44470</v>
      </c>
      <c r="E4" s="17">
        <v>44501</v>
      </c>
      <c r="F4" s="17">
        <v>44531</v>
      </c>
      <c r="G4" s="17">
        <v>44562</v>
      </c>
      <c r="H4" s="17">
        <v>44593</v>
      </c>
      <c r="I4" s="17">
        <v>44621</v>
      </c>
      <c r="J4" s="17">
        <v>44652</v>
      </c>
      <c r="K4" s="17">
        <v>44682</v>
      </c>
      <c r="L4" s="17">
        <v>44713</v>
      </c>
      <c r="M4" s="92">
        <v>44743</v>
      </c>
    </row>
    <row r="5" spans="1:13" x14ac:dyDescent="0.25">
      <c r="A5" s="2" t="s">
        <v>27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93"/>
    </row>
    <row r="6" spans="1:13" x14ac:dyDescent="0.25">
      <c r="A6" s="3" t="s">
        <v>177</v>
      </c>
      <c r="B6" s="106">
        <v>1275764.27</v>
      </c>
      <c r="C6" s="97">
        <v>834584.85000000009</v>
      </c>
      <c r="D6" s="97">
        <v>1365848.44</v>
      </c>
      <c r="E6" s="97">
        <v>387221.24000000022</v>
      </c>
      <c r="F6" s="97">
        <v>1025016.2999999995</v>
      </c>
      <c r="G6" s="97">
        <v>191576.56000000006</v>
      </c>
      <c r="H6" s="97">
        <v>96701.159999999916</v>
      </c>
      <c r="I6" s="97">
        <v>-116801.59999999998</v>
      </c>
      <c r="J6" s="107">
        <v>117120.34999999998</v>
      </c>
      <c r="K6" s="107">
        <v>211832.17999999993</v>
      </c>
      <c r="L6" s="107">
        <v>94626.87</v>
      </c>
      <c r="M6" s="108">
        <v>167899.49</v>
      </c>
    </row>
    <row r="7" spans="1:13" x14ac:dyDescent="0.25">
      <c r="A7" s="3" t="s">
        <v>178</v>
      </c>
      <c r="B7" s="106">
        <v>1435.2400000000002</v>
      </c>
      <c r="C7" s="97">
        <v>1148.4300000000003</v>
      </c>
      <c r="D7" s="97">
        <v>1025.6299999999992</v>
      </c>
      <c r="E7" s="97">
        <v>1851.58</v>
      </c>
      <c r="F7" s="97">
        <v>1153.2400000000014</v>
      </c>
      <c r="G7" s="97">
        <v>31637.69</v>
      </c>
      <c r="H7" s="97">
        <v>251.70000000000073</v>
      </c>
      <c r="I7" s="97">
        <v>32.56</v>
      </c>
      <c r="J7" s="107">
        <v>2.66</v>
      </c>
      <c r="K7" s="107">
        <v>3.02</v>
      </c>
      <c r="L7" s="107">
        <v>3.34</v>
      </c>
      <c r="M7" s="108">
        <v>4.0200000000000005</v>
      </c>
    </row>
    <row r="8" spans="1:13" x14ac:dyDescent="0.25">
      <c r="A8" s="3" t="s">
        <v>179</v>
      </c>
      <c r="B8" s="106">
        <v>0</v>
      </c>
      <c r="C8" s="97">
        <v>0</v>
      </c>
      <c r="D8" s="97">
        <v>0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  <c r="J8" s="107">
        <v>0</v>
      </c>
      <c r="K8" s="107">
        <v>0</v>
      </c>
      <c r="L8" s="107">
        <v>0</v>
      </c>
      <c r="M8" s="108">
        <v>0</v>
      </c>
    </row>
    <row r="9" spans="1:13" x14ac:dyDescent="0.25">
      <c r="A9" s="3" t="s">
        <v>2</v>
      </c>
      <c r="B9" s="106">
        <v>220974.31</v>
      </c>
      <c r="C9" s="97">
        <v>24669.279999999999</v>
      </c>
      <c r="D9" s="97">
        <v>22036.089999999997</v>
      </c>
      <c r="E9" s="97">
        <v>23693.609999999986</v>
      </c>
      <c r="F9" s="97">
        <v>29926.710000000021</v>
      </c>
      <c r="G9" s="97">
        <v>0</v>
      </c>
      <c r="H9" s="97">
        <v>0</v>
      </c>
      <c r="I9" s="97">
        <v>0</v>
      </c>
      <c r="J9" s="107">
        <v>0</v>
      </c>
      <c r="K9" s="107">
        <v>0</v>
      </c>
      <c r="L9" s="107">
        <v>0</v>
      </c>
      <c r="M9" s="108">
        <v>0</v>
      </c>
    </row>
    <row r="10" spans="1:13" x14ac:dyDescent="0.25">
      <c r="A10" s="3" t="s">
        <v>180</v>
      </c>
      <c r="B10" s="106">
        <v>0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 s="107">
        <v>0</v>
      </c>
      <c r="K10" s="107">
        <v>0</v>
      </c>
      <c r="L10" s="107">
        <v>0</v>
      </c>
      <c r="M10" s="108">
        <v>0</v>
      </c>
    </row>
    <row r="11" spans="1:13" x14ac:dyDescent="0.25">
      <c r="A11" s="3" t="s">
        <v>181</v>
      </c>
      <c r="B11" s="106">
        <v>0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107">
        <v>0</v>
      </c>
      <c r="K11" s="107">
        <v>0</v>
      </c>
      <c r="L11" s="107">
        <v>0</v>
      </c>
      <c r="M11" s="108">
        <v>0</v>
      </c>
    </row>
    <row r="12" spans="1:13" x14ac:dyDescent="0.25">
      <c r="A12" s="3" t="s">
        <v>3</v>
      </c>
      <c r="B12" s="106">
        <v>246691.25</v>
      </c>
      <c r="C12" s="107">
        <v>280381</v>
      </c>
      <c r="D12" s="107">
        <v>319482.5</v>
      </c>
      <c r="E12" s="107">
        <v>193163.75</v>
      </c>
      <c r="F12" s="107">
        <v>315250</v>
      </c>
      <c r="G12" s="107">
        <v>265084.75</v>
      </c>
      <c r="H12" s="107">
        <v>348860</v>
      </c>
      <c r="I12" s="107">
        <v>277572.5</v>
      </c>
      <c r="J12" s="107">
        <v>305171.25</v>
      </c>
      <c r="K12" s="107">
        <v>336461</v>
      </c>
      <c r="L12" s="107">
        <v>440652.5</v>
      </c>
      <c r="M12" s="108">
        <v>384231.25</v>
      </c>
    </row>
    <row r="13" spans="1:13" x14ac:dyDescent="0.25">
      <c r="A13" s="3" t="s">
        <v>4</v>
      </c>
      <c r="B13" s="106">
        <v>-16004351.447559908</v>
      </c>
      <c r="C13" s="107">
        <v>-8111221.307984449</v>
      </c>
      <c r="D13" s="107">
        <v>7259725.936128743</v>
      </c>
      <c r="E13" s="107">
        <v>2479016.2069421858</v>
      </c>
      <c r="F13" s="107">
        <v>-982313.30454368144</v>
      </c>
      <c r="G13" s="107">
        <v>-4026133.2998290118</v>
      </c>
      <c r="H13" s="107">
        <v>-2019112.3164313817</v>
      </c>
      <c r="I13" s="107">
        <v>-698960.82401374169</v>
      </c>
      <c r="J13" s="107">
        <v>1383289.3213463575</v>
      </c>
      <c r="K13" s="107">
        <v>747943.0950998906</v>
      </c>
      <c r="L13" s="107">
        <v>-14247107.41026267</v>
      </c>
      <c r="M13" s="108">
        <v>-20454311.493553948</v>
      </c>
    </row>
    <row r="14" spans="1:13" x14ac:dyDescent="0.25">
      <c r="A14" s="3" t="s">
        <v>5</v>
      </c>
      <c r="B14" s="106">
        <v>-127273.81699999995</v>
      </c>
      <c r="C14" s="107">
        <v>-103678.56050000004</v>
      </c>
      <c r="D14" s="107">
        <v>-116070.37</v>
      </c>
      <c r="E14" s="107">
        <v>-252499.34449999986</v>
      </c>
      <c r="F14" s="107">
        <v>-245717.14799999993</v>
      </c>
      <c r="G14" s="107">
        <v>-316199.90950000036</v>
      </c>
      <c r="H14" s="107">
        <v>-451185.39550000016</v>
      </c>
      <c r="I14" s="107">
        <v>-3722846.9955000002</v>
      </c>
      <c r="J14" s="107">
        <v>-3559640.2205000017</v>
      </c>
      <c r="K14" s="107">
        <v>-5939907.1199999992</v>
      </c>
      <c r="L14" s="107">
        <v>-6271035.2600000044</v>
      </c>
      <c r="M14" s="108">
        <v>-5011116.7800000021</v>
      </c>
    </row>
    <row r="15" spans="1:13" x14ac:dyDescent="0.25">
      <c r="A15" s="3" t="s">
        <v>6</v>
      </c>
      <c r="B15" s="106">
        <v>1153767</v>
      </c>
      <c r="C15" s="107">
        <v>1154477</v>
      </c>
      <c r="D15" s="107">
        <v>1155848</v>
      </c>
      <c r="E15" s="107">
        <v>1153252</v>
      </c>
      <c r="F15" s="107">
        <v>1168247</v>
      </c>
      <c r="G15" s="107">
        <v>1143316</v>
      </c>
      <c r="H15" s="107">
        <v>1398808.0110292684</v>
      </c>
      <c r="I15" s="107">
        <v>6991929.3088195166</v>
      </c>
      <c r="J15" s="107">
        <v>6988329.3088195166</v>
      </c>
      <c r="K15" s="107">
        <v>6984547.3088195166</v>
      </c>
      <c r="L15" s="107">
        <v>6984125.3088195166</v>
      </c>
      <c r="M15" s="108">
        <v>6984997.3088195166</v>
      </c>
    </row>
    <row r="16" spans="1:13" x14ac:dyDescent="0.25">
      <c r="A16" s="3" t="s">
        <v>7</v>
      </c>
      <c r="B16" s="106">
        <v>524366</v>
      </c>
      <c r="C16" s="107">
        <v>526415</v>
      </c>
      <c r="D16" s="107">
        <v>528899</v>
      </c>
      <c r="E16" s="107">
        <v>529661</v>
      </c>
      <c r="F16" s="107">
        <v>531352</v>
      </c>
      <c r="G16" s="107">
        <v>532962</v>
      </c>
      <c r="H16" s="107">
        <v>638102.18999999994</v>
      </c>
      <c r="I16" s="107">
        <v>3473106.25</v>
      </c>
      <c r="J16" s="107">
        <v>3473509.25</v>
      </c>
      <c r="K16" s="107">
        <v>3473866.25</v>
      </c>
      <c r="L16" s="107">
        <v>3474078.25</v>
      </c>
      <c r="M16" s="108">
        <v>3479830.25</v>
      </c>
    </row>
    <row r="17" spans="1:16" x14ac:dyDescent="0.25">
      <c r="A17" s="3" t="s">
        <v>8</v>
      </c>
      <c r="B17" s="106">
        <v>559162.86999999965</v>
      </c>
      <c r="C17" s="107">
        <v>682038.72999999963</v>
      </c>
      <c r="D17" s="107">
        <v>2034547.1899999988</v>
      </c>
      <c r="E17" s="107">
        <v>1047564.5899999999</v>
      </c>
      <c r="F17" s="107">
        <v>2073701.5400000005</v>
      </c>
      <c r="G17" s="107">
        <v>2761589.5799999982</v>
      </c>
      <c r="H17" s="107">
        <v>1061758.5899999999</v>
      </c>
      <c r="I17" s="107">
        <v>981505.13</v>
      </c>
      <c r="J17" s="107">
        <v>1769836.9799999993</v>
      </c>
      <c r="K17" s="107">
        <v>282673.80999999901</v>
      </c>
      <c r="L17" s="107">
        <v>1608982.4100000018</v>
      </c>
      <c r="M17" s="108">
        <v>1625938.9999999993</v>
      </c>
    </row>
    <row r="18" spans="1:16" x14ac:dyDescent="0.25">
      <c r="A18" s="5" t="s">
        <v>185</v>
      </c>
      <c r="B18" s="106">
        <v>90429.95</v>
      </c>
      <c r="C18" s="107">
        <v>82419</v>
      </c>
      <c r="D18" s="107">
        <v>158638</v>
      </c>
      <c r="E18" s="107">
        <v>158638</v>
      </c>
      <c r="F18" s="107">
        <v>158638</v>
      </c>
      <c r="G18" s="107">
        <v>159848</v>
      </c>
      <c r="H18" s="107">
        <v>159848</v>
      </c>
      <c r="I18" s="107">
        <v>159848</v>
      </c>
      <c r="J18" s="107">
        <v>159848</v>
      </c>
      <c r="K18" s="107">
        <v>159848</v>
      </c>
      <c r="L18" s="107">
        <v>159818</v>
      </c>
      <c r="M18" s="108">
        <v>159577</v>
      </c>
    </row>
    <row r="19" spans="1:16" x14ac:dyDescent="0.25">
      <c r="A19" s="3" t="s">
        <v>9</v>
      </c>
      <c r="B19" s="106">
        <v>530922.56350166665</v>
      </c>
      <c r="C19" s="107">
        <v>530922.56350166665</v>
      </c>
      <c r="D19" s="107">
        <v>530922.56350166665</v>
      </c>
      <c r="E19" s="107">
        <v>530922.56350166665</v>
      </c>
      <c r="F19" s="107">
        <v>930160.56350166723</v>
      </c>
      <c r="G19" s="107">
        <v>656221.25</v>
      </c>
      <c r="H19" s="107">
        <v>656221.25</v>
      </c>
      <c r="I19" s="107">
        <v>656221.25</v>
      </c>
      <c r="J19" s="107">
        <v>656221.25</v>
      </c>
      <c r="K19" s="107">
        <v>1145948.333333333</v>
      </c>
      <c r="L19" s="107">
        <v>754166.66666666663</v>
      </c>
      <c r="M19" s="108">
        <v>754166.66666666663</v>
      </c>
    </row>
    <row r="20" spans="1:16" ht="15.75" thickBot="1" x14ac:dyDescent="0.3">
      <c r="A20" s="2" t="s">
        <v>10</v>
      </c>
      <c r="B20" s="109">
        <f t="shared" ref="B20:M20" si="0">SUM(B6:B19)</f>
        <v>-11528111.811058242</v>
      </c>
      <c r="C20" s="110">
        <f t="shared" si="0"/>
        <v>-4097844.0149827818</v>
      </c>
      <c r="D20" s="110">
        <f t="shared" si="0"/>
        <v>13260902.979630411</v>
      </c>
      <c r="E20" s="110">
        <f t="shared" si="0"/>
        <v>6252485.195943852</v>
      </c>
      <c r="F20" s="110">
        <f t="shared" si="0"/>
        <v>5005414.9009579858</v>
      </c>
      <c r="G20" s="110">
        <f t="shared" si="0"/>
        <v>1399902.6206709859</v>
      </c>
      <c r="H20" s="110">
        <f t="shared" si="0"/>
        <v>1890253.1890978862</v>
      </c>
      <c r="I20" s="110">
        <f t="shared" si="0"/>
        <v>8001605.5793057745</v>
      </c>
      <c r="J20" s="110">
        <f t="shared" si="0"/>
        <v>11293688.149665872</v>
      </c>
      <c r="K20" s="110">
        <f t="shared" si="0"/>
        <v>7403215.8772527399</v>
      </c>
      <c r="L20" s="110">
        <f t="shared" si="0"/>
        <v>-7001689.3247764884</v>
      </c>
      <c r="M20" s="111">
        <f t="shared" si="0"/>
        <v>-11908783.288067764</v>
      </c>
      <c r="N20" s="120"/>
    </row>
    <row r="21" spans="1:16" x14ac:dyDescent="0.25"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4"/>
    </row>
    <row r="22" spans="1:16" x14ac:dyDescent="0.25">
      <c r="A22" s="5" t="s">
        <v>184</v>
      </c>
      <c r="B22" s="115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116">
        <v>0</v>
      </c>
    </row>
    <row r="23" spans="1:16" x14ac:dyDescent="0.25">
      <c r="A23" s="5" t="s">
        <v>28</v>
      </c>
      <c r="B23" s="115">
        <v>339700.60666666669</v>
      </c>
      <c r="C23" s="96">
        <v>339700.60666666669</v>
      </c>
      <c r="D23" s="96">
        <v>339700.60666666669</v>
      </c>
      <c r="E23" s="96">
        <v>339700.60666666669</v>
      </c>
      <c r="F23" s="96">
        <v>339700.60666666669</v>
      </c>
      <c r="G23" s="96">
        <v>339700.60666666669</v>
      </c>
      <c r="H23" s="96">
        <v>-1338807.7570858542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127"/>
    </row>
    <row r="24" spans="1:16" x14ac:dyDescent="0.25">
      <c r="A24" s="3" t="s">
        <v>29</v>
      </c>
      <c r="B24" s="115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66675.415151288995</v>
      </c>
      <c r="I24" s="96">
        <v>1866911.624236092</v>
      </c>
      <c r="J24" s="96">
        <v>1866911.624236092</v>
      </c>
      <c r="K24" s="96">
        <v>1866911.624236092</v>
      </c>
      <c r="L24" s="96">
        <v>1866911.624236092</v>
      </c>
      <c r="M24" s="116">
        <v>1866911.624236092</v>
      </c>
    </row>
    <row r="25" spans="1:16" x14ac:dyDescent="0.25">
      <c r="A25" s="2" t="s">
        <v>30</v>
      </c>
      <c r="B25" s="106">
        <f>+B23+B24</f>
        <v>339700.60666666669</v>
      </c>
      <c r="C25" s="97">
        <f t="shared" ref="C25:M25" si="1">+C23+C24</f>
        <v>339700.60666666669</v>
      </c>
      <c r="D25" s="97">
        <f t="shared" si="1"/>
        <v>339700.60666666669</v>
      </c>
      <c r="E25" s="97">
        <f t="shared" si="1"/>
        <v>339700.60666666669</v>
      </c>
      <c r="F25" s="97">
        <f t="shared" si="1"/>
        <v>339700.60666666669</v>
      </c>
      <c r="G25" s="97">
        <f t="shared" si="1"/>
        <v>339700.60666666669</v>
      </c>
      <c r="H25" s="97">
        <f t="shared" si="1"/>
        <v>-1272132.3419345652</v>
      </c>
      <c r="I25" s="97">
        <f t="shared" si="1"/>
        <v>1866911.624236092</v>
      </c>
      <c r="J25" s="97">
        <f t="shared" si="1"/>
        <v>1866911.624236092</v>
      </c>
      <c r="K25" s="97">
        <f t="shared" si="1"/>
        <v>1866911.624236092</v>
      </c>
      <c r="L25" s="97">
        <f t="shared" si="1"/>
        <v>1866911.624236092</v>
      </c>
      <c r="M25" s="117">
        <f t="shared" si="1"/>
        <v>1866911.624236092</v>
      </c>
      <c r="N25" s="120"/>
    </row>
    <row r="26" spans="1:16" ht="15.75" thickBot="1" x14ac:dyDescent="0.3">
      <c r="A26" s="6" t="s">
        <v>11</v>
      </c>
      <c r="B26" s="118">
        <f>-B25+B20</f>
        <v>-11867812.417724909</v>
      </c>
      <c r="C26" s="98">
        <f t="shared" ref="C26:M26" si="2">-C25+C20</f>
        <v>-4437544.6216494488</v>
      </c>
      <c r="D26" s="98">
        <f t="shared" si="2"/>
        <v>12921202.372963743</v>
      </c>
      <c r="E26" s="98">
        <f t="shared" si="2"/>
        <v>5912784.5892771855</v>
      </c>
      <c r="F26" s="98">
        <f t="shared" si="2"/>
        <v>4665714.2942913193</v>
      </c>
      <c r="G26" s="98">
        <f t="shared" si="2"/>
        <v>1060202.0140043192</v>
      </c>
      <c r="H26" s="98">
        <f t="shared" si="2"/>
        <v>3162385.5310324514</v>
      </c>
      <c r="I26" s="98">
        <f t="shared" si="2"/>
        <v>6134693.9550696826</v>
      </c>
      <c r="J26" s="98">
        <f t="shared" si="2"/>
        <v>9426776.5254297797</v>
      </c>
      <c r="K26" s="98">
        <f t="shared" si="2"/>
        <v>5536304.2530166479</v>
      </c>
      <c r="L26" s="98">
        <f t="shared" si="2"/>
        <v>-8868600.9490125813</v>
      </c>
      <c r="M26" s="99">
        <f t="shared" si="2"/>
        <v>-13775694.912303856</v>
      </c>
      <c r="N26" s="120"/>
    </row>
    <row r="27" spans="1:16" x14ac:dyDescent="0.25">
      <c r="A27" s="2"/>
      <c r="B27" s="22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93"/>
    </row>
    <row r="28" spans="1:16" x14ac:dyDescent="0.25">
      <c r="A28" s="133" t="s">
        <v>12</v>
      </c>
      <c r="B28" s="23">
        <f>+'Aug 21 Int'!G6/12</f>
        <v>1.7091559095531441E-4</v>
      </c>
      <c r="C28" s="7">
        <f>+'Sept 21 Int'!G6/12</f>
        <v>1.6102763684097541E-4</v>
      </c>
      <c r="D28" s="7">
        <f>+'Oct 21 Int'!G6/12</f>
        <v>1.25E-4</v>
      </c>
      <c r="E28" s="7">
        <f>'Nov 21 Int'!G6/12</f>
        <v>1.276745198859246E-4</v>
      </c>
      <c r="F28" s="7">
        <f>'Dec 21 Int'!G6/12</f>
        <v>2.170530561197108E-4</v>
      </c>
      <c r="G28" s="7">
        <f>'Jan 22 Int'!G6/12</f>
        <v>1.9537535472920729E-4</v>
      </c>
      <c r="H28" s="7">
        <f>'Feb 22 Int'!G6/12</f>
        <v>2.4654047057005147E-4</v>
      </c>
      <c r="I28" s="7">
        <f>'Mar 22 Int'!G6/12</f>
        <v>5.7357976245895096E-4</v>
      </c>
      <c r="J28" s="7">
        <f>'Apr 22 Int'!G6/12</f>
        <v>5.0034652180606606E-4</v>
      </c>
      <c r="K28" s="7">
        <f>'May 22 Int'!G6/12</f>
        <v>7.9142088993797166E-4</v>
      </c>
      <c r="L28" s="7">
        <f>'Jun 22 Int'!G6/12</f>
        <v>1.2382212965076471E-3</v>
      </c>
      <c r="M28" s="95">
        <f>'Jul 22 Int'!G6/12</f>
        <v>1.7139082777822339E-3</v>
      </c>
      <c r="N28" s="120"/>
    </row>
    <row r="29" spans="1:16" x14ac:dyDescent="0.25">
      <c r="A29" s="8" t="s">
        <v>13</v>
      </c>
      <c r="B29" s="101">
        <f>(B26)*B28</f>
        <v>-2028.3941727222716</v>
      </c>
      <c r="C29" s="100">
        <f t="shared" ref="C29:M29" si="3">(C26+B31)*C28</f>
        <v>-2625.9397394190314</v>
      </c>
      <c r="D29" s="100">
        <f t="shared" si="3"/>
        <v>-423.6011250403447</v>
      </c>
      <c r="E29" s="100">
        <f t="shared" si="3"/>
        <v>322.19328845328766</v>
      </c>
      <c r="F29" s="100">
        <f t="shared" si="3"/>
        <v>1560.5221508306104</v>
      </c>
      <c r="G29" s="100">
        <f t="shared" si="3"/>
        <v>1612.1106308795802</v>
      </c>
      <c r="H29" s="100">
        <f t="shared" si="3"/>
        <v>2814.3454286879455</v>
      </c>
      <c r="I29" s="100">
        <f t="shared" si="3"/>
        <v>10067.963521994112</v>
      </c>
      <c r="J29" s="100">
        <f t="shared" si="3"/>
        <v>13504.203241427991</v>
      </c>
      <c r="K29" s="100">
        <f t="shared" si="3"/>
        <v>25752.447882361255</v>
      </c>
      <c r="L29" s="100">
        <f t="shared" si="3"/>
        <v>29341.710798893611</v>
      </c>
      <c r="M29" s="102">
        <f t="shared" si="3"/>
        <v>17053.915584124137</v>
      </c>
      <c r="N29" s="120"/>
      <c r="O29" s="257"/>
      <c r="P29" s="13"/>
    </row>
    <row r="30" spans="1:16" x14ac:dyDescent="0.25">
      <c r="A30" s="2"/>
      <c r="B30" s="104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5"/>
    </row>
    <row r="31" spans="1:16" ht="15.75" thickBot="1" x14ac:dyDescent="0.3">
      <c r="A31" s="6" t="s">
        <v>14</v>
      </c>
      <c r="B31" s="118">
        <f>B26+B29</f>
        <v>-11869840.811897632</v>
      </c>
      <c r="C31" s="98">
        <f>C26+C29+B31</f>
        <v>-16310011.373286501</v>
      </c>
      <c r="D31" s="98">
        <f t="shared" ref="D31:M31" si="4">D26+D29+C31</f>
        <v>-3389232.6014477983</v>
      </c>
      <c r="E31" s="98">
        <f t="shared" si="4"/>
        <v>2523874.1811178401</v>
      </c>
      <c r="F31" s="98">
        <f t="shared" si="4"/>
        <v>7191148.9975599898</v>
      </c>
      <c r="G31" s="98">
        <f t="shared" si="4"/>
        <v>8252963.1221951889</v>
      </c>
      <c r="H31" s="98">
        <f t="shared" si="4"/>
        <v>11418162.998656329</v>
      </c>
      <c r="I31" s="98">
        <f t="shared" si="4"/>
        <v>17562924.917248003</v>
      </c>
      <c r="J31" s="98">
        <f t="shared" si="4"/>
        <v>27003205.645919211</v>
      </c>
      <c r="K31" s="98">
        <f t="shared" si="4"/>
        <v>32565262.34681822</v>
      </c>
      <c r="L31" s="98">
        <f t="shared" si="4"/>
        <v>23726003.108604532</v>
      </c>
      <c r="M31" s="99">
        <f t="shared" si="4"/>
        <v>9967362.1118848007</v>
      </c>
      <c r="N31" s="120"/>
      <c r="P31" s="13"/>
    </row>
    <row r="38" spans="2:8" x14ac:dyDescent="0.25">
      <c r="B38" s="79"/>
      <c r="C38" s="79"/>
      <c r="D38" s="79"/>
      <c r="E38" s="79"/>
      <c r="F38" s="79"/>
      <c r="G38" s="79"/>
      <c r="H38" s="79"/>
    </row>
    <row r="39" spans="2:8" x14ac:dyDescent="0.25">
      <c r="B39" s="80"/>
      <c r="C39" s="80"/>
      <c r="D39" s="80"/>
      <c r="E39" s="80"/>
      <c r="F39" s="80"/>
      <c r="G39" s="80"/>
      <c r="H39" s="80"/>
    </row>
    <row r="40" spans="2:8" x14ac:dyDescent="0.25">
      <c r="B40" s="80"/>
      <c r="C40" s="80"/>
      <c r="D40" s="80"/>
      <c r="E40" s="80"/>
      <c r="F40" s="80"/>
      <c r="G40" s="80"/>
      <c r="H40" s="80"/>
    </row>
    <row r="41" spans="2:8" x14ac:dyDescent="0.25">
      <c r="B41" s="80"/>
      <c r="C41" s="80"/>
      <c r="D41" s="80"/>
      <c r="E41" s="80"/>
      <c r="F41" s="80"/>
      <c r="G41" s="80"/>
      <c r="H41" s="80"/>
    </row>
  </sheetData>
  <mergeCells count="1">
    <mergeCell ref="B3:M3"/>
  </mergeCells>
  <pageMargins left="0.7" right="0.7" top="0.75" bottom="0.75" header="0.3" footer="0.3"/>
  <pageSetup scale="3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0"/>
  <dimension ref="A1:EQ47"/>
  <sheetViews>
    <sheetView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ColWidth="8.7109375" defaultRowHeight="12.75" x14ac:dyDescent="0.2"/>
  <cols>
    <col min="1" max="1" width="14.5703125" style="182" bestFit="1" customWidth="1"/>
    <col min="2" max="2" width="15.5703125" style="183" bestFit="1" customWidth="1"/>
    <col min="3" max="3" width="15.42578125" style="185" bestFit="1" customWidth="1"/>
    <col min="4" max="4" width="15.42578125" style="182" bestFit="1" customWidth="1"/>
    <col min="5" max="5" width="15.5703125" style="183" bestFit="1" customWidth="1"/>
    <col min="6" max="6" width="12.28515625" style="185" bestFit="1" customWidth="1"/>
    <col min="7" max="7" width="15.42578125" style="182" bestFit="1" customWidth="1"/>
    <col min="8" max="8" width="15.42578125" style="183" hidden="1" customWidth="1"/>
    <col min="9" max="9" width="10.28515625" style="185" hidden="1" customWidth="1"/>
    <col min="10" max="10" width="13.42578125" style="182" hidden="1" customWidth="1"/>
    <col min="11" max="11" width="14.42578125" style="183" hidden="1" customWidth="1"/>
    <col min="12" max="12" width="10.28515625" style="185" hidden="1" customWidth="1"/>
    <col min="13" max="13" width="11.7109375" style="182" hidden="1" customWidth="1"/>
    <col min="14" max="14" width="14.42578125" style="183" hidden="1" customWidth="1"/>
    <col min="15" max="15" width="10.28515625" style="185" hidden="1" customWidth="1"/>
    <col min="16" max="16" width="11.7109375" style="182" hidden="1" customWidth="1"/>
    <col min="17" max="17" width="15.42578125" style="183" hidden="1" customWidth="1"/>
    <col min="18" max="18" width="10.28515625" style="185" hidden="1" customWidth="1"/>
    <col min="19" max="19" width="11.7109375" style="182" hidden="1" customWidth="1"/>
    <col min="20" max="20" width="15.42578125" style="183" hidden="1" customWidth="1"/>
    <col min="21" max="21" width="10.28515625" style="185" hidden="1" customWidth="1"/>
    <col min="22" max="22" width="11.7109375" style="182" hidden="1" customWidth="1"/>
    <col min="23" max="23" width="15.42578125" style="183" hidden="1" customWidth="1"/>
    <col min="24" max="24" width="10.28515625" style="185" hidden="1" customWidth="1"/>
    <col min="25" max="25" width="11.7109375" style="182" hidden="1" customWidth="1"/>
    <col min="26" max="26" width="15.42578125" style="183" hidden="1" customWidth="1"/>
    <col min="27" max="27" width="10.28515625" style="185" hidden="1" customWidth="1"/>
    <col min="28" max="28" width="11.7109375" style="182" hidden="1" customWidth="1"/>
    <col min="29" max="29" width="15.42578125" style="183" hidden="1" customWidth="1"/>
    <col min="30" max="30" width="10.28515625" style="185" hidden="1" customWidth="1"/>
    <col min="31" max="31" width="11.7109375" style="182" hidden="1" customWidth="1"/>
    <col min="32" max="32" width="14.42578125" style="183" hidden="1" customWidth="1"/>
    <col min="33" max="33" width="10.28515625" style="185" hidden="1" customWidth="1"/>
    <col min="34" max="34" width="10.7109375" style="182" hidden="1" customWidth="1"/>
    <col min="35" max="35" width="14.42578125" style="183" customWidth="1"/>
    <col min="36" max="36" width="10.28515625" style="185" customWidth="1"/>
    <col min="37" max="37" width="11.7109375" style="182" bestFit="1" customWidth="1"/>
    <col min="38" max="38" width="14.42578125" style="183" customWidth="1"/>
    <col min="39" max="39" width="10.28515625" style="185" customWidth="1"/>
    <col min="40" max="40" width="10.7109375" style="182" customWidth="1"/>
    <col min="41" max="41" width="15.42578125" style="183" bestFit="1" customWidth="1"/>
    <col min="42" max="42" width="12.28515625" style="185" bestFit="1" customWidth="1"/>
    <col min="43" max="43" width="11.7109375" style="182" bestFit="1" customWidth="1"/>
    <col min="44" max="44" width="15.42578125" style="183" bestFit="1" customWidth="1"/>
    <col min="45" max="45" width="10.28515625" style="185" bestFit="1" customWidth="1"/>
    <col min="46" max="46" width="11.7109375" style="182" bestFit="1" customWidth="1"/>
    <col min="47" max="47" width="14.42578125" style="183" customWidth="1"/>
    <col min="48" max="48" width="10.28515625" style="185" customWidth="1"/>
    <col min="49" max="49" width="10.7109375" style="182" customWidth="1"/>
    <col min="50" max="50" width="14.42578125" style="183" customWidth="1"/>
    <col min="51" max="51" width="10.28515625" style="185" customWidth="1"/>
    <col min="52" max="52" width="10.7109375" style="182" customWidth="1"/>
    <col min="53" max="53" width="14.42578125" style="183" customWidth="1"/>
    <col min="54" max="54" width="10.28515625" style="185" customWidth="1"/>
    <col min="55" max="55" width="10.7109375" style="182" customWidth="1"/>
    <col min="56" max="56" width="14.42578125" style="183" customWidth="1"/>
    <col min="57" max="57" width="10.28515625" style="185" customWidth="1"/>
    <col min="58" max="58" width="10.7109375" style="182" customWidth="1"/>
    <col min="59" max="59" width="14.42578125" style="183" customWidth="1"/>
    <col min="60" max="60" width="10.28515625" style="185" customWidth="1"/>
    <col min="61" max="61" width="10.7109375" style="182" customWidth="1"/>
    <col min="62" max="62" width="14.42578125" style="183" customWidth="1"/>
    <col min="63" max="63" width="10.28515625" style="185" customWidth="1"/>
    <col min="64" max="64" width="10.7109375" style="182" customWidth="1"/>
    <col min="65" max="65" width="14.42578125" style="183" hidden="1" customWidth="1"/>
    <col min="66" max="66" width="10.28515625" style="185" hidden="1" customWidth="1"/>
    <col min="67" max="67" width="10.7109375" style="182" hidden="1" customWidth="1"/>
    <col min="68" max="68" width="14.42578125" style="183" hidden="1" customWidth="1"/>
    <col min="69" max="69" width="10.28515625" style="185" hidden="1" customWidth="1"/>
    <col min="70" max="70" width="10.7109375" style="182" hidden="1" customWidth="1"/>
    <col min="71" max="71" width="14.42578125" style="183" hidden="1" customWidth="1"/>
    <col min="72" max="72" width="10.28515625" style="185" hidden="1" customWidth="1"/>
    <col min="73" max="73" width="10.7109375" style="182" hidden="1" customWidth="1"/>
    <col min="74" max="74" width="14.42578125" style="183" hidden="1" customWidth="1"/>
    <col min="75" max="75" width="10.28515625" style="185" hidden="1" customWidth="1"/>
    <col min="76" max="76" width="10.7109375" style="182" hidden="1" customWidth="1"/>
    <col min="77" max="77" width="14.42578125" style="183" hidden="1" customWidth="1"/>
    <col min="78" max="78" width="10.28515625" style="185" hidden="1" customWidth="1"/>
    <col min="79" max="79" width="10.7109375" style="182" hidden="1" customWidth="1"/>
    <col min="80" max="80" width="14.42578125" style="183" hidden="1" customWidth="1"/>
    <col min="81" max="81" width="10.28515625" style="185" hidden="1" customWidth="1"/>
    <col min="82" max="82" width="10.7109375" style="182" hidden="1" customWidth="1"/>
    <col min="83" max="83" width="14.42578125" style="183" hidden="1" customWidth="1"/>
    <col min="84" max="84" width="10.28515625" style="185" hidden="1" customWidth="1"/>
    <col min="85" max="85" width="10.7109375" style="182" hidden="1" customWidth="1"/>
    <col min="86" max="86" width="14.42578125" style="183" hidden="1" customWidth="1"/>
    <col min="87" max="87" width="10.28515625" style="185" hidden="1" customWidth="1"/>
    <col min="88" max="88" width="10.7109375" style="182" hidden="1" customWidth="1"/>
    <col min="89" max="89" width="14.42578125" style="183" hidden="1" customWidth="1"/>
    <col min="90" max="90" width="10.28515625" style="185" hidden="1" customWidth="1"/>
    <col min="91" max="91" width="10.7109375" style="182" hidden="1" customWidth="1"/>
    <col min="92" max="92" width="14.42578125" style="183" hidden="1" customWidth="1"/>
    <col min="93" max="93" width="10.28515625" style="185" hidden="1" customWidth="1"/>
    <col min="94" max="94" width="10.7109375" style="182" hidden="1" customWidth="1"/>
    <col min="95" max="95" width="14.42578125" style="183" hidden="1" customWidth="1"/>
    <col min="96" max="96" width="10.28515625" style="185" hidden="1" customWidth="1"/>
    <col min="97" max="97" width="10.7109375" style="182" hidden="1" customWidth="1"/>
    <col min="98" max="98" width="14.42578125" style="183" hidden="1" customWidth="1"/>
    <col min="99" max="99" width="10.28515625" style="185" hidden="1" customWidth="1"/>
    <col min="100" max="100" width="10.7109375" style="182" hidden="1" customWidth="1"/>
    <col min="101" max="101" width="14.42578125" style="183" hidden="1" customWidth="1"/>
    <col min="102" max="102" width="10.28515625" style="185" hidden="1" customWidth="1"/>
    <col min="103" max="103" width="10.7109375" style="182" hidden="1" customWidth="1"/>
    <col min="104" max="104" width="14.42578125" style="183" hidden="1" customWidth="1"/>
    <col min="105" max="105" width="10.28515625" style="185" hidden="1" customWidth="1"/>
    <col min="106" max="106" width="10.7109375" style="182" hidden="1" customWidth="1"/>
    <col min="107" max="107" width="14.42578125" style="183" hidden="1" customWidth="1"/>
    <col min="108" max="108" width="10.28515625" style="185" hidden="1" customWidth="1"/>
    <col min="109" max="109" width="10.7109375" style="182" hidden="1" customWidth="1"/>
    <col min="110" max="110" width="14.42578125" style="183" hidden="1" customWidth="1"/>
    <col min="111" max="111" width="10.28515625" style="185" hidden="1" customWidth="1"/>
    <col min="112" max="112" width="10.7109375" style="182" hidden="1" customWidth="1"/>
    <col min="113" max="113" width="14.42578125" style="183" hidden="1" customWidth="1"/>
    <col min="114" max="114" width="10.28515625" style="185" hidden="1" customWidth="1"/>
    <col min="115" max="115" width="10.7109375" style="182" hidden="1" customWidth="1"/>
    <col min="116" max="116" width="14.42578125" style="183" hidden="1" customWidth="1"/>
    <col min="117" max="117" width="10.28515625" style="185" hidden="1" customWidth="1"/>
    <col min="118" max="118" width="10.7109375" style="182" hidden="1" customWidth="1"/>
    <col min="119" max="119" width="14.42578125" style="183" hidden="1" customWidth="1"/>
    <col min="120" max="120" width="10.28515625" style="185" hidden="1" customWidth="1"/>
    <col min="121" max="121" width="10.7109375" style="182" hidden="1" customWidth="1"/>
    <col min="122" max="122" width="14.42578125" style="183" hidden="1" customWidth="1"/>
    <col min="123" max="123" width="10.28515625" style="185" hidden="1" customWidth="1"/>
    <col min="124" max="124" width="10.7109375" style="182" hidden="1" customWidth="1"/>
    <col min="125" max="125" width="14.42578125" style="183" hidden="1" customWidth="1"/>
    <col min="126" max="126" width="10.28515625" style="185" hidden="1" customWidth="1"/>
    <col min="127" max="127" width="10.7109375" style="182" hidden="1" customWidth="1"/>
    <col min="128" max="128" width="14.42578125" style="183" hidden="1" customWidth="1"/>
    <col min="129" max="129" width="10.28515625" style="185" hidden="1" customWidth="1"/>
    <col min="130" max="130" width="10.7109375" style="182" hidden="1" customWidth="1"/>
    <col min="131" max="131" width="2.7109375" style="182" customWidth="1"/>
    <col min="132" max="132" width="15.42578125" style="182" bestFit="1" customWidth="1"/>
    <col min="133" max="133" width="15.42578125" style="182" hidden="1" customWidth="1"/>
    <col min="134" max="134" width="14.42578125" style="182" bestFit="1" customWidth="1"/>
    <col min="135" max="135" width="17.7109375" style="182" bestFit="1" customWidth="1"/>
    <col min="136" max="136" width="2.7109375" style="182" customWidth="1"/>
    <col min="137" max="137" width="15.42578125" style="182" hidden="1" customWidth="1"/>
    <col min="138" max="138" width="14.42578125" style="182" hidden="1" customWidth="1"/>
    <col min="139" max="139" width="12.42578125" style="182" hidden="1" customWidth="1"/>
    <col min="140" max="140" width="2.7109375" style="182" hidden="1" customWidth="1"/>
    <col min="141" max="141" width="15.42578125" style="182" bestFit="1" customWidth="1"/>
    <col min="142" max="142" width="15.42578125" style="182" hidden="1" customWidth="1"/>
    <col min="143" max="143" width="14.42578125" style="182" bestFit="1" customWidth="1"/>
    <col min="144" max="144" width="15.42578125" style="182" bestFit="1" customWidth="1"/>
    <col min="145" max="145" width="45" style="182" bestFit="1" customWidth="1"/>
    <col min="146" max="146" width="19.42578125" style="182" bestFit="1" customWidth="1"/>
    <col min="147" max="147" width="23.140625" style="182" bestFit="1" customWidth="1"/>
    <col min="148" max="16384" width="8.7109375" style="182"/>
  </cols>
  <sheetData>
    <row r="1" spans="1:147" s="177" customFormat="1" ht="15.75" x14ac:dyDescent="0.25">
      <c r="A1" s="174" t="s">
        <v>0</v>
      </c>
      <c r="B1" s="175"/>
      <c r="C1" s="176"/>
      <c r="E1" s="175"/>
      <c r="F1" s="176"/>
      <c r="H1" s="175"/>
      <c r="I1" s="176"/>
      <c r="K1" s="175"/>
      <c r="L1" s="176"/>
      <c r="N1" s="175"/>
      <c r="O1" s="176"/>
      <c r="Q1" s="175"/>
      <c r="R1" s="176"/>
      <c r="T1" s="175"/>
      <c r="U1" s="176"/>
      <c r="W1" s="175"/>
      <c r="X1" s="176"/>
      <c r="Z1" s="175"/>
      <c r="AA1" s="176"/>
      <c r="AC1" s="175"/>
      <c r="AD1" s="176"/>
      <c r="AF1" s="175"/>
      <c r="AG1" s="176"/>
      <c r="AI1" s="175"/>
      <c r="AJ1" s="176"/>
      <c r="AL1" s="175"/>
      <c r="AM1" s="176"/>
      <c r="AO1" s="175"/>
      <c r="AP1" s="176"/>
      <c r="AR1" s="175"/>
      <c r="AS1" s="176"/>
      <c r="AU1" s="175"/>
      <c r="AV1" s="176"/>
      <c r="AX1" s="175"/>
      <c r="AY1" s="176"/>
      <c r="BA1" s="175"/>
      <c r="BB1" s="176"/>
      <c r="BD1" s="175"/>
      <c r="BE1" s="176"/>
      <c r="BG1" s="175"/>
      <c r="BH1" s="176"/>
      <c r="BJ1" s="175"/>
      <c r="BK1" s="176"/>
      <c r="BM1" s="175"/>
      <c r="BN1" s="176"/>
      <c r="BP1" s="175"/>
      <c r="BQ1" s="176"/>
      <c r="BS1" s="175"/>
      <c r="BT1" s="176"/>
      <c r="BV1" s="175"/>
      <c r="BW1" s="176"/>
      <c r="BY1" s="175"/>
      <c r="BZ1" s="176"/>
      <c r="CB1" s="175"/>
      <c r="CC1" s="176"/>
      <c r="CE1" s="175"/>
      <c r="CF1" s="176"/>
      <c r="CH1" s="175"/>
      <c r="CI1" s="176"/>
      <c r="CK1" s="175"/>
      <c r="CL1" s="176"/>
      <c r="CN1" s="175"/>
      <c r="CO1" s="176"/>
      <c r="CQ1" s="175"/>
      <c r="CR1" s="176"/>
      <c r="CT1" s="175"/>
      <c r="CU1" s="176"/>
      <c r="CW1" s="175"/>
      <c r="CX1" s="176"/>
      <c r="CZ1" s="175"/>
      <c r="DA1" s="176"/>
      <c r="DC1" s="175"/>
      <c r="DD1" s="176"/>
      <c r="DF1" s="175"/>
      <c r="DG1" s="176"/>
      <c r="DI1" s="175"/>
      <c r="DJ1" s="176"/>
      <c r="DL1" s="175"/>
      <c r="DM1" s="176"/>
      <c r="DO1" s="175"/>
      <c r="DP1" s="176"/>
      <c r="DR1" s="175"/>
      <c r="DS1" s="176"/>
      <c r="DU1" s="175"/>
      <c r="DV1" s="176"/>
      <c r="DX1" s="175"/>
      <c r="DY1" s="176"/>
      <c r="DZ1" s="178"/>
      <c r="ED1" s="179"/>
      <c r="EE1" s="180" t="s">
        <v>91</v>
      </c>
      <c r="EI1" s="179" t="s">
        <v>92</v>
      </c>
      <c r="EM1" s="179"/>
      <c r="EN1" s="179" t="s">
        <v>93</v>
      </c>
      <c r="EO1" s="174" t="s">
        <v>94</v>
      </c>
      <c r="EP1" s="174" t="s">
        <v>95</v>
      </c>
      <c r="EQ1" s="174" t="s">
        <v>96</v>
      </c>
    </row>
    <row r="2" spans="1:147" s="177" customFormat="1" ht="16.5" thickBot="1" x14ac:dyDescent="0.3">
      <c r="A2" s="174" t="s">
        <v>97</v>
      </c>
      <c r="B2" s="175"/>
      <c r="C2" s="176"/>
      <c r="E2" s="181"/>
      <c r="F2" s="176"/>
      <c r="G2" s="179"/>
      <c r="H2" s="175"/>
      <c r="I2" s="176"/>
      <c r="K2" s="175"/>
      <c r="L2" s="176"/>
      <c r="N2" s="175"/>
      <c r="O2" s="176"/>
      <c r="Q2" s="175"/>
      <c r="R2" s="176"/>
      <c r="T2" s="175"/>
      <c r="U2" s="176"/>
      <c r="W2" s="175"/>
      <c r="X2" s="176"/>
      <c r="Z2" s="175"/>
      <c r="AA2" s="176"/>
      <c r="AC2" s="175"/>
      <c r="AD2" s="176"/>
      <c r="AF2" s="175"/>
      <c r="AG2" s="176"/>
      <c r="AI2" s="175"/>
      <c r="AJ2" s="176"/>
      <c r="AL2" s="175"/>
      <c r="AM2" s="176"/>
      <c r="AO2" s="175"/>
      <c r="AP2" s="176"/>
      <c r="AR2" s="175"/>
      <c r="AS2" s="176"/>
      <c r="AU2" s="175"/>
      <c r="AV2" s="176"/>
      <c r="AX2" s="175"/>
      <c r="AY2" s="176"/>
      <c r="BA2" s="175"/>
      <c r="BB2" s="176"/>
      <c r="BD2" s="175"/>
      <c r="BE2" s="176"/>
      <c r="BG2" s="175"/>
      <c r="BH2" s="176"/>
      <c r="BJ2" s="175"/>
      <c r="BK2" s="176"/>
      <c r="BM2" s="175"/>
      <c r="BN2" s="176"/>
      <c r="BP2" s="175"/>
      <c r="BQ2" s="176"/>
      <c r="BS2" s="175"/>
      <c r="BT2" s="176"/>
      <c r="BV2" s="175"/>
      <c r="BW2" s="176"/>
      <c r="BY2" s="175"/>
      <c r="BZ2" s="176"/>
      <c r="CB2" s="175"/>
      <c r="CC2" s="176"/>
      <c r="CE2" s="175"/>
      <c r="CF2" s="176"/>
      <c r="CH2" s="175"/>
      <c r="CI2" s="176"/>
      <c r="CK2" s="175"/>
      <c r="CL2" s="176"/>
      <c r="CN2" s="175"/>
      <c r="CO2" s="176"/>
      <c r="CQ2" s="175"/>
      <c r="CR2" s="176"/>
      <c r="CT2" s="175"/>
      <c r="CU2" s="176"/>
      <c r="CW2" s="175"/>
      <c r="CX2" s="176"/>
      <c r="CZ2" s="175"/>
      <c r="DA2" s="176"/>
      <c r="DC2" s="175"/>
      <c r="DD2" s="176"/>
      <c r="DF2" s="175"/>
      <c r="DG2" s="176"/>
      <c r="DI2" s="175"/>
      <c r="DJ2" s="176"/>
      <c r="DL2" s="175"/>
      <c r="DM2" s="176"/>
      <c r="DO2" s="175"/>
      <c r="DP2" s="176"/>
      <c r="DR2" s="175"/>
      <c r="DS2" s="176"/>
      <c r="DU2" s="175"/>
      <c r="DV2" s="176"/>
      <c r="DX2" s="175"/>
      <c r="DY2" s="176"/>
      <c r="EB2" s="182" t="s">
        <v>98</v>
      </c>
      <c r="EC2" s="182"/>
      <c r="ED2" s="183"/>
      <c r="EE2" s="183">
        <f>EB40</f>
        <v>285150000</v>
      </c>
      <c r="EI2" s="183">
        <f>EG40</f>
        <v>0</v>
      </c>
      <c r="EM2" s="183"/>
      <c r="EN2" s="183">
        <f>EK40</f>
        <v>285150000</v>
      </c>
      <c r="EO2" s="175">
        <v>-150312.5</v>
      </c>
      <c r="EP2" s="175">
        <f>EN2+EO2</f>
        <v>284999687.5</v>
      </c>
      <c r="EQ2" s="175">
        <f>EE2+EO2</f>
        <v>284999687.5</v>
      </c>
    </row>
    <row r="3" spans="1:147" ht="16.5" thickTop="1" x14ac:dyDescent="0.25">
      <c r="A3" s="184" t="s">
        <v>239</v>
      </c>
      <c r="E3" s="186" t="s">
        <v>100</v>
      </c>
      <c r="F3" s="187"/>
      <c r="G3" s="188"/>
      <c r="EB3" s="182" t="s">
        <v>101</v>
      </c>
      <c r="ED3" s="183"/>
      <c r="EE3" s="183">
        <f>AVERAGE(EB11:EB40)</f>
        <v>255558333.33333334</v>
      </c>
      <c r="EI3" s="183">
        <f>AVERAGE(EG11:EG40)</f>
        <v>0</v>
      </c>
      <c r="EM3" s="183"/>
      <c r="EN3" s="183">
        <f>AVERAGE(EK11:EK40)</f>
        <v>251925000</v>
      </c>
    </row>
    <row r="4" spans="1:147" x14ac:dyDescent="0.2">
      <c r="E4" s="189" t="s">
        <v>98</v>
      </c>
      <c r="F4" s="183"/>
      <c r="G4" s="190">
        <f>EQ2</f>
        <v>284999687.5</v>
      </c>
      <c r="AI4" s="191" t="s">
        <v>102</v>
      </c>
      <c r="EB4" s="182" t="s">
        <v>103</v>
      </c>
      <c r="ED4" s="185"/>
      <c r="EE4" s="185">
        <f>IF(EE3=0,0,360*(AVERAGE(ED11:ED40)/EE3))</f>
        <v>1.4858655558091766E-2</v>
      </c>
      <c r="EI4" s="185">
        <f>IF(EI3=0,0,360*(AVERAGE(EH11:EH40)/EI3))</f>
        <v>0</v>
      </c>
      <c r="EM4" s="185"/>
      <c r="EN4" s="185">
        <f>IF(EN3=0,0,360*(AVERAGE(EM11:EM40)/EN3))</f>
        <v>1.492291852733949E-2</v>
      </c>
      <c r="EO4" s="192" t="s">
        <v>104</v>
      </c>
      <c r="EQ4" s="193" t="s">
        <v>102</v>
      </c>
    </row>
    <row r="5" spans="1:147" ht="15.75" x14ac:dyDescent="0.25">
      <c r="E5" s="189" t="s">
        <v>101</v>
      </c>
      <c r="F5" s="183"/>
      <c r="G5" s="190">
        <f>EE3</f>
        <v>255558333.33333334</v>
      </c>
      <c r="AI5" s="194" t="s">
        <v>93</v>
      </c>
      <c r="EB5" s="182" t="s">
        <v>105</v>
      </c>
      <c r="ED5" s="183"/>
      <c r="EE5" s="183">
        <f>MAX(EB11:EB40)</f>
        <v>303175000</v>
      </c>
      <c r="EI5" s="183">
        <f>MAX(EG11:EG40)</f>
        <v>0</v>
      </c>
      <c r="EM5" s="183"/>
      <c r="EN5" s="183">
        <f>MAX(EK11:EK40)</f>
        <v>303175000</v>
      </c>
    </row>
    <row r="6" spans="1:147" x14ac:dyDescent="0.2">
      <c r="E6" s="189" t="s">
        <v>103</v>
      </c>
      <c r="F6" s="183"/>
      <c r="G6" s="195">
        <f>EE4</f>
        <v>1.4858655558091766E-2</v>
      </c>
    </row>
    <row r="7" spans="1:147" ht="16.5" thickBot="1" x14ac:dyDescent="0.3">
      <c r="E7" s="196" t="s">
        <v>105</v>
      </c>
      <c r="F7" s="197"/>
      <c r="G7" s="198">
        <f>EE5</f>
        <v>303175000</v>
      </c>
      <c r="AI7" s="194" t="s">
        <v>93</v>
      </c>
      <c r="EB7" s="199" t="s">
        <v>106</v>
      </c>
      <c r="EC7" s="199"/>
      <c r="ED7" s="200"/>
      <c r="EE7" s="200"/>
      <c r="EG7" s="199" t="s">
        <v>107</v>
      </c>
      <c r="EH7" s="200"/>
      <c r="EI7" s="200"/>
      <c r="EJ7" s="201"/>
      <c r="EK7" s="199" t="s">
        <v>108</v>
      </c>
      <c r="EL7" s="199"/>
      <c r="EM7" s="200"/>
      <c r="EN7" s="200"/>
    </row>
    <row r="8" spans="1:147" ht="13.5" thickTop="1" x14ac:dyDescent="0.2">
      <c r="AI8" s="178" t="s">
        <v>109</v>
      </c>
      <c r="AL8" s="178" t="s">
        <v>109</v>
      </c>
      <c r="AO8" s="178" t="s">
        <v>109</v>
      </c>
      <c r="AR8" s="178" t="s">
        <v>109</v>
      </c>
      <c r="AU8" s="178" t="s">
        <v>109</v>
      </c>
      <c r="AX8" s="178" t="s">
        <v>109</v>
      </c>
      <c r="BA8" s="178" t="s">
        <v>109</v>
      </c>
      <c r="BD8" s="178" t="s">
        <v>109</v>
      </c>
      <c r="BG8" s="178" t="s">
        <v>109</v>
      </c>
      <c r="BJ8" s="178" t="s">
        <v>109</v>
      </c>
      <c r="BM8" s="178" t="s">
        <v>109</v>
      </c>
      <c r="BP8" s="178" t="s">
        <v>109</v>
      </c>
      <c r="BS8" s="178" t="s">
        <v>109</v>
      </c>
      <c r="BV8" s="178" t="s">
        <v>109</v>
      </c>
      <c r="BY8" s="178" t="s">
        <v>109</v>
      </c>
      <c r="CB8" s="178" t="s">
        <v>109</v>
      </c>
      <c r="CE8" s="178" t="s">
        <v>109</v>
      </c>
      <c r="CH8" s="178" t="s">
        <v>109</v>
      </c>
      <c r="CK8" s="178" t="s">
        <v>109</v>
      </c>
      <c r="CN8" s="178" t="s">
        <v>109</v>
      </c>
      <c r="CQ8" s="178" t="s">
        <v>109</v>
      </c>
      <c r="CT8" s="178" t="s">
        <v>109</v>
      </c>
      <c r="CW8" s="178" t="s">
        <v>109</v>
      </c>
      <c r="CZ8" s="178" t="s">
        <v>109</v>
      </c>
      <c r="DC8" s="178" t="s">
        <v>109</v>
      </c>
      <c r="DF8" s="178" t="s">
        <v>109</v>
      </c>
      <c r="DI8" s="178" t="s">
        <v>109</v>
      </c>
      <c r="DL8" s="178" t="s">
        <v>109</v>
      </c>
      <c r="DO8" s="178" t="s">
        <v>109</v>
      </c>
      <c r="DR8" s="178" t="s">
        <v>109</v>
      </c>
      <c r="EB8" s="202"/>
      <c r="EC8" s="202"/>
      <c r="ED8" s="202"/>
      <c r="EE8" s="202" t="s">
        <v>110</v>
      </c>
      <c r="EG8" s="202"/>
      <c r="EH8" s="203" t="s">
        <v>92</v>
      </c>
      <c r="EI8" s="202" t="s">
        <v>110</v>
      </c>
      <c r="EJ8" s="202"/>
      <c r="EK8" s="193" t="s">
        <v>111</v>
      </c>
      <c r="EL8" s="193" t="s">
        <v>112</v>
      </c>
      <c r="EM8" s="203" t="s">
        <v>113</v>
      </c>
      <c r="EN8" s="202" t="s">
        <v>110</v>
      </c>
    </row>
    <row r="9" spans="1:147" x14ac:dyDescent="0.2">
      <c r="B9" s="204" t="s">
        <v>114</v>
      </c>
      <c r="C9" s="205"/>
      <c r="D9" s="200"/>
      <c r="E9" s="204" t="s">
        <v>115</v>
      </c>
      <c r="F9" s="205"/>
      <c r="G9" s="200"/>
      <c r="H9" s="204" t="s">
        <v>116</v>
      </c>
      <c r="I9" s="205"/>
      <c r="J9" s="200"/>
      <c r="K9" s="204" t="s">
        <v>117</v>
      </c>
      <c r="L9" s="205"/>
      <c r="M9" s="200"/>
      <c r="N9" s="204" t="s">
        <v>118</v>
      </c>
      <c r="O9" s="205"/>
      <c r="P9" s="200"/>
      <c r="Q9" s="204" t="s">
        <v>119</v>
      </c>
      <c r="R9" s="205"/>
      <c r="S9" s="200"/>
      <c r="T9" s="204" t="s">
        <v>120</v>
      </c>
      <c r="U9" s="205"/>
      <c r="V9" s="200"/>
      <c r="W9" s="204" t="s">
        <v>121</v>
      </c>
      <c r="X9" s="205"/>
      <c r="Y9" s="200"/>
      <c r="Z9" s="204" t="s">
        <v>122</v>
      </c>
      <c r="AA9" s="205"/>
      <c r="AB9" s="200"/>
      <c r="AC9" s="206" t="s">
        <v>123</v>
      </c>
      <c r="AD9" s="205"/>
      <c r="AE9" s="200"/>
      <c r="AF9" s="206" t="s">
        <v>124</v>
      </c>
      <c r="AG9" s="205"/>
      <c r="AH9" s="200"/>
      <c r="AI9" s="204" t="s">
        <v>125</v>
      </c>
      <c r="AJ9" s="205"/>
      <c r="AK9" s="200"/>
      <c r="AL9" s="204" t="s">
        <v>126</v>
      </c>
      <c r="AM9" s="205"/>
      <c r="AN9" s="200"/>
      <c r="AO9" s="204" t="s">
        <v>127</v>
      </c>
      <c r="AP9" s="205"/>
      <c r="AQ9" s="200"/>
      <c r="AR9" s="204" t="s">
        <v>128</v>
      </c>
      <c r="AS9" s="205"/>
      <c r="AT9" s="200"/>
      <c r="AU9" s="204" t="s">
        <v>129</v>
      </c>
      <c r="AV9" s="205"/>
      <c r="AW9" s="200"/>
      <c r="AX9" s="204" t="s">
        <v>130</v>
      </c>
      <c r="AY9" s="205"/>
      <c r="AZ9" s="200"/>
      <c r="BA9" s="204" t="s">
        <v>131</v>
      </c>
      <c r="BB9" s="205"/>
      <c r="BC9" s="200"/>
      <c r="BD9" s="204" t="s">
        <v>132</v>
      </c>
      <c r="BE9" s="205"/>
      <c r="BF9" s="200"/>
      <c r="BG9" s="204" t="s">
        <v>133</v>
      </c>
      <c r="BH9" s="205"/>
      <c r="BI9" s="200"/>
      <c r="BJ9" s="204" t="s">
        <v>134</v>
      </c>
      <c r="BK9" s="205"/>
      <c r="BL9" s="200"/>
      <c r="BM9" s="204" t="s">
        <v>135</v>
      </c>
      <c r="BN9" s="205"/>
      <c r="BO9" s="200"/>
      <c r="BP9" s="204" t="s">
        <v>136</v>
      </c>
      <c r="BQ9" s="205"/>
      <c r="BR9" s="200"/>
      <c r="BS9" s="204" t="s">
        <v>137</v>
      </c>
      <c r="BT9" s="205"/>
      <c r="BU9" s="200"/>
      <c r="BV9" s="204" t="s">
        <v>138</v>
      </c>
      <c r="BW9" s="205"/>
      <c r="BX9" s="200"/>
      <c r="BY9" s="204" t="s">
        <v>139</v>
      </c>
      <c r="BZ9" s="205"/>
      <c r="CA9" s="200"/>
      <c r="CB9" s="204" t="s">
        <v>140</v>
      </c>
      <c r="CC9" s="205"/>
      <c r="CD9" s="200"/>
      <c r="CE9" s="204" t="s">
        <v>141</v>
      </c>
      <c r="CF9" s="205"/>
      <c r="CG9" s="200"/>
      <c r="CH9" s="204" t="s">
        <v>142</v>
      </c>
      <c r="CI9" s="205"/>
      <c r="CJ9" s="200"/>
      <c r="CK9" s="204" t="s">
        <v>143</v>
      </c>
      <c r="CL9" s="205"/>
      <c r="CM9" s="200"/>
      <c r="CN9" s="204" t="s">
        <v>144</v>
      </c>
      <c r="CO9" s="205"/>
      <c r="CP9" s="200"/>
      <c r="CQ9" s="204" t="s">
        <v>145</v>
      </c>
      <c r="CR9" s="205"/>
      <c r="CS9" s="200"/>
      <c r="CT9" s="204" t="s">
        <v>146</v>
      </c>
      <c r="CU9" s="205"/>
      <c r="CV9" s="200"/>
      <c r="CW9" s="204" t="s">
        <v>147</v>
      </c>
      <c r="CX9" s="205"/>
      <c r="CY9" s="200"/>
      <c r="CZ9" s="204" t="s">
        <v>148</v>
      </c>
      <c r="DA9" s="205"/>
      <c r="DB9" s="200"/>
      <c r="DC9" s="204" t="s">
        <v>149</v>
      </c>
      <c r="DD9" s="205"/>
      <c r="DE9" s="200"/>
      <c r="DF9" s="204" t="s">
        <v>150</v>
      </c>
      <c r="DG9" s="205"/>
      <c r="DH9" s="200"/>
      <c r="DI9" s="204" t="s">
        <v>151</v>
      </c>
      <c r="DJ9" s="205"/>
      <c r="DK9" s="200"/>
      <c r="DL9" s="204" t="s">
        <v>152</v>
      </c>
      <c r="DM9" s="205"/>
      <c r="DN9" s="200"/>
      <c r="DO9" s="204" t="s">
        <v>153</v>
      </c>
      <c r="DP9" s="205"/>
      <c r="DQ9" s="200"/>
      <c r="DR9" s="204" t="s">
        <v>154</v>
      </c>
      <c r="DS9" s="205"/>
      <c r="DT9" s="200"/>
      <c r="DU9" s="204" t="s">
        <v>155</v>
      </c>
      <c r="DV9" s="205"/>
      <c r="DW9" s="200"/>
      <c r="DX9" s="207" t="s">
        <v>156</v>
      </c>
      <c r="DY9" s="205"/>
      <c r="DZ9" s="200"/>
      <c r="EA9" s="201"/>
      <c r="EB9" s="193" t="s">
        <v>157</v>
      </c>
      <c r="EC9" s="193" t="s">
        <v>158</v>
      </c>
      <c r="ED9" s="202" t="s">
        <v>159</v>
      </c>
      <c r="EE9" s="202" t="s">
        <v>160</v>
      </c>
      <c r="EG9" s="203" t="s">
        <v>161</v>
      </c>
      <c r="EH9" s="202" t="s">
        <v>159</v>
      </c>
      <c r="EI9" s="202" t="s">
        <v>160</v>
      </c>
      <c r="EJ9" s="202"/>
      <c r="EK9" s="203" t="s">
        <v>113</v>
      </c>
      <c r="EL9" s="203" t="s">
        <v>113</v>
      </c>
      <c r="EM9" s="202" t="s">
        <v>159</v>
      </c>
      <c r="EN9" s="202" t="s">
        <v>160</v>
      </c>
    </row>
    <row r="10" spans="1:147" x14ac:dyDescent="0.2">
      <c r="A10" s="202" t="s">
        <v>162</v>
      </c>
      <c r="B10" s="208" t="s">
        <v>163</v>
      </c>
      <c r="C10" s="209" t="s">
        <v>164</v>
      </c>
      <c r="D10" s="210" t="s">
        <v>19</v>
      </c>
      <c r="E10" s="208" t="s">
        <v>163</v>
      </c>
      <c r="F10" s="209" t="s">
        <v>164</v>
      </c>
      <c r="G10" s="210" t="s">
        <v>19</v>
      </c>
      <c r="H10" s="208" t="s">
        <v>163</v>
      </c>
      <c r="I10" s="209" t="s">
        <v>164</v>
      </c>
      <c r="J10" s="210" t="s">
        <v>19</v>
      </c>
      <c r="K10" s="208" t="s">
        <v>163</v>
      </c>
      <c r="L10" s="209" t="s">
        <v>164</v>
      </c>
      <c r="M10" s="210" t="s">
        <v>19</v>
      </c>
      <c r="N10" s="208" t="s">
        <v>163</v>
      </c>
      <c r="O10" s="209" t="s">
        <v>164</v>
      </c>
      <c r="P10" s="210" t="s">
        <v>19</v>
      </c>
      <c r="Q10" s="208" t="s">
        <v>163</v>
      </c>
      <c r="R10" s="209" t="s">
        <v>164</v>
      </c>
      <c r="S10" s="210" t="s">
        <v>19</v>
      </c>
      <c r="T10" s="208" t="s">
        <v>163</v>
      </c>
      <c r="U10" s="209" t="s">
        <v>164</v>
      </c>
      <c r="V10" s="210" t="s">
        <v>19</v>
      </c>
      <c r="W10" s="208" t="s">
        <v>163</v>
      </c>
      <c r="X10" s="209" t="s">
        <v>164</v>
      </c>
      <c r="Y10" s="210" t="s">
        <v>19</v>
      </c>
      <c r="Z10" s="208" t="s">
        <v>163</v>
      </c>
      <c r="AA10" s="209" t="s">
        <v>164</v>
      </c>
      <c r="AB10" s="210" t="s">
        <v>19</v>
      </c>
      <c r="AC10" s="208" t="s">
        <v>163</v>
      </c>
      <c r="AD10" s="209" t="s">
        <v>164</v>
      </c>
      <c r="AE10" s="210" t="s">
        <v>19</v>
      </c>
      <c r="AF10" s="208" t="s">
        <v>163</v>
      </c>
      <c r="AG10" s="209" t="s">
        <v>164</v>
      </c>
      <c r="AH10" s="210" t="s">
        <v>19</v>
      </c>
      <c r="AI10" s="208" t="s">
        <v>163</v>
      </c>
      <c r="AJ10" s="209" t="s">
        <v>164</v>
      </c>
      <c r="AK10" s="210" t="s">
        <v>19</v>
      </c>
      <c r="AL10" s="208" t="s">
        <v>163</v>
      </c>
      <c r="AM10" s="209" t="s">
        <v>164</v>
      </c>
      <c r="AN10" s="210" t="s">
        <v>19</v>
      </c>
      <c r="AO10" s="208" t="s">
        <v>163</v>
      </c>
      <c r="AP10" s="209" t="s">
        <v>164</v>
      </c>
      <c r="AQ10" s="210" t="s">
        <v>19</v>
      </c>
      <c r="AR10" s="208" t="s">
        <v>163</v>
      </c>
      <c r="AS10" s="209" t="s">
        <v>164</v>
      </c>
      <c r="AT10" s="210" t="s">
        <v>19</v>
      </c>
      <c r="AU10" s="208" t="s">
        <v>163</v>
      </c>
      <c r="AV10" s="209" t="s">
        <v>164</v>
      </c>
      <c r="AW10" s="210" t="s">
        <v>19</v>
      </c>
      <c r="AX10" s="208" t="s">
        <v>163</v>
      </c>
      <c r="AY10" s="209" t="s">
        <v>164</v>
      </c>
      <c r="AZ10" s="210" t="s">
        <v>19</v>
      </c>
      <c r="BA10" s="208" t="s">
        <v>163</v>
      </c>
      <c r="BB10" s="209" t="s">
        <v>164</v>
      </c>
      <c r="BC10" s="210" t="s">
        <v>19</v>
      </c>
      <c r="BD10" s="208" t="s">
        <v>163</v>
      </c>
      <c r="BE10" s="209" t="s">
        <v>164</v>
      </c>
      <c r="BF10" s="210" t="s">
        <v>19</v>
      </c>
      <c r="BG10" s="208" t="s">
        <v>163</v>
      </c>
      <c r="BH10" s="209" t="s">
        <v>164</v>
      </c>
      <c r="BI10" s="210" t="s">
        <v>19</v>
      </c>
      <c r="BJ10" s="208" t="s">
        <v>163</v>
      </c>
      <c r="BK10" s="209" t="s">
        <v>164</v>
      </c>
      <c r="BL10" s="210" t="s">
        <v>19</v>
      </c>
      <c r="BM10" s="208" t="s">
        <v>163</v>
      </c>
      <c r="BN10" s="209" t="s">
        <v>164</v>
      </c>
      <c r="BO10" s="210" t="s">
        <v>19</v>
      </c>
      <c r="BP10" s="208" t="s">
        <v>163</v>
      </c>
      <c r="BQ10" s="209" t="s">
        <v>164</v>
      </c>
      <c r="BR10" s="210" t="s">
        <v>19</v>
      </c>
      <c r="BS10" s="208" t="s">
        <v>163</v>
      </c>
      <c r="BT10" s="209" t="s">
        <v>164</v>
      </c>
      <c r="BU10" s="210" t="s">
        <v>19</v>
      </c>
      <c r="BV10" s="208" t="s">
        <v>163</v>
      </c>
      <c r="BW10" s="209" t="s">
        <v>164</v>
      </c>
      <c r="BX10" s="210" t="s">
        <v>19</v>
      </c>
      <c r="BY10" s="208" t="s">
        <v>163</v>
      </c>
      <c r="BZ10" s="209" t="s">
        <v>164</v>
      </c>
      <c r="CA10" s="210" t="s">
        <v>19</v>
      </c>
      <c r="CB10" s="208" t="s">
        <v>163</v>
      </c>
      <c r="CC10" s="209" t="s">
        <v>164</v>
      </c>
      <c r="CD10" s="210" t="s">
        <v>19</v>
      </c>
      <c r="CE10" s="208" t="s">
        <v>163</v>
      </c>
      <c r="CF10" s="209" t="s">
        <v>164</v>
      </c>
      <c r="CG10" s="210" t="s">
        <v>19</v>
      </c>
      <c r="CH10" s="208" t="s">
        <v>163</v>
      </c>
      <c r="CI10" s="209" t="s">
        <v>164</v>
      </c>
      <c r="CJ10" s="210" t="s">
        <v>19</v>
      </c>
      <c r="CK10" s="208" t="s">
        <v>163</v>
      </c>
      <c r="CL10" s="209" t="s">
        <v>164</v>
      </c>
      <c r="CM10" s="210" t="s">
        <v>19</v>
      </c>
      <c r="CN10" s="208" t="s">
        <v>163</v>
      </c>
      <c r="CO10" s="209" t="s">
        <v>164</v>
      </c>
      <c r="CP10" s="210" t="s">
        <v>19</v>
      </c>
      <c r="CQ10" s="208" t="s">
        <v>163</v>
      </c>
      <c r="CR10" s="209" t="s">
        <v>164</v>
      </c>
      <c r="CS10" s="210" t="s">
        <v>19</v>
      </c>
      <c r="CT10" s="208" t="s">
        <v>163</v>
      </c>
      <c r="CU10" s="209" t="s">
        <v>164</v>
      </c>
      <c r="CV10" s="210" t="s">
        <v>19</v>
      </c>
      <c r="CW10" s="208" t="s">
        <v>163</v>
      </c>
      <c r="CX10" s="209" t="s">
        <v>164</v>
      </c>
      <c r="CY10" s="210" t="s">
        <v>19</v>
      </c>
      <c r="CZ10" s="208" t="s">
        <v>163</v>
      </c>
      <c r="DA10" s="209" t="s">
        <v>164</v>
      </c>
      <c r="DB10" s="210" t="s">
        <v>19</v>
      </c>
      <c r="DC10" s="208" t="s">
        <v>163</v>
      </c>
      <c r="DD10" s="209" t="s">
        <v>164</v>
      </c>
      <c r="DE10" s="210" t="s">
        <v>19</v>
      </c>
      <c r="DF10" s="208" t="s">
        <v>163</v>
      </c>
      <c r="DG10" s="209" t="s">
        <v>164</v>
      </c>
      <c r="DH10" s="210" t="s">
        <v>19</v>
      </c>
      <c r="DI10" s="208" t="s">
        <v>163</v>
      </c>
      <c r="DJ10" s="209" t="s">
        <v>164</v>
      </c>
      <c r="DK10" s="210" t="s">
        <v>19</v>
      </c>
      <c r="DL10" s="208" t="s">
        <v>163</v>
      </c>
      <c r="DM10" s="209" t="s">
        <v>164</v>
      </c>
      <c r="DN10" s="210" t="s">
        <v>19</v>
      </c>
      <c r="DO10" s="208" t="s">
        <v>163</v>
      </c>
      <c r="DP10" s="209" t="s">
        <v>164</v>
      </c>
      <c r="DQ10" s="210" t="s">
        <v>19</v>
      </c>
      <c r="DR10" s="208" t="s">
        <v>163</v>
      </c>
      <c r="DS10" s="209" t="s">
        <v>164</v>
      </c>
      <c r="DT10" s="210" t="s">
        <v>19</v>
      </c>
      <c r="DU10" s="208" t="s">
        <v>163</v>
      </c>
      <c r="DV10" s="209" t="s">
        <v>164</v>
      </c>
      <c r="DW10" s="210" t="s">
        <v>19</v>
      </c>
      <c r="DX10" s="208" t="s">
        <v>163</v>
      </c>
      <c r="DY10" s="209"/>
      <c r="DZ10" s="210"/>
      <c r="EA10" s="210"/>
      <c r="EB10" s="210" t="s">
        <v>165</v>
      </c>
      <c r="EC10" s="210" t="s">
        <v>165</v>
      </c>
      <c r="ED10" s="210" t="s">
        <v>19</v>
      </c>
      <c r="EE10" s="210" t="s">
        <v>164</v>
      </c>
      <c r="EG10" s="210" t="s">
        <v>165</v>
      </c>
      <c r="EH10" s="210" t="s">
        <v>19</v>
      </c>
      <c r="EI10" s="210" t="s">
        <v>164</v>
      </c>
      <c r="EJ10" s="210"/>
      <c r="EK10" s="210" t="s">
        <v>165</v>
      </c>
      <c r="EL10" s="210" t="s">
        <v>165</v>
      </c>
      <c r="EM10" s="210" t="s">
        <v>19</v>
      </c>
      <c r="EN10" s="210" t="s">
        <v>164</v>
      </c>
    </row>
    <row r="11" spans="1:147" x14ac:dyDescent="0.2">
      <c r="A11" s="211">
        <v>44713</v>
      </c>
      <c r="B11" s="183">
        <v>0</v>
      </c>
      <c r="C11" s="185">
        <v>9.4274600000000004E-3</v>
      </c>
      <c r="D11" s="183">
        <f>(B11*C11)/360</f>
        <v>0</v>
      </c>
      <c r="G11" s="183">
        <f>(E11*F11)/360</f>
        <v>0</v>
      </c>
      <c r="J11" s="183">
        <f>(H11*I11)/360</f>
        <v>0</v>
      </c>
      <c r="M11" s="183">
        <f>(K11*L11)/360</f>
        <v>0</v>
      </c>
      <c r="P11" s="183">
        <f>(N11*O11)/360</f>
        <v>0</v>
      </c>
      <c r="S11" s="183">
        <f>(Q11*R11)/360</f>
        <v>0</v>
      </c>
      <c r="V11" s="183">
        <f>(T11*U11)/360</f>
        <v>0</v>
      </c>
      <c r="Y11" s="183">
        <f>(W11*X11)/360</f>
        <v>0</v>
      </c>
      <c r="AB11" s="183">
        <f>(Z11*AA11)/360</f>
        <v>0</v>
      </c>
      <c r="AE11" s="183">
        <v>0</v>
      </c>
      <c r="AH11" s="183">
        <v>0</v>
      </c>
      <c r="AI11" s="212"/>
      <c r="AJ11" s="213"/>
      <c r="AK11" s="183">
        <f>(AI11*AJ11)/360</f>
        <v>0</v>
      </c>
      <c r="AL11" s="212">
        <f t="shared" ref="AL11:AL40" si="0">75000000+30000000</f>
        <v>105000000</v>
      </c>
      <c r="AM11" s="213">
        <v>1.4E-2</v>
      </c>
      <c r="AN11" s="183">
        <f>(AL11*AM11)/360</f>
        <v>4083.3333333333335</v>
      </c>
      <c r="AO11" s="212">
        <v>30000000</v>
      </c>
      <c r="AP11" s="213">
        <v>1.0500000000000001E-2</v>
      </c>
      <c r="AQ11" s="183">
        <f>(AO11*AP11)/360</f>
        <v>875</v>
      </c>
      <c r="AR11" s="212">
        <f>80725000</f>
        <v>80725000</v>
      </c>
      <c r="AS11" s="213">
        <v>1.0500000000000001E-2</v>
      </c>
      <c r="AT11" s="183">
        <f>(AR11*AS11)/360</f>
        <v>2354.4791666666665</v>
      </c>
      <c r="AW11" s="183">
        <f>(AU11*AV11)/360</f>
        <v>0</v>
      </c>
      <c r="AZ11" s="183">
        <f>(AX11*AY11)/360</f>
        <v>0</v>
      </c>
      <c r="BC11" s="183">
        <f>(BA11*BB11)/360</f>
        <v>0</v>
      </c>
      <c r="BF11" s="183">
        <f>(BD11*BE11)/360</f>
        <v>0</v>
      </c>
      <c r="BI11" s="183">
        <f>(BG11*BH11)/360</f>
        <v>0</v>
      </c>
      <c r="BL11" s="183">
        <f>(BJ11*BK11)/360</f>
        <v>0</v>
      </c>
      <c r="BO11" s="183">
        <f>(BM11*BN11)/360</f>
        <v>0</v>
      </c>
      <c r="BR11" s="183">
        <f>(BP11*BQ11)/360</f>
        <v>0</v>
      </c>
      <c r="BU11" s="183">
        <f>(BS11*BT11)/360</f>
        <v>0</v>
      </c>
      <c r="BX11" s="183">
        <f>(BV11*BW11)/360</f>
        <v>0</v>
      </c>
      <c r="CA11" s="183">
        <f>(BY11*BZ11)/360</f>
        <v>0</v>
      </c>
      <c r="CD11" s="183">
        <f>(CB11*CC11)/360</f>
        <v>0</v>
      </c>
      <c r="CG11" s="183">
        <f>(CE11*CF11)/360</f>
        <v>0</v>
      </c>
      <c r="CJ11" s="183">
        <f>(CH11*CI11)/360</f>
        <v>0</v>
      </c>
      <c r="CM11" s="183">
        <f>(CK11*CL11)/360</f>
        <v>0</v>
      </c>
      <c r="CP11" s="183">
        <f>(CN11*CO11)/360</f>
        <v>0</v>
      </c>
      <c r="CS11" s="183">
        <f>(CQ11*CR11)/360</f>
        <v>0</v>
      </c>
      <c r="CV11" s="183">
        <f>(CT11*CU11)/360</f>
        <v>0</v>
      </c>
      <c r="CY11" s="183">
        <f>(CW11*CX11)/360</f>
        <v>0</v>
      </c>
      <c r="DB11" s="183">
        <f>(CZ11*DA11)/360</f>
        <v>0</v>
      </c>
      <c r="DE11" s="183">
        <f>(DC11*DD11)/360</f>
        <v>0</v>
      </c>
      <c r="DH11" s="183">
        <f>(DF11*DG11)/360</f>
        <v>0</v>
      </c>
      <c r="DK11" s="183">
        <f>(DI11*DJ11)/360</f>
        <v>0</v>
      </c>
      <c r="DN11" s="183">
        <f>(DL11*DM11)/360</f>
        <v>0</v>
      </c>
      <c r="DQ11" s="183">
        <f>(DO11*DP11)/360</f>
        <v>0</v>
      </c>
      <c r="DT11" s="183">
        <f>(DR11*DS11)/360</f>
        <v>0</v>
      </c>
      <c r="DW11" s="183">
        <f>(DU11*DV11)/360</f>
        <v>0</v>
      </c>
      <c r="DZ11" s="183"/>
      <c r="EA11" s="183"/>
      <c r="EB11" s="214">
        <f>B11+E11+H11+K11+N11+Q11+T11+W11+Z11+AC11+AF11+AL11+AO11+AR11+AU11+AX11+BA11+BD11+BG11+DU11+AI11+DR11+DO11+DL11+DI11+DF11+DC11+CZ11+CW11+CT11+CQ11+CN11+CK11+CH11+CE11+CB11+BY11+BV11+BS11+BP11+BM11+BJ11</f>
        <v>215725000</v>
      </c>
      <c r="EC11" s="214">
        <f>EB11-EK11+EL11</f>
        <v>0</v>
      </c>
      <c r="ED11" s="183">
        <f>D11+G11+J11+M11+P11+S11+V11+Y11+AB11+AE11+AH11+AK11+AN11+AQ11+AT11+AW11+AZ11+BC11+BF11+BI11+DW11+DT11+DQ11+DN11+DK11+DH11+DE11+DB11+CY11+CV11+CS11+CP11+CM11+CJ11+CG11+CD11+CA11+BX11+BU11+BR11+BO11+BL11</f>
        <v>7312.8125</v>
      </c>
      <c r="EE11" s="185">
        <f>IF(EB11&lt;&gt;0,((ED11/EB11)*360),0)</f>
        <v>1.2203557770309422E-2</v>
      </c>
      <c r="EG11" s="214">
        <f>Q11+T11+W11+Z11+AC11+AF11</f>
        <v>0</v>
      </c>
      <c r="EH11" s="183">
        <f>S11+V11+Y11+AB11+AE11+AH11</f>
        <v>0</v>
      </c>
      <c r="EI11" s="185">
        <f>IF(EG11&lt;&gt;0,((EH11/EG11)*360),0)</f>
        <v>0</v>
      </c>
      <c r="EJ11" s="185"/>
      <c r="EK11" s="214">
        <f>DR11+DL11+DI11+DF11+DC11+CZ11+CW11+CT11+CQ11+CN11+CK11+CH11+CE11+CB11+BY11+BV11+BS11+BP11+BM11+BJ11+BG11+BD11+BA11+AX11+AU11+AR11+AO11+AL11+AI11+DO11</f>
        <v>215725000</v>
      </c>
      <c r="EL11" s="214">
        <f>DX11</f>
        <v>0</v>
      </c>
      <c r="EM11" s="214">
        <f>DT11+DQ11+DN11+DK11+DH11+DE11+DB11+CY11+CV11+CS11+CP11+CM11+CJ11+CG11+CD11+CA11+BX11+BU11+BR11+BO11+BL11+BI11+BF11+BC11+AZ11+AW11+AT11+AQ11+AN11+AK11</f>
        <v>7312.8125</v>
      </c>
      <c r="EN11" s="185">
        <f>IF(EK11&lt;&gt;0,((EM11/EK11)*360),0)</f>
        <v>1.2203557770309422E-2</v>
      </c>
      <c r="EP11" s="183"/>
    </row>
    <row r="12" spans="1:147" x14ac:dyDescent="0.2">
      <c r="A12" s="211">
        <f>1+A11</f>
        <v>44714</v>
      </c>
      <c r="B12" s="183">
        <v>0</v>
      </c>
      <c r="C12" s="185">
        <v>9.6807999999999998E-3</v>
      </c>
      <c r="D12" s="183">
        <f t="shared" ref="D12:D40" si="1">(B12*C12)/360</f>
        <v>0</v>
      </c>
      <c r="G12" s="183">
        <f t="shared" ref="G12:G40" si="2">(E12*F12)/360</f>
        <v>0</v>
      </c>
      <c r="J12" s="183">
        <f t="shared" ref="J12:J40" si="3">(H12*I12)/360</f>
        <v>0</v>
      </c>
      <c r="M12" s="183">
        <f t="shared" ref="M12:M40" si="4">(K12*L12)/360</f>
        <v>0</v>
      </c>
      <c r="P12" s="183">
        <f t="shared" ref="P12:P40" si="5">(N12*O12)/360</f>
        <v>0</v>
      </c>
      <c r="S12" s="183">
        <f t="shared" ref="S12:S40" si="6">(Q12*R12)/360</f>
        <v>0</v>
      </c>
      <c r="V12" s="183">
        <f t="shared" ref="V12:V40" si="7">(T12*U12)/360</f>
        <v>0</v>
      </c>
      <c r="Y12" s="183">
        <f t="shared" ref="Y12:Y40" si="8">(W12*X12)/360</f>
        <v>0</v>
      </c>
      <c r="AB12" s="183">
        <f t="shared" ref="AB12:AB40" si="9">(Z12*AA12)/360</f>
        <v>0</v>
      </c>
      <c r="AE12" s="183">
        <v>0</v>
      </c>
      <c r="AH12" s="183">
        <v>0</v>
      </c>
      <c r="AI12" s="212"/>
      <c r="AJ12" s="213"/>
      <c r="AK12" s="183">
        <f t="shared" ref="AK12:AK40" si="10">(AI12*AJ12)/360</f>
        <v>0</v>
      </c>
      <c r="AL12" s="212">
        <f t="shared" si="0"/>
        <v>105000000</v>
      </c>
      <c r="AM12" s="213">
        <v>1.4E-2</v>
      </c>
      <c r="AN12" s="183">
        <f t="shared" ref="AN12:AN40" si="11">(AL12*AM12)/360</f>
        <v>4083.3333333333335</v>
      </c>
      <c r="AO12" s="212"/>
      <c r="AP12" s="213"/>
      <c r="AQ12" s="183">
        <f t="shared" ref="AQ12:AQ40" si="12">(AO12*AP12)/360</f>
        <v>0</v>
      </c>
      <c r="AR12" s="212">
        <v>108850000</v>
      </c>
      <c r="AS12" s="213">
        <v>1.0500000000000001E-2</v>
      </c>
      <c r="AT12" s="183">
        <f t="shared" ref="AT12:AT40" si="13">(AR12*AS12)/360</f>
        <v>3174.7916666666665</v>
      </c>
      <c r="AW12" s="183">
        <f t="shared" ref="AW12:AW40" si="14">(AU12*AV12)/360</f>
        <v>0</v>
      </c>
      <c r="AZ12" s="183">
        <f t="shared" ref="AZ12:AZ40" si="15">(AX12*AY12)/360</f>
        <v>0</v>
      </c>
      <c r="BC12" s="183">
        <f t="shared" ref="BC12:BC40" si="16">(BA12*BB12)/360</f>
        <v>0</v>
      </c>
      <c r="BF12" s="183">
        <f t="shared" ref="BF12:BF40" si="17">(BD12*BE12)/360</f>
        <v>0</v>
      </c>
      <c r="BI12" s="183">
        <f t="shared" ref="BI12:BI40" si="18">(BG12*BH12)/360</f>
        <v>0</v>
      </c>
      <c r="BL12" s="183">
        <f t="shared" ref="BL12:BL40" si="19">(BJ12*BK12)/360</f>
        <v>0</v>
      </c>
      <c r="BO12" s="183">
        <f t="shared" ref="BO12:BO40" si="20">(BM12*BN12)/360</f>
        <v>0</v>
      </c>
      <c r="BR12" s="183">
        <f t="shared" ref="BR12:BR40" si="21">(BP12*BQ12)/360</f>
        <v>0</v>
      </c>
      <c r="BU12" s="183">
        <f t="shared" ref="BU12:BU40" si="22">(BS12*BT12)/360</f>
        <v>0</v>
      </c>
      <c r="BX12" s="183">
        <f t="shared" ref="BX12:BX40" si="23">(BV12*BW12)/360</f>
        <v>0</v>
      </c>
      <c r="CA12" s="183">
        <f t="shared" ref="CA12:CA40" si="24">(BY12*BZ12)/360</f>
        <v>0</v>
      </c>
      <c r="CD12" s="183">
        <f t="shared" ref="CD12:CD40" si="25">(CB12*CC12)/360</f>
        <v>0</v>
      </c>
      <c r="CG12" s="183">
        <f t="shared" ref="CG12:CG40" si="26">(CE12*CF12)/360</f>
        <v>0</v>
      </c>
      <c r="CJ12" s="183">
        <f t="shared" ref="CJ12:CJ40" si="27">(CH12*CI12)/360</f>
        <v>0</v>
      </c>
      <c r="CM12" s="183">
        <f t="shared" ref="CM12:CM40" si="28">(CK12*CL12)/360</f>
        <v>0</v>
      </c>
      <c r="CP12" s="183">
        <f t="shared" ref="CP12:CP40" si="29">(CN12*CO12)/360</f>
        <v>0</v>
      </c>
      <c r="CS12" s="183">
        <f t="shared" ref="CS12:CS40" si="30">(CQ12*CR12)/360</f>
        <v>0</v>
      </c>
      <c r="CV12" s="183">
        <f t="shared" ref="CV12:CV40" si="31">(CT12*CU12)/360</f>
        <v>0</v>
      </c>
      <c r="CY12" s="183">
        <f t="shared" ref="CY12:CY40" si="32">(CW12*CX12)/360</f>
        <v>0</v>
      </c>
      <c r="DB12" s="183">
        <f t="shared" ref="DB12:DB40" si="33">(CZ12*DA12)/360</f>
        <v>0</v>
      </c>
      <c r="DE12" s="183">
        <f t="shared" ref="DE12:DE40" si="34">(DC12*DD12)/360</f>
        <v>0</v>
      </c>
      <c r="DH12" s="183">
        <f t="shared" ref="DH12:DH40" si="35">(DF12*DG12)/360</f>
        <v>0</v>
      </c>
      <c r="DK12" s="183">
        <f t="shared" ref="DK12:DK40" si="36">(DI12*DJ12)/360</f>
        <v>0</v>
      </c>
      <c r="DN12" s="183">
        <f t="shared" ref="DN12:DN40" si="37">(DL12*DM12)/360</f>
        <v>0</v>
      </c>
      <c r="DQ12" s="183">
        <f t="shared" ref="DQ12:DQ40" si="38">(DO12*DP12)/360</f>
        <v>0</v>
      </c>
      <c r="DT12" s="183">
        <f t="shared" ref="DT12:DT40" si="39">(DR12*DS12)/360</f>
        <v>0</v>
      </c>
      <c r="DW12" s="183">
        <f t="shared" ref="DW12:DW40" si="40">(DU12*DV12)/360</f>
        <v>0</v>
      </c>
      <c r="DZ12" s="183"/>
      <c r="EA12" s="183"/>
      <c r="EB12" s="214">
        <f t="shared" ref="EB12:EB40" si="41">B12+E12+H12+K12+N12+Q12+T12+W12+Z12+AC12+AF12+AL12+AO12+AR12+AU12+AX12+BA12+BD12+BG12+DU12+AI12+DR12+DO12+DL12+DI12+DF12+DC12+CZ12+CW12+CT12+CQ12+CN12+CK12+CH12+CE12+CB12+BY12+BV12+BS12+BP12+BM12+BJ12</f>
        <v>213850000</v>
      </c>
      <c r="EC12" s="214">
        <f t="shared" ref="EC12:EC40" si="42">EB12-EK12+EL12</f>
        <v>0</v>
      </c>
      <c r="ED12" s="183">
        <f t="shared" ref="ED12:ED40" si="43">D12+G12+J12+M12+P12+S12+V12+Y12+AB12+AE12+AH12+AK12+AN12+AQ12+AT12+AW12+AZ12+BC12+BF12+BI12+DW12+DT12+DQ12+DN12+DK12+DH12+DE12+DB12+CY12+CV12+CS12+CP12+CM12+CJ12+CG12+CD12+CA12+BX12+BU12+BR12+BO12+BL12</f>
        <v>7258.125</v>
      </c>
      <c r="EE12" s="185">
        <f t="shared" ref="EE12:EE40" si="44">IF(EB12&lt;&gt;0,((ED12/EB12)*360),0)</f>
        <v>1.2218494271685762E-2</v>
      </c>
      <c r="EG12" s="214">
        <f t="shared" ref="EG12:EG40" si="45">Q12+T12+W12+Z12+AC12+AF12</f>
        <v>0</v>
      </c>
      <c r="EH12" s="183">
        <f t="shared" ref="EH12:EH40" si="46">S12+V12+Y12+AB12+AE12+AH12</f>
        <v>0</v>
      </c>
      <c r="EI12" s="185">
        <f t="shared" ref="EI12:EI40" si="47">IF(EG12&lt;&gt;0,((EH12/EG12)*360),0)</f>
        <v>0</v>
      </c>
      <c r="EJ12" s="185"/>
      <c r="EK12" s="214">
        <f t="shared" ref="EK12:EK40" si="48">DR12+DL12+DI12+DF12+DC12+CZ12+CW12+CT12+CQ12+CN12+CK12+CH12+CE12+CB12+BY12+BV12+BS12+BP12+BM12+BJ12+BG12+BD12+BA12+AX12+AU12+AR12+AO12+AL12+AI12+DO12</f>
        <v>213850000</v>
      </c>
      <c r="EL12" s="214">
        <f t="shared" ref="EL12:EL40" si="49">DX12</f>
        <v>0</v>
      </c>
      <c r="EM12" s="214">
        <f t="shared" ref="EM12:EM40" si="50">DT12+DQ12+DN12+DK12+DH12+DE12+DB12+CY12+CV12+CS12+CP12+CM12+CJ12+CG12+CD12+CA12+BX12+BU12+BR12+BO12+BL12+BI12+BF12+BC12+AZ12+AW12+AT12+AQ12+AN12+AK12</f>
        <v>7258.125</v>
      </c>
      <c r="EN12" s="185">
        <f t="shared" ref="EN12:EN40" si="51">IF(EK12&lt;&gt;0,((EM12/EK12)*360),0)</f>
        <v>1.2218494271685762E-2</v>
      </c>
      <c r="EP12" s="183"/>
    </row>
    <row r="13" spans="1:147" x14ac:dyDescent="0.2">
      <c r="A13" s="211">
        <f t="shared" ref="A13:A40" si="52">1+A12</f>
        <v>44715</v>
      </c>
      <c r="B13" s="183">
        <v>0</v>
      </c>
      <c r="C13" s="185">
        <v>9.4527000000000014E-3</v>
      </c>
      <c r="D13" s="183">
        <f t="shared" si="1"/>
        <v>0</v>
      </c>
      <c r="G13" s="183">
        <f t="shared" si="2"/>
        <v>0</v>
      </c>
      <c r="J13" s="183">
        <f t="shared" si="3"/>
        <v>0</v>
      </c>
      <c r="M13" s="183">
        <f t="shared" si="4"/>
        <v>0</v>
      </c>
      <c r="P13" s="183">
        <f t="shared" si="5"/>
        <v>0</v>
      </c>
      <c r="S13" s="183">
        <f t="shared" si="6"/>
        <v>0</v>
      </c>
      <c r="V13" s="183">
        <f t="shared" si="7"/>
        <v>0</v>
      </c>
      <c r="Y13" s="183">
        <f t="shared" si="8"/>
        <v>0</v>
      </c>
      <c r="AB13" s="183">
        <f t="shared" si="9"/>
        <v>0</v>
      </c>
      <c r="AE13" s="183">
        <v>0</v>
      </c>
      <c r="AH13" s="183">
        <v>0</v>
      </c>
      <c r="AI13" s="212"/>
      <c r="AJ13" s="213"/>
      <c r="AK13" s="183">
        <f t="shared" si="10"/>
        <v>0</v>
      </c>
      <c r="AL13" s="212">
        <f t="shared" si="0"/>
        <v>105000000</v>
      </c>
      <c r="AM13" s="213">
        <v>1.4E-2</v>
      </c>
      <c r="AN13" s="183">
        <f t="shared" si="11"/>
        <v>4083.3333333333335</v>
      </c>
      <c r="AO13" s="212"/>
      <c r="AP13" s="213"/>
      <c r="AQ13" s="183">
        <f t="shared" si="12"/>
        <v>0</v>
      </c>
      <c r="AR13" s="212">
        <v>111450000</v>
      </c>
      <c r="AS13" s="213">
        <v>1.0500000000000001E-2</v>
      </c>
      <c r="AT13" s="183">
        <f t="shared" si="13"/>
        <v>3250.625</v>
      </c>
      <c r="AW13" s="183">
        <f t="shared" si="14"/>
        <v>0</v>
      </c>
      <c r="AZ13" s="183">
        <f t="shared" si="15"/>
        <v>0</v>
      </c>
      <c r="BC13" s="183">
        <f t="shared" si="16"/>
        <v>0</v>
      </c>
      <c r="BF13" s="183">
        <f t="shared" si="17"/>
        <v>0</v>
      </c>
      <c r="BI13" s="183">
        <f t="shared" si="18"/>
        <v>0</v>
      </c>
      <c r="BL13" s="183">
        <f t="shared" si="19"/>
        <v>0</v>
      </c>
      <c r="BO13" s="183">
        <f t="shared" si="20"/>
        <v>0</v>
      </c>
      <c r="BR13" s="183">
        <f t="shared" si="21"/>
        <v>0</v>
      </c>
      <c r="BU13" s="183">
        <f t="shared" si="22"/>
        <v>0</v>
      </c>
      <c r="BX13" s="183">
        <f t="shared" si="23"/>
        <v>0</v>
      </c>
      <c r="CA13" s="183">
        <f t="shared" si="24"/>
        <v>0</v>
      </c>
      <c r="CD13" s="183">
        <f t="shared" si="25"/>
        <v>0</v>
      </c>
      <c r="CG13" s="183">
        <f t="shared" si="26"/>
        <v>0</v>
      </c>
      <c r="CJ13" s="183">
        <f t="shared" si="27"/>
        <v>0</v>
      </c>
      <c r="CM13" s="183">
        <f t="shared" si="28"/>
        <v>0</v>
      </c>
      <c r="CP13" s="183">
        <f t="shared" si="29"/>
        <v>0</v>
      </c>
      <c r="CS13" s="183">
        <f t="shared" si="30"/>
        <v>0</v>
      </c>
      <c r="CV13" s="183">
        <f t="shared" si="31"/>
        <v>0</v>
      </c>
      <c r="CY13" s="183">
        <f t="shared" si="32"/>
        <v>0</v>
      </c>
      <c r="DB13" s="183">
        <f t="shared" si="33"/>
        <v>0</v>
      </c>
      <c r="DE13" s="183">
        <f t="shared" si="34"/>
        <v>0</v>
      </c>
      <c r="DH13" s="183">
        <f t="shared" si="35"/>
        <v>0</v>
      </c>
      <c r="DK13" s="183">
        <f t="shared" si="36"/>
        <v>0</v>
      </c>
      <c r="DN13" s="183">
        <f t="shared" si="37"/>
        <v>0</v>
      </c>
      <c r="DQ13" s="183">
        <f t="shared" si="38"/>
        <v>0</v>
      </c>
      <c r="DT13" s="183">
        <f t="shared" si="39"/>
        <v>0</v>
      </c>
      <c r="DW13" s="183">
        <f t="shared" si="40"/>
        <v>0</v>
      </c>
      <c r="DZ13" s="183"/>
      <c r="EA13" s="183"/>
      <c r="EB13" s="214">
        <f t="shared" si="41"/>
        <v>216450000</v>
      </c>
      <c r="EC13" s="214">
        <f t="shared" si="42"/>
        <v>0</v>
      </c>
      <c r="ED13" s="183">
        <f t="shared" si="43"/>
        <v>7333.9583333333339</v>
      </c>
      <c r="EE13" s="185">
        <f t="shared" si="44"/>
        <v>1.2197851697851699E-2</v>
      </c>
      <c r="EG13" s="214">
        <f t="shared" si="45"/>
        <v>0</v>
      </c>
      <c r="EH13" s="183">
        <f t="shared" si="46"/>
        <v>0</v>
      </c>
      <c r="EI13" s="185">
        <f t="shared" si="47"/>
        <v>0</v>
      </c>
      <c r="EJ13" s="185"/>
      <c r="EK13" s="214">
        <f t="shared" si="48"/>
        <v>216450000</v>
      </c>
      <c r="EL13" s="214">
        <f t="shared" si="49"/>
        <v>0</v>
      </c>
      <c r="EM13" s="214">
        <f t="shared" si="50"/>
        <v>7333.9583333333339</v>
      </c>
      <c r="EN13" s="185">
        <f t="shared" si="51"/>
        <v>1.2197851697851699E-2</v>
      </c>
      <c r="EP13" s="183"/>
    </row>
    <row r="14" spans="1:147" x14ac:dyDescent="0.2">
      <c r="A14" s="211">
        <f t="shared" si="52"/>
        <v>44716</v>
      </c>
      <c r="B14" s="183">
        <v>0</v>
      </c>
      <c r="C14" s="185">
        <v>9.4527000000000014E-3</v>
      </c>
      <c r="D14" s="183">
        <f t="shared" si="1"/>
        <v>0</v>
      </c>
      <c r="G14" s="183">
        <f t="shared" si="2"/>
        <v>0</v>
      </c>
      <c r="J14" s="183">
        <f t="shared" si="3"/>
        <v>0</v>
      </c>
      <c r="M14" s="183">
        <f t="shared" si="4"/>
        <v>0</v>
      </c>
      <c r="P14" s="183">
        <f t="shared" si="5"/>
        <v>0</v>
      </c>
      <c r="S14" s="183">
        <f t="shared" si="6"/>
        <v>0</v>
      </c>
      <c r="V14" s="183">
        <f t="shared" si="7"/>
        <v>0</v>
      </c>
      <c r="Y14" s="183">
        <f t="shared" si="8"/>
        <v>0</v>
      </c>
      <c r="AB14" s="183">
        <f t="shared" si="9"/>
        <v>0</v>
      </c>
      <c r="AE14" s="183">
        <v>0</v>
      </c>
      <c r="AH14" s="183">
        <v>0</v>
      </c>
      <c r="AI14" s="212"/>
      <c r="AJ14" s="213"/>
      <c r="AK14" s="183">
        <f t="shared" si="10"/>
        <v>0</v>
      </c>
      <c r="AL14" s="212">
        <f t="shared" si="0"/>
        <v>105000000</v>
      </c>
      <c r="AM14" s="213">
        <v>1.4E-2</v>
      </c>
      <c r="AN14" s="183">
        <f t="shared" si="11"/>
        <v>4083.3333333333335</v>
      </c>
      <c r="AO14" s="212"/>
      <c r="AP14" s="213"/>
      <c r="AQ14" s="183">
        <f t="shared" si="12"/>
        <v>0</v>
      </c>
      <c r="AR14" s="212">
        <v>111450000</v>
      </c>
      <c r="AS14" s="213">
        <v>1.0500000000000001E-2</v>
      </c>
      <c r="AT14" s="183">
        <f t="shared" si="13"/>
        <v>3250.625</v>
      </c>
      <c r="AW14" s="183">
        <f t="shared" si="14"/>
        <v>0</v>
      </c>
      <c r="AZ14" s="183">
        <f t="shared" si="15"/>
        <v>0</v>
      </c>
      <c r="BC14" s="183">
        <f t="shared" si="16"/>
        <v>0</v>
      </c>
      <c r="BF14" s="183">
        <f t="shared" si="17"/>
        <v>0</v>
      </c>
      <c r="BI14" s="183">
        <f t="shared" si="18"/>
        <v>0</v>
      </c>
      <c r="BL14" s="183">
        <f t="shared" si="19"/>
        <v>0</v>
      </c>
      <c r="BO14" s="183">
        <f t="shared" si="20"/>
        <v>0</v>
      </c>
      <c r="BR14" s="183">
        <f t="shared" si="21"/>
        <v>0</v>
      </c>
      <c r="BU14" s="183">
        <f t="shared" si="22"/>
        <v>0</v>
      </c>
      <c r="BX14" s="183">
        <f t="shared" si="23"/>
        <v>0</v>
      </c>
      <c r="CA14" s="183">
        <f t="shared" si="24"/>
        <v>0</v>
      </c>
      <c r="CD14" s="183">
        <f t="shared" si="25"/>
        <v>0</v>
      </c>
      <c r="CG14" s="183">
        <f t="shared" si="26"/>
        <v>0</v>
      </c>
      <c r="CJ14" s="183">
        <f t="shared" si="27"/>
        <v>0</v>
      </c>
      <c r="CM14" s="183">
        <f t="shared" si="28"/>
        <v>0</v>
      </c>
      <c r="CP14" s="183">
        <f t="shared" si="29"/>
        <v>0</v>
      </c>
      <c r="CS14" s="183">
        <f t="shared" si="30"/>
        <v>0</v>
      </c>
      <c r="CV14" s="183">
        <f t="shared" si="31"/>
        <v>0</v>
      </c>
      <c r="CY14" s="183">
        <f t="shared" si="32"/>
        <v>0</v>
      </c>
      <c r="DB14" s="183">
        <f t="shared" si="33"/>
        <v>0</v>
      </c>
      <c r="DE14" s="183">
        <f t="shared" si="34"/>
        <v>0</v>
      </c>
      <c r="DH14" s="183">
        <f t="shared" si="35"/>
        <v>0</v>
      </c>
      <c r="DK14" s="183">
        <f t="shared" si="36"/>
        <v>0</v>
      </c>
      <c r="DN14" s="183">
        <f t="shared" si="37"/>
        <v>0</v>
      </c>
      <c r="DQ14" s="183">
        <f t="shared" si="38"/>
        <v>0</v>
      </c>
      <c r="DT14" s="183">
        <f t="shared" si="39"/>
        <v>0</v>
      </c>
      <c r="DW14" s="183">
        <f t="shared" si="40"/>
        <v>0</v>
      </c>
      <c r="DZ14" s="183"/>
      <c r="EA14" s="183"/>
      <c r="EB14" s="214">
        <f t="shared" si="41"/>
        <v>216450000</v>
      </c>
      <c r="EC14" s="214">
        <f t="shared" si="42"/>
        <v>0</v>
      </c>
      <c r="ED14" s="183">
        <f t="shared" si="43"/>
        <v>7333.9583333333339</v>
      </c>
      <c r="EE14" s="185">
        <f t="shared" si="44"/>
        <v>1.2197851697851699E-2</v>
      </c>
      <c r="EG14" s="214">
        <f t="shared" si="45"/>
        <v>0</v>
      </c>
      <c r="EH14" s="183">
        <f t="shared" si="46"/>
        <v>0</v>
      </c>
      <c r="EI14" s="185">
        <f t="shared" si="47"/>
        <v>0</v>
      </c>
      <c r="EJ14" s="185"/>
      <c r="EK14" s="214">
        <f t="shared" si="48"/>
        <v>216450000</v>
      </c>
      <c r="EL14" s="214">
        <f t="shared" si="49"/>
        <v>0</v>
      </c>
      <c r="EM14" s="214">
        <f t="shared" si="50"/>
        <v>7333.9583333333339</v>
      </c>
      <c r="EN14" s="185">
        <f t="shared" si="51"/>
        <v>1.2197851697851699E-2</v>
      </c>
      <c r="EP14" s="183"/>
    </row>
    <row r="15" spans="1:147" x14ac:dyDescent="0.2">
      <c r="A15" s="211">
        <f t="shared" si="52"/>
        <v>44717</v>
      </c>
      <c r="B15" s="183">
        <v>0</v>
      </c>
      <c r="C15" s="185">
        <v>9.4527000000000014E-3</v>
      </c>
      <c r="D15" s="183">
        <f t="shared" si="1"/>
        <v>0</v>
      </c>
      <c r="G15" s="183">
        <f t="shared" si="2"/>
        <v>0</v>
      </c>
      <c r="J15" s="183">
        <f t="shared" si="3"/>
        <v>0</v>
      </c>
      <c r="M15" s="183">
        <f t="shared" si="4"/>
        <v>0</v>
      </c>
      <c r="P15" s="183">
        <f t="shared" si="5"/>
        <v>0</v>
      </c>
      <c r="S15" s="183">
        <f t="shared" si="6"/>
        <v>0</v>
      </c>
      <c r="V15" s="183">
        <f t="shared" si="7"/>
        <v>0</v>
      </c>
      <c r="Y15" s="183">
        <f t="shared" si="8"/>
        <v>0</v>
      </c>
      <c r="AB15" s="183">
        <f t="shared" si="9"/>
        <v>0</v>
      </c>
      <c r="AE15" s="183">
        <v>0</v>
      </c>
      <c r="AH15" s="183">
        <v>0</v>
      </c>
      <c r="AI15" s="212"/>
      <c r="AJ15" s="213"/>
      <c r="AK15" s="183">
        <f t="shared" si="10"/>
        <v>0</v>
      </c>
      <c r="AL15" s="212">
        <f t="shared" si="0"/>
        <v>105000000</v>
      </c>
      <c r="AM15" s="213">
        <v>1.4E-2</v>
      </c>
      <c r="AN15" s="183">
        <f t="shared" si="11"/>
        <v>4083.3333333333335</v>
      </c>
      <c r="AO15" s="212"/>
      <c r="AP15" s="213"/>
      <c r="AQ15" s="183">
        <f t="shared" si="12"/>
        <v>0</v>
      </c>
      <c r="AR15" s="212">
        <v>111450000</v>
      </c>
      <c r="AS15" s="213">
        <v>1.0500000000000001E-2</v>
      </c>
      <c r="AT15" s="183">
        <f t="shared" si="13"/>
        <v>3250.625</v>
      </c>
      <c r="AW15" s="183">
        <f t="shared" si="14"/>
        <v>0</v>
      </c>
      <c r="AZ15" s="183">
        <f t="shared" si="15"/>
        <v>0</v>
      </c>
      <c r="BC15" s="183">
        <f t="shared" si="16"/>
        <v>0</v>
      </c>
      <c r="BF15" s="183">
        <f t="shared" si="17"/>
        <v>0</v>
      </c>
      <c r="BI15" s="183">
        <f t="shared" si="18"/>
        <v>0</v>
      </c>
      <c r="BL15" s="183">
        <f t="shared" si="19"/>
        <v>0</v>
      </c>
      <c r="BO15" s="183">
        <f t="shared" si="20"/>
        <v>0</v>
      </c>
      <c r="BR15" s="183">
        <f t="shared" si="21"/>
        <v>0</v>
      </c>
      <c r="BU15" s="183">
        <f t="shared" si="22"/>
        <v>0</v>
      </c>
      <c r="BX15" s="183">
        <f t="shared" si="23"/>
        <v>0</v>
      </c>
      <c r="CA15" s="183">
        <f t="shared" si="24"/>
        <v>0</v>
      </c>
      <c r="CD15" s="183">
        <f t="shared" si="25"/>
        <v>0</v>
      </c>
      <c r="CG15" s="183">
        <f t="shared" si="26"/>
        <v>0</v>
      </c>
      <c r="CJ15" s="183">
        <f t="shared" si="27"/>
        <v>0</v>
      </c>
      <c r="CM15" s="183">
        <f t="shared" si="28"/>
        <v>0</v>
      </c>
      <c r="CP15" s="183">
        <f t="shared" si="29"/>
        <v>0</v>
      </c>
      <c r="CS15" s="183">
        <f t="shared" si="30"/>
        <v>0</v>
      </c>
      <c r="CV15" s="183">
        <f t="shared" si="31"/>
        <v>0</v>
      </c>
      <c r="CY15" s="183">
        <f t="shared" si="32"/>
        <v>0</v>
      </c>
      <c r="DB15" s="183">
        <f t="shared" si="33"/>
        <v>0</v>
      </c>
      <c r="DE15" s="183">
        <f t="shared" si="34"/>
        <v>0</v>
      </c>
      <c r="DH15" s="183">
        <f t="shared" si="35"/>
        <v>0</v>
      </c>
      <c r="DK15" s="183">
        <f t="shared" si="36"/>
        <v>0</v>
      </c>
      <c r="DN15" s="183">
        <f t="shared" si="37"/>
        <v>0</v>
      </c>
      <c r="DQ15" s="183">
        <f t="shared" si="38"/>
        <v>0</v>
      </c>
      <c r="DT15" s="183">
        <f t="shared" si="39"/>
        <v>0</v>
      </c>
      <c r="DW15" s="183">
        <f t="shared" si="40"/>
        <v>0</v>
      </c>
      <c r="DZ15" s="183"/>
      <c r="EA15" s="183"/>
      <c r="EB15" s="214">
        <f t="shared" si="41"/>
        <v>216450000</v>
      </c>
      <c r="EC15" s="214">
        <f t="shared" si="42"/>
        <v>0</v>
      </c>
      <c r="ED15" s="183">
        <f t="shared" si="43"/>
        <v>7333.9583333333339</v>
      </c>
      <c r="EE15" s="185">
        <f t="shared" si="44"/>
        <v>1.2197851697851699E-2</v>
      </c>
      <c r="EG15" s="214">
        <f t="shared" si="45"/>
        <v>0</v>
      </c>
      <c r="EH15" s="183">
        <f t="shared" si="46"/>
        <v>0</v>
      </c>
      <c r="EI15" s="185">
        <f t="shared" si="47"/>
        <v>0</v>
      </c>
      <c r="EJ15" s="185"/>
      <c r="EK15" s="214">
        <f t="shared" si="48"/>
        <v>216450000</v>
      </c>
      <c r="EL15" s="214">
        <f t="shared" si="49"/>
        <v>0</v>
      </c>
      <c r="EM15" s="214">
        <f t="shared" si="50"/>
        <v>7333.9583333333339</v>
      </c>
      <c r="EN15" s="185">
        <f t="shared" si="51"/>
        <v>1.2197851697851699E-2</v>
      </c>
      <c r="EP15" s="183"/>
    </row>
    <row r="16" spans="1:147" x14ac:dyDescent="0.2">
      <c r="A16" s="211">
        <f t="shared" si="52"/>
        <v>44718</v>
      </c>
      <c r="B16" s="183">
        <v>0</v>
      </c>
      <c r="C16" s="185">
        <v>9.4976399999999999E-3</v>
      </c>
      <c r="D16" s="183">
        <f t="shared" si="1"/>
        <v>0</v>
      </c>
      <c r="G16" s="183">
        <f t="shared" si="2"/>
        <v>0</v>
      </c>
      <c r="J16" s="183">
        <f t="shared" si="3"/>
        <v>0</v>
      </c>
      <c r="M16" s="183">
        <f t="shared" si="4"/>
        <v>0</v>
      </c>
      <c r="P16" s="183">
        <f t="shared" si="5"/>
        <v>0</v>
      </c>
      <c r="S16" s="183">
        <f t="shared" si="6"/>
        <v>0</v>
      </c>
      <c r="V16" s="183">
        <f t="shared" si="7"/>
        <v>0</v>
      </c>
      <c r="Y16" s="183">
        <f t="shared" si="8"/>
        <v>0</v>
      </c>
      <c r="AB16" s="183">
        <f t="shared" si="9"/>
        <v>0</v>
      </c>
      <c r="AE16" s="183">
        <v>0</v>
      </c>
      <c r="AH16" s="183">
        <v>0</v>
      </c>
      <c r="AI16" s="212"/>
      <c r="AJ16" s="213"/>
      <c r="AK16" s="183">
        <f t="shared" si="10"/>
        <v>0</v>
      </c>
      <c r="AL16" s="212">
        <f t="shared" si="0"/>
        <v>105000000</v>
      </c>
      <c r="AM16" s="213">
        <v>1.4E-2</v>
      </c>
      <c r="AN16" s="183">
        <f t="shared" si="11"/>
        <v>4083.3333333333335</v>
      </c>
      <c r="AO16" s="212"/>
      <c r="AP16" s="213"/>
      <c r="AQ16" s="183">
        <f t="shared" si="12"/>
        <v>0</v>
      </c>
      <c r="AR16" s="212">
        <f>108575000</f>
        <v>108575000</v>
      </c>
      <c r="AS16" s="213">
        <v>1.0500000000000001E-2</v>
      </c>
      <c r="AT16" s="183">
        <f t="shared" si="13"/>
        <v>3166.7708333333335</v>
      </c>
      <c r="AW16" s="183">
        <f t="shared" si="14"/>
        <v>0</v>
      </c>
      <c r="AZ16" s="183">
        <f t="shared" si="15"/>
        <v>0</v>
      </c>
      <c r="BC16" s="183">
        <f t="shared" si="16"/>
        <v>0</v>
      </c>
      <c r="BF16" s="183">
        <f t="shared" si="17"/>
        <v>0</v>
      </c>
      <c r="BI16" s="183">
        <f t="shared" si="18"/>
        <v>0</v>
      </c>
      <c r="BL16" s="183">
        <f t="shared" si="19"/>
        <v>0</v>
      </c>
      <c r="BO16" s="183">
        <f t="shared" si="20"/>
        <v>0</v>
      </c>
      <c r="BR16" s="183">
        <f t="shared" si="21"/>
        <v>0</v>
      </c>
      <c r="BU16" s="183">
        <f t="shared" si="22"/>
        <v>0</v>
      </c>
      <c r="BX16" s="183">
        <f t="shared" si="23"/>
        <v>0</v>
      </c>
      <c r="CA16" s="183">
        <f t="shared" si="24"/>
        <v>0</v>
      </c>
      <c r="CD16" s="183">
        <f t="shared" si="25"/>
        <v>0</v>
      </c>
      <c r="CG16" s="183">
        <f t="shared" si="26"/>
        <v>0</v>
      </c>
      <c r="CJ16" s="183">
        <f t="shared" si="27"/>
        <v>0</v>
      </c>
      <c r="CM16" s="183">
        <f t="shared" si="28"/>
        <v>0</v>
      </c>
      <c r="CP16" s="183">
        <f t="shared" si="29"/>
        <v>0</v>
      </c>
      <c r="CS16" s="183">
        <f t="shared" si="30"/>
        <v>0</v>
      </c>
      <c r="CV16" s="183">
        <f t="shared" si="31"/>
        <v>0</v>
      </c>
      <c r="CY16" s="183">
        <f t="shared" si="32"/>
        <v>0</v>
      </c>
      <c r="DB16" s="183">
        <f t="shared" si="33"/>
        <v>0</v>
      </c>
      <c r="DE16" s="183">
        <f t="shared" si="34"/>
        <v>0</v>
      </c>
      <c r="DH16" s="183">
        <f t="shared" si="35"/>
        <v>0</v>
      </c>
      <c r="DK16" s="183">
        <f t="shared" si="36"/>
        <v>0</v>
      </c>
      <c r="DN16" s="183">
        <f t="shared" si="37"/>
        <v>0</v>
      </c>
      <c r="DQ16" s="183">
        <f t="shared" si="38"/>
        <v>0</v>
      </c>
      <c r="DT16" s="183">
        <f t="shared" si="39"/>
        <v>0</v>
      </c>
      <c r="DW16" s="183">
        <f t="shared" si="40"/>
        <v>0</v>
      </c>
      <c r="DZ16" s="183"/>
      <c r="EA16" s="183"/>
      <c r="EB16" s="214">
        <f t="shared" si="41"/>
        <v>213575000</v>
      </c>
      <c r="EC16" s="214">
        <f t="shared" si="42"/>
        <v>0</v>
      </c>
      <c r="ED16" s="183">
        <f t="shared" si="43"/>
        <v>7250.104166666667</v>
      </c>
      <c r="EE16" s="185">
        <f t="shared" si="44"/>
        <v>1.2220707011588436E-2</v>
      </c>
      <c r="EG16" s="214">
        <f t="shared" si="45"/>
        <v>0</v>
      </c>
      <c r="EH16" s="183">
        <f t="shared" si="46"/>
        <v>0</v>
      </c>
      <c r="EI16" s="185">
        <f t="shared" si="47"/>
        <v>0</v>
      </c>
      <c r="EJ16" s="185"/>
      <c r="EK16" s="214">
        <f t="shared" si="48"/>
        <v>213575000</v>
      </c>
      <c r="EL16" s="214">
        <f t="shared" si="49"/>
        <v>0</v>
      </c>
      <c r="EM16" s="214">
        <f t="shared" si="50"/>
        <v>7250.104166666667</v>
      </c>
      <c r="EN16" s="185">
        <f t="shared" si="51"/>
        <v>1.2220707011588436E-2</v>
      </c>
      <c r="EP16" s="183"/>
    </row>
    <row r="17" spans="1:146" x14ac:dyDescent="0.2">
      <c r="A17" s="211">
        <f t="shared" si="52"/>
        <v>44719</v>
      </c>
      <c r="B17" s="183">
        <v>425000</v>
      </c>
      <c r="C17" s="185">
        <v>9.0000000000000011E-3</v>
      </c>
      <c r="D17" s="183">
        <f t="shared" si="1"/>
        <v>10.625000000000002</v>
      </c>
      <c r="G17" s="183">
        <f t="shared" si="2"/>
        <v>0</v>
      </c>
      <c r="J17" s="183">
        <f t="shared" si="3"/>
        <v>0</v>
      </c>
      <c r="M17" s="183">
        <f t="shared" si="4"/>
        <v>0</v>
      </c>
      <c r="P17" s="183">
        <f t="shared" si="5"/>
        <v>0</v>
      </c>
      <c r="S17" s="183">
        <f t="shared" si="6"/>
        <v>0</v>
      </c>
      <c r="V17" s="183">
        <f t="shared" si="7"/>
        <v>0</v>
      </c>
      <c r="Y17" s="183">
        <f t="shared" si="8"/>
        <v>0</v>
      </c>
      <c r="AB17" s="183">
        <f t="shared" si="9"/>
        <v>0</v>
      </c>
      <c r="AE17" s="183">
        <v>0</v>
      </c>
      <c r="AH17" s="183">
        <v>0</v>
      </c>
      <c r="AI17" s="212"/>
      <c r="AJ17" s="213"/>
      <c r="AK17" s="183">
        <f t="shared" si="10"/>
        <v>0</v>
      </c>
      <c r="AL17" s="212">
        <f t="shared" si="0"/>
        <v>105000000</v>
      </c>
      <c r="AM17" s="213">
        <v>1.4E-2</v>
      </c>
      <c r="AN17" s="183">
        <f t="shared" si="11"/>
        <v>4083.3333333333335</v>
      </c>
      <c r="AO17" s="212">
        <f t="shared" ref="AO17:AO40" si="53">40000000</f>
        <v>40000000</v>
      </c>
      <c r="AP17" s="213">
        <v>1.4500000000000001E-2</v>
      </c>
      <c r="AQ17" s="183">
        <f t="shared" si="12"/>
        <v>1611.1111111111111</v>
      </c>
      <c r="AR17" s="212">
        <f>86300000</f>
        <v>86300000</v>
      </c>
      <c r="AS17" s="213">
        <v>1.0500000000000001E-2</v>
      </c>
      <c r="AT17" s="183">
        <f t="shared" si="13"/>
        <v>2517.0833333333335</v>
      </c>
      <c r="AW17" s="183">
        <f t="shared" si="14"/>
        <v>0</v>
      </c>
      <c r="AZ17" s="183">
        <f t="shared" si="15"/>
        <v>0</v>
      </c>
      <c r="BC17" s="183">
        <f t="shared" si="16"/>
        <v>0</v>
      </c>
      <c r="BF17" s="183">
        <f t="shared" si="17"/>
        <v>0</v>
      </c>
      <c r="BI17" s="183">
        <f t="shared" si="18"/>
        <v>0</v>
      </c>
      <c r="BL17" s="183">
        <f t="shared" si="19"/>
        <v>0</v>
      </c>
      <c r="BO17" s="183">
        <f t="shared" si="20"/>
        <v>0</v>
      </c>
      <c r="BR17" s="183">
        <f t="shared" si="21"/>
        <v>0</v>
      </c>
      <c r="BU17" s="183">
        <f t="shared" si="22"/>
        <v>0</v>
      </c>
      <c r="BX17" s="183">
        <f t="shared" si="23"/>
        <v>0</v>
      </c>
      <c r="CA17" s="183">
        <f t="shared" si="24"/>
        <v>0</v>
      </c>
      <c r="CD17" s="183">
        <f t="shared" si="25"/>
        <v>0</v>
      </c>
      <c r="CG17" s="183">
        <f t="shared" si="26"/>
        <v>0</v>
      </c>
      <c r="CJ17" s="183">
        <f t="shared" si="27"/>
        <v>0</v>
      </c>
      <c r="CM17" s="183">
        <f t="shared" si="28"/>
        <v>0</v>
      </c>
      <c r="CP17" s="183">
        <f t="shared" si="29"/>
        <v>0</v>
      </c>
      <c r="CS17" s="183">
        <f t="shared" si="30"/>
        <v>0</v>
      </c>
      <c r="CV17" s="183">
        <f t="shared" si="31"/>
        <v>0</v>
      </c>
      <c r="CY17" s="183">
        <f t="shared" si="32"/>
        <v>0</v>
      </c>
      <c r="DB17" s="183">
        <f t="shared" si="33"/>
        <v>0</v>
      </c>
      <c r="DE17" s="183">
        <f t="shared" si="34"/>
        <v>0</v>
      </c>
      <c r="DH17" s="183">
        <f t="shared" si="35"/>
        <v>0</v>
      </c>
      <c r="DK17" s="183">
        <f t="shared" si="36"/>
        <v>0</v>
      </c>
      <c r="DN17" s="183">
        <f t="shared" si="37"/>
        <v>0</v>
      </c>
      <c r="DQ17" s="183">
        <f t="shared" si="38"/>
        <v>0</v>
      </c>
      <c r="DT17" s="183">
        <f t="shared" si="39"/>
        <v>0</v>
      </c>
      <c r="DW17" s="183">
        <f t="shared" si="40"/>
        <v>0</v>
      </c>
      <c r="DZ17" s="183"/>
      <c r="EA17" s="183"/>
      <c r="EB17" s="214">
        <f t="shared" si="41"/>
        <v>231725000</v>
      </c>
      <c r="EC17" s="214">
        <f t="shared" si="42"/>
        <v>425000</v>
      </c>
      <c r="ED17" s="183">
        <f t="shared" si="43"/>
        <v>8222.1527777777774</v>
      </c>
      <c r="EE17" s="185">
        <f t="shared" si="44"/>
        <v>1.2773654115870106E-2</v>
      </c>
      <c r="EG17" s="214">
        <f t="shared" si="45"/>
        <v>0</v>
      </c>
      <c r="EH17" s="183">
        <f t="shared" si="46"/>
        <v>0</v>
      </c>
      <c r="EI17" s="185">
        <f t="shared" si="47"/>
        <v>0</v>
      </c>
      <c r="EJ17" s="185"/>
      <c r="EK17" s="214">
        <f t="shared" si="48"/>
        <v>231300000</v>
      </c>
      <c r="EL17" s="214">
        <f t="shared" si="49"/>
        <v>0</v>
      </c>
      <c r="EM17" s="214">
        <f t="shared" si="50"/>
        <v>8211.5277777777774</v>
      </c>
      <c r="EN17" s="185">
        <f t="shared" si="51"/>
        <v>1.2780587980977087E-2</v>
      </c>
      <c r="EP17" s="183"/>
    </row>
    <row r="18" spans="1:146" x14ac:dyDescent="0.2">
      <c r="A18" s="211">
        <f t="shared" si="52"/>
        <v>44720</v>
      </c>
      <c r="B18" s="183">
        <v>29875000</v>
      </c>
      <c r="C18" s="185">
        <v>0.01</v>
      </c>
      <c r="D18" s="183">
        <f t="shared" si="1"/>
        <v>829.86111111111109</v>
      </c>
      <c r="G18" s="183">
        <f t="shared" si="2"/>
        <v>0</v>
      </c>
      <c r="J18" s="183">
        <f t="shared" si="3"/>
        <v>0</v>
      </c>
      <c r="M18" s="183">
        <f t="shared" si="4"/>
        <v>0</v>
      </c>
      <c r="P18" s="183">
        <f t="shared" si="5"/>
        <v>0</v>
      </c>
      <c r="S18" s="183">
        <f t="shared" si="6"/>
        <v>0</v>
      </c>
      <c r="V18" s="183">
        <f t="shared" si="7"/>
        <v>0</v>
      </c>
      <c r="Y18" s="183">
        <f t="shared" si="8"/>
        <v>0</v>
      </c>
      <c r="AB18" s="183">
        <f t="shared" si="9"/>
        <v>0</v>
      </c>
      <c r="AE18" s="183">
        <v>0</v>
      </c>
      <c r="AH18" s="183">
        <v>0</v>
      </c>
      <c r="AI18" s="212"/>
      <c r="AJ18" s="213"/>
      <c r="AK18" s="183">
        <f t="shared" si="10"/>
        <v>0</v>
      </c>
      <c r="AL18" s="212">
        <f t="shared" si="0"/>
        <v>105000000</v>
      </c>
      <c r="AM18" s="213">
        <v>1.4E-2</v>
      </c>
      <c r="AN18" s="183">
        <f t="shared" si="11"/>
        <v>4083.3333333333335</v>
      </c>
      <c r="AO18" s="212">
        <f t="shared" si="53"/>
        <v>40000000</v>
      </c>
      <c r="AP18" s="213">
        <v>1.4500000000000001E-2</v>
      </c>
      <c r="AQ18" s="183">
        <f t="shared" si="12"/>
        <v>1611.1111111111111</v>
      </c>
      <c r="AR18" s="212">
        <f>44025000</f>
        <v>44025000</v>
      </c>
      <c r="AS18" s="213">
        <v>1.0500000000000001E-2</v>
      </c>
      <c r="AT18" s="183">
        <f t="shared" si="13"/>
        <v>1284.0625</v>
      </c>
      <c r="AW18" s="183">
        <f t="shared" si="14"/>
        <v>0</v>
      </c>
      <c r="AZ18" s="183">
        <f t="shared" si="15"/>
        <v>0</v>
      </c>
      <c r="BC18" s="183">
        <f t="shared" si="16"/>
        <v>0</v>
      </c>
      <c r="BF18" s="183">
        <f t="shared" si="17"/>
        <v>0</v>
      </c>
      <c r="BI18" s="183">
        <f t="shared" si="18"/>
        <v>0</v>
      </c>
      <c r="BL18" s="183">
        <f t="shared" si="19"/>
        <v>0</v>
      </c>
      <c r="BO18" s="183">
        <f t="shared" si="20"/>
        <v>0</v>
      </c>
      <c r="BR18" s="183">
        <f t="shared" si="21"/>
        <v>0</v>
      </c>
      <c r="BU18" s="183">
        <f t="shared" si="22"/>
        <v>0</v>
      </c>
      <c r="BX18" s="183">
        <f t="shared" si="23"/>
        <v>0</v>
      </c>
      <c r="CA18" s="183">
        <f t="shared" si="24"/>
        <v>0</v>
      </c>
      <c r="CD18" s="183">
        <f t="shared" si="25"/>
        <v>0</v>
      </c>
      <c r="CG18" s="183">
        <f t="shared" si="26"/>
        <v>0</v>
      </c>
      <c r="CJ18" s="183">
        <f t="shared" si="27"/>
        <v>0</v>
      </c>
      <c r="CM18" s="183">
        <f t="shared" si="28"/>
        <v>0</v>
      </c>
      <c r="CP18" s="183">
        <f t="shared" si="29"/>
        <v>0</v>
      </c>
      <c r="CS18" s="183">
        <f t="shared" si="30"/>
        <v>0</v>
      </c>
      <c r="CV18" s="183">
        <f t="shared" si="31"/>
        <v>0</v>
      </c>
      <c r="CY18" s="183">
        <f t="shared" si="32"/>
        <v>0</v>
      </c>
      <c r="DB18" s="183">
        <f t="shared" si="33"/>
        <v>0</v>
      </c>
      <c r="DE18" s="183">
        <f t="shared" si="34"/>
        <v>0</v>
      </c>
      <c r="DH18" s="183">
        <f t="shared" si="35"/>
        <v>0</v>
      </c>
      <c r="DK18" s="183">
        <f t="shared" si="36"/>
        <v>0</v>
      </c>
      <c r="DN18" s="183">
        <f t="shared" si="37"/>
        <v>0</v>
      </c>
      <c r="DQ18" s="183">
        <f t="shared" si="38"/>
        <v>0</v>
      </c>
      <c r="DT18" s="183">
        <f t="shared" si="39"/>
        <v>0</v>
      </c>
      <c r="DW18" s="183">
        <f t="shared" si="40"/>
        <v>0</v>
      </c>
      <c r="DZ18" s="183"/>
      <c r="EA18" s="183"/>
      <c r="EB18" s="214">
        <f t="shared" si="41"/>
        <v>218900000</v>
      </c>
      <c r="EC18" s="214">
        <f t="shared" si="42"/>
        <v>29875000</v>
      </c>
      <c r="ED18" s="183">
        <f t="shared" si="43"/>
        <v>7808.3680555555557</v>
      </c>
      <c r="EE18" s="185">
        <f t="shared" si="44"/>
        <v>1.2841537231612609E-2</v>
      </c>
      <c r="EG18" s="214">
        <f t="shared" si="45"/>
        <v>0</v>
      </c>
      <c r="EH18" s="183">
        <f t="shared" si="46"/>
        <v>0</v>
      </c>
      <c r="EI18" s="185">
        <f t="shared" si="47"/>
        <v>0</v>
      </c>
      <c r="EJ18" s="185"/>
      <c r="EK18" s="214">
        <f t="shared" si="48"/>
        <v>189025000</v>
      </c>
      <c r="EL18" s="214">
        <f t="shared" si="49"/>
        <v>0</v>
      </c>
      <c r="EM18" s="214">
        <f t="shared" si="50"/>
        <v>6978.5069444444453</v>
      </c>
      <c r="EN18" s="185">
        <f t="shared" si="51"/>
        <v>1.3290636159238197E-2</v>
      </c>
      <c r="EP18" s="183"/>
    </row>
    <row r="19" spans="1:146" x14ac:dyDescent="0.2">
      <c r="A19" s="211">
        <f t="shared" si="52"/>
        <v>44721</v>
      </c>
      <c r="B19" s="183">
        <v>38125000</v>
      </c>
      <c r="C19" s="185">
        <v>1.01E-2</v>
      </c>
      <c r="D19" s="183">
        <f t="shared" si="1"/>
        <v>1069.6180555555557</v>
      </c>
      <c r="G19" s="183">
        <f t="shared" si="2"/>
        <v>0</v>
      </c>
      <c r="J19" s="183">
        <f t="shared" si="3"/>
        <v>0</v>
      </c>
      <c r="M19" s="183">
        <f t="shared" si="4"/>
        <v>0</v>
      </c>
      <c r="P19" s="183">
        <f t="shared" si="5"/>
        <v>0</v>
      </c>
      <c r="S19" s="183">
        <f t="shared" si="6"/>
        <v>0</v>
      </c>
      <c r="V19" s="183">
        <f t="shared" si="7"/>
        <v>0</v>
      </c>
      <c r="Y19" s="183">
        <f t="shared" si="8"/>
        <v>0</v>
      </c>
      <c r="AB19" s="183">
        <f t="shared" si="9"/>
        <v>0</v>
      </c>
      <c r="AE19" s="183">
        <v>0</v>
      </c>
      <c r="AH19" s="183">
        <v>0</v>
      </c>
      <c r="AI19" s="212"/>
      <c r="AJ19" s="213"/>
      <c r="AK19" s="183">
        <f t="shared" si="10"/>
        <v>0</v>
      </c>
      <c r="AL19" s="212">
        <f t="shared" si="0"/>
        <v>105000000</v>
      </c>
      <c r="AM19" s="213">
        <v>1.4E-2</v>
      </c>
      <c r="AN19" s="183">
        <f t="shared" si="11"/>
        <v>4083.3333333333335</v>
      </c>
      <c r="AO19" s="212">
        <f t="shared" si="53"/>
        <v>40000000</v>
      </c>
      <c r="AP19" s="213">
        <v>1.4500000000000001E-2</v>
      </c>
      <c r="AQ19" s="183">
        <f t="shared" si="12"/>
        <v>1611.1111111111111</v>
      </c>
      <c r="AR19" s="212">
        <f>30300000</f>
        <v>30300000</v>
      </c>
      <c r="AS19" s="213">
        <v>1.0500000000000001E-2</v>
      </c>
      <c r="AT19" s="183">
        <f t="shared" si="13"/>
        <v>883.75</v>
      </c>
      <c r="AW19" s="183">
        <f t="shared" si="14"/>
        <v>0</v>
      </c>
      <c r="AZ19" s="183">
        <f t="shared" si="15"/>
        <v>0</v>
      </c>
      <c r="BC19" s="183">
        <f t="shared" si="16"/>
        <v>0</v>
      </c>
      <c r="BF19" s="183">
        <f t="shared" si="17"/>
        <v>0</v>
      </c>
      <c r="BI19" s="183">
        <f t="shared" si="18"/>
        <v>0</v>
      </c>
      <c r="BL19" s="183">
        <f t="shared" si="19"/>
        <v>0</v>
      </c>
      <c r="BO19" s="183">
        <f t="shared" si="20"/>
        <v>0</v>
      </c>
      <c r="BR19" s="183">
        <f t="shared" si="21"/>
        <v>0</v>
      </c>
      <c r="BU19" s="183">
        <f t="shared" si="22"/>
        <v>0</v>
      </c>
      <c r="BX19" s="183">
        <f t="shared" si="23"/>
        <v>0</v>
      </c>
      <c r="CA19" s="183">
        <f t="shared" si="24"/>
        <v>0</v>
      </c>
      <c r="CD19" s="183">
        <f t="shared" si="25"/>
        <v>0</v>
      </c>
      <c r="CG19" s="183">
        <f t="shared" si="26"/>
        <v>0</v>
      </c>
      <c r="CJ19" s="183">
        <f t="shared" si="27"/>
        <v>0</v>
      </c>
      <c r="CM19" s="183">
        <f t="shared" si="28"/>
        <v>0</v>
      </c>
      <c r="CP19" s="183">
        <f t="shared" si="29"/>
        <v>0</v>
      </c>
      <c r="CS19" s="183">
        <f t="shared" si="30"/>
        <v>0</v>
      </c>
      <c r="CV19" s="183">
        <f t="shared" si="31"/>
        <v>0</v>
      </c>
      <c r="CY19" s="183">
        <f t="shared" si="32"/>
        <v>0</v>
      </c>
      <c r="DB19" s="183">
        <f t="shared" si="33"/>
        <v>0</v>
      </c>
      <c r="DE19" s="183">
        <f t="shared" si="34"/>
        <v>0</v>
      </c>
      <c r="DH19" s="183">
        <f t="shared" si="35"/>
        <v>0</v>
      </c>
      <c r="DK19" s="183">
        <f t="shared" si="36"/>
        <v>0</v>
      </c>
      <c r="DN19" s="183">
        <f t="shared" si="37"/>
        <v>0</v>
      </c>
      <c r="DQ19" s="183">
        <f t="shared" si="38"/>
        <v>0</v>
      </c>
      <c r="DT19" s="183">
        <f t="shared" si="39"/>
        <v>0</v>
      </c>
      <c r="DW19" s="183">
        <f t="shared" si="40"/>
        <v>0</v>
      </c>
      <c r="DZ19" s="183"/>
      <c r="EA19" s="183"/>
      <c r="EB19" s="214">
        <f t="shared" si="41"/>
        <v>213425000</v>
      </c>
      <c r="EC19" s="214">
        <f t="shared" si="42"/>
        <v>38125000</v>
      </c>
      <c r="ED19" s="183">
        <f t="shared" si="43"/>
        <v>7647.8125</v>
      </c>
      <c r="EE19" s="185">
        <f t="shared" si="44"/>
        <v>1.2900140564601148E-2</v>
      </c>
      <c r="EG19" s="214">
        <f t="shared" si="45"/>
        <v>0</v>
      </c>
      <c r="EH19" s="183">
        <f t="shared" si="46"/>
        <v>0</v>
      </c>
      <c r="EI19" s="185">
        <f t="shared" si="47"/>
        <v>0</v>
      </c>
      <c r="EJ19" s="185"/>
      <c r="EK19" s="214">
        <f t="shared" si="48"/>
        <v>175300000</v>
      </c>
      <c r="EL19" s="214">
        <f t="shared" si="49"/>
        <v>0</v>
      </c>
      <c r="EM19" s="214">
        <f t="shared" si="50"/>
        <v>6578.1944444444453</v>
      </c>
      <c r="EN19" s="185">
        <f t="shared" si="51"/>
        <v>1.3509127210496293E-2</v>
      </c>
      <c r="EP19" s="183"/>
    </row>
    <row r="20" spans="1:146" x14ac:dyDescent="0.2">
      <c r="A20" s="211">
        <f t="shared" si="52"/>
        <v>44722</v>
      </c>
      <c r="B20" s="183">
        <v>12450000</v>
      </c>
      <c r="C20" s="185">
        <v>1.0800000000000001E-2</v>
      </c>
      <c r="D20" s="183">
        <f t="shared" si="1"/>
        <v>373.5</v>
      </c>
      <c r="G20" s="183">
        <f t="shared" si="2"/>
        <v>0</v>
      </c>
      <c r="J20" s="183">
        <f t="shared" si="3"/>
        <v>0</v>
      </c>
      <c r="M20" s="183">
        <f t="shared" si="4"/>
        <v>0</v>
      </c>
      <c r="P20" s="183">
        <f t="shared" si="5"/>
        <v>0</v>
      </c>
      <c r="S20" s="183">
        <f t="shared" si="6"/>
        <v>0</v>
      </c>
      <c r="V20" s="183">
        <f t="shared" si="7"/>
        <v>0</v>
      </c>
      <c r="Y20" s="183">
        <f t="shared" si="8"/>
        <v>0</v>
      </c>
      <c r="AB20" s="183">
        <f t="shared" si="9"/>
        <v>0</v>
      </c>
      <c r="AE20" s="183">
        <v>0</v>
      </c>
      <c r="AH20" s="183">
        <v>0</v>
      </c>
      <c r="AI20" s="212"/>
      <c r="AJ20" s="213"/>
      <c r="AK20" s="183">
        <f t="shared" si="10"/>
        <v>0</v>
      </c>
      <c r="AL20" s="212">
        <f t="shared" si="0"/>
        <v>105000000</v>
      </c>
      <c r="AM20" s="213">
        <v>1.4E-2</v>
      </c>
      <c r="AN20" s="183">
        <f t="shared" si="11"/>
        <v>4083.3333333333335</v>
      </c>
      <c r="AO20" s="212">
        <f t="shared" si="53"/>
        <v>40000000</v>
      </c>
      <c r="AP20" s="213">
        <v>1.4500000000000001E-2</v>
      </c>
      <c r="AQ20" s="183">
        <f t="shared" si="12"/>
        <v>1611.1111111111111</v>
      </c>
      <c r="AR20" s="212">
        <f>40000000+30650000</f>
        <v>70650000</v>
      </c>
      <c r="AS20" s="213">
        <v>1.0500000000000001E-2</v>
      </c>
      <c r="AT20" s="183">
        <f t="shared" si="13"/>
        <v>2060.625</v>
      </c>
      <c r="AW20" s="183">
        <f t="shared" si="14"/>
        <v>0</v>
      </c>
      <c r="AZ20" s="183">
        <f t="shared" si="15"/>
        <v>0</v>
      </c>
      <c r="BC20" s="183">
        <f t="shared" si="16"/>
        <v>0</v>
      </c>
      <c r="BF20" s="183">
        <f t="shared" si="17"/>
        <v>0</v>
      </c>
      <c r="BI20" s="183">
        <f t="shared" si="18"/>
        <v>0</v>
      </c>
      <c r="BL20" s="183">
        <f t="shared" si="19"/>
        <v>0</v>
      </c>
      <c r="BO20" s="183">
        <f t="shared" si="20"/>
        <v>0</v>
      </c>
      <c r="BR20" s="183">
        <f t="shared" si="21"/>
        <v>0</v>
      </c>
      <c r="BU20" s="183">
        <f t="shared" si="22"/>
        <v>0</v>
      </c>
      <c r="BX20" s="183">
        <f t="shared" si="23"/>
        <v>0</v>
      </c>
      <c r="CA20" s="183">
        <f t="shared" si="24"/>
        <v>0</v>
      </c>
      <c r="CD20" s="183">
        <f t="shared" si="25"/>
        <v>0</v>
      </c>
      <c r="CG20" s="183">
        <f t="shared" si="26"/>
        <v>0</v>
      </c>
      <c r="CJ20" s="183">
        <f t="shared" si="27"/>
        <v>0</v>
      </c>
      <c r="CM20" s="183">
        <f t="shared" si="28"/>
        <v>0</v>
      </c>
      <c r="CP20" s="183">
        <f t="shared" si="29"/>
        <v>0</v>
      </c>
      <c r="CS20" s="183">
        <f t="shared" si="30"/>
        <v>0</v>
      </c>
      <c r="CV20" s="183">
        <f t="shared" si="31"/>
        <v>0</v>
      </c>
      <c r="CY20" s="183">
        <f t="shared" si="32"/>
        <v>0</v>
      </c>
      <c r="DB20" s="183">
        <f t="shared" si="33"/>
        <v>0</v>
      </c>
      <c r="DE20" s="183">
        <f t="shared" si="34"/>
        <v>0</v>
      </c>
      <c r="DH20" s="183">
        <f t="shared" si="35"/>
        <v>0</v>
      </c>
      <c r="DK20" s="183">
        <f t="shared" si="36"/>
        <v>0</v>
      </c>
      <c r="DN20" s="183">
        <f t="shared" si="37"/>
        <v>0</v>
      </c>
      <c r="DQ20" s="183">
        <f t="shared" si="38"/>
        <v>0</v>
      </c>
      <c r="DT20" s="183">
        <f t="shared" si="39"/>
        <v>0</v>
      </c>
      <c r="DW20" s="183">
        <f t="shared" si="40"/>
        <v>0</v>
      </c>
      <c r="DZ20" s="183"/>
      <c r="EA20" s="183"/>
      <c r="EB20" s="214">
        <f t="shared" si="41"/>
        <v>228100000</v>
      </c>
      <c r="EC20" s="214">
        <f t="shared" si="42"/>
        <v>12450000</v>
      </c>
      <c r="ED20" s="183">
        <f t="shared" si="43"/>
        <v>8128.5694444444453</v>
      </c>
      <c r="EE20" s="185">
        <f t="shared" si="44"/>
        <v>1.2828956597983342E-2</v>
      </c>
      <c r="EG20" s="214">
        <f t="shared" si="45"/>
        <v>0</v>
      </c>
      <c r="EH20" s="183">
        <f t="shared" si="46"/>
        <v>0</v>
      </c>
      <c r="EI20" s="185">
        <f t="shared" si="47"/>
        <v>0</v>
      </c>
      <c r="EJ20" s="185"/>
      <c r="EK20" s="214">
        <f t="shared" si="48"/>
        <v>215650000</v>
      </c>
      <c r="EL20" s="214">
        <f t="shared" si="49"/>
        <v>0</v>
      </c>
      <c r="EM20" s="214">
        <f t="shared" si="50"/>
        <v>7755.0694444444453</v>
      </c>
      <c r="EN20" s="185">
        <f t="shared" si="51"/>
        <v>1.2946093206584746E-2</v>
      </c>
      <c r="EP20" s="183"/>
    </row>
    <row r="21" spans="1:146" x14ac:dyDescent="0.2">
      <c r="A21" s="211">
        <f t="shared" si="52"/>
        <v>44723</v>
      </c>
      <c r="B21" s="183">
        <v>12450000</v>
      </c>
      <c r="C21" s="185">
        <v>1.0800000000000001E-2</v>
      </c>
      <c r="D21" s="183">
        <f t="shared" si="1"/>
        <v>373.5</v>
      </c>
      <c r="G21" s="183">
        <f t="shared" si="2"/>
        <v>0</v>
      </c>
      <c r="J21" s="183">
        <f t="shared" si="3"/>
        <v>0</v>
      </c>
      <c r="M21" s="183">
        <f t="shared" si="4"/>
        <v>0</v>
      </c>
      <c r="P21" s="183">
        <f t="shared" si="5"/>
        <v>0</v>
      </c>
      <c r="S21" s="183">
        <f t="shared" si="6"/>
        <v>0</v>
      </c>
      <c r="V21" s="183">
        <f t="shared" si="7"/>
        <v>0</v>
      </c>
      <c r="Y21" s="183">
        <f t="shared" si="8"/>
        <v>0</v>
      </c>
      <c r="AB21" s="183">
        <f t="shared" si="9"/>
        <v>0</v>
      </c>
      <c r="AE21" s="183">
        <v>0</v>
      </c>
      <c r="AH21" s="183">
        <v>0</v>
      </c>
      <c r="AI21" s="212"/>
      <c r="AJ21" s="213"/>
      <c r="AK21" s="183">
        <f t="shared" si="10"/>
        <v>0</v>
      </c>
      <c r="AL21" s="212">
        <f t="shared" si="0"/>
        <v>105000000</v>
      </c>
      <c r="AM21" s="213">
        <v>1.4E-2</v>
      </c>
      <c r="AN21" s="183">
        <f t="shared" si="11"/>
        <v>4083.3333333333335</v>
      </c>
      <c r="AO21" s="212">
        <f t="shared" si="53"/>
        <v>40000000</v>
      </c>
      <c r="AP21" s="213">
        <v>1.4500000000000001E-2</v>
      </c>
      <c r="AQ21" s="183">
        <f t="shared" si="12"/>
        <v>1611.1111111111111</v>
      </c>
      <c r="AR21" s="212">
        <f>40000000+30650000</f>
        <v>70650000</v>
      </c>
      <c r="AS21" s="213">
        <v>1.0500000000000001E-2</v>
      </c>
      <c r="AT21" s="183">
        <f t="shared" si="13"/>
        <v>2060.625</v>
      </c>
      <c r="AW21" s="183">
        <f t="shared" si="14"/>
        <v>0</v>
      </c>
      <c r="AZ21" s="183">
        <f t="shared" si="15"/>
        <v>0</v>
      </c>
      <c r="BC21" s="183">
        <f t="shared" si="16"/>
        <v>0</v>
      </c>
      <c r="BF21" s="183">
        <f t="shared" si="17"/>
        <v>0</v>
      </c>
      <c r="BI21" s="183">
        <f t="shared" si="18"/>
        <v>0</v>
      </c>
      <c r="BL21" s="183">
        <f t="shared" si="19"/>
        <v>0</v>
      </c>
      <c r="BO21" s="183">
        <f t="shared" si="20"/>
        <v>0</v>
      </c>
      <c r="BR21" s="183">
        <f t="shared" si="21"/>
        <v>0</v>
      </c>
      <c r="BU21" s="183">
        <f t="shared" si="22"/>
        <v>0</v>
      </c>
      <c r="BX21" s="183">
        <f t="shared" si="23"/>
        <v>0</v>
      </c>
      <c r="CA21" s="183">
        <f t="shared" si="24"/>
        <v>0</v>
      </c>
      <c r="CD21" s="183">
        <f t="shared" si="25"/>
        <v>0</v>
      </c>
      <c r="CG21" s="183">
        <f t="shared" si="26"/>
        <v>0</v>
      </c>
      <c r="CJ21" s="183">
        <f t="shared" si="27"/>
        <v>0</v>
      </c>
      <c r="CM21" s="183">
        <f t="shared" si="28"/>
        <v>0</v>
      </c>
      <c r="CP21" s="183">
        <f t="shared" si="29"/>
        <v>0</v>
      </c>
      <c r="CS21" s="183">
        <f t="shared" si="30"/>
        <v>0</v>
      </c>
      <c r="CV21" s="183">
        <f t="shared" si="31"/>
        <v>0</v>
      </c>
      <c r="CY21" s="183">
        <f t="shared" si="32"/>
        <v>0</v>
      </c>
      <c r="DB21" s="183">
        <f t="shared" si="33"/>
        <v>0</v>
      </c>
      <c r="DE21" s="183">
        <f t="shared" si="34"/>
        <v>0</v>
      </c>
      <c r="DH21" s="183">
        <f t="shared" si="35"/>
        <v>0</v>
      </c>
      <c r="DK21" s="183">
        <f t="shared" si="36"/>
        <v>0</v>
      </c>
      <c r="DN21" s="183">
        <f t="shared" si="37"/>
        <v>0</v>
      </c>
      <c r="DQ21" s="183">
        <f t="shared" si="38"/>
        <v>0</v>
      </c>
      <c r="DT21" s="183">
        <f t="shared" si="39"/>
        <v>0</v>
      </c>
      <c r="DW21" s="183">
        <f t="shared" si="40"/>
        <v>0</v>
      </c>
      <c r="DZ21" s="183"/>
      <c r="EA21" s="183"/>
      <c r="EB21" s="214">
        <f t="shared" si="41"/>
        <v>228100000</v>
      </c>
      <c r="EC21" s="214">
        <f t="shared" si="42"/>
        <v>12450000</v>
      </c>
      <c r="ED21" s="183">
        <f t="shared" si="43"/>
        <v>8128.5694444444453</v>
      </c>
      <c r="EE21" s="185">
        <f t="shared" si="44"/>
        <v>1.2828956597983342E-2</v>
      </c>
      <c r="EG21" s="214">
        <f t="shared" si="45"/>
        <v>0</v>
      </c>
      <c r="EH21" s="183">
        <f t="shared" si="46"/>
        <v>0</v>
      </c>
      <c r="EI21" s="185">
        <f t="shared" si="47"/>
        <v>0</v>
      </c>
      <c r="EJ21" s="185"/>
      <c r="EK21" s="214">
        <f t="shared" si="48"/>
        <v>215650000</v>
      </c>
      <c r="EL21" s="214">
        <f t="shared" si="49"/>
        <v>0</v>
      </c>
      <c r="EM21" s="214">
        <f t="shared" si="50"/>
        <v>7755.0694444444453</v>
      </c>
      <c r="EN21" s="185">
        <f t="shared" si="51"/>
        <v>1.2946093206584746E-2</v>
      </c>
      <c r="EP21" s="183"/>
    </row>
    <row r="22" spans="1:146" x14ac:dyDescent="0.2">
      <c r="A22" s="211">
        <f t="shared" si="52"/>
        <v>44724</v>
      </c>
      <c r="B22" s="183">
        <v>12450000</v>
      </c>
      <c r="C22" s="185">
        <v>1.0800000000000001E-2</v>
      </c>
      <c r="D22" s="183">
        <f t="shared" si="1"/>
        <v>373.5</v>
      </c>
      <c r="G22" s="183">
        <f t="shared" si="2"/>
        <v>0</v>
      </c>
      <c r="J22" s="183">
        <f t="shared" si="3"/>
        <v>0</v>
      </c>
      <c r="M22" s="183">
        <f t="shared" si="4"/>
        <v>0</v>
      </c>
      <c r="P22" s="183">
        <f t="shared" si="5"/>
        <v>0</v>
      </c>
      <c r="S22" s="183">
        <f t="shared" si="6"/>
        <v>0</v>
      </c>
      <c r="V22" s="183">
        <f t="shared" si="7"/>
        <v>0</v>
      </c>
      <c r="Y22" s="183">
        <f t="shared" si="8"/>
        <v>0</v>
      </c>
      <c r="AB22" s="183">
        <f t="shared" si="9"/>
        <v>0</v>
      </c>
      <c r="AE22" s="183">
        <v>0</v>
      </c>
      <c r="AH22" s="183">
        <v>0</v>
      </c>
      <c r="AI22" s="212"/>
      <c r="AJ22" s="213"/>
      <c r="AK22" s="183">
        <f t="shared" si="10"/>
        <v>0</v>
      </c>
      <c r="AL22" s="212">
        <f t="shared" si="0"/>
        <v>105000000</v>
      </c>
      <c r="AM22" s="213">
        <v>1.4E-2</v>
      </c>
      <c r="AN22" s="183">
        <f t="shared" si="11"/>
        <v>4083.3333333333335</v>
      </c>
      <c r="AO22" s="212">
        <f t="shared" si="53"/>
        <v>40000000</v>
      </c>
      <c r="AP22" s="213">
        <v>1.4500000000000001E-2</v>
      </c>
      <c r="AQ22" s="183">
        <f t="shared" si="12"/>
        <v>1611.1111111111111</v>
      </c>
      <c r="AR22" s="212">
        <f>40000000+30650000</f>
        <v>70650000</v>
      </c>
      <c r="AS22" s="213">
        <v>1.0500000000000001E-2</v>
      </c>
      <c r="AT22" s="183">
        <f t="shared" si="13"/>
        <v>2060.625</v>
      </c>
      <c r="AW22" s="183">
        <f t="shared" si="14"/>
        <v>0</v>
      </c>
      <c r="AZ22" s="183">
        <f t="shared" si="15"/>
        <v>0</v>
      </c>
      <c r="BC22" s="183">
        <f t="shared" si="16"/>
        <v>0</v>
      </c>
      <c r="BF22" s="183">
        <f t="shared" si="17"/>
        <v>0</v>
      </c>
      <c r="BI22" s="183">
        <f t="shared" si="18"/>
        <v>0</v>
      </c>
      <c r="BL22" s="183">
        <f t="shared" si="19"/>
        <v>0</v>
      </c>
      <c r="BO22" s="183">
        <f t="shared" si="20"/>
        <v>0</v>
      </c>
      <c r="BR22" s="183">
        <f t="shared" si="21"/>
        <v>0</v>
      </c>
      <c r="BU22" s="183">
        <f t="shared" si="22"/>
        <v>0</v>
      </c>
      <c r="BX22" s="183">
        <f t="shared" si="23"/>
        <v>0</v>
      </c>
      <c r="CA22" s="183">
        <f t="shared" si="24"/>
        <v>0</v>
      </c>
      <c r="CD22" s="183">
        <f t="shared" si="25"/>
        <v>0</v>
      </c>
      <c r="CG22" s="183">
        <f t="shared" si="26"/>
        <v>0</v>
      </c>
      <c r="CJ22" s="183">
        <f t="shared" si="27"/>
        <v>0</v>
      </c>
      <c r="CM22" s="183">
        <f t="shared" si="28"/>
        <v>0</v>
      </c>
      <c r="CP22" s="183">
        <f t="shared" si="29"/>
        <v>0</v>
      </c>
      <c r="CS22" s="183">
        <f t="shared" si="30"/>
        <v>0</v>
      </c>
      <c r="CV22" s="183">
        <f t="shared" si="31"/>
        <v>0</v>
      </c>
      <c r="CY22" s="183">
        <f t="shared" si="32"/>
        <v>0</v>
      </c>
      <c r="DB22" s="183">
        <f t="shared" si="33"/>
        <v>0</v>
      </c>
      <c r="DE22" s="183">
        <f t="shared" si="34"/>
        <v>0</v>
      </c>
      <c r="DH22" s="183">
        <f t="shared" si="35"/>
        <v>0</v>
      </c>
      <c r="DK22" s="183">
        <f t="shared" si="36"/>
        <v>0</v>
      </c>
      <c r="DN22" s="183">
        <f t="shared" si="37"/>
        <v>0</v>
      </c>
      <c r="DQ22" s="183">
        <f t="shared" si="38"/>
        <v>0</v>
      </c>
      <c r="DT22" s="183">
        <f t="shared" si="39"/>
        <v>0</v>
      </c>
      <c r="DW22" s="183">
        <f t="shared" si="40"/>
        <v>0</v>
      </c>
      <c r="DZ22" s="183"/>
      <c r="EA22" s="183"/>
      <c r="EB22" s="214">
        <f t="shared" si="41"/>
        <v>228100000</v>
      </c>
      <c r="EC22" s="214">
        <f t="shared" si="42"/>
        <v>12450000</v>
      </c>
      <c r="ED22" s="183">
        <f t="shared" si="43"/>
        <v>8128.5694444444453</v>
      </c>
      <c r="EE22" s="185">
        <f t="shared" si="44"/>
        <v>1.2828956597983342E-2</v>
      </c>
      <c r="EG22" s="214">
        <f t="shared" si="45"/>
        <v>0</v>
      </c>
      <c r="EH22" s="183">
        <f t="shared" si="46"/>
        <v>0</v>
      </c>
      <c r="EI22" s="185">
        <f t="shared" si="47"/>
        <v>0</v>
      </c>
      <c r="EJ22" s="185"/>
      <c r="EK22" s="214">
        <f t="shared" si="48"/>
        <v>215650000</v>
      </c>
      <c r="EL22" s="214">
        <f t="shared" si="49"/>
        <v>0</v>
      </c>
      <c r="EM22" s="214">
        <f t="shared" si="50"/>
        <v>7755.0694444444453</v>
      </c>
      <c r="EN22" s="185">
        <f t="shared" si="51"/>
        <v>1.2946093206584746E-2</v>
      </c>
      <c r="EP22" s="183"/>
    </row>
    <row r="23" spans="1:146" x14ac:dyDescent="0.2">
      <c r="A23" s="211">
        <f t="shared" si="52"/>
        <v>44725</v>
      </c>
      <c r="B23" s="183">
        <v>0</v>
      </c>
      <c r="C23" s="185">
        <v>1.053604E-2</v>
      </c>
      <c r="D23" s="183">
        <f t="shared" si="1"/>
        <v>0</v>
      </c>
      <c r="G23" s="183">
        <f t="shared" si="2"/>
        <v>0</v>
      </c>
      <c r="J23" s="183">
        <f t="shared" si="3"/>
        <v>0</v>
      </c>
      <c r="M23" s="183">
        <f t="shared" si="4"/>
        <v>0</v>
      </c>
      <c r="P23" s="183">
        <f t="shared" si="5"/>
        <v>0</v>
      </c>
      <c r="S23" s="183">
        <f t="shared" si="6"/>
        <v>0</v>
      </c>
      <c r="V23" s="183">
        <f t="shared" si="7"/>
        <v>0</v>
      </c>
      <c r="Y23" s="183">
        <f t="shared" si="8"/>
        <v>0</v>
      </c>
      <c r="AB23" s="183">
        <f t="shared" si="9"/>
        <v>0</v>
      </c>
      <c r="AE23" s="183">
        <v>0</v>
      </c>
      <c r="AH23" s="183">
        <v>0</v>
      </c>
      <c r="AI23" s="212"/>
      <c r="AJ23" s="213"/>
      <c r="AK23" s="183">
        <f t="shared" si="10"/>
        <v>0</v>
      </c>
      <c r="AL23" s="212">
        <f t="shared" si="0"/>
        <v>105000000</v>
      </c>
      <c r="AM23" s="213">
        <v>1.4E-2</v>
      </c>
      <c r="AN23" s="183">
        <f t="shared" si="11"/>
        <v>4083.3333333333335</v>
      </c>
      <c r="AO23" s="212">
        <f t="shared" si="53"/>
        <v>40000000</v>
      </c>
      <c r="AP23" s="213">
        <v>1.4500000000000001E-2</v>
      </c>
      <c r="AQ23" s="183">
        <f t="shared" si="12"/>
        <v>1611.1111111111111</v>
      </c>
      <c r="AR23" s="212">
        <f>67000000+25000000+15025000</f>
        <v>107025000</v>
      </c>
      <c r="AS23" s="213">
        <v>1.0500000000000001E-2</v>
      </c>
      <c r="AT23" s="183">
        <f t="shared" si="13"/>
        <v>3121.5625</v>
      </c>
      <c r="AW23" s="183">
        <f t="shared" si="14"/>
        <v>0</v>
      </c>
      <c r="AZ23" s="183">
        <f t="shared" si="15"/>
        <v>0</v>
      </c>
      <c r="BC23" s="183">
        <f t="shared" si="16"/>
        <v>0</v>
      </c>
      <c r="BF23" s="183">
        <f t="shared" si="17"/>
        <v>0</v>
      </c>
      <c r="BI23" s="183">
        <f t="shared" si="18"/>
        <v>0</v>
      </c>
      <c r="BL23" s="183">
        <f t="shared" si="19"/>
        <v>0</v>
      </c>
      <c r="BO23" s="183">
        <f t="shared" si="20"/>
        <v>0</v>
      </c>
      <c r="BR23" s="183">
        <f t="shared" si="21"/>
        <v>0</v>
      </c>
      <c r="BU23" s="183">
        <f t="shared" si="22"/>
        <v>0</v>
      </c>
      <c r="BX23" s="183">
        <f t="shared" si="23"/>
        <v>0</v>
      </c>
      <c r="CA23" s="183">
        <f t="shared" si="24"/>
        <v>0</v>
      </c>
      <c r="CD23" s="183">
        <f t="shared" si="25"/>
        <v>0</v>
      </c>
      <c r="CG23" s="183">
        <f t="shared" si="26"/>
        <v>0</v>
      </c>
      <c r="CJ23" s="183">
        <f t="shared" si="27"/>
        <v>0</v>
      </c>
      <c r="CM23" s="183">
        <f t="shared" si="28"/>
        <v>0</v>
      </c>
      <c r="CP23" s="183">
        <f t="shared" si="29"/>
        <v>0</v>
      </c>
      <c r="CS23" s="183">
        <f t="shared" si="30"/>
        <v>0</v>
      </c>
      <c r="CV23" s="183">
        <f t="shared" si="31"/>
        <v>0</v>
      </c>
      <c r="CY23" s="183">
        <f t="shared" si="32"/>
        <v>0</v>
      </c>
      <c r="DB23" s="183">
        <f t="shared" si="33"/>
        <v>0</v>
      </c>
      <c r="DE23" s="183">
        <f t="shared" si="34"/>
        <v>0</v>
      </c>
      <c r="DH23" s="183">
        <f t="shared" si="35"/>
        <v>0</v>
      </c>
      <c r="DK23" s="183">
        <f t="shared" si="36"/>
        <v>0</v>
      </c>
      <c r="DN23" s="183">
        <f t="shared" si="37"/>
        <v>0</v>
      </c>
      <c r="DQ23" s="183">
        <f t="shared" si="38"/>
        <v>0</v>
      </c>
      <c r="DT23" s="183">
        <f t="shared" si="39"/>
        <v>0</v>
      </c>
      <c r="DW23" s="183">
        <f t="shared" si="40"/>
        <v>0</v>
      </c>
      <c r="DZ23" s="183"/>
      <c r="EA23" s="183"/>
      <c r="EB23" s="214">
        <f t="shared" si="41"/>
        <v>252025000</v>
      </c>
      <c r="EC23" s="214">
        <f t="shared" si="42"/>
        <v>0</v>
      </c>
      <c r="ED23" s="183">
        <f t="shared" si="43"/>
        <v>8816.0069444444453</v>
      </c>
      <c r="EE23" s="185">
        <f t="shared" si="44"/>
        <v>1.2593046324769368E-2</v>
      </c>
      <c r="EG23" s="214">
        <f t="shared" si="45"/>
        <v>0</v>
      </c>
      <c r="EH23" s="183">
        <f t="shared" si="46"/>
        <v>0</v>
      </c>
      <c r="EI23" s="185">
        <f t="shared" si="47"/>
        <v>0</v>
      </c>
      <c r="EJ23" s="185"/>
      <c r="EK23" s="214">
        <f t="shared" si="48"/>
        <v>252025000</v>
      </c>
      <c r="EL23" s="214">
        <f t="shared" si="49"/>
        <v>0</v>
      </c>
      <c r="EM23" s="214">
        <f t="shared" si="50"/>
        <v>8816.0069444444453</v>
      </c>
      <c r="EN23" s="185">
        <f t="shared" si="51"/>
        <v>1.2593046324769368E-2</v>
      </c>
      <c r="EP23" s="183"/>
    </row>
    <row r="24" spans="1:146" x14ac:dyDescent="0.2">
      <c r="A24" s="211">
        <f t="shared" si="52"/>
        <v>44726</v>
      </c>
      <c r="B24" s="183">
        <v>3225000</v>
      </c>
      <c r="C24" s="185">
        <v>1.3300000000000001E-2</v>
      </c>
      <c r="D24" s="183">
        <f t="shared" si="1"/>
        <v>119.14583333333333</v>
      </c>
      <c r="G24" s="183">
        <f t="shared" si="2"/>
        <v>0</v>
      </c>
      <c r="J24" s="183">
        <f t="shared" si="3"/>
        <v>0</v>
      </c>
      <c r="M24" s="183">
        <f t="shared" si="4"/>
        <v>0</v>
      </c>
      <c r="P24" s="183">
        <f t="shared" si="5"/>
        <v>0</v>
      </c>
      <c r="S24" s="183">
        <f t="shared" si="6"/>
        <v>0</v>
      </c>
      <c r="V24" s="183">
        <f t="shared" si="7"/>
        <v>0</v>
      </c>
      <c r="Y24" s="183">
        <f t="shared" si="8"/>
        <v>0</v>
      </c>
      <c r="AB24" s="183">
        <f t="shared" si="9"/>
        <v>0</v>
      </c>
      <c r="AE24" s="183">
        <v>0</v>
      </c>
      <c r="AH24" s="183">
        <v>0</v>
      </c>
      <c r="AI24" s="212"/>
      <c r="AJ24" s="213"/>
      <c r="AK24" s="183">
        <f t="shared" si="10"/>
        <v>0</v>
      </c>
      <c r="AL24" s="212">
        <f t="shared" si="0"/>
        <v>105000000</v>
      </c>
      <c r="AM24" s="213">
        <v>1.4E-2</v>
      </c>
      <c r="AN24" s="183">
        <f t="shared" si="11"/>
        <v>4083.3333333333335</v>
      </c>
      <c r="AO24" s="212">
        <f t="shared" si="53"/>
        <v>40000000</v>
      </c>
      <c r="AP24" s="213">
        <v>1.4500000000000001E-2</v>
      </c>
      <c r="AQ24" s="183">
        <f t="shared" si="12"/>
        <v>1611.1111111111111</v>
      </c>
      <c r="AR24" s="212">
        <f>58000000+15100000+25000000</f>
        <v>98100000</v>
      </c>
      <c r="AS24" s="213">
        <v>1.0500000000000001E-2</v>
      </c>
      <c r="AT24" s="183">
        <f t="shared" si="13"/>
        <v>2861.2500000000005</v>
      </c>
      <c r="AW24" s="183">
        <f t="shared" si="14"/>
        <v>0</v>
      </c>
      <c r="AZ24" s="183">
        <f t="shared" si="15"/>
        <v>0</v>
      </c>
      <c r="BC24" s="183">
        <f t="shared" si="16"/>
        <v>0</v>
      </c>
      <c r="BF24" s="183">
        <f t="shared" si="17"/>
        <v>0</v>
      </c>
      <c r="BI24" s="183">
        <f t="shared" si="18"/>
        <v>0</v>
      </c>
      <c r="BL24" s="183">
        <f t="shared" si="19"/>
        <v>0</v>
      </c>
      <c r="BO24" s="183">
        <f t="shared" si="20"/>
        <v>0</v>
      </c>
      <c r="BR24" s="183">
        <f t="shared" si="21"/>
        <v>0</v>
      </c>
      <c r="BU24" s="183">
        <f t="shared" si="22"/>
        <v>0</v>
      </c>
      <c r="BX24" s="183">
        <f t="shared" si="23"/>
        <v>0</v>
      </c>
      <c r="CA24" s="183">
        <f t="shared" si="24"/>
        <v>0</v>
      </c>
      <c r="CD24" s="183">
        <f t="shared" si="25"/>
        <v>0</v>
      </c>
      <c r="CG24" s="183">
        <f t="shared" si="26"/>
        <v>0</v>
      </c>
      <c r="CJ24" s="183">
        <f t="shared" si="27"/>
        <v>0</v>
      </c>
      <c r="CM24" s="183">
        <f t="shared" si="28"/>
        <v>0</v>
      </c>
      <c r="CP24" s="183">
        <f t="shared" si="29"/>
        <v>0</v>
      </c>
      <c r="CS24" s="183">
        <f t="shared" si="30"/>
        <v>0</v>
      </c>
      <c r="CV24" s="183">
        <f t="shared" si="31"/>
        <v>0</v>
      </c>
      <c r="CY24" s="183">
        <f t="shared" si="32"/>
        <v>0</v>
      </c>
      <c r="DB24" s="183">
        <f t="shared" si="33"/>
        <v>0</v>
      </c>
      <c r="DE24" s="183">
        <f t="shared" si="34"/>
        <v>0</v>
      </c>
      <c r="DH24" s="183">
        <f t="shared" si="35"/>
        <v>0</v>
      </c>
      <c r="DK24" s="183">
        <f t="shared" si="36"/>
        <v>0</v>
      </c>
      <c r="DN24" s="183">
        <f t="shared" si="37"/>
        <v>0</v>
      </c>
      <c r="DQ24" s="183">
        <f t="shared" si="38"/>
        <v>0</v>
      </c>
      <c r="DT24" s="183">
        <f t="shared" si="39"/>
        <v>0</v>
      </c>
      <c r="DW24" s="183">
        <f t="shared" si="40"/>
        <v>0</v>
      </c>
      <c r="DZ24" s="183"/>
      <c r="EA24" s="183"/>
      <c r="EB24" s="214">
        <f t="shared" si="41"/>
        <v>246325000</v>
      </c>
      <c r="EC24" s="214">
        <f t="shared" si="42"/>
        <v>3225000</v>
      </c>
      <c r="ED24" s="183">
        <f t="shared" si="43"/>
        <v>8674.8402777777792</v>
      </c>
      <c r="EE24" s="185">
        <f t="shared" si="44"/>
        <v>1.2678138637978282E-2</v>
      </c>
      <c r="EG24" s="214">
        <f t="shared" si="45"/>
        <v>0</v>
      </c>
      <c r="EH24" s="183">
        <f t="shared" si="46"/>
        <v>0</v>
      </c>
      <c r="EI24" s="185">
        <f t="shared" si="47"/>
        <v>0</v>
      </c>
      <c r="EJ24" s="185"/>
      <c r="EK24" s="214">
        <f t="shared" si="48"/>
        <v>243100000</v>
      </c>
      <c r="EL24" s="214">
        <f t="shared" si="49"/>
        <v>0</v>
      </c>
      <c r="EM24" s="214">
        <f t="shared" si="50"/>
        <v>8555.6944444444453</v>
      </c>
      <c r="EN24" s="185">
        <f t="shared" si="51"/>
        <v>1.2669888934594817E-2</v>
      </c>
      <c r="EP24" s="183"/>
    </row>
    <row r="25" spans="1:146" x14ac:dyDescent="0.2">
      <c r="A25" s="211">
        <f t="shared" si="52"/>
        <v>44727</v>
      </c>
      <c r="B25" s="183">
        <v>0</v>
      </c>
      <c r="C25" s="185">
        <v>1.344411E-2</v>
      </c>
      <c r="D25" s="183">
        <f t="shared" si="1"/>
        <v>0</v>
      </c>
      <c r="G25" s="183">
        <f t="shared" si="2"/>
        <v>0</v>
      </c>
      <c r="J25" s="183">
        <f t="shared" si="3"/>
        <v>0</v>
      </c>
      <c r="M25" s="183">
        <f t="shared" si="4"/>
        <v>0</v>
      </c>
      <c r="P25" s="183">
        <f t="shared" si="5"/>
        <v>0</v>
      </c>
      <c r="S25" s="183">
        <f t="shared" si="6"/>
        <v>0</v>
      </c>
      <c r="V25" s="183">
        <f t="shared" si="7"/>
        <v>0</v>
      </c>
      <c r="Y25" s="183">
        <f t="shared" si="8"/>
        <v>0</v>
      </c>
      <c r="AB25" s="183">
        <f t="shared" si="9"/>
        <v>0</v>
      </c>
      <c r="AE25" s="183">
        <v>0</v>
      </c>
      <c r="AH25" s="183">
        <v>0</v>
      </c>
      <c r="AI25" s="212">
        <f>65000000+28000000</f>
        <v>93000000</v>
      </c>
      <c r="AJ25" s="213">
        <v>1.0999999999999999E-2</v>
      </c>
      <c r="AK25" s="183">
        <f t="shared" si="10"/>
        <v>2841.6666666666665</v>
      </c>
      <c r="AL25" s="212">
        <f t="shared" si="0"/>
        <v>105000000</v>
      </c>
      <c r="AM25" s="213">
        <v>1.4E-2</v>
      </c>
      <c r="AN25" s="183">
        <f t="shared" si="11"/>
        <v>4083.3333333333335</v>
      </c>
      <c r="AO25" s="212">
        <f t="shared" si="53"/>
        <v>40000000</v>
      </c>
      <c r="AP25" s="213">
        <v>1.4500000000000001E-2</v>
      </c>
      <c r="AQ25" s="183">
        <f t="shared" si="12"/>
        <v>1611.1111111111111</v>
      </c>
      <c r="AR25" s="212">
        <v>9100000</v>
      </c>
      <c r="AS25" s="213">
        <v>1.0500000000000001E-2</v>
      </c>
      <c r="AT25" s="183">
        <f t="shared" si="13"/>
        <v>265.41666666666669</v>
      </c>
      <c r="AW25" s="183">
        <f t="shared" si="14"/>
        <v>0</v>
      </c>
      <c r="AZ25" s="183">
        <f t="shared" si="15"/>
        <v>0</v>
      </c>
      <c r="BC25" s="183">
        <f t="shared" si="16"/>
        <v>0</v>
      </c>
      <c r="BF25" s="183">
        <f t="shared" si="17"/>
        <v>0</v>
      </c>
      <c r="BI25" s="183">
        <f t="shared" si="18"/>
        <v>0</v>
      </c>
      <c r="BL25" s="183">
        <f t="shared" si="19"/>
        <v>0</v>
      </c>
      <c r="BO25" s="183">
        <f t="shared" si="20"/>
        <v>0</v>
      </c>
      <c r="BR25" s="183">
        <f t="shared" si="21"/>
        <v>0</v>
      </c>
      <c r="BU25" s="183">
        <f t="shared" si="22"/>
        <v>0</v>
      </c>
      <c r="BX25" s="183">
        <f t="shared" si="23"/>
        <v>0</v>
      </c>
      <c r="CA25" s="183">
        <f t="shared" si="24"/>
        <v>0</v>
      </c>
      <c r="CD25" s="183">
        <f t="shared" si="25"/>
        <v>0</v>
      </c>
      <c r="CG25" s="183">
        <f t="shared" si="26"/>
        <v>0</v>
      </c>
      <c r="CJ25" s="183">
        <f t="shared" si="27"/>
        <v>0</v>
      </c>
      <c r="CM25" s="183">
        <f t="shared" si="28"/>
        <v>0</v>
      </c>
      <c r="CP25" s="183">
        <f t="shared" si="29"/>
        <v>0</v>
      </c>
      <c r="CS25" s="183">
        <f t="shared" si="30"/>
        <v>0</v>
      </c>
      <c r="CV25" s="183">
        <f t="shared" si="31"/>
        <v>0</v>
      </c>
      <c r="CY25" s="183">
        <f t="shared" si="32"/>
        <v>0</v>
      </c>
      <c r="DB25" s="183">
        <f t="shared" si="33"/>
        <v>0</v>
      </c>
      <c r="DE25" s="183">
        <f t="shared" si="34"/>
        <v>0</v>
      </c>
      <c r="DH25" s="183">
        <f t="shared" si="35"/>
        <v>0</v>
      </c>
      <c r="DK25" s="183">
        <f t="shared" si="36"/>
        <v>0</v>
      </c>
      <c r="DN25" s="183">
        <f t="shared" si="37"/>
        <v>0</v>
      </c>
      <c r="DQ25" s="183">
        <f t="shared" si="38"/>
        <v>0</v>
      </c>
      <c r="DT25" s="183">
        <f t="shared" si="39"/>
        <v>0</v>
      </c>
      <c r="DW25" s="183">
        <f t="shared" si="40"/>
        <v>0</v>
      </c>
      <c r="DZ25" s="183"/>
      <c r="EA25" s="183"/>
      <c r="EB25" s="214">
        <f t="shared" si="41"/>
        <v>247100000</v>
      </c>
      <c r="EC25" s="214">
        <f t="shared" si="42"/>
        <v>0</v>
      </c>
      <c r="ED25" s="183">
        <f t="shared" si="43"/>
        <v>8801.5277777777774</v>
      </c>
      <c r="EE25" s="185">
        <f t="shared" si="44"/>
        <v>1.2822946175637394E-2</v>
      </c>
      <c r="EG25" s="214">
        <f t="shared" si="45"/>
        <v>0</v>
      </c>
      <c r="EH25" s="183">
        <f t="shared" si="46"/>
        <v>0</v>
      </c>
      <c r="EI25" s="185">
        <f t="shared" si="47"/>
        <v>0</v>
      </c>
      <c r="EJ25" s="185"/>
      <c r="EK25" s="214">
        <f t="shared" si="48"/>
        <v>247100000</v>
      </c>
      <c r="EL25" s="214">
        <f t="shared" si="49"/>
        <v>0</v>
      </c>
      <c r="EM25" s="214">
        <f t="shared" si="50"/>
        <v>8801.5277777777774</v>
      </c>
      <c r="EN25" s="185">
        <f t="shared" si="51"/>
        <v>1.2822946175637394E-2</v>
      </c>
      <c r="EP25" s="183"/>
    </row>
    <row r="26" spans="1:146" x14ac:dyDescent="0.2">
      <c r="A26" s="211">
        <f t="shared" si="52"/>
        <v>44728</v>
      </c>
      <c r="B26" s="183">
        <v>0</v>
      </c>
      <c r="C26" s="185">
        <v>1.534103E-2</v>
      </c>
      <c r="D26" s="183">
        <f t="shared" si="1"/>
        <v>0</v>
      </c>
      <c r="G26" s="183">
        <f t="shared" si="2"/>
        <v>0</v>
      </c>
      <c r="J26" s="183">
        <f t="shared" si="3"/>
        <v>0</v>
      </c>
      <c r="M26" s="183">
        <f t="shared" si="4"/>
        <v>0</v>
      </c>
      <c r="P26" s="183">
        <f t="shared" si="5"/>
        <v>0</v>
      </c>
      <c r="S26" s="183">
        <f t="shared" si="6"/>
        <v>0</v>
      </c>
      <c r="V26" s="183">
        <f t="shared" si="7"/>
        <v>0</v>
      </c>
      <c r="Y26" s="183">
        <f t="shared" si="8"/>
        <v>0</v>
      </c>
      <c r="AB26" s="183">
        <f t="shared" si="9"/>
        <v>0</v>
      </c>
      <c r="AE26" s="183">
        <v>0</v>
      </c>
      <c r="AH26" s="183">
        <v>0</v>
      </c>
      <c r="AI26" s="212"/>
      <c r="AJ26" s="213"/>
      <c r="AK26" s="183">
        <f t="shared" si="10"/>
        <v>0</v>
      </c>
      <c r="AL26" s="212">
        <f t="shared" si="0"/>
        <v>105000000</v>
      </c>
      <c r="AM26" s="213">
        <v>1.4E-2</v>
      </c>
      <c r="AN26" s="183">
        <f t="shared" si="11"/>
        <v>4083.3333333333335</v>
      </c>
      <c r="AO26" s="212">
        <f t="shared" si="53"/>
        <v>40000000</v>
      </c>
      <c r="AP26" s="213">
        <v>1.4500000000000001E-2</v>
      </c>
      <c r="AQ26" s="183">
        <f t="shared" si="12"/>
        <v>1611.1111111111111</v>
      </c>
      <c r="AR26" s="212">
        <f>100000000+20000000+19225000</f>
        <v>139225000</v>
      </c>
      <c r="AS26" s="213">
        <v>1.7999999999999999E-2</v>
      </c>
      <c r="AT26" s="183">
        <f t="shared" si="13"/>
        <v>6961.25</v>
      </c>
      <c r="AW26" s="183">
        <f t="shared" si="14"/>
        <v>0</v>
      </c>
      <c r="AZ26" s="183">
        <f t="shared" si="15"/>
        <v>0</v>
      </c>
      <c r="BC26" s="183">
        <f t="shared" si="16"/>
        <v>0</v>
      </c>
      <c r="BF26" s="183">
        <f t="shared" si="17"/>
        <v>0</v>
      </c>
      <c r="BI26" s="183">
        <f t="shared" si="18"/>
        <v>0</v>
      </c>
      <c r="BL26" s="183">
        <f t="shared" si="19"/>
        <v>0</v>
      </c>
      <c r="BO26" s="183">
        <f t="shared" si="20"/>
        <v>0</v>
      </c>
      <c r="BR26" s="183">
        <f t="shared" si="21"/>
        <v>0</v>
      </c>
      <c r="BU26" s="183">
        <f t="shared" si="22"/>
        <v>0</v>
      </c>
      <c r="BX26" s="183">
        <f t="shared" si="23"/>
        <v>0</v>
      </c>
      <c r="CA26" s="183">
        <f t="shared" si="24"/>
        <v>0</v>
      </c>
      <c r="CD26" s="183">
        <f t="shared" si="25"/>
        <v>0</v>
      </c>
      <c r="CG26" s="183">
        <f t="shared" si="26"/>
        <v>0</v>
      </c>
      <c r="CJ26" s="183">
        <f t="shared" si="27"/>
        <v>0</v>
      </c>
      <c r="CM26" s="183">
        <f t="shared" si="28"/>
        <v>0</v>
      </c>
      <c r="CP26" s="183">
        <f t="shared" si="29"/>
        <v>0</v>
      </c>
      <c r="CS26" s="183">
        <f t="shared" si="30"/>
        <v>0</v>
      </c>
      <c r="CV26" s="183">
        <f t="shared" si="31"/>
        <v>0</v>
      </c>
      <c r="CY26" s="183">
        <f t="shared" si="32"/>
        <v>0</v>
      </c>
      <c r="DB26" s="183">
        <f t="shared" si="33"/>
        <v>0</v>
      </c>
      <c r="DE26" s="183">
        <f t="shared" si="34"/>
        <v>0</v>
      </c>
      <c r="DH26" s="183">
        <f t="shared" si="35"/>
        <v>0</v>
      </c>
      <c r="DK26" s="183">
        <f t="shared" si="36"/>
        <v>0</v>
      </c>
      <c r="DN26" s="183">
        <f t="shared" si="37"/>
        <v>0</v>
      </c>
      <c r="DQ26" s="183">
        <f t="shared" si="38"/>
        <v>0</v>
      </c>
      <c r="DT26" s="183">
        <f t="shared" si="39"/>
        <v>0</v>
      </c>
      <c r="DW26" s="183">
        <f t="shared" si="40"/>
        <v>0</v>
      </c>
      <c r="DZ26" s="183"/>
      <c r="EA26" s="183"/>
      <c r="EB26" s="214">
        <f t="shared" si="41"/>
        <v>284225000</v>
      </c>
      <c r="EC26" s="214">
        <f t="shared" si="42"/>
        <v>0</v>
      </c>
      <c r="ED26" s="183">
        <f t="shared" si="43"/>
        <v>12655.694444444445</v>
      </c>
      <c r="EE26" s="185">
        <f t="shared" si="44"/>
        <v>1.6029729967455362E-2</v>
      </c>
      <c r="EG26" s="214">
        <f t="shared" si="45"/>
        <v>0</v>
      </c>
      <c r="EH26" s="183">
        <f t="shared" si="46"/>
        <v>0</v>
      </c>
      <c r="EI26" s="185">
        <f t="shared" si="47"/>
        <v>0</v>
      </c>
      <c r="EJ26" s="185"/>
      <c r="EK26" s="214">
        <f t="shared" si="48"/>
        <v>284225000</v>
      </c>
      <c r="EL26" s="214">
        <f t="shared" si="49"/>
        <v>0</v>
      </c>
      <c r="EM26" s="214">
        <f t="shared" si="50"/>
        <v>12655.694444444445</v>
      </c>
      <c r="EN26" s="185">
        <f t="shared" si="51"/>
        <v>1.6029729967455362E-2</v>
      </c>
      <c r="EP26" s="183"/>
    </row>
    <row r="27" spans="1:146" x14ac:dyDescent="0.2">
      <c r="A27" s="211">
        <f t="shared" si="52"/>
        <v>44729</v>
      </c>
      <c r="B27" s="183">
        <v>0</v>
      </c>
      <c r="C27" s="185">
        <v>1.5474389999999999E-2</v>
      </c>
      <c r="D27" s="183">
        <f t="shared" si="1"/>
        <v>0</v>
      </c>
      <c r="G27" s="183">
        <f t="shared" si="2"/>
        <v>0</v>
      </c>
      <c r="J27" s="183">
        <f t="shared" si="3"/>
        <v>0</v>
      </c>
      <c r="M27" s="183">
        <f t="shared" si="4"/>
        <v>0</v>
      </c>
      <c r="P27" s="183">
        <f t="shared" si="5"/>
        <v>0</v>
      </c>
      <c r="S27" s="183">
        <f t="shared" si="6"/>
        <v>0</v>
      </c>
      <c r="V27" s="183">
        <f t="shared" si="7"/>
        <v>0</v>
      </c>
      <c r="Y27" s="183">
        <f t="shared" si="8"/>
        <v>0</v>
      </c>
      <c r="AB27" s="183">
        <f t="shared" si="9"/>
        <v>0</v>
      </c>
      <c r="AE27" s="183">
        <v>0</v>
      </c>
      <c r="AH27" s="183">
        <v>0</v>
      </c>
      <c r="AI27" s="212">
        <v>60000000</v>
      </c>
      <c r="AJ27" s="213">
        <v>2.0500000000000001E-2</v>
      </c>
      <c r="AK27" s="183">
        <f t="shared" si="10"/>
        <v>3416.6666666666665</v>
      </c>
      <c r="AL27" s="212">
        <f t="shared" si="0"/>
        <v>105000000</v>
      </c>
      <c r="AM27" s="213">
        <v>1.4E-2</v>
      </c>
      <c r="AN27" s="183">
        <f t="shared" si="11"/>
        <v>4083.3333333333335</v>
      </c>
      <c r="AO27" s="212">
        <f t="shared" si="53"/>
        <v>40000000</v>
      </c>
      <c r="AP27" s="213">
        <v>1.4500000000000001E-2</v>
      </c>
      <c r="AQ27" s="183">
        <f t="shared" si="12"/>
        <v>1611.1111111111111</v>
      </c>
      <c r="AR27" s="212">
        <v>90675000</v>
      </c>
      <c r="AS27" s="213">
        <v>1.7999999999999999E-2</v>
      </c>
      <c r="AT27" s="183">
        <f t="shared" si="13"/>
        <v>4533.7499999999991</v>
      </c>
      <c r="AW27" s="183">
        <f t="shared" si="14"/>
        <v>0</v>
      </c>
      <c r="AZ27" s="183">
        <f t="shared" si="15"/>
        <v>0</v>
      </c>
      <c r="BC27" s="183">
        <f t="shared" si="16"/>
        <v>0</v>
      </c>
      <c r="BF27" s="183">
        <f t="shared" si="17"/>
        <v>0</v>
      </c>
      <c r="BI27" s="183">
        <f t="shared" si="18"/>
        <v>0</v>
      </c>
      <c r="BL27" s="183">
        <f t="shared" si="19"/>
        <v>0</v>
      </c>
      <c r="BO27" s="183">
        <f t="shared" si="20"/>
        <v>0</v>
      </c>
      <c r="BR27" s="183">
        <f t="shared" si="21"/>
        <v>0</v>
      </c>
      <c r="BU27" s="183">
        <f t="shared" si="22"/>
        <v>0</v>
      </c>
      <c r="BX27" s="183">
        <f t="shared" si="23"/>
        <v>0</v>
      </c>
      <c r="CA27" s="183">
        <f t="shared" si="24"/>
        <v>0</v>
      </c>
      <c r="CD27" s="183">
        <f t="shared" si="25"/>
        <v>0</v>
      </c>
      <c r="CG27" s="183">
        <f t="shared" si="26"/>
        <v>0</v>
      </c>
      <c r="CJ27" s="183">
        <f t="shared" si="27"/>
        <v>0</v>
      </c>
      <c r="CM27" s="183">
        <f t="shared" si="28"/>
        <v>0</v>
      </c>
      <c r="CP27" s="183">
        <f t="shared" si="29"/>
        <v>0</v>
      </c>
      <c r="CS27" s="183">
        <f t="shared" si="30"/>
        <v>0</v>
      </c>
      <c r="CV27" s="183">
        <f t="shared" si="31"/>
        <v>0</v>
      </c>
      <c r="CY27" s="183">
        <f t="shared" si="32"/>
        <v>0</v>
      </c>
      <c r="DB27" s="183">
        <f t="shared" si="33"/>
        <v>0</v>
      </c>
      <c r="DE27" s="183">
        <f t="shared" si="34"/>
        <v>0</v>
      </c>
      <c r="DH27" s="183">
        <f t="shared" si="35"/>
        <v>0</v>
      </c>
      <c r="DK27" s="183">
        <f t="shared" si="36"/>
        <v>0</v>
      </c>
      <c r="DN27" s="183">
        <f t="shared" si="37"/>
        <v>0</v>
      </c>
      <c r="DQ27" s="183">
        <f t="shared" si="38"/>
        <v>0</v>
      </c>
      <c r="DT27" s="183">
        <f t="shared" si="39"/>
        <v>0</v>
      </c>
      <c r="DW27" s="183">
        <f t="shared" si="40"/>
        <v>0</v>
      </c>
      <c r="DZ27" s="183"/>
      <c r="EA27" s="183"/>
      <c r="EB27" s="214">
        <f t="shared" si="41"/>
        <v>295675000</v>
      </c>
      <c r="EC27" s="214">
        <f t="shared" si="42"/>
        <v>0</v>
      </c>
      <c r="ED27" s="183">
        <f t="shared" si="43"/>
        <v>13644.861111111109</v>
      </c>
      <c r="EE27" s="185">
        <f t="shared" si="44"/>
        <v>1.6613342352244861E-2</v>
      </c>
      <c r="EG27" s="214">
        <f t="shared" si="45"/>
        <v>0</v>
      </c>
      <c r="EH27" s="183">
        <f t="shared" si="46"/>
        <v>0</v>
      </c>
      <c r="EI27" s="185">
        <f t="shared" si="47"/>
        <v>0</v>
      </c>
      <c r="EJ27" s="185"/>
      <c r="EK27" s="214">
        <f t="shared" si="48"/>
        <v>295675000</v>
      </c>
      <c r="EL27" s="214">
        <f t="shared" si="49"/>
        <v>0</v>
      </c>
      <c r="EM27" s="214">
        <f t="shared" si="50"/>
        <v>13644.861111111109</v>
      </c>
      <c r="EN27" s="185">
        <f t="shared" si="51"/>
        <v>1.6613342352244861E-2</v>
      </c>
      <c r="EP27" s="183"/>
    </row>
    <row r="28" spans="1:146" x14ac:dyDescent="0.2">
      <c r="A28" s="211">
        <f t="shared" si="52"/>
        <v>44730</v>
      </c>
      <c r="B28" s="183">
        <v>0</v>
      </c>
      <c r="C28" s="185">
        <v>1.5474389999999999E-2</v>
      </c>
      <c r="D28" s="183">
        <f t="shared" si="1"/>
        <v>0</v>
      </c>
      <c r="G28" s="183">
        <f t="shared" si="2"/>
        <v>0</v>
      </c>
      <c r="J28" s="183">
        <f t="shared" si="3"/>
        <v>0</v>
      </c>
      <c r="M28" s="183">
        <f t="shared" si="4"/>
        <v>0</v>
      </c>
      <c r="P28" s="183">
        <f t="shared" si="5"/>
        <v>0</v>
      </c>
      <c r="S28" s="183">
        <f t="shared" si="6"/>
        <v>0</v>
      </c>
      <c r="V28" s="183">
        <f t="shared" si="7"/>
        <v>0</v>
      </c>
      <c r="Y28" s="183">
        <f t="shared" si="8"/>
        <v>0</v>
      </c>
      <c r="AB28" s="183">
        <f t="shared" si="9"/>
        <v>0</v>
      </c>
      <c r="AE28" s="183">
        <v>0</v>
      </c>
      <c r="AH28" s="183">
        <v>0</v>
      </c>
      <c r="AI28" s="212">
        <v>60000000</v>
      </c>
      <c r="AJ28" s="213">
        <v>2.0500000000000001E-2</v>
      </c>
      <c r="AK28" s="183">
        <f t="shared" si="10"/>
        <v>3416.6666666666665</v>
      </c>
      <c r="AL28" s="212">
        <f t="shared" si="0"/>
        <v>105000000</v>
      </c>
      <c r="AM28" s="213">
        <v>1.4E-2</v>
      </c>
      <c r="AN28" s="183">
        <f t="shared" si="11"/>
        <v>4083.3333333333335</v>
      </c>
      <c r="AO28" s="212">
        <f t="shared" si="53"/>
        <v>40000000</v>
      </c>
      <c r="AP28" s="213">
        <v>1.4500000000000001E-2</v>
      </c>
      <c r="AQ28" s="183">
        <f t="shared" si="12"/>
        <v>1611.1111111111111</v>
      </c>
      <c r="AR28" s="212">
        <v>90675000</v>
      </c>
      <c r="AS28" s="213">
        <v>1.7999999999999999E-2</v>
      </c>
      <c r="AT28" s="183">
        <f t="shared" si="13"/>
        <v>4533.7499999999991</v>
      </c>
      <c r="AW28" s="183">
        <f t="shared" si="14"/>
        <v>0</v>
      </c>
      <c r="AZ28" s="183">
        <f t="shared" si="15"/>
        <v>0</v>
      </c>
      <c r="BC28" s="183">
        <f t="shared" si="16"/>
        <v>0</v>
      </c>
      <c r="BF28" s="183">
        <f t="shared" si="17"/>
        <v>0</v>
      </c>
      <c r="BI28" s="183">
        <f t="shared" si="18"/>
        <v>0</v>
      </c>
      <c r="BL28" s="183">
        <f t="shared" si="19"/>
        <v>0</v>
      </c>
      <c r="BO28" s="183">
        <f t="shared" si="20"/>
        <v>0</v>
      </c>
      <c r="BR28" s="183">
        <f t="shared" si="21"/>
        <v>0</v>
      </c>
      <c r="BU28" s="183">
        <f t="shared" si="22"/>
        <v>0</v>
      </c>
      <c r="BX28" s="183">
        <f t="shared" si="23"/>
        <v>0</v>
      </c>
      <c r="CA28" s="183">
        <f t="shared" si="24"/>
        <v>0</v>
      </c>
      <c r="CD28" s="183">
        <f t="shared" si="25"/>
        <v>0</v>
      </c>
      <c r="CG28" s="183">
        <f t="shared" si="26"/>
        <v>0</v>
      </c>
      <c r="CJ28" s="183">
        <f t="shared" si="27"/>
        <v>0</v>
      </c>
      <c r="CM28" s="183">
        <f t="shared" si="28"/>
        <v>0</v>
      </c>
      <c r="CP28" s="183">
        <f t="shared" si="29"/>
        <v>0</v>
      </c>
      <c r="CS28" s="183">
        <f t="shared" si="30"/>
        <v>0</v>
      </c>
      <c r="CV28" s="183">
        <f t="shared" si="31"/>
        <v>0</v>
      </c>
      <c r="CY28" s="183">
        <f t="shared" si="32"/>
        <v>0</v>
      </c>
      <c r="DB28" s="183">
        <f t="shared" si="33"/>
        <v>0</v>
      </c>
      <c r="DE28" s="183">
        <f t="shared" si="34"/>
        <v>0</v>
      </c>
      <c r="DH28" s="183">
        <f t="shared" si="35"/>
        <v>0</v>
      </c>
      <c r="DK28" s="183">
        <f t="shared" si="36"/>
        <v>0</v>
      </c>
      <c r="DN28" s="183">
        <f t="shared" si="37"/>
        <v>0</v>
      </c>
      <c r="DQ28" s="183">
        <f t="shared" si="38"/>
        <v>0</v>
      </c>
      <c r="DT28" s="183">
        <f t="shared" si="39"/>
        <v>0</v>
      </c>
      <c r="DW28" s="183">
        <f t="shared" si="40"/>
        <v>0</v>
      </c>
      <c r="DZ28" s="183"/>
      <c r="EA28" s="183"/>
      <c r="EB28" s="214">
        <f t="shared" si="41"/>
        <v>295675000</v>
      </c>
      <c r="EC28" s="214">
        <f t="shared" si="42"/>
        <v>0</v>
      </c>
      <c r="ED28" s="183">
        <f t="shared" si="43"/>
        <v>13644.861111111109</v>
      </c>
      <c r="EE28" s="185">
        <f t="shared" si="44"/>
        <v>1.6613342352244861E-2</v>
      </c>
      <c r="EG28" s="214">
        <f t="shared" si="45"/>
        <v>0</v>
      </c>
      <c r="EH28" s="183">
        <f t="shared" si="46"/>
        <v>0</v>
      </c>
      <c r="EI28" s="185">
        <f t="shared" si="47"/>
        <v>0</v>
      </c>
      <c r="EJ28" s="185"/>
      <c r="EK28" s="214">
        <f t="shared" si="48"/>
        <v>295675000</v>
      </c>
      <c r="EL28" s="214">
        <f t="shared" si="49"/>
        <v>0</v>
      </c>
      <c r="EM28" s="214">
        <f t="shared" si="50"/>
        <v>13644.861111111109</v>
      </c>
      <c r="EN28" s="185">
        <f t="shared" si="51"/>
        <v>1.6613342352244861E-2</v>
      </c>
      <c r="EP28" s="183"/>
    </row>
    <row r="29" spans="1:146" x14ac:dyDescent="0.2">
      <c r="A29" s="211">
        <f t="shared" si="52"/>
        <v>44731</v>
      </c>
      <c r="B29" s="183">
        <v>0</v>
      </c>
      <c r="C29" s="185">
        <v>1.5474389999999999E-2</v>
      </c>
      <c r="D29" s="183">
        <f t="shared" si="1"/>
        <v>0</v>
      </c>
      <c r="G29" s="183">
        <f t="shared" si="2"/>
        <v>0</v>
      </c>
      <c r="J29" s="183">
        <f t="shared" si="3"/>
        <v>0</v>
      </c>
      <c r="M29" s="183">
        <f t="shared" si="4"/>
        <v>0</v>
      </c>
      <c r="P29" s="183">
        <f t="shared" si="5"/>
        <v>0</v>
      </c>
      <c r="S29" s="183">
        <f t="shared" si="6"/>
        <v>0</v>
      </c>
      <c r="V29" s="183">
        <f t="shared" si="7"/>
        <v>0</v>
      </c>
      <c r="Y29" s="183">
        <f t="shared" si="8"/>
        <v>0</v>
      </c>
      <c r="AB29" s="183">
        <f t="shared" si="9"/>
        <v>0</v>
      </c>
      <c r="AE29" s="183">
        <v>0</v>
      </c>
      <c r="AH29" s="183">
        <v>0</v>
      </c>
      <c r="AI29" s="212">
        <v>60000000</v>
      </c>
      <c r="AJ29" s="213">
        <v>2.0500000000000001E-2</v>
      </c>
      <c r="AK29" s="183">
        <f t="shared" si="10"/>
        <v>3416.6666666666665</v>
      </c>
      <c r="AL29" s="212">
        <f t="shared" si="0"/>
        <v>105000000</v>
      </c>
      <c r="AM29" s="213">
        <v>1.4E-2</v>
      </c>
      <c r="AN29" s="183">
        <f t="shared" si="11"/>
        <v>4083.3333333333335</v>
      </c>
      <c r="AO29" s="212">
        <f t="shared" si="53"/>
        <v>40000000</v>
      </c>
      <c r="AP29" s="213">
        <v>1.4500000000000001E-2</v>
      </c>
      <c r="AQ29" s="183">
        <f t="shared" si="12"/>
        <v>1611.1111111111111</v>
      </c>
      <c r="AR29" s="212">
        <v>90675000</v>
      </c>
      <c r="AS29" s="213">
        <v>1.7999999999999999E-2</v>
      </c>
      <c r="AT29" s="183">
        <f t="shared" si="13"/>
        <v>4533.7499999999991</v>
      </c>
      <c r="AW29" s="183">
        <f t="shared" si="14"/>
        <v>0</v>
      </c>
      <c r="AZ29" s="183">
        <f t="shared" si="15"/>
        <v>0</v>
      </c>
      <c r="BC29" s="183">
        <f t="shared" si="16"/>
        <v>0</v>
      </c>
      <c r="BF29" s="183">
        <f t="shared" si="17"/>
        <v>0</v>
      </c>
      <c r="BI29" s="183">
        <f t="shared" si="18"/>
        <v>0</v>
      </c>
      <c r="BL29" s="183">
        <f t="shared" si="19"/>
        <v>0</v>
      </c>
      <c r="BO29" s="183">
        <f t="shared" si="20"/>
        <v>0</v>
      </c>
      <c r="BR29" s="183">
        <f t="shared" si="21"/>
        <v>0</v>
      </c>
      <c r="BU29" s="183">
        <f t="shared" si="22"/>
        <v>0</v>
      </c>
      <c r="BX29" s="183">
        <f t="shared" si="23"/>
        <v>0</v>
      </c>
      <c r="CA29" s="183">
        <f t="shared" si="24"/>
        <v>0</v>
      </c>
      <c r="CD29" s="183">
        <f t="shared" si="25"/>
        <v>0</v>
      </c>
      <c r="CG29" s="183">
        <f t="shared" si="26"/>
        <v>0</v>
      </c>
      <c r="CJ29" s="183">
        <f t="shared" si="27"/>
        <v>0</v>
      </c>
      <c r="CM29" s="183">
        <f t="shared" si="28"/>
        <v>0</v>
      </c>
      <c r="CP29" s="183">
        <f t="shared" si="29"/>
        <v>0</v>
      </c>
      <c r="CS29" s="183">
        <f t="shared" si="30"/>
        <v>0</v>
      </c>
      <c r="CV29" s="183">
        <f t="shared" si="31"/>
        <v>0</v>
      </c>
      <c r="CY29" s="183">
        <f t="shared" si="32"/>
        <v>0</v>
      </c>
      <c r="DB29" s="183">
        <f t="shared" si="33"/>
        <v>0</v>
      </c>
      <c r="DE29" s="183">
        <f t="shared" si="34"/>
        <v>0</v>
      </c>
      <c r="DH29" s="183">
        <f t="shared" si="35"/>
        <v>0</v>
      </c>
      <c r="DK29" s="183">
        <f t="shared" si="36"/>
        <v>0</v>
      </c>
      <c r="DN29" s="183">
        <f t="shared" si="37"/>
        <v>0</v>
      </c>
      <c r="DQ29" s="183">
        <f t="shared" si="38"/>
        <v>0</v>
      </c>
      <c r="DT29" s="183">
        <f t="shared" si="39"/>
        <v>0</v>
      </c>
      <c r="DW29" s="183">
        <f t="shared" si="40"/>
        <v>0</v>
      </c>
      <c r="DZ29" s="183"/>
      <c r="EA29" s="183"/>
      <c r="EB29" s="214">
        <f t="shared" si="41"/>
        <v>295675000</v>
      </c>
      <c r="EC29" s="214">
        <f t="shared" si="42"/>
        <v>0</v>
      </c>
      <c r="ED29" s="183">
        <f t="shared" si="43"/>
        <v>13644.861111111109</v>
      </c>
      <c r="EE29" s="185">
        <f t="shared" si="44"/>
        <v>1.6613342352244861E-2</v>
      </c>
      <c r="EG29" s="214">
        <f t="shared" si="45"/>
        <v>0</v>
      </c>
      <c r="EH29" s="183">
        <f t="shared" si="46"/>
        <v>0</v>
      </c>
      <c r="EI29" s="185">
        <f t="shared" si="47"/>
        <v>0</v>
      </c>
      <c r="EJ29" s="185"/>
      <c r="EK29" s="214">
        <f t="shared" si="48"/>
        <v>295675000</v>
      </c>
      <c r="EL29" s="214">
        <f t="shared" si="49"/>
        <v>0</v>
      </c>
      <c r="EM29" s="214">
        <f t="shared" si="50"/>
        <v>13644.861111111109</v>
      </c>
      <c r="EN29" s="185">
        <f t="shared" si="51"/>
        <v>1.6613342352244861E-2</v>
      </c>
      <c r="EP29" s="183"/>
    </row>
    <row r="30" spans="1:146" x14ac:dyDescent="0.2">
      <c r="A30" s="211">
        <f t="shared" si="52"/>
        <v>44732</v>
      </c>
      <c r="B30" s="183">
        <v>0</v>
      </c>
      <c r="C30" s="185">
        <v>1.5474389999999999E-2</v>
      </c>
      <c r="D30" s="183">
        <f t="shared" si="1"/>
        <v>0</v>
      </c>
      <c r="G30" s="183">
        <f t="shared" si="2"/>
        <v>0</v>
      </c>
      <c r="J30" s="183">
        <f t="shared" si="3"/>
        <v>0</v>
      </c>
      <c r="M30" s="183">
        <f t="shared" si="4"/>
        <v>0</v>
      </c>
      <c r="P30" s="183">
        <f t="shared" si="5"/>
        <v>0</v>
      </c>
      <c r="S30" s="183">
        <f t="shared" si="6"/>
        <v>0</v>
      </c>
      <c r="V30" s="183">
        <f t="shared" si="7"/>
        <v>0</v>
      </c>
      <c r="Y30" s="183">
        <f t="shared" si="8"/>
        <v>0</v>
      </c>
      <c r="AB30" s="183">
        <f t="shared" si="9"/>
        <v>0</v>
      </c>
      <c r="AE30" s="183">
        <v>0</v>
      </c>
      <c r="AH30" s="183">
        <v>0</v>
      </c>
      <c r="AI30" s="212">
        <v>60000000</v>
      </c>
      <c r="AJ30" s="213">
        <v>2.0500000000000001E-2</v>
      </c>
      <c r="AK30" s="183">
        <f t="shared" si="10"/>
        <v>3416.6666666666665</v>
      </c>
      <c r="AL30" s="212">
        <f t="shared" si="0"/>
        <v>105000000</v>
      </c>
      <c r="AM30" s="213">
        <v>1.4E-2</v>
      </c>
      <c r="AN30" s="183">
        <f t="shared" si="11"/>
        <v>4083.3333333333335</v>
      </c>
      <c r="AO30" s="212">
        <f t="shared" si="53"/>
        <v>40000000</v>
      </c>
      <c r="AP30" s="213">
        <v>1.4500000000000001E-2</v>
      </c>
      <c r="AQ30" s="183">
        <f t="shared" si="12"/>
        <v>1611.1111111111111</v>
      </c>
      <c r="AR30" s="212">
        <v>90675000</v>
      </c>
      <c r="AS30" s="213">
        <v>1.7999999999999999E-2</v>
      </c>
      <c r="AT30" s="183">
        <f t="shared" si="13"/>
        <v>4533.7499999999991</v>
      </c>
      <c r="AW30" s="183">
        <f t="shared" si="14"/>
        <v>0</v>
      </c>
      <c r="AZ30" s="183">
        <f t="shared" si="15"/>
        <v>0</v>
      </c>
      <c r="BC30" s="183">
        <f t="shared" si="16"/>
        <v>0</v>
      </c>
      <c r="BF30" s="183">
        <f t="shared" si="17"/>
        <v>0</v>
      </c>
      <c r="BI30" s="183">
        <f t="shared" si="18"/>
        <v>0</v>
      </c>
      <c r="BL30" s="183">
        <f t="shared" si="19"/>
        <v>0</v>
      </c>
      <c r="BO30" s="183">
        <f t="shared" si="20"/>
        <v>0</v>
      </c>
      <c r="BR30" s="183">
        <f t="shared" si="21"/>
        <v>0</v>
      </c>
      <c r="BU30" s="183">
        <f t="shared" si="22"/>
        <v>0</v>
      </c>
      <c r="BX30" s="183">
        <f t="shared" si="23"/>
        <v>0</v>
      </c>
      <c r="CA30" s="183">
        <f t="shared" si="24"/>
        <v>0</v>
      </c>
      <c r="CD30" s="183">
        <f t="shared" si="25"/>
        <v>0</v>
      </c>
      <c r="CG30" s="183">
        <f t="shared" si="26"/>
        <v>0</v>
      </c>
      <c r="CJ30" s="183">
        <f t="shared" si="27"/>
        <v>0</v>
      </c>
      <c r="CM30" s="183">
        <f t="shared" si="28"/>
        <v>0</v>
      </c>
      <c r="CP30" s="183">
        <f t="shared" si="29"/>
        <v>0</v>
      </c>
      <c r="CS30" s="183">
        <f t="shared" si="30"/>
        <v>0</v>
      </c>
      <c r="CV30" s="183">
        <f t="shared" si="31"/>
        <v>0</v>
      </c>
      <c r="CY30" s="183">
        <f t="shared" si="32"/>
        <v>0</v>
      </c>
      <c r="DB30" s="183">
        <f t="shared" si="33"/>
        <v>0</v>
      </c>
      <c r="DE30" s="183">
        <f t="shared" si="34"/>
        <v>0</v>
      </c>
      <c r="DH30" s="183">
        <f t="shared" si="35"/>
        <v>0</v>
      </c>
      <c r="DK30" s="183">
        <f t="shared" si="36"/>
        <v>0</v>
      </c>
      <c r="DN30" s="183">
        <f t="shared" si="37"/>
        <v>0</v>
      </c>
      <c r="DQ30" s="183">
        <f t="shared" si="38"/>
        <v>0</v>
      </c>
      <c r="DT30" s="183">
        <f t="shared" si="39"/>
        <v>0</v>
      </c>
      <c r="DW30" s="183">
        <f t="shared" si="40"/>
        <v>0</v>
      </c>
      <c r="DZ30" s="183"/>
      <c r="EA30" s="183"/>
      <c r="EB30" s="214">
        <f t="shared" si="41"/>
        <v>295675000</v>
      </c>
      <c r="EC30" s="214">
        <f t="shared" si="42"/>
        <v>0</v>
      </c>
      <c r="ED30" s="183">
        <f t="shared" si="43"/>
        <v>13644.861111111109</v>
      </c>
      <c r="EE30" s="185">
        <f t="shared" si="44"/>
        <v>1.6613342352244861E-2</v>
      </c>
      <c r="EG30" s="214">
        <f t="shared" si="45"/>
        <v>0</v>
      </c>
      <c r="EH30" s="183">
        <f t="shared" si="46"/>
        <v>0</v>
      </c>
      <c r="EI30" s="185">
        <f t="shared" si="47"/>
        <v>0</v>
      </c>
      <c r="EJ30" s="185"/>
      <c r="EK30" s="214">
        <f t="shared" si="48"/>
        <v>295675000</v>
      </c>
      <c r="EL30" s="214">
        <f t="shared" si="49"/>
        <v>0</v>
      </c>
      <c r="EM30" s="214">
        <f t="shared" si="50"/>
        <v>13644.861111111109</v>
      </c>
      <c r="EN30" s="185">
        <f t="shared" si="51"/>
        <v>1.6613342352244861E-2</v>
      </c>
      <c r="EP30" s="183"/>
    </row>
    <row r="31" spans="1:146" x14ac:dyDescent="0.2">
      <c r="A31" s="211">
        <f t="shared" si="52"/>
        <v>44733</v>
      </c>
      <c r="B31" s="183">
        <v>0</v>
      </c>
      <c r="C31" s="185">
        <v>1.5482210000000001E-2</v>
      </c>
      <c r="D31" s="183">
        <f t="shared" si="1"/>
        <v>0</v>
      </c>
      <c r="G31" s="183">
        <f t="shared" si="2"/>
        <v>0</v>
      </c>
      <c r="J31" s="183">
        <f t="shared" si="3"/>
        <v>0</v>
      </c>
      <c r="M31" s="183">
        <f t="shared" si="4"/>
        <v>0</v>
      </c>
      <c r="P31" s="183">
        <f t="shared" si="5"/>
        <v>0</v>
      </c>
      <c r="S31" s="183">
        <f t="shared" si="6"/>
        <v>0</v>
      </c>
      <c r="V31" s="183">
        <f t="shared" si="7"/>
        <v>0</v>
      </c>
      <c r="Y31" s="183">
        <f t="shared" si="8"/>
        <v>0</v>
      </c>
      <c r="AB31" s="183">
        <f t="shared" si="9"/>
        <v>0</v>
      </c>
      <c r="AE31" s="183">
        <v>0</v>
      </c>
      <c r="AH31" s="183">
        <v>0</v>
      </c>
      <c r="AI31" s="212">
        <v>60000000</v>
      </c>
      <c r="AJ31" s="213">
        <v>2.0500000000000001E-2</v>
      </c>
      <c r="AK31" s="183">
        <f t="shared" si="10"/>
        <v>3416.6666666666665</v>
      </c>
      <c r="AL31" s="212">
        <f t="shared" si="0"/>
        <v>105000000</v>
      </c>
      <c r="AM31" s="213">
        <v>1.4E-2</v>
      </c>
      <c r="AN31" s="183">
        <f t="shared" si="11"/>
        <v>4083.3333333333335</v>
      </c>
      <c r="AO31" s="212">
        <f t="shared" si="53"/>
        <v>40000000</v>
      </c>
      <c r="AP31" s="213">
        <v>1.4500000000000001E-2</v>
      </c>
      <c r="AQ31" s="183">
        <f t="shared" si="12"/>
        <v>1611.1111111111111</v>
      </c>
      <c r="AR31" s="212">
        <v>98175000</v>
      </c>
      <c r="AS31" s="213">
        <v>1.7999999999999999E-2</v>
      </c>
      <c r="AT31" s="183">
        <f t="shared" si="13"/>
        <v>4908.7499999999991</v>
      </c>
      <c r="AW31" s="183">
        <f t="shared" si="14"/>
        <v>0</v>
      </c>
      <c r="AZ31" s="183">
        <f t="shared" si="15"/>
        <v>0</v>
      </c>
      <c r="BC31" s="183">
        <f t="shared" si="16"/>
        <v>0</v>
      </c>
      <c r="BF31" s="183">
        <f t="shared" si="17"/>
        <v>0</v>
      </c>
      <c r="BI31" s="183">
        <f t="shared" si="18"/>
        <v>0</v>
      </c>
      <c r="BL31" s="183">
        <f t="shared" si="19"/>
        <v>0</v>
      </c>
      <c r="BO31" s="183">
        <f t="shared" si="20"/>
        <v>0</v>
      </c>
      <c r="BR31" s="183">
        <f t="shared" si="21"/>
        <v>0</v>
      </c>
      <c r="BU31" s="183">
        <f t="shared" si="22"/>
        <v>0</v>
      </c>
      <c r="BX31" s="183">
        <f t="shared" si="23"/>
        <v>0</v>
      </c>
      <c r="CA31" s="183">
        <f t="shared" si="24"/>
        <v>0</v>
      </c>
      <c r="CD31" s="183">
        <f t="shared" si="25"/>
        <v>0</v>
      </c>
      <c r="CG31" s="183">
        <f t="shared" si="26"/>
        <v>0</v>
      </c>
      <c r="CJ31" s="183">
        <f t="shared" si="27"/>
        <v>0</v>
      </c>
      <c r="CM31" s="183">
        <f t="shared" si="28"/>
        <v>0</v>
      </c>
      <c r="CP31" s="183">
        <f t="shared" si="29"/>
        <v>0</v>
      </c>
      <c r="CS31" s="183">
        <f t="shared" si="30"/>
        <v>0</v>
      </c>
      <c r="CV31" s="183">
        <f t="shared" si="31"/>
        <v>0</v>
      </c>
      <c r="CY31" s="183">
        <f t="shared" si="32"/>
        <v>0</v>
      </c>
      <c r="DB31" s="183">
        <f t="shared" si="33"/>
        <v>0</v>
      </c>
      <c r="DE31" s="183">
        <f t="shared" si="34"/>
        <v>0</v>
      </c>
      <c r="DH31" s="183">
        <f t="shared" si="35"/>
        <v>0</v>
      </c>
      <c r="DK31" s="183">
        <f t="shared" si="36"/>
        <v>0</v>
      </c>
      <c r="DN31" s="183">
        <f t="shared" si="37"/>
        <v>0</v>
      </c>
      <c r="DQ31" s="183">
        <f t="shared" si="38"/>
        <v>0</v>
      </c>
      <c r="DT31" s="183">
        <f t="shared" si="39"/>
        <v>0</v>
      </c>
      <c r="DW31" s="183">
        <f t="shared" si="40"/>
        <v>0</v>
      </c>
      <c r="DZ31" s="183"/>
      <c r="EA31" s="183"/>
      <c r="EB31" s="214">
        <f t="shared" si="41"/>
        <v>303175000</v>
      </c>
      <c r="EC31" s="214">
        <f t="shared" si="42"/>
        <v>0</v>
      </c>
      <c r="ED31" s="183">
        <f t="shared" si="43"/>
        <v>14019.861111111109</v>
      </c>
      <c r="EE31" s="185">
        <f t="shared" si="44"/>
        <v>1.6647645749154776E-2</v>
      </c>
      <c r="EG31" s="214">
        <f t="shared" si="45"/>
        <v>0</v>
      </c>
      <c r="EH31" s="183">
        <f t="shared" si="46"/>
        <v>0</v>
      </c>
      <c r="EI31" s="185">
        <f t="shared" si="47"/>
        <v>0</v>
      </c>
      <c r="EJ31" s="185"/>
      <c r="EK31" s="214">
        <f t="shared" si="48"/>
        <v>303175000</v>
      </c>
      <c r="EL31" s="214">
        <f t="shared" si="49"/>
        <v>0</v>
      </c>
      <c r="EM31" s="214">
        <f t="shared" si="50"/>
        <v>14019.861111111109</v>
      </c>
      <c r="EN31" s="185">
        <f t="shared" si="51"/>
        <v>1.6647645749154776E-2</v>
      </c>
      <c r="EP31" s="183"/>
    </row>
    <row r="32" spans="1:146" x14ac:dyDescent="0.2">
      <c r="A32" s="211">
        <f t="shared" si="52"/>
        <v>44734</v>
      </c>
      <c r="B32" s="183">
        <v>0</v>
      </c>
      <c r="C32" s="185">
        <v>1.5430040000000001E-2</v>
      </c>
      <c r="D32" s="183">
        <f t="shared" si="1"/>
        <v>0</v>
      </c>
      <c r="G32" s="183">
        <f t="shared" si="2"/>
        <v>0</v>
      </c>
      <c r="J32" s="183">
        <f t="shared" si="3"/>
        <v>0</v>
      </c>
      <c r="M32" s="183">
        <f t="shared" si="4"/>
        <v>0</v>
      </c>
      <c r="P32" s="183">
        <f t="shared" si="5"/>
        <v>0</v>
      </c>
      <c r="S32" s="183">
        <f t="shared" si="6"/>
        <v>0</v>
      </c>
      <c r="V32" s="183">
        <f t="shared" si="7"/>
        <v>0</v>
      </c>
      <c r="Y32" s="183">
        <f t="shared" si="8"/>
        <v>0</v>
      </c>
      <c r="AB32" s="183">
        <f t="shared" si="9"/>
        <v>0</v>
      </c>
      <c r="AE32" s="183">
        <v>0</v>
      </c>
      <c r="AH32" s="183">
        <v>0</v>
      </c>
      <c r="AI32" s="212">
        <v>60000000</v>
      </c>
      <c r="AJ32" s="213">
        <v>2.0500000000000001E-2</v>
      </c>
      <c r="AK32" s="183">
        <f t="shared" si="10"/>
        <v>3416.6666666666665</v>
      </c>
      <c r="AL32" s="212">
        <f t="shared" si="0"/>
        <v>105000000</v>
      </c>
      <c r="AM32" s="213">
        <v>1.4E-2</v>
      </c>
      <c r="AN32" s="183">
        <f t="shared" si="11"/>
        <v>4083.3333333333335</v>
      </c>
      <c r="AO32" s="212">
        <f t="shared" si="53"/>
        <v>40000000</v>
      </c>
      <c r="AP32" s="213">
        <v>1.4500000000000001E-2</v>
      </c>
      <c r="AQ32" s="183">
        <f t="shared" si="12"/>
        <v>1611.1111111111111</v>
      </c>
      <c r="AR32" s="212">
        <v>75475000</v>
      </c>
      <c r="AS32" s="213">
        <v>1.7999999999999999E-2</v>
      </c>
      <c r="AT32" s="183">
        <f t="shared" si="13"/>
        <v>3773.75</v>
      </c>
      <c r="AW32" s="183">
        <f t="shared" si="14"/>
        <v>0</v>
      </c>
      <c r="AZ32" s="183">
        <f t="shared" si="15"/>
        <v>0</v>
      </c>
      <c r="BC32" s="183">
        <f t="shared" si="16"/>
        <v>0</v>
      </c>
      <c r="BF32" s="183">
        <f t="shared" si="17"/>
        <v>0</v>
      </c>
      <c r="BI32" s="183">
        <f t="shared" si="18"/>
        <v>0</v>
      </c>
      <c r="BL32" s="183">
        <f t="shared" si="19"/>
        <v>0</v>
      </c>
      <c r="BO32" s="183">
        <f t="shared" si="20"/>
        <v>0</v>
      </c>
      <c r="BR32" s="183">
        <f t="shared" si="21"/>
        <v>0</v>
      </c>
      <c r="BU32" s="183">
        <f t="shared" si="22"/>
        <v>0</v>
      </c>
      <c r="BX32" s="183">
        <f t="shared" si="23"/>
        <v>0</v>
      </c>
      <c r="CA32" s="183">
        <f t="shared" si="24"/>
        <v>0</v>
      </c>
      <c r="CD32" s="183">
        <f t="shared" si="25"/>
        <v>0</v>
      </c>
      <c r="CG32" s="183">
        <f t="shared" si="26"/>
        <v>0</v>
      </c>
      <c r="CJ32" s="183">
        <f t="shared" si="27"/>
        <v>0</v>
      </c>
      <c r="CM32" s="183">
        <f t="shared" si="28"/>
        <v>0</v>
      </c>
      <c r="CP32" s="183">
        <f t="shared" si="29"/>
        <v>0</v>
      </c>
      <c r="CS32" s="183">
        <f t="shared" si="30"/>
        <v>0</v>
      </c>
      <c r="CV32" s="183">
        <f t="shared" si="31"/>
        <v>0</v>
      </c>
      <c r="CY32" s="183">
        <f t="shared" si="32"/>
        <v>0</v>
      </c>
      <c r="DB32" s="183">
        <f t="shared" si="33"/>
        <v>0</v>
      </c>
      <c r="DE32" s="183">
        <f t="shared" si="34"/>
        <v>0</v>
      </c>
      <c r="DH32" s="183">
        <f t="shared" si="35"/>
        <v>0</v>
      </c>
      <c r="DK32" s="183">
        <f t="shared" si="36"/>
        <v>0</v>
      </c>
      <c r="DN32" s="183">
        <f t="shared" si="37"/>
        <v>0</v>
      </c>
      <c r="DQ32" s="183">
        <f t="shared" si="38"/>
        <v>0</v>
      </c>
      <c r="DT32" s="183">
        <f t="shared" si="39"/>
        <v>0</v>
      </c>
      <c r="DW32" s="183">
        <f t="shared" si="40"/>
        <v>0</v>
      </c>
      <c r="DZ32" s="183"/>
      <c r="EA32" s="183"/>
      <c r="EB32" s="214">
        <f t="shared" si="41"/>
        <v>280475000</v>
      </c>
      <c r="EC32" s="214">
        <f t="shared" si="42"/>
        <v>0</v>
      </c>
      <c r="ED32" s="183">
        <f t="shared" si="43"/>
        <v>12884.861111111111</v>
      </c>
      <c r="EE32" s="185">
        <f t="shared" si="44"/>
        <v>1.6538194134949637E-2</v>
      </c>
      <c r="EG32" s="214">
        <f t="shared" si="45"/>
        <v>0</v>
      </c>
      <c r="EH32" s="183">
        <f t="shared" si="46"/>
        <v>0</v>
      </c>
      <c r="EI32" s="185">
        <f t="shared" si="47"/>
        <v>0</v>
      </c>
      <c r="EJ32" s="185"/>
      <c r="EK32" s="214">
        <f t="shared" si="48"/>
        <v>280475000</v>
      </c>
      <c r="EL32" s="214">
        <f t="shared" si="49"/>
        <v>0</v>
      </c>
      <c r="EM32" s="214">
        <f t="shared" si="50"/>
        <v>12884.861111111111</v>
      </c>
      <c r="EN32" s="185">
        <f t="shared" si="51"/>
        <v>1.6538194134949637E-2</v>
      </c>
      <c r="EP32" s="183"/>
    </row>
    <row r="33" spans="1:146" x14ac:dyDescent="0.2">
      <c r="A33" s="211">
        <f t="shared" si="52"/>
        <v>44735</v>
      </c>
      <c r="B33" s="183">
        <v>0</v>
      </c>
      <c r="C33" s="185">
        <v>1.552686E-2</v>
      </c>
      <c r="D33" s="183">
        <f t="shared" si="1"/>
        <v>0</v>
      </c>
      <c r="G33" s="183">
        <f t="shared" si="2"/>
        <v>0</v>
      </c>
      <c r="J33" s="183">
        <f t="shared" si="3"/>
        <v>0</v>
      </c>
      <c r="M33" s="183">
        <f t="shared" si="4"/>
        <v>0</v>
      </c>
      <c r="P33" s="183">
        <f t="shared" si="5"/>
        <v>0</v>
      </c>
      <c r="S33" s="183">
        <f t="shared" si="6"/>
        <v>0</v>
      </c>
      <c r="V33" s="183">
        <f t="shared" si="7"/>
        <v>0</v>
      </c>
      <c r="Y33" s="183">
        <f t="shared" si="8"/>
        <v>0</v>
      </c>
      <c r="AB33" s="183">
        <f t="shared" si="9"/>
        <v>0</v>
      </c>
      <c r="AE33" s="183">
        <v>0</v>
      </c>
      <c r="AH33" s="183">
        <v>0</v>
      </c>
      <c r="AI33" s="212">
        <v>60000000</v>
      </c>
      <c r="AJ33" s="213">
        <v>2.0500000000000001E-2</v>
      </c>
      <c r="AK33" s="183">
        <f t="shared" si="10"/>
        <v>3416.6666666666665</v>
      </c>
      <c r="AL33" s="212">
        <f t="shared" si="0"/>
        <v>105000000</v>
      </c>
      <c r="AM33" s="213">
        <v>1.4E-2</v>
      </c>
      <c r="AN33" s="183">
        <f t="shared" si="11"/>
        <v>4083.3333333333335</v>
      </c>
      <c r="AO33" s="212">
        <f t="shared" si="53"/>
        <v>40000000</v>
      </c>
      <c r="AP33" s="213">
        <v>1.4500000000000001E-2</v>
      </c>
      <c r="AQ33" s="183">
        <f t="shared" si="12"/>
        <v>1611.1111111111111</v>
      </c>
      <c r="AR33" s="212">
        <f>67250000</f>
        <v>67250000</v>
      </c>
      <c r="AS33" s="213">
        <v>1.8499999999999999E-2</v>
      </c>
      <c r="AT33" s="183">
        <f t="shared" si="13"/>
        <v>3455.9027777777778</v>
      </c>
      <c r="AW33" s="183">
        <f t="shared" si="14"/>
        <v>0</v>
      </c>
      <c r="AZ33" s="183">
        <f t="shared" si="15"/>
        <v>0</v>
      </c>
      <c r="BC33" s="183">
        <f t="shared" si="16"/>
        <v>0</v>
      </c>
      <c r="BF33" s="183">
        <f t="shared" si="17"/>
        <v>0</v>
      </c>
      <c r="BI33" s="183">
        <f t="shared" si="18"/>
        <v>0</v>
      </c>
      <c r="BL33" s="183">
        <f t="shared" si="19"/>
        <v>0</v>
      </c>
      <c r="BO33" s="183">
        <f t="shared" si="20"/>
        <v>0</v>
      </c>
      <c r="BR33" s="183">
        <f t="shared" si="21"/>
        <v>0</v>
      </c>
      <c r="BU33" s="183">
        <f t="shared" si="22"/>
        <v>0</v>
      </c>
      <c r="BX33" s="183">
        <f t="shared" si="23"/>
        <v>0</v>
      </c>
      <c r="CA33" s="183">
        <f t="shared" si="24"/>
        <v>0</v>
      </c>
      <c r="CD33" s="183">
        <f t="shared" si="25"/>
        <v>0</v>
      </c>
      <c r="CG33" s="183">
        <f t="shared" si="26"/>
        <v>0</v>
      </c>
      <c r="CJ33" s="183">
        <f t="shared" si="27"/>
        <v>0</v>
      </c>
      <c r="CM33" s="183">
        <f t="shared" si="28"/>
        <v>0</v>
      </c>
      <c r="CP33" s="183">
        <f t="shared" si="29"/>
        <v>0</v>
      </c>
      <c r="CS33" s="183">
        <f t="shared" si="30"/>
        <v>0</v>
      </c>
      <c r="CV33" s="183">
        <f t="shared" si="31"/>
        <v>0</v>
      </c>
      <c r="CY33" s="183">
        <f t="shared" si="32"/>
        <v>0</v>
      </c>
      <c r="DB33" s="183">
        <f t="shared" si="33"/>
        <v>0</v>
      </c>
      <c r="DE33" s="183">
        <f t="shared" si="34"/>
        <v>0</v>
      </c>
      <c r="DH33" s="183">
        <f t="shared" si="35"/>
        <v>0</v>
      </c>
      <c r="DK33" s="183">
        <f t="shared" si="36"/>
        <v>0</v>
      </c>
      <c r="DN33" s="183">
        <f t="shared" si="37"/>
        <v>0</v>
      </c>
      <c r="DQ33" s="183">
        <f t="shared" si="38"/>
        <v>0</v>
      </c>
      <c r="DT33" s="183">
        <f t="shared" si="39"/>
        <v>0</v>
      </c>
      <c r="DW33" s="183">
        <f t="shared" si="40"/>
        <v>0</v>
      </c>
      <c r="DZ33" s="183"/>
      <c r="EA33" s="183"/>
      <c r="EB33" s="214">
        <f t="shared" si="41"/>
        <v>272250000</v>
      </c>
      <c r="EC33" s="214">
        <f t="shared" si="42"/>
        <v>0</v>
      </c>
      <c r="ED33" s="183">
        <f t="shared" si="43"/>
        <v>12567.013888888889</v>
      </c>
      <c r="EE33" s="185">
        <f t="shared" si="44"/>
        <v>1.6617539026629935E-2</v>
      </c>
      <c r="EG33" s="214">
        <f t="shared" si="45"/>
        <v>0</v>
      </c>
      <c r="EH33" s="183">
        <f t="shared" si="46"/>
        <v>0</v>
      </c>
      <c r="EI33" s="185">
        <f t="shared" si="47"/>
        <v>0</v>
      </c>
      <c r="EJ33" s="185"/>
      <c r="EK33" s="214">
        <f t="shared" si="48"/>
        <v>272250000</v>
      </c>
      <c r="EL33" s="214">
        <f t="shared" si="49"/>
        <v>0</v>
      </c>
      <c r="EM33" s="214">
        <f t="shared" si="50"/>
        <v>12567.013888888889</v>
      </c>
      <c r="EN33" s="185">
        <f t="shared" si="51"/>
        <v>1.6617539026629935E-2</v>
      </c>
      <c r="EP33" s="183"/>
    </row>
    <row r="34" spans="1:146" x14ac:dyDescent="0.2">
      <c r="A34" s="211">
        <f t="shared" si="52"/>
        <v>44736</v>
      </c>
      <c r="B34" s="183">
        <v>0</v>
      </c>
      <c r="C34" s="185">
        <v>1.554358E-2</v>
      </c>
      <c r="D34" s="183">
        <f t="shared" si="1"/>
        <v>0</v>
      </c>
      <c r="G34" s="183">
        <f t="shared" si="2"/>
        <v>0</v>
      </c>
      <c r="J34" s="183">
        <f t="shared" si="3"/>
        <v>0</v>
      </c>
      <c r="M34" s="183">
        <f t="shared" si="4"/>
        <v>0</v>
      </c>
      <c r="P34" s="183">
        <f t="shared" si="5"/>
        <v>0</v>
      </c>
      <c r="S34" s="183">
        <f t="shared" si="6"/>
        <v>0</v>
      </c>
      <c r="V34" s="183">
        <f t="shared" si="7"/>
        <v>0</v>
      </c>
      <c r="Y34" s="183">
        <f t="shared" si="8"/>
        <v>0</v>
      </c>
      <c r="AB34" s="183">
        <f t="shared" si="9"/>
        <v>0</v>
      </c>
      <c r="AE34" s="183">
        <v>0</v>
      </c>
      <c r="AH34" s="183">
        <v>0</v>
      </c>
      <c r="AI34" s="212">
        <v>60000000</v>
      </c>
      <c r="AJ34" s="213">
        <v>2.0500000000000001E-2</v>
      </c>
      <c r="AK34" s="183">
        <f t="shared" si="10"/>
        <v>3416.6666666666665</v>
      </c>
      <c r="AL34" s="212">
        <f t="shared" si="0"/>
        <v>105000000</v>
      </c>
      <c r="AM34" s="213">
        <v>1.4E-2</v>
      </c>
      <c r="AN34" s="183">
        <f t="shared" si="11"/>
        <v>4083.3333333333335</v>
      </c>
      <c r="AO34" s="212">
        <f t="shared" si="53"/>
        <v>40000000</v>
      </c>
      <c r="AP34" s="213">
        <v>1.4500000000000001E-2</v>
      </c>
      <c r="AQ34" s="183">
        <f t="shared" si="12"/>
        <v>1611.1111111111111</v>
      </c>
      <c r="AR34" s="212">
        <v>62450000</v>
      </c>
      <c r="AS34" s="213">
        <v>1.8499999999999999E-2</v>
      </c>
      <c r="AT34" s="183">
        <f t="shared" si="13"/>
        <v>3209.2361111111113</v>
      </c>
      <c r="AW34" s="183">
        <f t="shared" si="14"/>
        <v>0</v>
      </c>
      <c r="AZ34" s="183">
        <f t="shared" si="15"/>
        <v>0</v>
      </c>
      <c r="BC34" s="183">
        <f t="shared" si="16"/>
        <v>0</v>
      </c>
      <c r="BF34" s="183">
        <f t="shared" si="17"/>
        <v>0</v>
      </c>
      <c r="BI34" s="183">
        <f t="shared" si="18"/>
        <v>0</v>
      </c>
      <c r="BL34" s="183">
        <f t="shared" si="19"/>
        <v>0</v>
      </c>
      <c r="BO34" s="183">
        <f t="shared" si="20"/>
        <v>0</v>
      </c>
      <c r="BR34" s="183">
        <f t="shared" si="21"/>
        <v>0</v>
      </c>
      <c r="BU34" s="183">
        <f t="shared" si="22"/>
        <v>0</v>
      </c>
      <c r="BX34" s="183">
        <f t="shared" si="23"/>
        <v>0</v>
      </c>
      <c r="CA34" s="183">
        <f t="shared" si="24"/>
        <v>0</v>
      </c>
      <c r="CD34" s="183">
        <f t="shared" si="25"/>
        <v>0</v>
      </c>
      <c r="CG34" s="183">
        <f t="shared" si="26"/>
        <v>0</v>
      </c>
      <c r="CJ34" s="183">
        <f t="shared" si="27"/>
        <v>0</v>
      </c>
      <c r="CM34" s="183">
        <f t="shared" si="28"/>
        <v>0</v>
      </c>
      <c r="CP34" s="183">
        <f t="shared" si="29"/>
        <v>0</v>
      </c>
      <c r="CS34" s="183">
        <f t="shared" si="30"/>
        <v>0</v>
      </c>
      <c r="CV34" s="183">
        <f t="shared" si="31"/>
        <v>0</v>
      </c>
      <c r="CY34" s="183">
        <f t="shared" si="32"/>
        <v>0</v>
      </c>
      <c r="DB34" s="183">
        <f t="shared" si="33"/>
        <v>0</v>
      </c>
      <c r="DE34" s="183">
        <f t="shared" si="34"/>
        <v>0</v>
      </c>
      <c r="DH34" s="183">
        <f t="shared" si="35"/>
        <v>0</v>
      </c>
      <c r="DK34" s="183">
        <f t="shared" si="36"/>
        <v>0</v>
      </c>
      <c r="DN34" s="183">
        <f t="shared" si="37"/>
        <v>0</v>
      </c>
      <c r="DQ34" s="183">
        <f t="shared" si="38"/>
        <v>0</v>
      </c>
      <c r="DT34" s="183">
        <f t="shared" si="39"/>
        <v>0</v>
      </c>
      <c r="DW34" s="183">
        <f t="shared" si="40"/>
        <v>0</v>
      </c>
      <c r="DZ34" s="183"/>
      <c r="EA34" s="183"/>
      <c r="EB34" s="214">
        <f t="shared" si="41"/>
        <v>267450000</v>
      </c>
      <c r="EC34" s="214">
        <f t="shared" si="42"/>
        <v>0</v>
      </c>
      <c r="ED34" s="183">
        <f t="shared" si="43"/>
        <v>12320.347222222223</v>
      </c>
      <c r="EE34" s="185">
        <f t="shared" si="44"/>
        <v>1.6583753972705177E-2</v>
      </c>
      <c r="EG34" s="214">
        <f t="shared" si="45"/>
        <v>0</v>
      </c>
      <c r="EH34" s="183">
        <f t="shared" si="46"/>
        <v>0</v>
      </c>
      <c r="EI34" s="185">
        <f t="shared" si="47"/>
        <v>0</v>
      </c>
      <c r="EJ34" s="185"/>
      <c r="EK34" s="214">
        <f t="shared" si="48"/>
        <v>267450000</v>
      </c>
      <c r="EL34" s="214">
        <f t="shared" si="49"/>
        <v>0</v>
      </c>
      <c r="EM34" s="214">
        <f t="shared" si="50"/>
        <v>12320.347222222223</v>
      </c>
      <c r="EN34" s="185">
        <f t="shared" si="51"/>
        <v>1.6583753972705177E-2</v>
      </c>
      <c r="EP34" s="183"/>
    </row>
    <row r="35" spans="1:146" x14ac:dyDescent="0.2">
      <c r="A35" s="211">
        <f t="shared" si="52"/>
        <v>44737</v>
      </c>
      <c r="B35" s="183">
        <v>0</v>
      </c>
      <c r="C35" s="185">
        <v>1.554358E-2</v>
      </c>
      <c r="D35" s="183">
        <f t="shared" si="1"/>
        <v>0</v>
      </c>
      <c r="G35" s="183">
        <f t="shared" si="2"/>
        <v>0</v>
      </c>
      <c r="J35" s="183">
        <f t="shared" si="3"/>
        <v>0</v>
      </c>
      <c r="M35" s="183">
        <f t="shared" si="4"/>
        <v>0</v>
      </c>
      <c r="P35" s="183">
        <f t="shared" si="5"/>
        <v>0</v>
      </c>
      <c r="S35" s="183">
        <f t="shared" si="6"/>
        <v>0</v>
      </c>
      <c r="V35" s="183">
        <f t="shared" si="7"/>
        <v>0</v>
      </c>
      <c r="Y35" s="183">
        <f t="shared" si="8"/>
        <v>0</v>
      </c>
      <c r="AB35" s="183">
        <f t="shared" si="9"/>
        <v>0</v>
      </c>
      <c r="AE35" s="183">
        <v>0</v>
      </c>
      <c r="AH35" s="183">
        <v>0</v>
      </c>
      <c r="AI35" s="212">
        <v>60000000</v>
      </c>
      <c r="AJ35" s="213">
        <v>2.0500000000000001E-2</v>
      </c>
      <c r="AK35" s="183">
        <f t="shared" si="10"/>
        <v>3416.6666666666665</v>
      </c>
      <c r="AL35" s="212">
        <f t="shared" si="0"/>
        <v>105000000</v>
      </c>
      <c r="AM35" s="213">
        <v>1.4E-2</v>
      </c>
      <c r="AN35" s="183">
        <f t="shared" si="11"/>
        <v>4083.3333333333335</v>
      </c>
      <c r="AO35" s="212">
        <f t="shared" si="53"/>
        <v>40000000</v>
      </c>
      <c r="AP35" s="213">
        <v>1.4500000000000001E-2</v>
      </c>
      <c r="AQ35" s="183">
        <f t="shared" si="12"/>
        <v>1611.1111111111111</v>
      </c>
      <c r="AR35" s="212">
        <v>62450000</v>
      </c>
      <c r="AS35" s="213">
        <v>1.8499999999999999E-2</v>
      </c>
      <c r="AT35" s="183">
        <f t="shared" si="13"/>
        <v>3209.2361111111113</v>
      </c>
      <c r="AW35" s="183">
        <f t="shared" si="14"/>
        <v>0</v>
      </c>
      <c r="AZ35" s="183">
        <f t="shared" si="15"/>
        <v>0</v>
      </c>
      <c r="BC35" s="183">
        <f t="shared" si="16"/>
        <v>0</v>
      </c>
      <c r="BF35" s="183">
        <f t="shared" si="17"/>
        <v>0</v>
      </c>
      <c r="BI35" s="183">
        <f t="shared" si="18"/>
        <v>0</v>
      </c>
      <c r="BL35" s="183">
        <f t="shared" si="19"/>
        <v>0</v>
      </c>
      <c r="BO35" s="183">
        <f t="shared" si="20"/>
        <v>0</v>
      </c>
      <c r="BR35" s="183">
        <f t="shared" si="21"/>
        <v>0</v>
      </c>
      <c r="BU35" s="183">
        <f t="shared" si="22"/>
        <v>0</v>
      </c>
      <c r="BX35" s="183">
        <f t="shared" si="23"/>
        <v>0</v>
      </c>
      <c r="CA35" s="183">
        <f t="shared" si="24"/>
        <v>0</v>
      </c>
      <c r="CD35" s="183">
        <f t="shared" si="25"/>
        <v>0</v>
      </c>
      <c r="CG35" s="183">
        <f t="shared" si="26"/>
        <v>0</v>
      </c>
      <c r="CJ35" s="183">
        <f t="shared" si="27"/>
        <v>0</v>
      </c>
      <c r="CM35" s="183">
        <f t="shared" si="28"/>
        <v>0</v>
      </c>
      <c r="CP35" s="183">
        <f t="shared" si="29"/>
        <v>0</v>
      </c>
      <c r="CS35" s="183">
        <f t="shared" si="30"/>
        <v>0</v>
      </c>
      <c r="CV35" s="183">
        <f t="shared" si="31"/>
        <v>0</v>
      </c>
      <c r="CY35" s="183">
        <f t="shared" si="32"/>
        <v>0</v>
      </c>
      <c r="DB35" s="183">
        <f t="shared" si="33"/>
        <v>0</v>
      </c>
      <c r="DE35" s="183">
        <f t="shared" si="34"/>
        <v>0</v>
      </c>
      <c r="DH35" s="183">
        <f t="shared" si="35"/>
        <v>0</v>
      </c>
      <c r="DK35" s="183">
        <f t="shared" si="36"/>
        <v>0</v>
      </c>
      <c r="DN35" s="183">
        <f t="shared" si="37"/>
        <v>0</v>
      </c>
      <c r="DQ35" s="183">
        <f t="shared" si="38"/>
        <v>0</v>
      </c>
      <c r="DT35" s="183">
        <f t="shared" si="39"/>
        <v>0</v>
      </c>
      <c r="DW35" s="183">
        <f t="shared" si="40"/>
        <v>0</v>
      </c>
      <c r="DZ35" s="183"/>
      <c r="EA35" s="183"/>
      <c r="EB35" s="214">
        <f t="shared" si="41"/>
        <v>267450000</v>
      </c>
      <c r="EC35" s="214">
        <f t="shared" si="42"/>
        <v>0</v>
      </c>
      <c r="ED35" s="183">
        <f t="shared" si="43"/>
        <v>12320.347222222223</v>
      </c>
      <c r="EE35" s="185">
        <f t="shared" si="44"/>
        <v>1.6583753972705177E-2</v>
      </c>
      <c r="EG35" s="214">
        <f t="shared" si="45"/>
        <v>0</v>
      </c>
      <c r="EH35" s="183">
        <f t="shared" si="46"/>
        <v>0</v>
      </c>
      <c r="EI35" s="185">
        <f t="shared" si="47"/>
        <v>0</v>
      </c>
      <c r="EJ35" s="185"/>
      <c r="EK35" s="214">
        <f t="shared" si="48"/>
        <v>267450000</v>
      </c>
      <c r="EL35" s="214">
        <f t="shared" si="49"/>
        <v>0</v>
      </c>
      <c r="EM35" s="214">
        <f t="shared" si="50"/>
        <v>12320.347222222223</v>
      </c>
      <c r="EN35" s="185">
        <f t="shared" si="51"/>
        <v>1.6583753972705177E-2</v>
      </c>
      <c r="EP35" s="183"/>
    </row>
    <row r="36" spans="1:146" x14ac:dyDescent="0.2">
      <c r="A36" s="211">
        <f t="shared" si="52"/>
        <v>44738</v>
      </c>
      <c r="B36" s="183">
        <v>0</v>
      </c>
      <c r="C36" s="185">
        <v>1.554358E-2</v>
      </c>
      <c r="D36" s="183">
        <f t="shared" si="1"/>
        <v>0</v>
      </c>
      <c r="G36" s="183">
        <f t="shared" si="2"/>
        <v>0</v>
      </c>
      <c r="J36" s="183">
        <f t="shared" si="3"/>
        <v>0</v>
      </c>
      <c r="M36" s="183">
        <f t="shared" si="4"/>
        <v>0</v>
      </c>
      <c r="P36" s="183">
        <f t="shared" si="5"/>
        <v>0</v>
      </c>
      <c r="S36" s="183">
        <f t="shared" si="6"/>
        <v>0</v>
      </c>
      <c r="V36" s="183">
        <f t="shared" si="7"/>
        <v>0</v>
      </c>
      <c r="Y36" s="183">
        <f t="shared" si="8"/>
        <v>0</v>
      </c>
      <c r="AB36" s="183">
        <f t="shared" si="9"/>
        <v>0</v>
      </c>
      <c r="AE36" s="183">
        <v>0</v>
      </c>
      <c r="AH36" s="183">
        <v>0</v>
      </c>
      <c r="AI36" s="212">
        <v>60000000</v>
      </c>
      <c r="AJ36" s="213">
        <v>2.0500000000000001E-2</v>
      </c>
      <c r="AK36" s="183">
        <f t="shared" si="10"/>
        <v>3416.6666666666665</v>
      </c>
      <c r="AL36" s="212">
        <f t="shared" si="0"/>
        <v>105000000</v>
      </c>
      <c r="AM36" s="213">
        <v>1.4E-2</v>
      </c>
      <c r="AN36" s="183">
        <f t="shared" si="11"/>
        <v>4083.3333333333335</v>
      </c>
      <c r="AO36" s="212">
        <f t="shared" si="53"/>
        <v>40000000</v>
      </c>
      <c r="AP36" s="213">
        <v>1.4500000000000001E-2</v>
      </c>
      <c r="AQ36" s="183">
        <f t="shared" si="12"/>
        <v>1611.1111111111111</v>
      </c>
      <c r="AR36" s="212">
        <v>62450000</v>
      </c>
      <c r="AS36" s="213">
        <v>1.8499999999999999E-2</v>
      </c>
      <c r="AT36" s="183">
        <f t="shared" si="13"/>
        <v>3209.2361111111113</v>
      </c>
      <c r="AW36" s="183">
        <f t="shared" si="14"/>
        <v>0</v>
      </c>
      <c r="AZ36" s="183">
        <f t="shared" si="15"/>
        <v>0</v>
      </c>
      <c r="BC36" s="183">
        <f t="shared" si="16"/>
        <v>0</v>
      </c>
      <c r="BF36" s="183">
        <f t="shared" si="17"/>
        <v>0</v>
      </c>
      <c r="BI36" s="183">
        <f t="shared" si="18"/>
        <v>0</v>
      </c>
      <c r="BL36" s="183">
        <f t="shared" si="19"/>
        <v>0</v>
      </c>
      <c r="BO36" s="183">
        <f t="shared" si="20"/>
        <v>0</v>
      </c>
      <c r="BR36" s="183">
        <f t="shared" si="21"/>
        <v>0</v>
      </c>
      <c r="BU36" s="183">
        <f t="shared" si="22"/>
        <v>0</v>
      </c>
      <c r="BX36" s="183">
        <f t="shared" si="23"/>
        <v>0</v>
      </c>
      <c r="CA36" s="183">
        <f t="shared" si="24"/>
        <v>0</v>
      </c>
      <c r="CD36" s="183">
        <f t="shared" si="25"/>
        <v>0</v>
      </c>
      <c r="CG36" s="183">
        <f t="shared" si="26"/>
        <v>0</v>
      </c>
      <c r="CJ36" s="183">
        <f t="shared" si="27"/>
        <v>0</v>
      </c>
      <c r="CM36" s="183">
        <f t="shared" si="28"/>
        <v>0</v>
      </c>
      <c r="CP36" s="183">
        <f t="shared" si="29"/>
        <v>0</v>
      </c>
      <c r="CS36" s="183">
        <f t="shared" si="30"/>
        <v>0</v>
      </c>
      <c r="CV36" s="183">
        <f t="shared" si="31"/>
        <v>0</v>
      </c>
      <c r="CY36" s="183">
        <f t="shared" si="32"/>
        <v>0</v>
      </c>
      <c r="DB36" s="183">
        <f t="shared" si="33"/>
        <v>0</v>
      </c>
      <c r="DE36" s="183">
        <f t="shared" si="34"/>
        <v>0</v>
      </c>
      <c r="DH36" s="183">
        <f t="shared" si="35"/>
        <v>0</v>
      </c>
      <c r="DK36" s="183">
        <f t="shared" si="36"/>
        <v>0</v>
      </c>
      <c r="DN36" s="183">
        <f t="shared" si="37"/>
        <v>0</v>
      </c>
      <c r="DQ36" s="183">
        <f t="shared" si="38"/>
        <v>0</v>
      </c>
      <c r="DT36" s="183">
        <f t="shared" si="39"/>
        <v>0</v>
      </c>
      <c r="DW36" s="183">
        <f t="shared" si="40"/>
        <v>0</v>
      </c>
      <c r="DZ36" s="183"/>
      <c r="EA36" s="183"/>
      <c r="EB36" s="214">
        <f t="shared" si="41"/>
        <v>267450000</v>
      </c>
      <c r="EC36" s="214">
        <f t="shared" si="42"/>
        <v>0</v>
      </c>
      <c r="ED36" s="183">
        <f t="shared" si="43"/>
        <v>12320.347222222223</v>
      </c>
      <c r="EE36" s="185">
        <f t="shared" si="44"/>
        <v>1.6583753972705177E-2</v>
      </c>
      <c r="EG36" s="214">
        <f t="shared" si="45"/>
        <v>0</v>
      </c>
      <c r="EH36" s="183">
        <f t="shared" si="46"/>
        <v>0</v>
      </c>
      <c r="EI36" s="185">
        <f t="shared" si="47"/>
        <v>0</v>
      </c>
      <c r="EJ36" s="185"/>
      <c r="EK36" s="214">
        <f t="shared" si="48"/>
        <v>267450000</v>
      </c>
      <c r="EL36" s="214">
        <f t="shared" si="49"/>
        <v>0</v>
      </c>
      <c r="EM36" s="214">
        <f t="shared" si="50"/>
        <v>12320.347222222223</v>
      </c>
      <c r="EN36" s="185">
        <f t="shared" si="51"/>
        <v>1.6583753972705177E-2</v>
      </c>
      <c r="EP36" s="183"/>
    </row>
    <row r="37" spans="1:146" x14ac:dyDescent="0.2">
      <c r="A37" s="211">
        <f t="shared" si="52"/>
        <v>44739</v>
      </c>
      <c r="B37" s="183">
        <v>0</v>
      </c>
      <c r="C37" s="185">
        <v>1.55853E-2</v>
      </c>
      <c r="D37" s="183">
        <f t="shared" si="1"/>
        <v>0</v>
      </c>
      <c r="G37" s="183">
        <f t="shared" si="2"/>
        <v>0</v>
      </c>
      <c r="J37" s="183">
        <f t="shared" si="3"/>
        <v>0</v>
      </c>
      <c r="M37" s="183">
        <f t="shared" si="4"/>
        <v>0</v>
      </c>
      <c r="P37" s="183">
        <f t="shared" si="5"/>
        <v>0</v>
      </c>
      <c r="S37" s="183">
        <f t="shared" si="6"/>
        <v>0</v>
      </c>
      <c r="V37" s="183">
        <f t="shared" si="7"/>
        <v>0</v>
      </c>
      <c r="Y37" s="183">
        <f t="shared" si="8"/>
        <v>0</v>
      </c>
      <c r="AB37" s="183">
        <f t="shared" si="9"/>
        <v>0</v>
      </c>
      <c r="AE37" s="183">
        <v>0</v>
      </c>
      <c r="AH37" s="183">
        <v>0</v>
      </c>
      <c r="AI37" s="212">
        <v>60000000</v>
      </c>
      <c r="AJ37" s="213">
        <v>2.0500000000000001E-2</v>
      </c>
      <c r="AK37" s="183">
        <f t="shared" si="10"/>
        <v>3416.6666666666665</v>
      </c>
      <c r="AL37" s="212">
        <f t="shared" si="0"/>
        <v>105000000</v>
      </c>
      <c r="AM37" s="213">
        <v>1.4E-2</v>
      </c>
      <c r="AN37" s="183">
        <f t="shared" si="11"/>
        <v>4083.3333333333335</v>
      </c>
      <c r="AO37" s="212">
        <f t="shared" si="53"/>
        <v>40000000</v>
      </c>
      <c r="AP37" s="213">
        <v>1.4500000000000001E-2</v>
      </c>
      <c r="AQ37" s="183">
        <f t="shared" si="12"/>
        <v>1611.1111111111111</v>
      </c>
      <c r="AR37" s="212">
        <v>79575000</v>
      </c>
      <c r="AS37" s="213">
        <v>1.8499999999999999E-2</v>
      </c>
      <c r="AT37" s="183">
        <f t="shared" si="13"/>
        <v>4089.2708333333335</v>
      </c>
      <c r="AW37" s="183">
        <f t="shared" si="14"/>
        <v>0</v>
      </c>
      <c r="AZ37" s="183">
        <f t="shared" si="15"/>
        <v>0</v>
      </c>
      <c r="BC37" s="183">
        <f t="shared" si="16"/>
        <v>0</v>
      </c>
      <c r="BF37" s="183">
        <f t="shared" si="17"/>
        <v>0</v>
      </c>
      <c r="BI37" s="183">
        <f t="shared" si="18"/>
        <v>0</v>
      </c>
      <c r="BL37" s="183">
        <f t="shared" si="19"/>
        <v>0</v>
      </c>
      <c r="BO37" s="183">
        <f t="shared" si="20"/>
        <v>0</v>
      </c>
      <c r="BR37" s="183">
        <f t="shared" si="21"/>
        <v>0</v>
      </c>
      <c r="BU37" s="183">
        <f t="shared" si="22"/>
        <v>0</v>
      </c>
      <c r="BX37" s="183">
        <f t="shared" si="23"/>
        <v>0</v>
      </c>
      <c r="CA37" s="183">
        <f t="shared" si="24"/>
        <v>0</v>
      </c>
      <c r="CD37" s="183">
        <f t="shared" si="25"/>
        <v>0</v>
      </c>
      <c r="CG37" s="183">
        <f t="shared" si="26"/>
        <v>0</v>
      </c>
      <c r="CJ37" s="183">
        <f t="shared" si="27"/>
        <v>0</v>
      </c>
      <c r="CM37" s="183">
        <f t="shared" si="28"/>
        <v>0</v>
      </c>
      <c r="CP37" s="183">
        <f t="shared" si="29"/>
        <v>0</v>
      </c>
      <c r="CS37" s="183">
        <f t="shared" si="30"/>
        <v>0</v>
      </c>
      <c r="CV37" s="183">
        <f t="shared" si="31"/>
        <v>0</v>
      </c>
      <c r="CY37" s="183">
        <f t="shared" si="32"/>
        <v>0</v>
      </c>
      <c r="DB37" s="183">
        <f t="shared" si="33"/>
        <v>0</v>
      </c>
      <c r="DE37" s="183">
        <f t="shared" si="34"/>
        <v>0</v>
      </c>
      <c r="DH37" s="183">
        <f t="shared" si="35"/>
        <v>0</v>
      </c>
      <c r="DK37" s="183">
        <f t="shared" si="36"/>
        <v>0</v>
      </c>
      <c r="DN37" s="183">
        <f t="shared" si="37"/>
        <v>0</v>
      </c>
      <c r="DQ37" s="183">
        <f t="shared" si="38"/>
        <v>0</v>
      </c>
      <c r="DT37" s="183">
        <f t="shared" si="39"/>
        <v>0</v>
      </c>
      <c r="DW37" s="183">
        <f t="shared" si="40"/>
        <v>0</v>
      </c>
      <c r="DZ37" s="183"/>
      <c r="EA37" s="183"/>
      <c r="EB37" s="214">
        <f t="shared" si="41"/>
        <v>284575000</v>
      </c>
      <c r="EC37" s="214">
        <f t="shared" si="42"/>
        <v>0</v>
      </c>
      <c r="ED37" s="183">
        <f t="shared" si="43"/>
        <v>13200.381944444445</v>
      </c>
      <c r="EE37" s="185">
        <f t="shared" si="44"/>
        <v>1.6699068786787313E-2</v>
      </c>
      <c r="EG37" s="214">
        <f t="shared" si="45"/>
        <v>0</v>
      </c>
      <c r="EH37" s="183">
        <f t="shared" si="46"/>
        <v>0</v>
      </c>
      <c r="EI37" s="185">
        <f t="shared" si="47"/>
        <v>0</v>
      </c>
      <c r="EJ37" s="185"/>
      <c r="EK37" s="214">
        <f t="shared" si="48"/>
        <v>284575000</v>
      </c>
      <c r="EL37" s="214">
        <f t="shared" si="49"/>
        <v>0</v>
      </c>
      <c r="EM37" s="214">
        <f t="shared" si="50"/>
        <v>13200.381944444443</v>
      </c>
      <c r="EN37" s="185">
        <f t="shared" si="51"/>
        <v>1.6699068786787313E-2</v>
      </c>
      <c r="EP37" s="183"/>
    </row>
    <row r="38" spans="1:146" x14ac:dyDescent="0.2">
      <c r="A38" s="211">
        <f t="shared" si="52"/>
        <v>44740</v>
      </c>
      <c r="B38" s="183">
        <v>0</v>
      </c>
      <c r="C38" s="185">
        <v>1.5456630000000001E-2</v>
      </c>
      <c r="D38" s="183">
        <f t="shared" si="1"/>
        <v>0</v>
      </c>
      <c r="G38" s="183">
        <f t="shared" si="2"/>
        <v>0</v>
      </c>
      <c r="J38" s="183">
        <f t="shared" si="3"/>
        <v>0</v>
      </c>
      <c r="M38" s="183">
        <f t="shared" si="4"/>
        <v>0</v>
      </c>
      <c r="P38" s="183">
        <f t="shared" si="5"/>
        <v>0</v>
      </c>
      <c r="S38" s="183">
        <f t="shared" si="6"/>
        <v>0</v>
      </c>
      <c r="V38" s="183">
        <f t="shared" si="7"/>
        <v>0</v>
      </c>
      <c r="Y38" s="183">
        <f t="shared" si="8"/>
        <v>0</v>
      </c>
      <c r="AB38" s="183">
        <f t="shared" si="9"/>
        <v>0</v>
      </c>
      <c r="AE38" s="183">
        <v>0</v>
      </c>
      <c r="AH38" s="183">
        <v>0</v>
      </c>
      <c r="AI38" s="212">
        <f>60000000+55000000</f>
        <v>115000000</v>
      </c>
      <c r="AJ38" s="213">
        <v>2.0500000000000001E-2</v>
      </c>
      <c r="AK38" s="183">
        <f t="shared" si="10"/>
        <v>6548.6111111111113</v>
      </c>
      <c r="AL38" s="212">
        <f t="shared" si="0"/>
        <v>105000000</v>
      </c>
      <c r="AM38" s="213">
        <v>1.4E-2</v>
      </c>
      <c r="AN38" s="183">
        <f t="shared" si="11"/>
        <v>4083.3333333333335</v>
      </c>
      <c r="AO38" s="212">
        <f t="shared" si="53"/>
        <v>40000000</v>
      </c>
      <c r="AP38" s="213">
        <v>1.4500000000000001E-2</v>
      </c>
      <c r="AQ38" s="183">
        <f t="shared" si="12"/>
        <v>1611.1111111111111</v>
      </c>
      <c r="AR38" s="212">
        <v>39725000</v>
      </c>
      <c r="AS38" s="213">
        <v>1.8499999999999999E-2</v>
      </c>
      <c r="AT38" s="183">
        <f t="shared" si="13"/>
        <v>2041.4236111111111</v>
      </c>
      <c r="AW38" s="183">
        <f t="shared" si="14"/>
        <v>0</v>
      </c>
      <c r="AZ38" s="183">
        <f t="shared" si="15"/>
        <v>0</v>
      </c>
      <c r="BC38" s="183">
        <f t="shared" si="16"/>
        <v>0</v>
      </c>
      <c r="BF38" s="183">
        <f t="shared" si="17"/>
        <v>0</v>
      </c>
      <c r="BI38" s="183">
        <f t="shared" si="18"/>
        <v>0</v>
      </c>
      <c r="BL38" s="183">
        <f t="shared" si="19"/>
        <v>0</v>
      </c>
      <c r="BO38" s="183">
        <f t="shared" si="20"/>
        <v>0</v>
      </c>
      <c r="BR38" s="183">
        <f t="shared" si="21"/>
        <v>0</v>
      </c>
      <c r="BU38" s="183">
        <f t="shared" si="22"/>
        <v>0</v>
      </c>
      <c r="BX38" s="183">
        <f t="shared" si="23"/>
        <v>0</v>
      </c>
      <c r="CA38" s="183">
        <f t="shared" si="24"/>
        <v>0</v>
      </c>
      <c r="CD38" s="183">
        <f t="shared" si="25"/>
        <v>0</v>
      </c>
      <c r="CG38" s="183">
        <f t="shared" si="26"/>
        <v>0</v>
      </c>
      <c r="CJ38" s="183">
        <f t="shared" si="27"/>
        <v>0</v>
      </c>
      <c r="CM38" s="183">
        <f t="shared" si="28"/>
        <v>0</v>
      </c>
      <c r="CP38" s="183">
        <f t="shared" si="29"/>
        <v>0</v>
      </c>
      <c r="CS38" s="183">
        <f t="shared" si="30"/>
        <v>0</v>
      </c>
      <c r="CV38" s="183">
        <f t="shared" si="31"/>
        <v>0</v>
      </c>
      <c r="CY38" s="183">
        <f t="shared" si="32"/>
        <v>0</v>
      </c>
      <c r="DB38" s="183">
        <f t="shared" si="33"/>
        <v>0</v>
      </c>
      <c r="DE38" s="183">
        <f t="shared" si="34"/>
        <v>0</v>
      </c>
      <c r="DH38" s="183">
        <f t="shared" si="35"/>
        <v>0</v>
      </c>
      <c r="DK38" s="183">
        <f t="shared" si="36"/>
        <v>0</v>
      </c>
      <c r="DN38" s="183">
        <f t="shared" si="37"/>
        <v>0</v>
      </c>
      <c r="DQ38" s="183">
        <f t="shared" si="38"/>
        <v>0</v>
      </c>
      <c r="DT38" s="183">
        <f t="shared" si="39"/>
        <v>0</v>
      </c>
      <c r="DW38" s="183">
        <f t="shared" si="40"/>
        <v>0</v>
      </c>
      <c r="DZ38" s="183"/>
      <c r="EA38" s="183"/>
      <c r="EB38" s="214">
        <f t="shared" si="41"/>
        <v>299725000</v>
      </c>
      <c r="EC38" s="214">
        <f t="shared" si="42"/>
        <v>0</v>
      </c>
      <c r="ED38" s="183">
        <f t="shared" si="43"/>
        <v>14284.479166666668</v>
      </c>
      <c r="EE38" s="185">
        <f t="shared" si="44"/>
        <v>1.7157102343815164E-2</v>
      </c>
      <c r="EG38" s="214">
        <f t="shared" si="45"/>
        <v>0</v>
      </c>
      <c r="EH38" s="183">
        <f t="shared" si="46"/>
        <v>0</v>
      </c>
      <c r="EI38" s="185">
        <f t="shared" si="47"/>
        <v>0</v>
      </c>
      <c r="EJ38" s="185"/>
      <c r="EK38" s="214">
        <f t="shared" si="48"/>
        <v>299725000</v>
      </c>
      <c r="EL38" s="214">
        <f t="shared" si="49"/>
        <v>0</v>
      </c>
      <c r="EM38" s="214">
        <f t="shared" si="50"/>
        <v>14284.479166666668</v>
      </c>
      <c r="EN38" s="185">
        <f t="shared" si="51"/>
        <v>1.7157102343815164E-2</v>
      </c>
      <c r="EP38" s="183"/>
    </row>
    <row r="39" spans="1:146" x14ac:dyDescent="0.2">
      <c r="A39" s="211">
        <f t="shared" si="52"/>
        <v>44741</v>
      </c>
      <c r="B39" s="183">
        <v>0</v>
      </c>
      <c r="C39" s="185">
        <v>1.5664849999999998E-2</v>
      </c>
      <c r="D39" s="183">
        <f t="shared" si="1"/>
        <v>0</v>
      </c>
      <c r="G39" s="183">
        <f t="shared" si="2"/>
        <v>0</v>
      </c>
      <c r="J39" s="183">
        <f t="shared" si="3"/>
        <v>0</v>
      </c>
      <c r="M39" s="183">
        <f t="shared" si="4"/>
        <v>0</v>
      </c>
      <c r="P39" s="183">
        <f t="shared" si="5"/>
        <v>0</v>
      </c>
      <c r="S39" s="183">
        <f t="shared" si="6"/>
        <v>0</v>
      </c>
      <c r="V39" s="183">
        <f t="shared" si="7"/>
        <v>0</v>
      </c>
      <c r="Y39" s="183">
        <f t="shared" si="8"/>
        <v>0</v>
      </c>
      <c r="AB39" s="183">
        <f t="shared" si="9"/>
        <v>0</v>
      </c>
      <c r="AE39" s="183">
        <v>0</v>
      </c>
      <c r="AH39" s="183">
        <v>0</v>
      </c>
      <c r="AI39" s="212">
        <f>60000000+55000000</f>
        <v>115000000</v>
      </c>
      <c r="AJ39" s="213">
        <v>2.0500000000000001E-2</v>
      </c>
      <c r="AK39" s="183">
        <f t="shared" si="10"/>
        <v>6548.6111111111113</v>
      </c>
      <c r="AL39" s="212">
        <f t="shared" si="0"/>
        <v>105000000</v>
      </c>
      <c r="AM39" s="213">
        <v>1.4E-2</v>
      </c>
      <c r="AN39" s="183">
        <f t="shared" si="11"/>
        <v>4083.3333333333335</v>
      </c>
      <c r="AO39" s="212">
        <f t="shared" si="53"/>
        <v>40000000</v>
      </c>
      <c r="AP39" s="213">
        <v>1.4500000000000001E-2</v>
      </c>
      <c r="AQ39" s="183">
        <f t="shared" si="12"/>
        <v>1611.1111111111111</v>
      </c>
      <c r="AR39" s="212">
        <v>25825000</v>
      </c>
      <c r="AS39" s="213">
        <v>1.8499999999999999E-2</v>
      </c>
      <c r="AT39" s="183">
        <f t="shared" si="13"/>
        <v>1327.1180555555557</v>
      </c>
      <c r="AW39" s="183">
        <f t="shared" si="14"/>
        <v>0</v>
      </c>
      <c r="AZ39" s="183">
        <f t="shared" si="15"/>
        <v>0</v>
      </c>
      <c r="BC39" s="183">
        <f t="shared" si="16"/>
        <v>0</v>
      </c>
      <c r="BF39" s="183">
        <f t="shared" si="17"/>
        <v>0</v>
      </c>
      <c r="BI39" s="183">
        <f t="shared" si="18"/>
        <v>0</v>
      </c>
      <c r="BL39" s="183">
        <f t="shared" si="19"/>
        <v>0</v>
      </c>
      <c r="BO39" s="183">
        <f t="shared" si="20"/>
        <v>0</v>
      </c>
      <c r="BR39" s="183">
        <f t="shared" si="21"/>
        <v>0</v>
      </c>
      <c r="BU39" s="183">
        <f t="shared" si="22"/>
        <v>0</v>
      </c>
      <c r="BX39" s="183">
        <f t="shared" si="23"/>
        <v>0</v>
      </c>
      <c r="CA39" s="183">
        <f t="shared" si="24"/>
        <v>0</v>
      </c>
      <c r="CD39" s="183">
        <f t="shared" si="25"/>
        <v>0</v>
      </c>
      <c r="CG39" s="183">
        <f t="shared" si="26"/>
        <v>0</v>
      </c>
      <c r="CJ39" s="183">
        <f t="shared" si="27"/>
        <v>0</v>
      </c>
      <c r="CM39" s="183">
        <f t="shared" si="28"/>
        <v>0</v>
      </c>
      <c r="CP39" s="183">
        <f t="shared" si="29"/>
        <v>0</v>
      </c>
      <c r="CS39" s="183">
        <f t="shared" si="30"/>
        <v>0</v>
      </c>
      <c r="CV39" s="183">
        <f t="shared" si="31"/>
        <v>0</v>
      </c>
      <c r="CY39" s="183">
        <f t="shared" si="32"/>
        <v>0</v>
      </c>
      <c r="DB39" s="183">
        <f t="shared" si="33"/>
        <v>0</v>
      </c>
      <c r="DE39" s="183">
        <f t="shared" si="34"/>
        <v>0</v>
      </c>
      <c r="DH39" s="183">
        <f t="shared" si="35"/>
        <v>0</v>
      </c>
      <c r="DK39" s="183">
        <f t="shared" si="36"/>
        <v>0</v>
      </c>
      <c r="DN39" s="183">
        <f t="shared" si="37"/>
        <v>0</v>
      </c>
      <c r="DQ39" s="183">
        <f t="shared" si="38"/>
        <v>0</v>
      </c>
      <c r="DT39" s="183">
        <f t="shared" si="39"/>
        <v>0</v>
      </c>
      <c r="DW39" s="183">
        <f t="shared" si="40"/>
        <v>0</v>
      </c>
      <c r="DZ39" s="183"/>
      <c r="EA39" s="183"/>
      <c r="EB39" s="214">
        <f t="shared" si="41"/>
        <v>285825000</v>
      </c>
      <c r="EC39" s="214">
        <f t="shared" si="42"/>
        <v>0</v>
      </c>
      <c r="ED39" s="183">
        <f t="shared" si="43"/>
        <v>13570.173611111113</v>
      </c>
      <c r="EE39" s="185">
        <f t="shared" si="44"/>
        <v>1.7091795679174324E-2</v>
      </c>
      <c r="EG39" s="214">
        <f t="shared" si="45"/>
        <v>0</v>
      </c>
      <c r="EH39" s="183">
        <f t="shared" si="46"/>
        <v>0</v>
      </c>
      <c r="EI39" s="185">
        <f t="shared" si="47"/>
        <v>0</v>
      </c>
      <c r="EJ39" s="185"/>
      <c r="EK39" s="214">
        <f t="shared" si="48"/>
        <v>285825000</v>
      </c>
      <c r="EL39" s="214">
        <f t="shared" si="49"/>
        <v>0</v>
      </c>
      <c r="EM39" s="214">
        <f t="shared" si="50"/>
        <v>13570.173611111111</v>
      </c>
      <c r="EN39" s="185">
        <f t="shared" si="51"/>
        <v>1.7091795679174321E-2</v>
      </c>
      <c r="EP39" s="183"/>
    </row>
    <row r="40" spans="1:146" x14ac:dyDescent="0.2">
      <c r="A40" s="211">
        <f t="shared" si="52"/>
        <v>44742</v>
      </c>
      <c r="B40" s="183">
        <v>0</v>
      </c>
      <c r="C40" s="185">
        <v>1.6506369999999999E-2</v>
      </c>
      <c r="D40" s="183">
        <f t="shared" si="1"/>
        <v>0</v>
      </c>
      <c r="G40" s="183">
        <f t="shared" si="2"/>
        <v>0</v>
      </c>
      <c r="J40" s="183">
        <f t="shared" si="3"/>
        <v>0</v>
      </c>
      <c r="M40" s="183">
        <f t="shared" si="4"/>
        <v>0</v>
      </c>
      <c r="P40" s="183">
        <f t="shared" si="5"/>
        <v>0</v>
      </c>
      <c r="S40" s="183">
        <f t="shared" si="6"/>
        <v>0</v>
      </c>
      <c r="V40" s="183">
        <f t="shared" si="7"/>
        <v>0</v>
      </c>
      <c r="Y40" s="183">
        <f t="shared" si="8"/>
        <v>0</v>
      </c>
      <c r="AB40" s="183">
        <f t="shared" si="9"/>
        <v>0</v>
      </c>
      <c r="AE40" s="183">
        <v>0</v>
      </c>
      <c r="AH40" s="183">
        <v>0</v>
      </c>
      <c r="AI40" s="212">
        <f>60000000+55000000</f>
        <v>115000000</v>
      </c>
      <c r="AJ40" s="213">
        <v>2.0500000000000001E-2</v>
      </c>
      <c r="AK40" s="183">
        <f t="shared" si="10"/>
        <v>6548.6111111111113</v>
      </c>
      <c r="AL40" s="212">
        <f t="shared" si="0"/>
        <v>105000000</v>
      </c>
      <c r="AM40" s="213">
        <v>1.4E-2</v>
      </c>
      <c r="AN40" s="183">
        <f t="shared" si="11"/>
        <v>4083.3333333333335</v>
      </c>
      <c r="AO40" s="212">
        <f t="shared" si="53"/>
        <v>40000000</v>
      </c>
      <c r="AP40" s="213">
        <v>1.4500000000000001E-2</v>
      </c>
      <c r="AQ40" s="183">
        <f t="shared" si="12"/>
        <v>1611.1111111111111</v>
      </c>
      <c r="AR40" s="212">
        <v>25150000</v>
      </c>
      <c r="AS40" s="213">
        <v>1.8499999999999999E-2</v>
      </c>
      <c r="AT40" s="183">
        <f t="shared" si="13"/>
        <v>1292.4305555555557</v>
      </c>
      <c r="AW40" s="183">
        <f t="shared" si="14"/>
        <v>0</v>
      </c>
      <c r="AZ40" s="183">
        <f t="shared" si="15"/>
        <v>0</v>
      </c>
      <c r="BC40" s="183">
        <f t="shared" si="16"/>
        <v>0</v>
      </c>
      <c r="BF40" s="183">
        <f t="shared" si="17"/>
        <v>0</v>
      </c>
      <c r="BI40" s="183">
        <f t="shared" si="18"/>
        <v>0</v>
      </c>
      <c r="BL40" s="183">
        <f t="shared" si="19"/>
        <v>0</v>
      </c>
      <c r="BO40" s="183">
        <f t="shared" si="20"/>
        <v>0</v>
      </c>
      <c r="BR40" s="183">
        <f t="shared" si="21"/>
        <v>0</v>
      </c>
      <c r="BU40" s="183">
        <f t="shared" si="22"/>
        <v>0</v>
      </c>
      <c r="BX40" s="183">
        <f t="shared" si="23"/>
        <v>0</v>
      </c>
      <c r="CA40" s="183">
        <f t="shared" si="24"/>
        <v>0</v>
      </c>
      <c r="CD40" s="183">
        <f t="shared" si="25"/>
        <v>0</v>
      </c>
      <c r="CG40" s="183">
        <f t="shared" si="26"/>
        <v>0</v>
      </c>
      <c r="CJ40" s="183">
        <f t="shared" si="27"/>
        <v>0</v>
      </c>
      <c r="CM40" s="183">
        <f t="shared" si="28"/>
        <v>0</v>
      </c>
      <c r="CP40" s="183">
        <f t="shared" si="29"/>
        <v>0</v>
      </c>
      <c r="CS40" s="183">
        <f t="shared" si="30"/>
        <v>0</v>
      </c>
      <c r="CV40" s="183">
        <f t="shared" si="31"/>
        <v>0</v>
      </c>
      <c r="CY40" s="183">
        <f t="shared" si="32"/>
        <v>0</v>
      </c>
      <c r="DB40" s="183">
        <f t="shared" si="33"/>
        <v>0</v>
      </c>
      <c r="DE40" s="183">
        <f t="shared" si="34"/>
        <v>0</v>
      </c>
      <c r="DH40" s="183">
        <f t="shared" si="35"/>
        <v>0</v>
      </c>
      <c r="DK40" s="183">
        <f t="shared" si="36"/>
        <v>0</v>
      </c>
      <c r="DN40" s="183">
        <f t="shared" si="37"/>
        <v>0</v>
      </c>
      <c r="DQ40" s="183">
        <f t="shared" si="38"/>
        <v>0</v>
      </c>
      <c r="DT40" s="183">
        <f t="shared" si="39"/>
        <v>0</v>
      </c>
      <c r="DW40" s="183">
        <f t="shared" si="40"/>
        <v>0</v>
      </c>
      <c r="DZ40" s="183"/>
      <c r="EA40" s="183"/>
      <c r="EB40" s="214">
        <f t="shared" si="41"/>
        <v>285150000</v>
      </c>
      <c r="EC40" s="214">
        <f t="shared" si="42"/>
        <v>0</v>
      </c>
      <c r="ED40" s="183">
        <f t="shared" si="43"/>
        <v>13535.486111111113</v>
      </c>
      <c r="EE40" s="185">
        <f t="shared" si="44"/>
        <v>1.7088462212870421E-2</v>
      </c>
      <c r="EG40" s="214">
        <f t="shared" si="45"/>
        <v>0</v>
      </c>
      <c r="EH40" s="183">
        <f t="shared" si="46"/>
        <v>0</v>
      </c>
      <c r="EI40" s="185">
        <f t="shared" si="47"/>
        <v>0</v>
      </c>
      <c r="EJ40" s="185"/>
      <c r="EK40" s="214">
        <f t="shared" si="48"/>
        <v>285150000</v>
      </c>
      <c r="EL40" s="214">
        <f t="shared" si="49"/>
        <v>0</v>
      </c>
      <c r="EM40" s="214">
        <f t="shared" si="50"/>
        <v>13535.486111111111</v>
      </c>
      <c r="EN40" s="185">
        <f t="shared" si="51"/>
        <v>1.7088462212870418E-2</v>
      </c>
      <c r="EP40" s="183"/>
    </row>
    <row r="41" spans="1:146" x14ac:dyDescent="0.2">
      <c r="A41" s="215" t="s">
        <v>75</v>
      </c>
      <c r="D41" s="216">
        <f>SUM(D11:D40)</f>
        <v>3149.7500000000005</v>
      </c>
      <c r="G41" s="216">
        <f>SUM(G11:G40)</f>
        <v>0</v>
      </c>
      <c r="J41" s="216">
        <f>SUM(J11:J40)</f>
        <v>0</v>
      </c>
      <c r="M41" s="216">
        <f>SUM(M11:M40)</f>
        <v>0</v>
      </c>
      <c r="P41" s="216">
        <f>SUM(P11:P40)</f>
        <v>0</v>
      </c>
      <c r="S41" s="216">
        <f>SUM(S11:S40)</f>
        <v>0</v>
      </c>
      <c r="V41" s="216">
        <f>SUM(V11:V40)</f>
        <v>0</v>
      </c>
      <c r="Y41" s="216">
        <f>SUM(Y11:Y40)</f>
        <v>0</v>
      </c>
      <c r="AB41" s="216">
        <f>SUM(AB11:AB40)</f>
        <v>0</v>
      </c>
      <c r="AE41" s="216">
        <f>SUM(AE11:AE40)</f>
        <v>0</v>
      </c>
      <c r="AH41" s="216">
        <f>SUM(AH11:AH40)</f>
        <v>0</v>
      </c>
      <c r="AK41" s="216">
        <f>SUM(AK11:AK40)</f>
        <v>60070.833333333328</v>
      </c>
      <c r="AN41" s="216">
        <f>SUM(AN11:AN40)</f>
        <v>122499.99999999996</v>
      </c>
      <c r="AQ41" s="216">
        <f>SUM(AQ11:AQ40)</f>
        <v>39541.66666666665</v>
      </c>
      <c r="AT41" s="216">
        <f>SUM(AT11:AT40)</f>
        <v>91175.520833333328</v>
      </c>
      <c r="AW41" s="216">
        <f>SUM(AW11:AW40)</f>
        <v>0</v>
      </c>
      <c r="AZ41" s="216">
        <f>SUM(AZ11:AZ40)</f>
        <v>0</v>
      </c>
      <c r="BC41" s="216">
        <f>SUM(BC11:BC40)</f>
        <v>0</v>
      </c>
      <c r="BF41" s="216">
        <f>SUM(BF11:BF40)</f>
        <v>0</v>
      </c>
      <c r="BI41" s="216">
        <f>SUM(BI11:BI40)</f>
        <v>0</v>
      </c>
      <c r="BL41" s="216">
        <f>SUM(BL11:BL40)</f>
        <v>0</v>
      </c>
      <c r="BO41" s="216">
        <f>SUM(BO11:BO40)</f>
        <v>0</v>
      </c>
      <c r="BR41" s="216">
        <f>SUM(BR11:BR40)</f>
        <v>0</v>
      </c>
      <c r="BU41" s="216">
        <f>SUM(BU11:BU40)</f>
        <v>0</v>
      </c>
      <c r="BX41" s="216">
        <f>SUM(BX11:BX40)</f>
        <v>0</v>
      </c>
      <c r="CA41" s="216">
        <f>SUM(CA11:CA40)</f>
        <v>0</v>
      </c>
      <c r="CD41" s="216">
        <f>SUM(CD11:CD40)</f>
        <v>0</v>
      </c>
      <c r="CG41" s="216">
        <f>SUM(CG11:CG40)</f>
        <v>0</v>
      </c>
      <c r="CJ41" s="216">
        <f>SUM(CJ11:CJ40)</f>
        <v>0</v>
      </c>
      <c r="CM41" s="216">
        <f>SUM(CM11:CM40)</f>
        <v>0</v>
      </c>
      <c r="CP41" s="216">
        <f>SUM(CP11:CP40)</f>
        <v>0</v>
      </c>
      <c r="CS41" s="216">
        <f>SUM(CS11:CS40)</f>
        <v>0</v>
      </c>
      <c r="CV41" s="216">
        <f>SUM(CV11:CV40)</f>
        <v>0</v>
      </c>
      <c r="CY41" s="216">
        <f>SUM(CY11:CY40)</f>
        <v>0</v>
      </c>
      <c r="DB41" s="216">
        <f>SUM(DB11:DB40)</f>
        <v>0</v>
      </c>
      <c r="DE41" s="216">
        <f>SUM(DE11:DE40)</f>
        <v>0</v>
      </c>
      <c r="DH41" s="216">
        <f>SUM(DH11:DH40)</f>
        <v>0</v>
      </c>
      <c r="DK41" s="216">
        <f>SUM(DK11:DK40)</f>
        <v>0</v>
      </c>
      <c r="DN41" s="216">
        <f>SUM(DN11:DN40)</f>
        <v>0</v>
      </c>
      <c r="DQ41" s="216">
        <f>SUM(DQ11:DQ40)</f>
        <v>0</v>
      </c>
      <c r="DT41" s="216">
        <f>SUM(DT11:DT40)</f>
        <v>0</v>
      </c>
      <c r="DW41" s="216">
        <f>SUM(DW11:DW40)</f>
        <v>0</v>
      </c>
      <c r="DZ41" s="183"/>
      <c r="EA41" s="183"/>
      <c r="EB41" s="183"/>
      <c r="EC41" s="183"/>
      <c r="ED41" s="216">
        <f>SUM(ED11:ED40)</f>
        <v>316437.77083333343</v>
      </c>
      <c r="EE41" s="185"/>
      <c r="EG41" s="183"/>
      <c r="EH41" s="216">
        <f>SUM(EH11:EH40)</f>
        <v>0</v>
      </c>
      <c r="EI41" s="185"/>
      <c r="EJ41" s="185"/>
      <c r="EK41" s="183"/>
      <c r="EL41" s="183"/>
      <c r="EM41" s="216">
        <f>SUM(EM11:EM40)</f>
        <v>313288.02083333343</v>
      </c>
      <c r="EN41" s="185"/>
    </row>
    <row r="43" spans="1:146" x14ac:dyDescent="0.2">
      <c r="EM43" s="217"/>
    </row>
    <row r="45" spans="1:146" x14ac:dyDescent="0.2">
      <c r="EM45" s="183"/>
    </row>
    <row r="47" spans="1:146" x14ac:dyDescent="0.2">
      <c r="EM47" s="183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1"/>
  <dimension ref="A1:EQ49"/>
  <sheetViews>
    <sheetView workbookViewId="0"/>
  </sheetViews>
  <sheetFormatPr defaultRowHeight="15" x14ac:dyDescent="0.25"/>
  <cols>
    <col min="1" max="1" width="14.5703125" bestFit="1" customWidth="1"/>
    <col min="2" max="2" width="15.5703125" style="40" bestFit="1" customWidth="1"/>
    <col min="3" max="3" width="15.42578125" style="41" bestFit="1" customWidth="1"/>
    <col min="4" max="4" width="15.42578125" bestFit="1" customWidth="1"/>
    <col min="5" max="5" width="15.5703125" style="40" bestFit="1" customWidth="1"/>
    <col min="6" max="6" width="12.28515625" style="41" bestFit="1" customWidth="1"/>
    <col min="7" max="7" width="15.42578125" bestFit="1" customWidth="1"/>
    <col min="8" max="8" width="15.42578125" style="40" hidden="1" customWidth="1"/>
    <col min="9" max="9" width="10.28515625" style="41" hidden="1" customWidth="1"/>
    <col min="10" max="10" width="13.42578125" hidden="1" customWidth="1"/>
    <col min="11" max="11" width="14.42578125" style="40" hidden="1" customWidth="1"/>
    <col min="12" max="12" width="10.28515625" style="41" hidden="1" customWidth="1"/>
    <col min="13" max="13" width="11.7109375" hidden="1" customWidth="1"/>
    <col min="14" max="14" width="14.42578125" style="40" hidden="1" customWidth="1"/>
    <col min="15" max="15" width="10.28515625" style="41" hidden="1" customWidth="1"/>
    <col min="16" max="16" width="11.7109375" hidden="1" customWidth="1"/>
    <col min="17" max="17" width="15.42578125" style="40" hidden="1" customWidth="1"/>
    <col min="18" max="18" width="10.28515625" style="41" hidden="1" customWidth="1"/>
    <col min="19" max="19" width="11.7109375" hidden="1" customWidth="1"/>
    <col min="20" max="20" width="15.42578125" style="40" hidden="1" customWidth="1"/>
    <col min="21" max="21" width="10.28515625" style="41" hidden="1" customWidth="1"/>
    <col min="22" max="22" width="11.7109375" hidden="1" customWidth="1"/>
    <col min="23" max="23" width="15.42578125" style="40" hidden="1" customWidth="1"/>
    <col min="24" max="24" width="10.28515625" style="41" hidden="1" customWidth="1"/>
    <col min="25" max="25" width="11.7109375" hidden="1" customWidth="1"/>
    <col min="26" max="26" width="15.42578125" style="40" hidden="1" customWidth="1"/>
    <col min="27" max="27" width="10.28515625" style="41" hidden="1" customWidth="1"/>
    <col min="28" max="28" width="11.7109375" hidden="1" customWidth="1"/>
    <col min="29" max="29" width="15.42578125" style="40" hidden="1" customWidth="1"/>
    <col min="30" max="30" width="10.28515625" style="41" hidden="1" customWidth="1"/>
    <col min="31" max="31" width="11.7109375" hidden="1" customWidth="1"/>
    <col min="32" max="32" width="14.42578125" style="40" hidden="1" customWidth="1"/>
    <col min="33" max="33" width="10.28515625" style="41" hidden="1" customWidth="1"/>
    <col min="34" max="34" width="10.7109375" hidden="1" customWidth="1"/>
    <col min="35" max="35" width="14.42578125" style="40" customWidth="1"/>
    <col min="36" max="36" width="10.28515625" style="41" customWidth="1"/>
    <col min="37" max="37" width="11.7109375" bestFit="1" customWidth="1"/>
    <col min="38" max="38" width="14.42578125" style="40" customWidth="1"/>
    <col min="39" max="39" width="10.28515625" style="41" customWidth="1"/>
    <col min="40" max="40" width="11.7109375" bestFit="1" customWidth="1"/>
    <col min="41" max="41" width="15.42578125" style="40" bestFit="1" customWidth="1"/>
    <col min="42" max="42" width="12.28515625" style="41" bestFit="1" customWidth="1"/>
    <col min="43" max="43" width="11.7109375" bestFit="1" customWidth="1"/>
    <col min="44" max="44" width="15.42578125" style="40" bestFit="1" customWidth="1"/>
    <col min="45" max="45" width="10.28515625" style="41" bestFit="1" customWidth="1"/>
    <col min="46" max="46" width="11.7109375" bestFit="1" customWidth="1"/>
    <col min="47" max="47" width="14.42578125" style="40" customWidth="1"/>
    <col min="48" max="48" width="10.28515625" style="41" customWidth="1"/>
    <col min="49" max="49" width="10.7109375" customWidth="1"/>
    <col min="50" max="50" width="14.42578125" style="40" customWidth="1"/>
    <col min="51" max="51" width="10.28515625" style="41" customWidth="1"/>
    <col min="52" max="52" width="10.7109375" customWidth="1"/>
    <col min="53" max="53" width="14.42578125" style="40" customWidth="1"/>
    <col min="54" max="54" width="10.28515625" style="41" customWidth="1"/>
    <col min="55" max="55" width="10.7109375" customWidth="1"/>
    <col min="56" max="56" width="14.42578125" style="40" customWidth="1"/>
    <col min="57" max="57" width="10.28515625" style="41" customWidth="1"/>
    <col min="58" max="58" width="10.7109375" customWidth="1"/>
    <col min="59" max="59" width="14.42578125" style="40" customWidth="1"/>
    <col min="60" max="60" width="10.28515625" style="41" customWidth="1"/>
    <col min="61" max="61" width="10.7109375" customWidth="1"/>
    <col min="62" max="62" width="14.42578125" style="40" customWidth="1"/>
    <col min="63" max="63" width="10.28515625" style="41" customWidth="1"/>
    <col min="64" max="64" width="10.7109375" customWidth="1"/>
    <col min="65" max="65" width="14.42578125" style="40" hidden="1" customWidth="1"/>
    <col min="66" max="66" width="10.28515625" style="41" hidden="1" customWidth="1"/>
    <col min="67" max="67" width="10.7109375" hidden="1" customWidth="1"/>
    <col min="68" max="68" width="14.42578125" style="40" hidden="1" customWidth="1"/>
    <col min="69" max="69" width="10.28515625" style="41" hidden="1" customWidth="1"/>
    <col min="70" max="70" width="10.7109375" hidden="1" customWidth="1"/>
    <col min="71" max="71" width="14.42578125" style="40" hidden="1" customWidth="1"/>
    <col min="72" max="72" width="10.28515625" style="41" hidden="1" customWidth="1"/>
    <col min="73" max="73" width="10.7109375" hidden="1" customWidth="1"/>
    <col min="74" max="74" width="14.42578125" style="40" hidden="1" customWidth="1"/>
    <col min="75" max="75" width="10.28515625" style="41" hidden="1" customWidth="1"/>
    <col min="76" max="76" width="10.7109375" hidden="1" customWidth="1"/>
    <col min="77" max="77" width="14.42578125" style="40" hidden="1" customWidth="1"/>
    <col min="78" max="78" width="10.28515625" style="41" hidden="1" customWidth="1"/>
    <col min="79" max="79" width="10.7109375" hidden="1" customWidth="1"/>
    <col min="80" max="80" width="14.42578125" style="40" hidden="1" customWidth="1"/>
    <col min="81" max="81" width="10.28515625" style="41" hidden="1" customWidth="1"/>
    <col min="82" max="82" width="10.7109375" hidden="1" customWidth="1"/>
    <col min="83" max="83" width="14.42578125" style="40" hidden="1" customWidth="1"/>
    <col min="84" max="84" width="10.28515625" style="41" hidden="1" customWidth="1"/>
    <col min="85" max="85" width="10.7109375" hidden="1" customWidth="1"/>
    <col min="86" max="86" width="14.42578125" style="40" hidden="1" customWidth="1"/>
    <col min="87" max="87" width="10.28515625" style="41" hidden="1" customWidth="1"/>
    <col min="88" max="88" width="10.7109375" hidden="1" customWidth="1"/>
    <col min="89" max="89" width="14.42578125" style="40" hidden="1" customWidth="1"/>
    <col min="90" max="90" width="10.28515625" style="41" hidden="1" customWidth="1"/>
    <col min="91" max="91" width="10.7109375" hidden="1" customWidth="1"/>
    <col min="92" max="92" width="14.42578125" style="40" hidden="1" customWidth="1"/>
    <col min="93" max="93" width="10.28515625" style="41" hidden="1" customWidth="1"/>
    <col min="94" max="94" width="10.7109375" hidden="1" customWidth="1"/>
    <col min="95" max="95" width="14.42578125" style="40" hidden="1" customWidth="1"/>
    <col min="96" max="96" width="10.28515625" style="41" hidden="1" customWidth="1"/>
    <col min="97" max="97" width="10.7109375" hidden="1" customWidth="1"/>
    <col min="98" max="98" width="14.42578125" style="40" hidden="1" customWidth="1"/>
    <col min="99" max="99" width="10.28515625" style="41" hidden="1" customWidth="1"/>
    <col min="100" max="100" width="10.7109375" hidden="1" customWidth="1"/>
    <col min="101" max="101" width="14.42578125" style="40" hidden="1" customWidth="1"/>
    <col min="102" max="102" width="10.28515625" style="41" hidden="1" customWidth="1"/>
    <col min="103" max="103" width="10.7109375" hidden="1" customWidth="1"/>
    <col min="104" max="104" width="14.42578125" style="40" hidden="1" customWidth="1"/>
    <col min="105" max="105" width="10.28515625" style="41" hidden="1" customWidth="1"/>
    <col min="106" max="106" width="10.7109375" hidden="1" customWidth="1"/>
    <col min="107" max="107" width="14.42578125" style="40" hidden="1" customWidth="1"/>
    <col min="108" max="108" width="10.28515625" style="41" hidden="1" customWidth="1"/>
    <col min="109" max="109" width="10.7109375" hidden="1" customWidth="1"/>
    <col min="110" max="110" width="14.42578125" style="40" hidden="1" customWidth="1"/>
    <col min="111" max="111" width="10.28515625" style="41" hidden="1" customWidth="1"/>
    <col min="112" max="112" width="10.7109375" hidden="1" customWidth="1"/>
    <col min="113" max="113" width="14.42578125" style="40" hidden="1" customWidth="1"/>
    <col min="114" max="114" width="10.28515625" style="41" hidden="1" customWidth="1"/>
    <col min="115" max="115" width="10.7109375" hidden="1" customWidth="1"/>
    <col min="116" max="116" width="14.42578125" style="40" hidden="1" customWidth="1"/>
    <col min="117" max="117" width="10.28515625" style="41" hidden="1" customWidth="1"/>
    <col min="118" max="118" width="10.7109375" hidden="1" customWidth="1"/>
    <col min="119" max="119" width="14.42578125" style="40" hidden="1" customWidth="1"/>
    <col min="120" max="120" width="10.28515625" style="41" hidden="1" customWidth="1"/>
    <col min="121" max="121" width="10.7109375" hidden="1" customWidth="1"/>
    <col min="122" max="122" width="14.42578125" style="40" hidden="1" customWidth="1"/>
    <col min="123" max="123" width="10.28515625" style="41" hidden="1" customWidth="1"/>
    <col min="124" max="124" width="10.7109375" hidden="1" customWidth="1"/>
    <col min="125" max="125" width="14.42578125" style="40" hidden="1" customWidth="1"/>
    <col min="126" max="126" width="10.28515625" style="41" hidden="1" customWidth="1"/>
    <col min="127" max="127" width="10.7109375" hidden="1" customWidth="1"/>
    <col min="128" max="128" width="14.42578125" style="40" hidden="1" customWidth="1"/>
    <col min="129" max="129" width="10.28515625" style="41" hidden="1" customWidth="1"/>
    <col min="130" max="130" width="10.7109375" hidden="1" customWidth="1"/>
    <col min="131" max="131" width="2.7109375" customWidth="1"/>
    <col min="132" max="132" width="15.425781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5.42578125" bestFit="1" customWidth="1"/>
    <col min="142" max="142" width="15.42578125" hidden="1" customWidth="1"/>
    <col min="143" max="143" width="14.42578125" bestFit="1" customWidth="1"/>
    <col min="144" max="144" width="15.42578125" bestFit="1" customWidth="1"/>
    <col min="145" max="145" width="42.85546875" bestFit="1" customWidth="1"/>
    <col min="146" max="146" width="19.42578125" bestFit="1" customWidth="1"/>
    <col min="147" max="147" width="23.140625" bestFit="1" customWidth="1"/>
  </cols>
  <sheetData>
    <row r="1" spans="1:147" s="33" customFormat="1" ht="15.75" x14ac:dyDescent="0.25">
      <c r="A1" s="30" t="s">
        <v>0</v>
      </c>
      <c r="B1" s="31"/>
      <c r="C1" s="32"/>
      <c r="E1" s="31"/>
      <c r="F1" s="32"/>
      <c r="H1" s="31"/>
      <c r="I1" s="32"/>
      <c r="K1" s="31"/>
      <c r="L1" s="32"/>
      <c r="N1" s="31"/>
      <c r="O1" s="32"/>
      <c r="Q1" s="31"/>
      <c r="R1" s="32"/>
      <c r="T1" s="31"/>
      <c r="U1" s="32"/>
      <c r="W1" s="31"/>
      <c r="X1" s="32"/>
      <c r="Z1" s="31"/>
      <c r="AA1" s="32"/>
      <c r="AC1" s="31"/>
      <c r="AD1" s="32"/>
      <c r="AF1" s="31"/>
      <c r="AG1" s="32"/>
      <c r="AI1" s="31"/>
      <c r="AJ1" s="32"/>
      <c r="AL1" s="31"/>
      <c r="AM1" s="32"/>
      <c r="AO1" s="31"/>
      <c r="AP1" s="32"/>
      <c r="AR1" s="31"/>
      <c r="AS1" s="32"/>
      <c r="AU1" s="31"/>
      <c r="AV1" s="32"/>
      <c r="AX1" s="31"/>
      <c r="AY1" s="32"/>
      <c r="BA1" s="31"/>
      <c r="BB1" s="32"/>
      <c r="BD1" s="31"/>
      <c r="BE1" s="32"/>
      <c r="BG1" s="31"/>
      <c r="BH1" s="32"/>
      <c r="BJ1" s="31"/>
      <c r="BK1" s="32"/>
      <c r="BM1" s="31"/>
      <c r="BN1" s="32"/>
      <c r="BP1" s="31"/>
      <c r="BQ1" s="32"/>
      <c r="BS1" s="31"/>
      <c r="BT1" s="32"/>
      <c r="BV1" s="31"/>
      <c r="BW1" s="32"/>
      <c r="BY1" s="31"/>
      <c r="BZ1" s="32"/>
      <c r="CB1" s="31"/>
      <c r="CC1" s="32"/>
      <c r="CE1" s="31"/>
      <c r="CF1" s="32"/>
      <c r="CH1" s="31"/>
      <c r="CI1" s="32"/>
      <c r="CK1" s="31"/>
      <c r="CL1" s="32"/>
      <c r="CN1" s="31"/>
      <c r="CO1" s="32"/>
      <c r="CQ1" s="31"/>
      <c r="CR1" s="32"/>
      <c r="CT1" s="31"/>
      <c r="CU1" s="32"/>
      <c r="CW1" s="31"/>
      <c r="CX1" s="32"/>
      <c r="CZ1" s="31"/>
      <c r="DA1" s="32"/>
      <c r="DC1" s="31"/>
      <c r="DD1" s="32"/>
      <c r="DF1" s="31"/>
      <c r="DG1" s="32"/>
      <c r="DI1" s="31"/>
      <c r="DJ1" s="32"/>
      <c r="DL1" s="31"/>
      <c r="DM1" s="32"/>
      <c r="DO1" s="31"/>
      <c r="DP1" s="32"/>
      <c r="DR1" s="31"/>
      <c r="DS1" s="32"/>
      <c r="DU1" s="31"/>
      <c r="DV1" s="32"/>
      <c r="DX1" s="31"/>
      <c r="DY1" s="32"/>
      <c r="DZ1" s="62"/>
      <c r="ED1" s="35"/>
      <c r="EE1" s="36" t="s">
        <v>91</v>
      </c>
      <c r="EI1" s="35" t="s">
        <v>92</v>
      </c>
      <c r="EM1" s="35"/>
      <c r="EN1" s="35" t="s">
        <v>93</v>
      </c>
      <c r="EO1" s="30" t="s">
        <v>94</v>
      </c>
      <c r="EP1" s="30" t="s">
        <v>95</v>
      </c>
      <c r="EQ1" s="30" t="s">
        <v>96</v>
      </c>
    </row>
    <row r="2" spans="1:147" s="33" customFormat="1" ht="16.5" thickBot="1" x14ac:dyDescent="0.3">
      <c r="A2" s="30" t="s">
        <v>97</v>
      </c>
      <c r="B2" s="31"/>
      <c r="C2" s="32"/>
      <c r="E2" s="37"/>
      <c r="F2" s="32"/>
      <c r="G2" s="35"/>
      <c r="H2" s="31"/>
      <c r="I2" s="32"/>
      <c r="K2" s="31"/>
      <c r="L2" s="32"/>
      <c r="N2" s="31"/>
      <c r="O2" s="32"/>
      <c r="Q2" s="31"/>
      <c r="R2" s="32"/>
      <c r="T2" s="31"/>
      <c r="U2" s="32"/>
      <c r="W2" s="31"/>
      <c r="X2" s="32"/>
      <c r="Z2" s="31"/>
      <c r="AA2" s="32"/>
      <c r="AC2" s="31"/>
      <c r="AD2" s="32"/>
      <c r="AF2" s="31"/>
      <c r="AG2" s="32"/>
      <c r="AI2" s="31"/>
      <c r="AJ2" s="32"/>
      <c r="AL2" s="31"/>
      <c r="AM2" s="32"/>
      <c r="AO2" s="31"/>
      <c r="AP2" s="32"/>
      <c r="AR2" s="31"/>
      <c r="AS2" s="32"/>
      <c r="AU2" s="31"/>
      <c r="AV2" s="32"/>
      <c r="AX2" s="31"/>
      <c r="AY2" s="32"/>
      <c r="BA2" s="31"/>
      <c r="BB2" s="32"/>
      <c r="BD2" s="31"/>
      <c r="BE2" s="32"/>
      <c r="BG2" s="31"/>
      <c r="BH2" s="32"/>
      <c r="BJ2" s="31"/>
      <c r="BK2" s="32"/>
      <c r="BM2" s="31"/>
      <c r="BN2" s="32"/>
      <c r="BP2" s="31"/>
      <c r="BQ2" s="32"/>
      <c r="BS2" s="31"/>
      <c r="BT2" s="32"/>
      <c r="BV2" s="31"/>
      <c r="BW2" s="32"/>
      <c r="BY2" s="31"/>
      <c r="BZ2" s="32"/>
      <c r="CB2" s="31"/>
      <c r="CC2" s="32"/>
      <c r="CE2" s="31"/>
      <c r="CF2" s="32"/>
      <c r="CH2" s="31"/>
      <c r="CI2" s="32"/>
      <c r="CK2" s="31"/>
      <c r="CL2" s="32"/>
      <c r="CN2" s="31"/>
      <c r="CO2" s="32"/>
      <c r="CQ2" s="31"/>
      <c r="CR2" s="32"/>
      <c r="CT2" s="31"/>
      <c r="CU2" s="32"/>
      <c r="CW2" s="31"/>
      <c r="CX2" s="32"/>
      <c r="CZ2" s="31"/>
      <c r="DA2" s="32"/>
      <c r="DC2" s="31"/>
      <c r="DD2" s="32"/>
      <c r="DF2" s="31"/>
      <c r="DG2" s="32"/>
      <c r="DI2" s="31"/>
      <c r="DJ2" s="32"/>
      <c r="DL2" s="31"/>
      <c r="DM2" s="32"/>
      <c r="DO2" s="31"/>
      <c r="DP2" s="32"/>
      <c r="DR2" s="31"/>
      <c r="DS2" s="32"/>
      <c r="DU2" s="31"/>
      <c r="DV2" s="32"/>
      <c r="DX2" s="31"/>
      <c r="DY2" s="32"/>
      <c r="EB2" t="s">
        <v>98</v>
      </c>
      <c r="EC2"/>
      <c r="ED2" s="40"/>
      <c r="EE2" s="40">
        <f>EB41</f>
        <v>283994000</v>
      </c>
      <c r="EI2" s="40">
        <f>EG40</f>
        <v>0</v>
      </c>
      <c r="EM2" s="40"/>
      <c r="EN2" s="40">
        <f>EK41</f>
        <v>283994000</v>
      </c>
      <c r="EO2" s="31">
        <f>-250038.86</f>
        <v>-250038.86</v>
      </c>
      <c r="EP2" s="31">
        <f>EN2+EO2</f>
        <v>283743961.13999999</v>
      </c>
      <c r="EQ2" s="31">
        <f>EE2+EO2</f>
        <v>283743961.13999999</v>
      </c>
    </row>
    <row r="3" spans="1:147" ht="16.5" thickTop="1" x14ac:dyDescent="0.25">
      <c r="A3" s="39" t="s">
        <v>240</v>
      </c>
      <c r="E3" s="42" t="s">
        <v>100</v>
      </c>
      <c r="F3" s="43"/>
      <c r="G3" s="44"/>
      <c r="EB3" t="s">
        <v>101</v>
      </c>
      <c r="ED3" s="40"/>
      <c r="EE3" s="40">
        <f>AVERAGE(EB11:EB41)</f>
        <v>277904548.38709676</v>
      </c>
      <c r="EI3" s="40">
        <f>AVERAGE(EG11:EG40)</f>
        <v>0</v>
      </c>
      <c r="EM3" s="40"/>
      <c r="EN3" s="40">
        <f>AVERAGE(EK11:EK41)</f>
        <v>277904548.38709676</v>
      </c>
    </row>
    <row r="4" spans="1:147" x14ac:dyDescent="0.25">
      <c r="E4" s="48" t="s">
        <v>98</v>
      </c>
      <c r="F4" s="40"/>
      <c r="G4" s="49">
        <f>EQ2</f>
        <v>283743961.13999999</v>
      </c>
      <c r="AI4" s="50" t="s">
        <v>102</v>
      </c>
      <c r="EB4" t="s">
        <v>103</v>
      </c>
      <c r="ED4" s="41"/>
      <c r="EE4" s="41">
        <f>IF(EE3=0,0,360*(AVERAGE(ED11:ED41)/EE3))</f>
        <v>2.0566899333386807E-2</v>
      </c>
      <c r="EI4" s="41">
        <f>IF(EI3=0,0,360*(AVERAGE(EH11:EH40)/EI3))</f>
        <v>0</v>
      </c>
      <c r="EM4" s="41"/>
      <c r="EN4" s="41">
        <f>IF(EN3=0,0,360*(AVERAGE(EM11:EM41)/EN3))</f>
        <v>2.0566899333386807E-2</v>
      </c>
      <c r="EO4" s="51" t="s">
        <v>104</v>
      </c>
      <c r="EQ4" s="52" t="s">
        <v>102</v>
      </c>
    </row>
    <row r="5" spans="1:147" ht="15.75" x14ac:dyDescent="0.25">
      <c r="E5" s="48" t="s">
        <v>101</v>
      </c>
      <c r="F5" s="40"/>
      <c r="G5" s="49">
        <f>EE3</f>
        <v>277904548.38709676</v>
      </c>
      <c r="AI5" s="53" t="s">
        <v>93</v>
      </c>
      <c r="EB5" t="s">
        <v>105</v>
      </c>
      <c r="ED5" s="40"/>
      <c r="EE5" s="40">
        <f>MAX(EB11:EB41)</f>
        <v>287475000</v>
      </c>
      <c r="EI5" s="40">
        <f>MAX(EG11:EG40)</f>
        <v>0</v>
      </c>
      <c r="EM5" s="40"/>
      <c r="EN5" s="40">
        <f>MAX(EK11:EK41)</f>
        <v>287475000</v>
      </c>
    </row>
    <row r="6" spans="1:147" x14ac:dyDescent="0.25">
      <c r="E6" s="48" t="s">
        <v>103</v>
      </c>
      <c r="F6" s="40"/>
      <c r="G6" s="55">
        <f>EE4</f>
        <v>2.0566899333386807E-2</v>
      </c>
    </row>
    <row r="7" spans="1:147" ht="16.5" thickBot="1" x14ac:dyDescent="0.3">
      <c r="E7" s="171" t="s">
        <v>105</v>
      </c>
      <c r="F7" s="57"/>
      <c r="G7" s="58">
        <f>EE5</f>
        <v>287475000</v>
      </c>
      <c r="AI7" s="53" t="s">
        <v>93</v>
      </c>
      <c r="EB7" s="59" t="s">
        <v>106</v>
      </c>
      <c r="EC7" s="59"/>
      <c r="ED7" s="60"/>
      <c r="EE7" s="60"/>
      <c r="EG7" s="59" t="s">
        <v>107</v>
      </c>
      <c r="EH7" s="60"/>
      <c r="EI7" s="60"/>
      <c r="EJ7" s="157"/>
      <c r="EK7" s="59" t="s">
        <v>108</v>
      </c>
      <c r="EL7" s="59"/>
      <c r="EM7" s="60"/>
      <c r="EN7" s="60"/>
    </row>
    <row r="8" spans="1:147" ht="15.75" thickTop="1" x14ac:dyDescent="0.25">
      <c r="AI8" s="62" t="s">
        <v>109</v>
      </c>
      <c r="AL8" s="62" t="s">
        <v>109</v>
      </c>
      <c r="AO8" s="62" t="s">
        <v>109</v>
      </c>
      <c r="AR8" s="62" t="s">
        <v>109</v>
      </c>
      <c r="AU8" s="62" t="s">
        <v>109</v>
      </c>
      <c r="AX8" s="62" t="s">
        <v>109</v>
      </c>
      <c r="BA8" s="62" t="s">
        <v>109</v>
      </c>
      <c r="BD8" s="62" t="s">
        <v>109</v>
      </c>
      <c r="BG8" s="62" t="s">
        <v>109</v>
      </c>
      <c r="BJ8" s="62" t="s">
        <v>109</v>
      </c>
      <c r="BM8" s="62" t="s">
        <v>109</v>
      </c>
      <c r="BP8" s="62" t="s">
        <v>109</v>
      </c>
      <c r="BS8" s="62" t="s">
        <v>109</v>
      </c>
      <c r="BV8" s="62" t="s">
        <v>109</v>
      </c>
      <c r="BY8" s="62" t="s">
        <v>109</v>
      </c>
      <c r="CB8" s="62" t="s">
        <v>109</v>
      </c>
      <c r="CE8" s="62" t="s">
        <v>109</v>
      </c>
      <c r="CH8" s="62" t="s">
        <v>109</v>
      </c>
      <c r="CK8" s="62" t="s">
        <v>109</v>
      </c>
      <c r="CN8" s="62" t="s">
        <v>109</v>
      </c>
      <c r="CQ8" s="62" t="s">
        <v>109</v>
      </c>
      <c r="CT8" s="62" t="s">
        <v>109</v>
      </c>
      <c r="CW8" s="62" t="s">
        <v>109</v>
      </c>
      <c r="CZ8" s="62" t="s">
        <v>109</v>
      </c>
      <c r="DC8" s="62" t="s">
        <v>109</v>
      </c>
      <c r="DF8" s="62" t="s">
        <v>109</v>
      </c>
      <c r="DI8" s="62" t="s">
        <v>109</v>
      </c>
      <c r="DL8" s="62" t="s">
        <v>109</v>
      </c>
      <c r="DO8" s="62" t="s">
        <v>109</v>
      </c>
      <c r="DR8" s="62" t="s">
        <v>109</v>
      </c>
      <c r="EB8" s="63"/>
      <c r="EC8" s="63"/>
      <c r="ED8" s="63"/>
      <c r="EE8" s="63" t="s">
        <v>110</v>
      </c>
      <c r="EG8" s="63"/>
      <c r="EH8" s="64" t="s">
        <v>92</v>
      </c>
      <c r="EI8" s="63" t="s">
        <v>110</v>
      </c>
      <c r="EJ8" s="63"/>
      <c r="EK8" s="52" t="s">
        <v>111</v>
      </c>
      <c r="EL8" s="52" t="s">
        <v>112</v>
      </c>
      <c r="EM8" s="64" t="s">
        <v>113</v>
      </c>
      <c r="EN8" s="63" t="s">
        <v>110</v>
      </c>
    </row>
    <row r="9" spans="1:147" x14ac:dyDescent="0.25">
      <c r="B9" s="65" t="s">
        <v>114</v>
      </c>
      <c r="C9" s="66"/>
      <c r="D9" s="60"/>
      <c r="E9" s="65" t="s">
        <v>115</v>
      </c>
      <c r="F9" s="66"/>
      <c r="G9" s="60"/>
      <c r="H9" s="65" t="s">
        <v>116</v>
      </c>
      <c r="I9" s="66"/>
      <c r="J9" s="60"/>
      <c r="K9" s="65" t="s">
        <v>117</v>
      </c>
      <c r="L9" s="66"/>
      <c r="M9" s="60"/>
      <c r="N9" s="65" t="s">
        <v>118</v>
      </c>
      <c r="O9" s="66"/>
      <c r="P9" s="60"/>
      <c r="Q9" s="65" t="s">
        <v>119</v>
      </c>
      <c r="R9" s="66"/>
      <c r="S9" s="60"/>
      <c r="T9" s="65" t="s">
        <v>120</v>
      </c>
      <c r="U9" s="66"/>
      <c r="V9" s="60"/>
      <c r="W9" s="65" t="s">
        <v>121</v>
      </c>
      <c r="X9" s="66"/>
      <c r="Y9" s="60"/>
      <c r="Z9" s="65" t="s">
        <v>122</v>
      </c>
      <c r="AA9" s="66"/>
      <c r="AB9" s="60"/>
      <c r="AC9" s="67" t="s">
        <v>123</v>
      </c>
      <c r="AD9" s="66"/>
      <c r="AE9" s="60"/>
      <c r="AF9" s="67" t="s">
        <v>124</v>
      </c>
      <c r="AG9" s="66"/>
      <c r="AH9" s="60"/>
      <c r="AI9" s="65" t="s">
        <v>125</v>
      </c>
      <c r="AJ9" s="66"/>
      <c r="AK9" s="60"/>
      <c r="AL9" s="65" t="s">
        <v>126</v>
      </c>
      <c r="AM9" s="66"/>
      <c r="AN9" s="60"/>
      <c r="AO9" s="65" t="s">
        <v>127</v>
      </c>
      <c r="AP9" s="66"/>
      <c r="AQ9" s="60"/>
      <c r="AR9" s="65" t="s">
        <v>128</v>
      </c>
      <c r="AS9" s="66"/>
      <c r="AT9" s="60"/>
      <c r="AU9" s="65" t="s">
        <v>129</v>
      </c>
      <c r="AV9" s="66"/>
      <c r="AW9" s="60"/>
      <c r="AX9" s="65" t="s">
        <v>130</v>
      </c>
      <c r="AY9" s="66"/>
      <c r="AZ9" s="60"/>
      <c r="BA9" s="65" t="s">
        <v>131</v>
      </c>
      <c r="BB9" s="66"/>
      <c r="BC9" s="60"/>
      <c r="BD9" s="65" t="s">
        <v>132</v>
      </c>
      <c r="BE9" s="66"/>
      <c r="BF9" s="60"/>
      <c r="BG9" s="65" t="s">
        <v>133</v>
      </c>
      <c r="BH9" s="66"/>
      <c r="BI9" s="60"/>
      <c r="BJ9" s="65" t="s">
        <v>134</v>
      </c>
      <c r="BK9" s="66"/>
      <c r="BL9" s="60"/>
      <c r="BM9" s="65" t="s">
        <v>135</v>
      </c>
      <c r="BN9" s="66"/>
      <c r="BO9" s="60"/>
      <c r="BP9" s="65" t="s">
        <v>136</v>
      </c>
      <c r="BQ9" s="66"/>
      <c r="BR9" s="60"/>
      <c r="BS9" s="65" t="s">
        <v>137</v>
      </c>
      <c r="BT9" s="66"/>
      <c r="BU9" s="60"/>
      <c r="BV9" s="65" t="s">
        <v>138</v>
      </c>
      <c r="BW9" s="66"/>
      <c r="BX9" s="60"/>
      <c r="BY9" s="65" t="s">
        <v>139</v>
      </c>
      <c r="BZ9" s="66"/>
      <c r="CA9" s="60"/>
      <c r="CB9" s="65" t="s">
        <v>140</v>
      </c>
      <c r="CC9" s="66"/>
      <c r="CD9" s="60"/>
      <c r="CE9" s="65" t="s">
        <v>141</v>
      </c>
      <c r="CF9" s="66"/>
      <c r="CG9" s="60"/>
      <c r="CH9" s="65" t="s">
        <v>142</v>
      </c>
      <c r="CI9" s="66"/>
      <c r="CJ9" s="60"/>
      <c r="CK9" s="65" t="s">
        <v>143</v>
      </c>
      <c r="CL9" s="66"/>
      <c r="CM9" s="60"/>
      <c r="CN9" s="65" t="s">
        <v>144</v>
      </c>
      <c r="CO9" s="66"/>
      <c r="CP9" s="60"/>
      <c r="CQ9" s="65" t="s">
        <v>145</v>
      </c>
      <c r="CR9" s="66"/>
      <c r="CS9" s="60"/>
      <c r="CT9" s="65" t="s">
        <v>146</v>
      </c>
      <c r="CU9" s="66"/>
      <c r="CV9" s="60"/>
      <c r="CW9" s="65" t="s">
        <v>147</v>
      </c>
      <c r="CX9" s="66"/>
      <c r="CY9" s="60"/>
      <c r="CZ9" s="65" t="s">
        <v>148</v>
      </c>
      <c r="DA9" s="66"/>
      <c r="DB9" s="60"/>
      <c r="DC9" s="65" t="s">
        <v>149</v>
      </c>
      <c r="DD9" s="66"/>
      <c r="DE9" s="60"/>
      <c r="DF9" s="65" t="s">
        <v>150</v>
      </c>
      <c r="DG9" s="66"/>
      <c r="DH9" s="60"/>
      <c r="DI9" s="65" t="s">
        <v>151</v>
      </c>
      <c r="DJ9" s="66"/>
      <c r="DK9" s="60"/>
      <c r="DL9" s="65" t="s">
        <v>152</v>
      </c>
      <c r="DM9" s="66"/>
      <c r="DN9" s="60"/>
      <c r="DO9" s="65" t="s">
        <v>153</v>
      </c>
      <c r="DP9" s="66"/>
      <c r="DQ9" s="60"/>
      <c r="DR9" s="65" t="s">
        <v>154</v>
      </c>
      <c r="DS9" s="66"/>
      <c r="DT9" s="60"/>
      <c r="DU9" s="65" t="s">
        <v>155</v>
      </c>
      <c r="DV9" s="66"/>
      <c r="DW9" s="60"/>
      <c r="DX9" s="68" t="s">
        <v>156</v>
      </c>
      <c r="DY9" s="66"/>
      <c r="DZ9" s="60"/>
      <c r="EA9" s="157"/>
      <c r="EB9" s="52" t="s">
        <v>157</v>
      </c>
      <c r="EC9" s="52" t="s">
        <v>158</v>
      </c>
      <c r="ED9" s="63" t="s">
        <v>159</v>
      </c>
      <c r="EE9" s="63" t="s">
        <v>160</v>
      </c>
      <c r="EG9" s="64" t="s">
        <v>161</v>
      </c>
      <c r="EH9" s="63" t="s">
        <v>159</v>
      </c>
      <c r="EI9" s="63" t="s">
        <v>160</v>
      </c>
      <c r="EJ9" s="63"/>
      <c r="EK9" s="64" t="s">
        <v>113</v>
      </c>
      <c r="EL9" s="64" t="s">
        <v>113</v>
      </c>
      <c r="EM9" s="63" t="s">
        <v>159</v>
      </c>
      <c r="EN9" s="63" t="s">
        <v>160</v>
      </c>
    </row>
    <row r="10" spans="1:147" x14ac:dyDescent="0.25">
      <c r="A10" s="63" t="s">
        <v>162</v>
      </c>
      <c r="B10" s="69" t="s">
        <v>163</v>
      </c>
      <c r="C10" s="70" t="s">
        <v>164</v>
      </c>
      <c r="D10" s="71" t="s">
        <v>19</v>
      </c>
      <c r="E10" s="69" t="s">
        <v>163</v>
      </c>
      <c r="F10" s="70" t="s">
        <v>164</v>
      </c>
      <c r="G10" s="71" t="s">
        <v>19</v>
      </c>
      <c r="H10" s="69" t="s">
        <v>163</v>
      </c>
      <c r="I10" s="70" t="s">
        <v>164</v>
      </c>
      <c r="J10" s="71" t="s">
        <v>19</v>
      </c>
      <c r="K10" s="69" t="s">
        <v>163</v>
      </c>
      <c r="L10" s="70" t="s">
        <v>164</v>
      </c>
      <c r="M10" s="71" t="s">
        <v>19</v>
      </c>
      <c r="N10" s="69" t="s">
        <v>163</v>
      </c>
      <c r="O10" s="70" t="s">
        <v>164</v>
      </c>
      <c r="P10" s="71" t="s">
        <v>19</v>
      </c>
      <c r="Q10" s="69" t="s">
        <v>163</v>
      </c>
      <c r="R10" s="70" t="s">
        <v>164</v>
      </c>
      <c r="S10" s="71" t="s">
        <v>19</v>
      </c>
      <c r="T10" s="69" t="s">
        <v>163</v>
      </c>
      <c r="U10" s="70" t="s">
        <v>164</v>
      </c>
      <c r="V10" s="71" t="s">
        <v>19</v>
      </c>
      <c r="W10" s="69" t="s">
        <v>163</v>
      </c>
      <c r="X10" s="70" t="s">
        <v>164</v>
      </c>
      <c r="Y10" s="71" t="s">
        <v>19</v>
      </c>
      <c r="Z10" s="69" t="s">
        <v>163</v>
      </c>
      <c r="AA10" s="70" t="s">
        <v>164</v>
      </c>
      <c r="AB10" s="71" t="s">
        <v>19</v>
      </c>
      <c r="AC10" s="69" t="s">
        <v>163</v>
      </c>
      <c r="AD10" s="70" t="s">
        <v>164</v>
      </c>
      <c r="AE10" s="71" t="s">
        <v>19</v>
      </c>
      <c r="AF10" s="69" t="s">
        <v>163</v>
      </c>
      <c r="AG10" s="70" t="s">
        <v>164</v>
      </c>
      <c r="AH10" s="71" t="s">
        <v>19</v>
      </c>
      <c r="AI10" s="69" t="s">
        <v>163</v>
      </c>
      <c r="AJ10" s="70" t="s">
        <v>164</v>
      </c>
      <c r="AK10" s="71" t="s">
        <v>19</v>
      </c>
      <c r="AL10" s="69" t="s">
        <v>163</v>
      </c>
      <c r="AM10" s="70" t="s">
        <v>164</v>
      </c>
      <c r="AN10" s="71" t="s">
        <v>19</v>
      </c>
      <c r="AO10" s="69" t="s">
        <v>163</v>
      </c>
      <c r="AP10" s="70" t="s">
        <v>164</v>
      </c>
      <c r="AQ10" s="71" t="s">
        <v>19</v>
      </c>
      <c r="AR10" s="69" t="s">
        <v>163</v>
      </c>
      <c r="AS10" s="70" t="s">
        <v>164</v>
      </c>
      <c r="AT10" s="71" t="s">
        <v>19</v>
      </c>
      <c r="AU10" s="69" t="s">
        <v>163</v>
      </c>
      <c r="AV10" s="70" t="s">
        <v>164</v>
      </c>
      <c r="AW10" s="71" t="s">
        <v>19</v>
      </c>
      <c r="AX10" s="69" t="s">
        <v>163</v>
      </c>
      <c r="AY10" s="70" t="s">
        <v>164</v>
      </c>
      <c r="AZ10" s="71" t="s">
        <v>19</v>
      </c>
      <c r="BA10" s="69" t="s">
        <v>163</v>
      </c>
      <c r="BB10" s="70" t="s">
        <v>164</v>
      </c>
      <c r="BC10" s="71" t="s">
        <v>19</v>
      </c>
      <c r="BD10" s="69" t="s">
        <v>163</v>
      </c>
      <c r="BE10" s="70" t="s">
        <v>164</v>
      </c>
      <c r="BF10" s="71" t="s">
        <v>19</v>
      </c>
      <c r="BG10" s="69" t="s">
        <v>163</v>
      </c>
      <c r="BH10" s="70" t="s">
        <v>164</v>
      </c>
      <c r="BI10" s="71" t="s">
        <v>19</v>
      </c>
      <c r="BJ10" s="69" t="s">
        <v>163</v>
      </c>
      <c r="BK10" s="70" t="s">
        <v>164</v>
      </c>
      <c r="BL10" s="71" t="s">
        <v>19</v>
      </c>
      <c r="BM10" s="69" t="s">
        <v>163</v>
      </c>
      <c r="BN10" s="70" t="s">
        <v>164</v>
      </c>
      <c r="BO10" s="71" t="s">
        <v>19</v>
      </c>
      <c r="BP10" s="69" t="s">
        <v>163</v>
      </c>
      <c r="BQ10" s="70" t="s">
        <v>164</v>
      </c>
      <c r="BR10" s="71" t="s">
        <v>19</v>
      </c>
      <c r="BS10" s="69" t="s">
        <v>163</v>
      </c>
      <c r="BT10" s="70" t="s">
        <v>164</v>
      </c>
      <c r="BU10" s="71" t="s">
        <v>19</v>
      </c>
      <c r="BV10" s="69" t="s">
        <v>163</v>
      </c>
      <c r="BW10" s="70" t="s">
        <v>164</v>
      </c>
      <c r="BX10" s="71" t="s">
        <v>19</v>
      </c>
      <c r="BY10" s="69" t="s">
        <v>163</v>
      </c>
      <c r="BZ10" s="70" t="s">
        <v>164</v>
      </c>
      <c r="CA10" s="71" t="s">
        <v>19</v>
      </c>
      <c r="CB10" s="69" t="s">
        <v>163</v>
      </c>
      <c r="CC10" s="70" t="s">
        <v>164</v>
      </c>
      <c r="CD10" s="71" t="s">
        <v>19</v>
      </c>
      <c r="CE10" s="69" t="s">
        <v>163</v>
      </c>
      <c r="CF10" s="70" t="s">
        <v>164</v>
      </c>
      <c r="CG10" s="71" t="s">
        <v>19</v>
      </c>
      <c r="CH10" s="69" t="s">
        <v>163</v>
      </c>
      <c r="CI10" s="70" t="s">
        <v>164</v>
      </c>
      <c r="CJ10" s="71" t="s">
        <v>19</v>
      </c>
      <c r="CK10" s="69" t="s">
        <v>163</v>
      </c>
      <c r="CL10" s="70" t="s">
        <v>164</v>
      </c>
      <c r="CM10" s="71" t="s">
        <v>19</v>
      </c>
      <c r="CN10" s="69" t="s">
        <v>163</v>
      </c>
      <c r="CO10" s="70" t="s">
        <v>164</v>
      </c>
      <c r="CP10" s="71" t="s">
        <v>19</v>
      </c>
      <c r="CQ10" s="69" t="s">
        <v>163</v>
      </c>
      <c r="CR10" s="70" t="s">
        <v>164</v>
      </c>
      <c r="CS10" s="71" t="s">
        <v>19</v>
      </c>
      <c r="CT10" s="69" t="s">
        <v>163</v>
      </c>
      <c r="CU10" s="70" t="s">
        <v>164</v>
      </c>
      <c r="CV10" s="71" t="s">
        <v>19</v>
      </c>
      <c r="CW10" s="69" t="s">
        <v>163</v>
      </c>
      <c r="CX10" s="70" t="s">
        <v>164</v>
      </c>
      <c r="CY10" s="71" t="s">
        <v>19</v>
      </c>
      <c r="CZ10" s="69" t="s">
        <v>163</v>
      </c>
      <c r="DA10" s="70" t="s">
        <v>164</v>
      </c>
      <c r="DB10" s="71" t="s">
        <v>19</v>
      </c>
      <c r="DC10" s="69" t="s">
        <v>163</v>
      </c>
      <c r="DD10" s="70" t="s">
        <v>164</v>
      </c>
      <c r="DE10" s="71" t="s">
        <v>19</v>
      </c>
      <c r="DF10" s="69" t="s">
        <v>163</v>
      </c>
      <c r="DG10" s="70" t="s">
        <v>164</v>
      </c>
      <c r="DH10" s="71" t="s">
        <v>19</v>
      </c>
      <c r="DI10" s="69" t="s">
        <v>163</v>
      </c>
      <c r="DJ10" s="70" t="s">
        <v>164</v>
      </c>
      <c r="DK10" s="71" t="s">
        <v>19</v>
      </c>
      <c r="DL10" s="69" t="s">
        <v>163</v>
      </c>
      <c r="DM10" s="70" t="s">
        <v>164</v>
      </c>
      <c r="DN10" s="71" t="s">
        <v>19</v>
      </c>
      <c r="DO10" s="69" t="s">
        <v>163</v>
      </c>
      <c r="DP10" s="70" t="s">
        <v>164</v>
      </c>
      <c r="DQ10" s="71" t="s">
        <v>19</v>
      </c>
      <c r="DR10" s="69" t="s">
        <v>163</v>
      </c>
      <c r="DS10" s="70" t="s">
        <v>164</v>
      </c>
      <c r="DT10" s="71" t="s">
        <v>19</v>
      </c>
      <c r="DU10" s="69" t="s">
        <v>163</v>
      </c>
      <c r="DV10" s="70" t="s">
        <v>164</v>
      </c>
      <c r="DW10" s="71" t="s">
        <v>19</v>
      </c>
      <c r="DX10" s="69" t="s">
        <v>163</v>
      </c>
      <c r="DY10" s="70"/>
      <c r="DZ10" s="71"/>
      <c r="EA10" s="71"/>
      <c r="EB10" s="71" t="s">
        <v>165</v>
      </c>
      <c r="EC10" s="71" t="s">
        <v>165</v>
      </c>
      <c r="ED10" s="71" t="s">
        <v>19</v>
      </c>
      <c r="EE10" s="71" t="s">
        <v>164</v>
      </c>
      <c r="EG10" s="71" t="s">
        <v>165</v>
      </c>
      <c r="EH10" s="71" t="s">
        <v>19</v>
      </c>
      <c r="EI10" s="71" t="s">
        <v>164</v>
      </c>
      <c r="EJ10" s="71"/>
      <c r="EK10" s="71" t="s">
        <v>165</v>
      </c>
      <c r="EL10" s="71" t="s">
        <v>165</v>
      </c>
      <c r="EM10" s="71" t="s">
        <v>19</v>
      </c>
      <c r="EN10" s="71" t="s">
        <v>164</v>
      </c>
    </row>
    <row r="11" spans="1:147" x14ac:dyDescent="0.25">
      <c r="A11" s="25">
        <v>44743</v>
      </c>
      <c r="B11" s="40">
        <v>0</v>
      </c>
      <c r="D11" s="40">
        <f>(B11*C11)/360</f>
        <v>0</v>
      </c>
      <c r="G11" s="40">
        <f>(E11*F11)/360</f>
        <v>0</v>
      </c>
      <c r="J11" s="40">
        <f>(H11*I11)/360</f>
        <v>0</v>
      </c>
      <c r="M11" s="40">
        <f>(K11*L11)/360</f>
        <v>0</v>
      </c>
      <c r="P11" s="40">
        <f>(N11*O11)/360</f>
        <v>0</v>
      </c>
      <c r="S11" s="40">
        <f>(Q11*R11)/360</f>
        <v>0</v>
      </c>
      <c r="V11" s="40">
        <f>(T11*U11)/360</f>
        <v>0</v>
      </c>
      <c r="Y11" s="40">
        <f>(W11*X11)/360</f>
        <v>0</v>
      </c>
      <c r="AB11" s="40">
        <f>(Z11*AA11)/360</f>
        <v>0</v>
      </c>
      <c r="AE11" s="40">
        <v>0</v>
      </c>
      <c r="AH11" s="40">
        <v>0</v>
      </c>
      <c r="AI11" s="172">
        <v>42900000</v>
      </c>
      <c r="AJ11" s="173">
        <v>1.8499999999999999E-2</v>
      </c>
      <c r="AK11" s="40">
        <f>(AI11*AJ11)/360</f>
        <v>2204.5833333333335</v>
      </c>
      <c r="AL11" s="172">
        <f t="shared" ref="AL11:AL16" si="0">40000000</f>
        <v>40000000</v>
      </c>
      <c r="AM11" s="173">
        <v>1.4500000000000001E-2</v>
      </c>
      <c r="AN11" s="40">
        <f>(AL11*AM11)/360</f>
        <v>1611.1111111111111</v>
      </c>
      <c r="AO11" s="172">
        <f>75000000</f>
        <v>75000000</v>
      </c>
      <c r="AP11" s="173">
        <v>1.4E-2</v>
      </c>
      <c r="AQ11" s="40">
        <f>(AO11*AP11)/360</f>
        <v>2916.6666666666665</v>
      </c>
      <c r="AR11" s="172">
        <f t="shared" ref="AR11:AR23" si="1">60000000+55000000</f>
        <v>115000000</v>
      </c>
      <c r="AS11" s="173">
        <v>2.0500000000000001E-2</v>
      </c>
      <c r="AT11" s="40">
        <f>(AR11*AS11)/360</f>
        <v>6548.6111111111113</v>
      </c>
      <c r="AU11" s="172"/>
      <c r="AV11" s="173"/>
      <c r="AW11" s="40">
        <f>(AU11*AV11)/360</f>
        <v>0</v>
      </c>
      <c r="AX11" s="172"/>
      <c r="AY11" s="173"/>
      <c r="AZ11" s="40">
        <f>(AX11*AY11)/360</f>
        <v>0</v>
      </c>
      <c r="BC11" s="40">
        <f>(BA11*BB11)/360</f>
        <v>0</v>
      </c>
      <c r="BF11" s="40">
        <f>(BD11*BE11)/360</f>
        <v>0</v>
      </c>
      <c r="BI11" s="40">
        <f>(BG11*BH11)/360</f>
        <v>0</v>
      </c>
      <c r="BL11" s="40">
        <f>(BJ11*BK11)/360</f>
        <v>0</v>
      </c>
      <c r="BO11" s="40">
        <f>(BM11*BN11)/360</f>
        <v>0</v>
      </c>
      <c r="BR11" s="40">
        <f>(BP11*BQ11)/360</f>
        <v>0</v>
      </c>
      <c r="BU11" s="40">
        <f>(BS11*BT11)/360</f>
        <v>0</v>
      </c>
      <c r="BX11" s="40">
        <f>(BV11*BW11)/360</f>
        <v>0</v>
      </c>
      <c r="CA11" s="40">
        <f>(BY11*BZ11)/360</f>
        <v>0</v>
      </c>
      <c r="CD11" s="40">
        <f>(CB11*CC11)/360</f>
        <v>0</v>
      </c>
      <c r="CG11" s="40">
        <f>(CE11*CF11)/360</f>
        <v>0</v>
      </c>
      <c r="CJ11" s="40">
        <f>(CH11*CI11)/360</f>
        <v>0</v>
      </c>
      <c r="CM11" s="40">
        <f>(CK11*CL11)/360</f>
        <v>0</v>
      </c>
      <c r="CP11" s="40">
        <f>(CN11*CO11)/360</f>
        <v>0</v>
      </c>
      <c r="CS11" s="40">
        <f>(CQ11*CR11)/360</f>
        <v>0</v>
      </c>
      <c r="CV11" s="40">
        <f>(CT11*CU11)/360</f>
        <v>0</v>
      </c>
      <c r="CY11" s="40">
        <f>(CW11*CX11)/360</f>
        <v>0</v>
      </c>
      <c r="DB11" s="40">
        <f>(CZ11*DA11)/360</f>
        <v>0</v>
      </c>
      <c r="DE11" s="40">
        <f>(DC11*DD11)/360</f>
        <v>0</v>
      </c>
      <c r="DH11" s="40">
        <f>(DF11*DG11)/360</f>
        <v>0</v>
      </c>
      <c r="DK11" s="40">
        <f>(DI11*DJ11)/360</f>
        <v>0</v>
      </c>
      <c r="DN11" s="40">
        <f>(DL11*DM11)/360</f>
        <v>0</v>
      </c>
      <c r="DQ11" s="40">
        <f>(DO11*DP11)/360</f>
        <v>0</v>
      </c>
      <c r="DT11" s="40">
        <f>(DR11*DS11)/360</f>
        <v>0</v>
      </c>
      <c r="DW11" s="40">
        <f>(DU11*DV11)/360</f>
        <v>0</v>
      </c>
      <c r="DZ11" s="40"/>
      <c r="EA11" s="40"/>
      <c r="EB11" s="75">
        <f>B11+E11+H11+K11+N11+Q11+T11+W11+Z11+AC11+AF11+AL11+AO11+AR11+AU11+AX11+BA11+BD11+BG11+DU11+AI11+DR11+DO11+DL11+DI11+DF11+DC11+CZ11+CW11+CT11+CQ11+CN11+CK11+CH11+CE11+CB11+BY11+BV11+BS11+BP11+BM11+BJ11</f>
        <v>272900000</v>
      </c>
      <c r="EC11" s="75">
        <f>EB11-EK11+EL11</f>
        <v>0</v>
      </c>
      <c r="ED11" s="40">
        <f>D11+G11+J11+M11+P11+S11+V11+Y11+AB11+AE11+AH11+AK11+AN11+AQ11+AT11+AW11+AZ11+BC11+BF11+BI11+DW11+DT11+DQ11+DN11+DK11+DH11+DE11+DB11+CY11+CV11+CS11+CP11+CM11+CJ11+CG11+CD11+CA11+BX11+BU11+BR11+BO11+BL11</f>
        <v>13280.972222222223</v>
      </c>
      <c r="EE11" s="41">
        <f>IF(EB11&lt;&gt;0,((ED11/EB11)*360),0)</f>
        <v>1.7519787467936976E-2</v>
      </c>
      <c r="EG11" s="75">
        <f>Q11+T11+W11+Z11+AC11+AF11</f>
        <v>0</v>
      </c>
      <c r="EH11" s="40">
        <f>S11+V11+Y11+AB11+AE11+AH11</f>
        <v>0</v>
      </c>
      <c r="EI11" s="41">
        <f>IF(EG11&lt;&gt;0,((EH11/EG11)*360),0)</f>
        <v>0</v>
      </c>
      <c r="EJ11" s="41"/>
      <c r="EK11" s="75">
        <f>DR11+DL11+DI11+DF11+DC11+CZ11+CW11+CT11+CQ11+CN11+CK11+CH11+CE11+CB11+BY11+BV11+BS11+BP11+BM11+BJ11+BG11+BD11+BA11+AX11+AU11+AR11+AO11+AL11+AI11+DO11</f>
        <v>272900000</v>
      </c>
      <c r="EL11" s="75">
        <f>DX11</f>
        <v>0</v>
      </c>
      <c r="EM11" s="75">
        <f>DT11+DQ11+DN11+DK11+DH11+DE11+DB11+CY11+CV11+CS11+CP11+CM11+CJ11+CG11+CD11+CA11+BX11+BU11+BR11+BO11+BL11+BI11+BF11+BC11+AZ11+AW11+AT11+AQ11+AN11+AK11</f>
        <v>13280.972222222223</v>
      </c>
      <c r="EN11" s="41">
        <f>IF(EK11&lt;&gt;0,((EM11/EK11)*360),0)</f>
        <v>1.7519787467936976E-2</v>
      </c>
      <c r="EO11" s="40"/>
      <c r="EP11" s="40"/>
    </row>
    <row r="12" spans="1:147" x14ac:dyDescent="0.25">
      <c r="A12" s="25">
        <v>44744</v>
      </c>
      <c r="B12" s="40">
        <v>0</v>
      </c>
      <c r="D12" s="40">
        <f t="shared" ref="D12:D41" si="2">(B12*C12)/360</f>
        <v>0</v>
      </c>
      <c r="G12" s="40">
        <f t="shared" ref="G12:G41" si="3">(E12*F12)/360</f>
        <v>0</v>
      </c>
      <c r="J12" s="40">
        <f t="shared" ref="J12:J41" si="4">(H12*I12)/360</f>
        <v>0</v>
      </c>
      <c r="M12" s="40">
        <f t="shared" ref="M12:M41" si="5">(K12*L12)/360</f>
        <v>0</v>
      </c>
      <c r="P12" s="40">
        <f t="shared" ref="P12:P41" si="6">(N12*O12)/360</f>
        <v>0</v>
      </c>
      <c r="S12" s="40">
        <f t="shared" ref="S12:S41" si="7">(Q12*R12)/360</f>
        <v>0</v>
      </c>
      <c r="V12" s="40">
        <f t="shared" ref="V12:V41" si="8">(T12*U12)/360</f>
        <v>0</v>
      </c>
      <c r="Y12" s="40">
        <f t="shared" ref="Y12:Y41" si="9">(W12*X12)/360</f>
        <v>0</v>
      </c>
      <c r="AB12" s="40">
        <f t="shared" ref="AB12:AB41" si="10">(Z12*AA12)/360</f>
        <v>0</v>
      </c>
      <c r="AE12" s="40">
        <v>0</v>
      </c>
      <c r="AH12" s="40">
        <v>0</v>
      </c>
      <c r="AI12" s="172">
        <v>42900000</v>
      </c>
      <c r="AJ12" s="173">
        <v>1.8499999999999999E-2</v>
      </c>
      <c r="AK12" s="40">
        <f t="shared" ref="AK12:AK41" si="11">(AI12*AJ12)/360</f>
        <v>2204.5833333333335</v>
      </c>
      <c r="AL12" s="172">
        <f t="shared" si="0"/>
        <v>40000000</v>
      </c>
      <c r="AM12" s="173">
        <v>1.4500000000000001E-2</v>
      </c>
      <c r="AN12" s="40">
        <f t="shared" ref="AN12:AN41" si="12">(AL12*AM12)/360</f>
        <v>1611.1111111111111</v>
      </c>
      <c r="AO12" s="172">
        <f>75000000</f>
        <v>75000000</v>
      </c>
      <c r="AP12" s="173">
        <v>1.4E-2</v>
      </c>
      <c r="AQ12" s="40">
        <f t="shared" ref="AQ12:AQ41" si="13">(AO12*AP12)/360</f>
        <v>2916.6666666666665</v>
      </c>
      <c r="AR12" s="172">
        <f t="shared" si="1"/>
        <v>115000000</v>
      </c>
      <c r="AS12" s="173">
        <v>2.0500000000000001E-2</v>
      </c>
      <c r="AT12" s="40">
        <f t="shared" ref="AT12:AT41" si="14">(AR12*AS12)/360</f>
        <v>6548.6111111111113</v>
      </c>
      <c r="AU12" s="172"/>
      <c r="AV12" s="173"/>
      <c r="AW12" s="40">
        <f t="shared" ref="AW12:AW41" si="15">(AU12*AV12)/360</f>
        <v>0</v>
      </c>
      <c r="AX12" s="172"/>
      <c r="AY12" s="173"/>
      <c r="AZ12" s="40">
        <f t="shared" ref="AZ12:AZ41" si="16">(AX12*AY12)/360</f>
        <v>0</v>
      </c>
      <c r="BC12" s="40">
        <f t="shared" ref="BC12:BC41" si="17">(BA12*BB12)/360</f>
        <v>0</v>
      </c>
      <c r="BF12" s="40">
        <f t="shared" ref="BF12:BF41" si="18">(BD12*BE12)/360</f>
        <v>0</v>
      </c>
      <c r="BI12" s="40">
        <f t="shared" ref="BI12:BI41" si="19">(BG12*BH12)/360</f>
        <v>0</v>
      </c>
      <c r="BL12" s="40">
        <f t="shared" ref="BL12:BL41" si="20">(BJ12*BK12)/360</f>
        <v>0</v>
      </c>
      <c r="BO12" s="40">
        <f t="shared" ref="BO12:BO41" si="21">(BM12*BN12)/360</f>
        <v>0</v>
      </c>
      <c r="BR12" s="40">
        <f t="shared" ref="BR12:BR41" si="22">(BP12*BQ12)/360</f>
        <v>0</v>
      </c>
      <c r="BU12" s="40">
        <f t="shared" ref="BU12:BU41" si="23">(BS12*BT12)/360</f>
        <v>0</v>
      </c>
      <c r="BX12" s="40">
        <f t="shared" ref="BX12:BX41" si="24">(BV12*BW12)/360</f>
        <v>0</v>
      </c>
      <c r="CA12" s="40">
        <f t="shared" ref="CA12:CA41" si="25">(BY12*BZ12)/360</f>
        <v>0</v>
      </c>
      <c r="CD12" s="40">
        <f t="shared" ref="CD12:CD41" si="26">(CB12*CC12)/360</f>
        <v>0</v>
      </c>
      <c r="CG12" s="40">
        <f t="shared" ref="CG12:CG41" si="27">(CE12*CF12)/360</f>
        <v>0</v>
      </c>
      <c r="CJ12" s="40">
        <f t="shared" ref="CJ12:CJ41" si="28">(CH12*CI12)/360</f>
        <v>0</v>
      </c>
      <c r="CM12" s="40">
        <f t="shared" ref="CM12:CM41" si="29">(CK12*CL12)/360</f>
        <v>0</v>
      </c>
      <c r="CP12" s="40">
        <f t="shared" ref="CP12:CP41" si="30">(CN12*CO12)/360</f>
        <v>0</v>
      </c>
      <c r="CS12" s="40">
        <f t="shared" ref="CS12:CS41" si="31">(CQ12*CR12)/360</f>
        <v>0</v>
      </c>
      <c r="CV12" s="40">
        <f t="shared" ref="CV12:CV41" si="32">(CT12*CU12)/360</f>
        <v>0</v>
      </c>
      <c r="CY12" s="40">
        <f t="shared" ref="CY12:CY41" si="33">(CW12*CX12)/360</f>
        <v>0</v>
      </c>
      <c r="DB12" s="40">
        <f t="shared" ref="DB12:DB41" si="34">(CZ12*DA12)/360</f>
        <v>0</v>
      </c>
      <c r="DE12" s="40">
        <f t="shared" ref="DE12:DE41" si="35">(DC12*DD12)/360</f>
        <v>0</v>
      </c>
      <c r="DH12" s="40">
        <f t="shared" ref="DH12:DH41" si="36">(DF12*DG12)/360</f>
        <v>0</v>
      </c>
      <c r="DK12" s="40">
        <f t="shared" ref="DK12:DK41" si="37">(DI12*DJ12)/360</f>
        <v>0</v>
      </c>
      <c r="DN12" s="40">
        <f t="shared" ref="DN12:DN41" si="38">(DL12*DM12)/360</f>
        <v>0</v>
      </c>
      <c r="DQ12" s="40">
        <f t="shared" ref="DQ12:DQ41" si="39">(DO12*DP12)/360</f>
        <v>0</v>
      </c>
      <c r="DT12" s="40">
        <f t="shared" ref="DT12:DT41" si="40">(DR12*DS12)/360</f>
        <v>0</v>
      </c>
      <c r="DW12" s="40">
        <f t="shared" ref="DW12:DW41" si="41">(DU12*DV12)/360</f>
        <v>0</v>
      </c>
      <c r="DZ12" s="40"/>
      <c r="EA12" s="40"/>
      <c r="EB12" s="75">
        <f t="shared" ref="EB12:EB41" si="42">B12+E12+H12+K12+N12+Q12+T12+W12+Z12+AC12+AF12+AL12+AO12+AR12+AU12+AX12+BA12+BD12+BG12+DU12+AI12+DR12+DO12+DL12+DI12+DF12+DC12+CZ12+CW12+CT12+CQ12+CN12+CK12+CH12+CE12+CB12+BY12+BV12+BS12+BP12+BM12+BJ12</f>
        <v>272900000</v>
      </c>
      <c r="EC12" s="75">
        <f t="shared" ref="EC12:EC41" si="43">EB12-EK12+EL12</f>
        <v>0</v>
      </c>
      <c r="ED12" s="40">
        <f t="shared" ref="ED12:ED41" si="44">D12+G12+J12+M12+P12+S12+V12+Y12+AB12+AE12+AH12+AK12+AN12+AQ12+AT12+AW12+AZ12+BC12+BF12+BI12+DW12+DT12+DQ12+DN12+DK12+DH12+DE12+DB12+CY12+CV12+CS12+CP12+CM12+CJ12+CG12+CD12+CA12+BX12+BU12+BR12+BO12+BL12</f>
        <v>13280.972222222223</v>
      </c>
      <c r="EE12" s="41">
        <f t="shared" ref="EE12:EE41" si="45">IF(EB12&lt;&gt;0,((ED12/EB12)*360),0)</f>
        <v>1.7519787467936976E-2</v>
      </c>
      <c r="EG12" s="75">
        <f t="shared" ref="EG12:EG41" si="46">Q12+T12+W12+Z12+AC12+AF12</f>
        <v>0</v>
      </c>
      <c r="EH12" s="40">
        <f t="shared" ref="EH12:EH41" si="47">S12+V12+Y12+AB12+AE12+AH12</f>
        <v>0</v>
      </c>
      <c r="EI12" s="41">
        <f t="shared" ref="EI12:EI41" si="48">IF(EG12&lt;&gt;0,((EH12/EG12)*360),0)</f>
        <v>0</v>
      </c>
      <c r="EJ12" s="41"/>
      <c r="EK12" s="75">
        <f t="shared" ref="EK12:EK41" si="49">DR12+DL12+DI12+DF12+DC12+CZ12+CW12+CT12+CQ12+CN12+CK12+CH12+CE12+CB12+BY12+BV12+BS12+BP12+BM12+BJ12+BG12+BD12+BA12+AX12+AU12+AR12+AO12+AL12+AI12+DO12</f>
        <v>272900000</v>
      </c>
      <c r="EL12" s="75">
        <f t="shared" ref="EL12:EL41" si="50">DX12</f>
        <v>0</v>
      </c>
      <c r="EM12" s="75">
        <f t="shared" ref="EM12:EM41" si="51">DT12+DQ12+DN12+DK12+DH12+DE12+DB12+CY12+CV12+CS12+CP12+CM12+CJ12+CG12+CD12+CA12+BX12+BU12+BR12+BO12+BL12+BI12+BF12+BC12+AZ12+AW12+AT12+AQ12+AN12+AK12</f>
        <v>13280.972222222223</v>
      </c>
      <c r="EN12" s="41">
        <f t="shared" ref="EN12:EN41" si="52">IF(EK12&lt;&gt;0,((EM12/EK12)*360),0)</f>
        <v>1.7519787467936976E-2</v>
      </c>
      <c r="EP12" s="40"/>
    </row>
    <row r="13" spans="1:147" x14ac:dyDescent="0.25">
      <c r="A13" s="25">
        <v>44745</v>
      </c>
      <c r="B13" s="40">
        <v>0</v>
      </c>
      <c r="D13" s="40">
        <f t="shared" si="2"/>
        <v>0</v>
      </c>
      <c r="G13" s="40">
        <f t="shared" si="3"/>
        <v>0</v>
      </c>
      <c r="J13" s="40">
        <f t="shared" si="4"/>
        <v>0</v>
      </c>
      <c r="M13" s="40">
        <f t="shared" si="5"/>
        <v>0</v>
      </c>
      <c r="P13" s="40">
        <f t="shared" si="6"/>
        <v>0</v>
      </c>
      <c r="S13" s="40">
        <f t="shared" si="7"/>
        <v>0</v>
      </c>
      <c r="V13" s="40">
        <f t="shared" si="8"/>
        <v>0</v>
      </c>
      <c r="Y13" s="40">
        <f t="shared" si="9"/>
        <v>0</v>
      </c>
      <c r="AB13" s="40">
        <f t="shared" si="10"/>
        <v>0</v>
      </c>
      <c r="AE13" s="40">
        <v>0</v>
      </c>
      <c r="AH13" s="40">
        <v>0</v>
      </c>
      <c r="AI13" s="172">
        <v>42900000</v>
      </c>
      <c r="AJ13" s="173">
        <v>1.8499999999999999E-2</v>
      </c>
      <c r="AK13" s="40">
        <f t="shared" si="11"/>
        <v>2204.5833333333335</v>
      </c>
      <c r="AL13" s="172">
        <f t="shared" si="0"/>
        <v>40000000</v>
      </c>
      <c r="AM13" s="173">
        <v>1.4500000000000001E-2</v>
      </c>
      <c r="AN13" s="40">
        <f t="shared" si="12"/>
        <v>1611.1111111111111</v>
      </c>
      <c r="AO13" s="172">
        <f>75000000</f>
        <v>75000000</v>
      </c>
      <c r="AP13" s="173">
        <v>1.4E-2</v>
      </c>
      <c r="AQ13" s="40">
        <f t="shared" si="13"/>
        <v>2916.6666666666665</v>
      </c>
      <c r="AR13" s="172">
        <f t="shared" si="1"/>
        <v>115000000</v>
      </c>
      <c r="AS13" s="173">
        <v>2.0500000000000001E-2</v>
      </c>
      <c r="AT13" s="40">
        <f t="shared" si="14"/>
        <v>6548.6111111111113</v>
      </c>
      <c r="AU13" s="172"/>
      <c r="AV13" s="173"/>
      <c r="AW13" s="40">
        <f t="shared" si="15"/>
        <v>0</v>
      </c>
      <c r="AX13" s="172"/>
      <c r="AY13" s="173"/>
      <c r="AZ13" s="40">
        <f t="shared" si="16"/>
        <v>0</v>
      </c>
      <c r="BC13" s="40">
        <f t="shared" si="17"/>
        <v>0</v>
      </c>
      <c r="BF13" s="40">
        <f t="shared" si="18"/>
        <v>0</v>
      </c>
      <c r="BI13" s="40">
        <f t="shared" si="19"/>
        <v>0</v>
      </c>
      <c r="BL13" s="40">
        <f t="shared" si="20"/>
        <v>0</v>
      </c>
      <c r="BO13" s="40">
        <f t="shared" si="21"/>
        <v>0</v>
      </c>
      <c r="BR13" s="40">
        <f t="shared" si="22"/>
        <v>0</v>
      </c>
      <c r="BU13" s="40">
        <f t="shared" si="23"/>
        <v>0</v>
      </c>
      <c r="BX13" s="40">
        <f t="shared" si="24"/>
        <v>0</v>
      </c>
      <c r="CA13" s="40">
        <f t="shared" si="25"/>
        <v>0</v>
      </c>
      <c r="CD13" s="40">
        <f t="shared" si="26"/>
        <v>0</v>
      </c>
      <c r="CG13" s="40">
        <f t="shared" si="27"/>
        <v>0</v>
      </c>
      <c r="CJ13" s="40">
        <f t="shared" si="28"/>
        <v>0</v>
      </c>
      <c r="CM13" s="40">
        <f t="shared" si="29"/>
        <v>0</v>
      </c>
      <c r="CP13" s="40">
        <f t="shared" si="30"/>
        <v>0</v>
      </c>
      <c r="CS13" s="40">
        <f t="shared" si="31"/>
        <v>0</v>
      </c>
      <c r="CV13" s="40">
        <f t="shared" si="32"/>
        <v>0</v>
      </c>
      <c r="CY13" s="40">
        <f t="shared" si="33"/>
        <v>0</v>
      </c>
      <c r="DB13" s="40">
        <f t="shared" si="34"/>
        <v>0</v>
      </c>
      <c r="DE13" s="40">
        <f t="shared" si="35"/>
        <v>0</v>
      </c>
      <c r="DH13" s="40">
        <f t="shared" si="36"/>
        <v>0</v>
      </c>
      <c r="DK13" s="40">
        <f t="shared" si="37"/>
        <v>0</v>
      </c>
      <c r="DN13" s="40">
        <f t="shared" si="38"/>
        <v>0</v>
      </c>
      <c r="DQ13" s="40">
        <f t="shared" si="39"/>
        <v>0</v>
      </c>
      <c r="DT13" s="40">
        <f t="shared" si="40"/>
        <v>0</v>
      </c>
      <c r="DW13" s="40">
        <f t="shared" si="41"/>
        <v>0</v>
      </c>
      <c r="DZ13" s="40"/>
      <c r="EA13" s="40"/>
      <c r="EB13" s="75">
        <f t="shared" si="42"/>
        <v>272900000</v>
      </c>
      <c r="EC13" s="75">
        <f t="shared" si="43"/>
        <v>0</v>
      </c>
      <c r="ED13" s="40">
        <f t="shared" si="44"/>
        <v>13280.972222222223</v>
      </c>
      <c r="EE13" s="41">
        <f t="shared" si="45"/>
        <v>1.7519787467936976E-2</v>
      </c>
      <c r="EG13" s="75">
        <f t="shared" si="46"/>
        <v>0</v>
      </c>
      <c r="EH13" s="40">
        <f t="shared" si="47"/>
        <v>0</v>
      </c>
      <c r="EI13" s="41">
        <f t="shared" si="48"/>
        <v>0</v>
      </c>
      <c r="EJ13" s="41"/>
      <c r="EK13" s="75">
        <f t="shared" si="49"/>
        <v>272900000</v>
      </c>
      <c r="EL13" s="75">
        <f t="shared" si="50"/>
        <v>0</v>
      </c>
      <c r="EM13" s="75">
        <f t="shared" si="51"/>
        <v>13280.972222222223</v>
      </c>
      <c r="EN13" s="41">
        <f t="shared" si="52"/>
        <v>1.7519787467936976E-2</v>
      </c>
      <c r="EP13" s="40"/>
    </row>
    <row r="14" spans="1:147" x14ac:dyDescent="0.25">
      <c r="A14" s="25">
        <v>44746</v>
      </c>
      <c r="B14" s="40">
        <v>0</v>
      </c>
      <c r="D14" s="40">
        <f t="shared" si="2"/>
        <v>0</v>
      </c>
      <c r="G14" s="40">
        <f t="shared" si="3"/>
        <v>0</v>
      </c>
      <c r="J14" s="40">
        <f t="shared" si="4"/>
        <v>0</v>
      </c>
      <c r="M14" s="40">
        <f t="shared" si="5"/>
        <v>0</v>
      </c>
      <c r="P14" s="40">
        <f t="shared" si="6"/>
        <v>0</v>
      </c>
      <c r="S14" s="40">
        <f t="shared" si="7"/>
        <v>0</v>
      </c>
      <c r="V14" s="40">
        <f t="shared" si="8"/>
        <v>0</v>
      </c>
      <c r="Y14" s="40">
        <f t="shared" si="9"/>
        <v>0</v>
      </c>
      <c r="AB14" s="40">
        <f t="shared" si="10"/>
        <v>0</v>
      </c>
      <c r="AE14" s="40">
        <v>0</v>
      </c>
      <c r="AH14" s="40">
        <v>0</v>
      </c>
      <c r="AI14" s="172">
        <v>42900000</v>
      </c>
      <c r="AJ14" s="173">
        <v>1.8499999999999999E-2</v>
      </c>
      <c r="AK14" s="40">
        <f t="shared" si="11"/>
        <v>2204.5833333333335</v>
      </c>
      <c r="AL14" s="172">
        <f t="shared" si="0"/>
        <v>40000000</v>
      </c>
      <c r="AM14" s="173">
        <v>1.4500000000000001E-2</v>
      </c>
      <c r="AN14" s="40">
        <f t="shared" si="12"/>
        <v>1611.1111111111111</v>
      </c>
      <c r="AO14" s="172">
        <f>75000000</f>
        <v>75000000</v>
      </c>
      <c r="AP14" s="173">
        <v>1.4E-2</v>
      </c>
      <c r="AQ14" s="40">
        <f t="shared" si="13"/>
        <v>2916.6666666666665</v>
      </c>
      <c r="AR14" s="172">
        <f t="shared" si="1"/>
        <v>115000000</v>
      </c>
      <c r="AS14" s="173">
        <v>2.0500000000000001E-2</v>
      </c>
      <c r="AT14" s="40">
        <f t="shared" si="14"/>
        <v>6548.6111111111113</v>
      </c>
      <c r="AU14" s="172"/>
      <c r="AV14" s="173"/>
      <c r="AW14" s="40">
        <f t="shared" si="15"/>
        <v>0</v>
      </c>
      <c r="AX14" s="172"/>
      <c r="AY14" s="173"/>
      <c r="AZ14" s="40">
        <f t="shared" si="16"/>
        <v>0</v>
      </c>
      <c r="BC14" s="40">
        <f t="shared" si="17"/>
        <v>0</v>
      </c>
      <c r="BF14" s="40">
        <f t="shared" si="18"/>
        <v>0</v>
      </c>
      <c r="BI14" s="40">
        <f t="shared" si="19"/>
        <v>0</v>
      </c>
      <c r="BL14" s="40">
        <f t="shared" si="20"/>
        <v>0</v>
      </c>
      <c r="BO14" s="40">
        <f t="shared" si="21"/>
        <v>0</v>
      </c>
      <c r="BR14" s="40">
        <f t="shared" si="22"/>
        <v>0</v>
      </c>
      <c r="BU14" s="40">
        <f t="shared" si="23"/>
        <v>0</v>
      </c>
      <c r="BX14" s="40">
        <f t="shared" si="24"/>
        <v>0</v>
      </c>
      <c r="CA14" s="40">
        <f t="shared" si="25"/>
        <v>0</v>
      </c>
      <c r="CD14" s="40">
        <f t="shared" si="26"/>
        <v>0</v>
      </c>
      <c r="CG14" s="40">
        <f t="shared" si="27"/>
        <v>0</v>
      </c>
      <c r="CJ14" s="40">
        <f t="shared" si="28"/>
        <v>0</v>
      </c>
      <c r="CM14" s="40">
        <f t="shared" si="29"/>
        <v>0</v>
      </c>
      <c r="CP14" s="40">
        <f t="shared" si="30"/>
        <v>0</v>
      </c>
      <c r="CS14" s="40">
        <f t="shared" si="31"/>
        <v>0</v>
      </c>
      <c r="CV14" s="40">
        <f t="shared" si="32"/>
        <v>0</v>
      </c>
      <c r="CY14" s="40">
        <f t="shared" si="33"/>
        <v>0</v>
      </c>
      <c r="DB14" s="40">
        <f t="shared" si="34"/>
        <v>0</v>
      </c>
      <c r="DE14" s="40">
        <f t="shared" si="35"/>
        <v>0</v>
      </c>
      <c r="DH14" s="40">
        <f t="shared" si="36"/>
        <v>0</v>
      </c>
      <c r="DK14" s="40">
        <f t="shared" si="37"/>
        <v>0</v>
      </c>
      <c r="DN14" s="40">
        <f t="shared" si="38"/>
        <v>0</v>
      </c>
      <c r="DQ14" s="40">
        <f t="shared" si="39"/>
        <v>0</v>
      </c>
      <c r="DT14" s="40">
        <f t="shared" si="40"/>
        <v>0</v>
      </c>
      <c r="DW14" s="40">
        <f t="shared" si="41"/>
        <v>0</v>
      </c>
      <c r="DZ14" s="40"/>
      <c r="EA14" s="40"/>
      <c r="EB14" s="75">
        <f t="shared" si="42"/>
        <v>272900000</v>
      </c>
      <c r="EC14" s="75">
        <f t="shared" si="43"/>
        <v>0</v>
      </c>
      <c r="ED14" s="40">
        <f t="shared" si="44"/>
        <v>13280.972222222223</v>
      </c>
      <c r="EE14" s="41">
        <f t="shared" si="45"/>
        <v>1.7519787467936976E-2</v>
      </c>
      <c r="EG14" s="75">
        <f t="shared" si="46"/>
        <v>0</v>
      </c>
      <c r="EH14" s="40">
        <f t="shared" si="47"/>
        <v>0</v>
      </c>
      <c r="EI14" s="41">
        <f t="shared" si="48"/>
        <v>0</v>
      </c>
      <c r="EJ14" s="41"/>
      <c r="EK14" s="75">
        <f t="shared" si="49"/>
        <v>272900000</v>
      </c>
      <c r="EL14" s="75">
        <f t="shared" si="50"/>
        <v>0</v>
      </c>
      <c r="EM14" s="75">
        <f t="shared" si="51"/>
        <v>13280.972222222223</v>
      </c>
      <c r="EN14" s="41">
        <f t="shared" si="52"/>
        <v>1.7519787467936976E-2</v>
      </c>
      <c r="EP14" s="40"/>
    </row>
    <row r="15" spans="1:147" x14ac:dyDescent="0.25">
      <c r="A15" s="25">
        <v>44747</v>
      </c>
      <c r="B15" s="40">
        <v>0</v>
      </c>
      <c r="D15" s="40">
        <f t="shared" si="2"/>
        <v>0</v>
      </c>
      <c r="G15" s="40">
        <f t="shared" si="3"/>
        <v>0</v>
      </c>
      <c r="J15" s="40">
        <f t="shared" si="4"/>
        <v>0</v>
      </c>
      <c r="M15" s="40">
        <f t="shared" si="5"/>
        <v>0</v>
      </c>
      <c r="P15" s="40">
        <f t="shared" si="6"/>
        <v>0</v>
      </c>
      <c r="S15" s="40">
        <f t="shared" si="7"/>
        <v>0</v>
      </c>
      <c r="V15" s="40">
        <f t="shared" si="8"/>
        <v>0</v>
      </c>
      <c r="Y15" s="40">
        <f t="shared" si="9"/>
        <v>0</v>
      </c>
      <c r="AB15" s="40">
        <f t="shared" si="10"/>
        <v>0</v>
      </c>
      <c r="AE15" s="40">
        <v>0</v>
      </c>
      <c r="AH15" s="40">
        <v>0</v>
      </c>
      <c r="AI15" s="172">
        <f>47600000+80000000</f>
        <v>127600000</v>
      </c>
      <c r="AJ15" s="173">
        <v>1.8499999999999999E-2</v>
      </c>
      <c r="AK15" s="40">
        <f t="shared" si="11"/>
        <v>6557.2222222222226</v>
      </c>
      <c r="AL15" s="172">
        <f t="shared" si="0"/>
        <v>40000000</v>
      </c>
      <c r="AM15" s="173">
        <v>1.4500000000000001E-2</v>
      </c>
      <c r="AN15" s="40">
        <f t="shared" si="12"/>
        <v>1611.1111111111111</v>
      </c>
      <c r="AO15" s="172"/>
      <c r="AP15" s="173"/>
      <c r="AQ15" s="40">
        <f t="shared" si="13"/>
        <v>0</v>
      </c>
      <c r="AR15" s="172">
        <f t="shared" si="1"/>
        <v>115000000</v>
      </c>
      <c r="AS15" s="173">
        <v>2.0500000000000001E-2</v>
      </c>
      <c r="AT15" s="40">
        <f t="shared" si="14"/>
        <v>6548.6111111111113</v>
      </c>
      <c r="AU15" s="172"/>
      <c r="AV15" s="173"/>
      <c r="AW15" s="40">
        <f t="shared" si="15"/>
        <v>0</v>
      </c>
      <c r="AX15" s="172"/>
      <c r="AY15" s="173"/>
      <c r="AZ15" s="40">
        <f t="shared" si="16"/>
        <v>0</v>
      </c>
      <c r="BC15" s="40">
        <f t="shared" si="17"/>
        <v>0</v>
      </c>
      <c r="BF15" s="40">
        <f t="shared" si="18"/>
        <v>0</v>
      </c>
      <c r="BI15" s="40">
        <f t="shared" si="19"/>
        <v>0</v>
      </c>
      <c r="BL15" s="40">
        <f t="shared" si="20"/>
        <v>0</v>
      </c>
      <c r="BO15" s="40">
        <f t="shared" si="21"/>
        <v>0</v>
      </c>
      <c r="BR15" s="40">
        <f t="shared" si="22"/>
        <v>0</v>
      </c>
      <c r="BU15" s="40">
        <f t="shared" si="23"/>
        <v>0</v>
      </c>
      <c r="BX15" s="40">
        <f t="shared" si="24"/>
        <v>0</v>
      </c>
      <c r="CA15" s="40">
        <f t="shared" si="25"/>
        <v>0</v>
      </c>
      <c r="CD15" s="40">
        <f t="shared" si="26"/>
        <v>0</v>
      </c>
      <c r="CG15" s="40">
        <f t="shared" si="27"/>
        <v>0</v>
      </c>
      <c r="CJ15" s="40">
        <f t="shared" si="28"/>
        <v>0</v>
      </c>
      <c r="CM15" s="40">
        <f t="shared" si="29"/>
        <v>0</v>
      </c>
      <c r="CP15" s="40">
        <f t="shared" si="30"/>
        <v>0</v>
      </c>
      <c r="CS15" s="40">
        <f t="shared" si="31"/>
        <v>0</v>
      </c>
      <c r="CV15" s="40">
        <f t="shared" si="32"/>
        <v>0</v>
      </c>
      <c r="CY15" s="40">
        <f t="shared" si="33"/>
        <v>0</v>
      </c>
      <c r="DB15" s="40">
        <f t="shared" si="34"/>
        <v>0</v>
      </c>
      <c r="DE15" s="40">
        <f t="shared" si="35"/>
        <v>0</v>
      </c>
      <c r="DH15" s="40">
        <f t="shared" si="36"/>
        <v>0</v>
      </c>
      <c r="DK15" s="40">
        <f t="shared" si="37"/>
        <v>0</v>
      </c>
      <c r="DN15" s="40">
        <f t="shared" si="38"/>
        <v>0</v>
      </c>
      <c r="DQ15" s="40">
        <f t="shared" si="39"/>
        <v>0</v>
      </c>
      <c r="DT15" s="40">
        <f t="shared" si="40"/>
        <v>0</v>
      </c>
      <c r="DW15" s="40">
        <f t="shared" si="41"/>
        <v>0</v>
      </c>
      <c r="DZ15" s="40"/>
      <c r="EA15" s="40"/>
      <c r="EB15" s="75">
        <f t="shared" si="42"/>
        <v>282600000</v>
      </c>
      <c r="EC15" s="75">
        <f t="shared" si="43"/>
        <v>0</v>
      </c>
      <c r="ED15" s="40">
        <f t="shared" si="44"/>
        <v>14716.944444444445</v>
      </c>
      <c r="EE15" s="41">
        <f t="shared" si="45"/>
        <v>1.8747699929228593E-2</v>
      </c>
      <c r="EG15" s="75">
        <f t="shared" si="46"/>
        <v>0</v>
      </c>
      <c r="EH15" s="40">
        <f t="shared" si="47"/>
        <v>0</v>
      </c>
      <c r="EI15" s="41">
        <f t="shared" si="48"/>
        <v>0</v>
      </c>
      <c r="EJ15" s="41"/>
      <c r="EK15" s="75">
        <f t="shared" si="49"/>
        <v>282600000</v>
      </c>
      <c r="EL15" s="75">
        <f t="shared" si="50"/>
        <v>0</v>
      </c>
      <c r="EM15" s="75">
        <f t="shared" si="51"/>
        <v>14716.944444444445</v>
      </c>
      <c r="EN15" s="41">
        <f t="shared" si="52"/>
        <v>1.8747699929228593E-2</v>
      </c>
      <c r="EP15" s="40"/>
    </row>
    <row r="16" spans="1:147" x14ac:dyDescent="0.25">
      <c r="A16" s="25">
        <v>44748</v>
      </c>
      <c r="B16" s="40">
        <v>0</v>
      </c>
      <c r="D16" s="40">
        <f t="shared" si="2"/>
        <v>0</v>
      </c>
      <c r="G16" s="40">
        <f t="shared" si="3"/>
        <v>0</v>
      </c>
      <c r="J16" s="40">
        <f t="shared" si="4"/>
        <v>0</v>
      </c>
      <c r="M16" s="40">
        <f t="shared" si="5"/>
        <v>0</v>
      </c>
      <c r="P16" s="40">
        <f t="shared" si="6"/>
        <v>0</v>
      </c>
      <c r="S16" s="40">
        <f t="shared" si="7"/>
        <v>0</v>
      </c>
      <c r="V16" s="40">
        <f t="shared" si="8"/>
        <v>0</v>
      </c>
      <c r="Y16" s="40">
        <f t="shared" si="9"/>
        <v>0</v>
      </c>
      <c r="AB16" s="40">
        <f t="shared" si="10"/>
        <v>0</v>
      </c>
      <c r="AE16" s="40">
        <v>0</v>
      </c>
      <c r="AH16" s="40">
        <v>0</v>
      </c>
      <c r="AI16" s="172">
        <f>85000000+29125000</f>
        <v>114125000</v>
      </c>
      <c r="AJ16" s="173">
        <v>1.8499999999999999E-2</v>
      </c>
      <c r="AK16" s="40">
        <f t="shared" si="11"/>
        <v>5864.7569444444443</v>
      </c>
      <c r="AL16" s="172">
        <f t="shared" si="0"/>
        <v>40000000</v>
      </c>
      <c r="AM16" s="173">
        <v>1.4500000000000001E-2</v>
      </c>
      <c r="AN16" s="40">
        <f t="shared" si="12"/>
        <v>1611.1111111111111</v>
      </c>
      <c r="AO16" s="172"/>
      <c r="AP16" s="173"/>
      <c r="AQ16" s="40">
        <f t="shared" si="13"/>
        <v>0</v>
      </c>
      <c r="AR16" s="172">
        <f t="shared" si="1"/>
        <v>115000000</v>
      </c>
      <c r="AS16" s="173">
        <v>2.0500000000000001E-2</v>
      </c>
      <c r="AT16" s="40">
        <f t="shared" si="14"/>
        <v>6548.6111111111113</v>
      </c>
      <c r="AU16" s="172"/>
      <c r="AV16" s="173"/>
      <c r="AW16" s="40">
        <f t="shared" si="15"/>
        <v>0</v>
      </c>
      <c r="AX16" s="172"/>
      <c r="AY16" s="173"/>
      <c r="AZ16" s="40">
        <f t="shared" si="16"/>
        <v>0</v>
      </c>
      <c r="BC16" s="40">
        <f t="shared" si="17"/>
        <v>0</v>
      </c>
      <c r="BF16" s="40">
        <f t="shared" si="18"/>
        <v>0</v>
      </c>
      <c r="BI16" s="40">
        <f t="shared" si="19"/>
        <v>0</v>
      </c>
      <c r="BL16" s="40">
        <f t="shared" si="20"/>
        <v>0</v>
      </c>
      <c r="BO16" s="40">
        <f t="shared" si="21"/>
        <v>0</v>
      </c>
      <c r="BR16" s="40">
        <f t="shared" si="22"/>
        <v>0</v>
      </c>
      <c r="BU16" s="40">
        <f t="shared" si="23"/>
        <v>0</v>
      </c>
      <c r="BX16" s="40">
        <f t="shared" si="24"/>
        <v>0</v>
      </c>
      <c r="CA16" s="40">
        <f t="shared" si="25"/>
        <v>0</v>
      </c>
      <c r="CD16" s="40">
        <f t="shared" si="26"/>
        <v>0</v>
      </c>
      <c r="CG16" s="40">
        <f t="shared" si="27"/>
        <v>0</v>
      </c>
      <c r="CJ16" s="40">
        <f t="shared" si="28"/>
        <v>0</v>
      </c>
      <c r="CM16" s="40">
        <f t="shared" si="29"/>
        <v>0</v>
      </c>
      <c r="CP16" s="40">
        <f t="shared" si="30"/>
        <v>0</v>
      </c>
      <c r="CS16" s="40">
        <f t="shared" si="31"/>
        <v>0</v>
      </c>
      <c r="CV16" s="40">
        <f t="shared" si="32"/>
        <v>0</v>
      </c>
      <c r="CY16" s="40">
        <f t="shared" si="33"/>
        <v>0</v>
      </c>
      <c r="DB16" s="40">
        <f t="shared" si="34"/>
        <v>0</v>
      </c>
      <c r="DE16" s="40">
        <f t="shared" si="35"/>
        <v>0</v>
      </c>
      <c r="DH16" s="40">
        <f t="shared" si="36"/>
        <v>0</v>
      </c>
      <c r="DK16" s="40">
        <f t="shared" si="37"/>
        <v>0</v>
      </c>
      <c r="DN16" s="40">
        <f t="shared" si="38"/>
        <v>0</v>
      </c>
      <c r="DQ16" s="40">
        <f t="shared" si="39"/>
        <v>0</v>
      </c>
      <c r="DT16" s="40">
        <f t="shared" si="40"/>
        <v>0</v>
      </c>
      <c r="DW16" s="40">
        <f t="shared" si="41"/>
        <v>0</v>
      </c>
      <c r="DZ16" s="40"/>
      <c r="EA16" s="40"/>
      <c r="EB16" s="75">
        <f t="shared" si="42"/>
        <v>269125000</v>
      </c>
      <c r="EC16" s="75">
        <f t="shared" si="43"/>
        <v>0</v>
      </c>
      <c r="ED16" s="40">
        <f t="shared" si="44"/>
        <v>14024.479166666668</v>
      </c>
      <c r="EE16" s="41">
        <f t="shared" si="45"/>
        <v>1.8760102183000466E-2</v>
      </c>
      <c r="EG16" s="75">
        <f t="shared" si="46"/>
        <v>0</v>
      </c>
      <c r="EH16" s="40">
        <f t="shared" si="47"/>
        <v>0</v>
      </c>
      <c r="EI16" s="41">
        <f t="shared" si="48"/>
        <v>0</v>
      </c>
      <c r="EJ16" s="41"/>
      <c r="EK16" s="75">
        <f t="shared" si="49"/>
        <v>269125000</v>
      </c>
      <c r="EL16" s="75">
        <f t="shared" si="50"/>
        <v>0</v>
      </c>
      <c r="EM16" s="75">
        <f t="shared" si="51"/>
        <v>14024.479166666668</v>
      </c>
      <c r="EN16" s="41">
        <f t="shared" si="52"/>
        <v>1.8760102183000466E-2</v>
      </c>
      <c r="EP16" s="40"/>
    </row>
    <row r="17" spans="1:147" x14ac:dyDescent="0.25">
      <c r="A17" s="25">
        <v>44749</v>
      </c>
      <c r="B17" s="40">
        <v>0</v>
      </c>
      <c r="D17" s="40">
        <f t="shared" si="2"/>
        <v>0</v>
      </c>
      <c r="G17" s="40">
        <f t="shared" si="3"/>
        <v>0</v>
      </c>
      <c r="J17" s="40">
        <f t="shared" si="4"/>
        <v>0</v>
      </c>
      <c r="M17" s="40">
        <f t="shared" si="5"/>
        <v>0</v>
      </c>
      <c r="P17" s="40">
        <f t="shared" si="6"/>
        <v>0</v>
      </c>
      <c r="S17" s="40">
        <f t="shared" si="7"/>
        <v>0</v>
      </c>
      <c r="V17" s="40">
        <f t="shared" si="8"/>
        <v>0</v>
      </c>
      <c r="Y17" s="40">
        <f t="shared" si="9"/>
        <v>0</v>
      </c>
      <c r="AB17" s="40">
        <f t="shared" si="10"/>
        <v>0</v>
      </c>
      <c r="AE17" s="40">
        <v>0</v>
      </c>
      <c r="AH17" s="40">
        <v>0</v>
      </c>
      <c r="AI17" s="172">
        <f>65000000+87300000</f>
        <v>152300000</v>
      </c>
      <c r="AJ17" s="173">
        <v>1.8499999999999999E-2</v>
      </c>
      <c r="AK17" s="40">
        <f t="shared" si="11"/>
        <v>7826.5277777777774</v>
      </c>
      <c r="AL17" s="172"/>
      <c r="AM17" s="173"/>
      <c r="AN17" s="40">
        <f t="shared" si="12"/>
        <v>0</v>
      </c>
      <c r="AO17" s="172"/>
      <c r="AP17" s="173"/>
      <c r="AQ17" s="40">
        <f t="shared" si="13"/>
        <v>0</v>
      </c>
      <c r="AR17" s="172">
        <f t="shared" si="1"/>
        <v>115000000</v>
      </c>
      <c r="AS17" s="173">
        <v>2.0500000000000001E-2</v>
      </c>
      <c r="AT17" s="40">
        <f t="shared" si="14"/>
        <v>6548.6111111111113</v>
      </c>
      <c r="AU17" s="172"/>
      <c r="AV17" s="173"/>
      <c r="AW17" s="40">
        <f t="shared" si="15"/>
        <v>0</v>
      </c>
      <c r="AX17" s="172"/>
      <c r="AY17" s="173"/>
      <c r="AZ17" s="40">
        <f t="shared" si="16"/>
        <v>0</v>
      </c>
      <c r="BC17" s="40">
        <f t="shared" si="17"/>
        <v>0</v>
      </c>
      <c r="BF17" s="40">
        <f t="shared" si="18"/>
        <v>0</v>
      </c>
      <c r="BI17" s="40">
        <f t="shared" si="19"/>
        <v>0</v>
      </c>
      <c r="BL17" s="40">
        <f t="shared" si="20"/>
        <v>0</v>
      </c>
      <c r="BO17" s="40">
        <f t="shared" si="21"/>
        <v>0</v>
      </c>
      <c r="BR17" s="40">
        <f t="shared" si="22"/>
        <v>0</v>
      </c>
      <c r="BU17" s="40">
        <f t="shared" si="23"/>
        <v>0</v>
      </c>
      <c r="BX17" s="40">
        <f t="shared" si="24"/>
        <v>0</v>
      </c>
      <c r="CA17" s="40">
        <f t="shared" si="25"/>
        <v>0</v>
      </c>
      <c r="CD17" s="40">
        <f t="shared" si="26"/>
        <v>0</v>
      </c>
      <c r="CG17" s="40">
        <f t="shared" si="27"/>
        <v>0</v>
      </c>
      <c r="CJ17" s="40">
        <f t="shared" si="28"/>
        <v>0</v>
      </c>
      <c r="CM17" s="40">
        <f t="shared" si="29"/>
        <v>0</v>
      </c>
      <c r="CP17" s="40">
        <f t="shared" si="30"/>
        <v>0</v>
      </c>
      <c r="CS17" s="40">
        <f t="shared" si="31"/>
        <v>0</v>
      </c>
      <c r="CV17" s="40">
        <f t="shared" si="32"/>
        <v>0</v>
      </c>
      <c r="CY17" s="40">
        <f t="shared" si="33"/>
        <v>0</v>
      </c>
      <c r="DB17" s="40">
        <f t="shared" si="34"/>
        <v>0</v>
      </c>
      <c r="DE17" s="40">
        <f t="shared" si="35"/>
        <v>0</v>
      </c>
      <c r="DH17" s="40">
        <f t="shared" si="36"/>
        <v>0</v>
      </c>
      <c r="DK17" s="40">
        <f t="shared" si="37"/>
        <v>0</v>
      </c>
      <c r="DN17" s="40">
        <f t="shared" si="38"/>
        <v>0</v>
      </c>
      <c r="DQ17" s="40">
        <f t="shared" si="39"/>
        <v>0</v>
      </c>
      <c r="DT17" s="40">
        <f t="shared" si="40"/>
        <v>0</v>
      </c>
      <c r="DW17" s="40">
        <f t="shared" si="41"/>
        <v>0</v>
      </c>
      <c r="DZ17" s="40"/>
      <c r="EA17" s="40"/>
      <c r="EB17" s="75">
        <f t="shared" si="42"/>
        <v>267300000</v>
      </c>
      <c r="EC17" s="75">
        <f t="shared" si="43"/>
        <v>0</v>
      </c>
      <c r="ED17" s="40">
        <f t="shared" si="44"/>
        <v>14375.138888888889</v>
      </c>
      <c r="EE17" s="41">
        <f t="shared" si="45"/>
        <v>1.936045641601197E-2</v>
      </c>
      <c r="EG17" s="75">
        <f t="shared" si="46"/>
        <v>0</v>
      </c>
      <c r="EH17" s="40">
        <f t="shared" si="47"/>
        <v>0</v>
      </c>
      <c r="EI17" s="41">
        <f t="shared" si="48"/>
        <v>0</v>
      </c>
      <c r="EJ17" s="41"/>
      <c r="EK17" s="75">
        <f t="shared" si="49"/>
        <v>267300000</v>
      </c>
      <c r="EL17" s="75">
        <f t="shared" si="50"/>
        <v>0</v>
      </c>
      <c r="EM17" s="75">
        <f t="shared" si="51"/>
        <v>14375.138888888889</v>
      </c>
      <c r="EN17" s="41">
        <f t="shared" si="52"/>
        <v>1.936045641601197E-2</v>
      </c>
      <c r="EP17" s="40"/>
    </row>
    <row r="18" spans="1:147" x14ac:dyDescent="0.25">
      <c r="A18" s="25">
        <v>44750</v>
      </c>
      <c r="B18" s="40">
        <v>0</v>
      </c>
      <c r="D18" s="40">
        <f t="shared" si="2"/>
        <v>0</v>
      </c>
      <c r="G18" s="40">
        <f t="shared" si="3"/>
        <v>0</v>
      </c>
      <c r="J18" s="40">
        <f t="shared" si="4"/>
        <v>0</v>
      </c>
      <c r="M18" s="40">
        <f t="shared" si="5"/>
        <v>0</v>
      </c>
      <c r="P18" s="40">
        <f t="shared" si="6"/>
        <v>0</v>
      </c>
      <c r="S18" s="40">
        <f t="shared" si="7"/>
        <v>0</v>
      </c>
      <c r="V18" s="40">
        <f t="shared" si="8"/>
        <v>0</v>
      </c>
      <c r="Y18" s="40">
        <f t="shared" si="9"/>
        <v>0</v>
      </c>
      <c r="AB18" s="40">
        <f t="shared" si="10"/>
        <v>0</v>
      </c>
      <c r="AE18" s="40">
        <v>0</v>
      </c>
      <c r="AH18" s="40">
        <v>0</v>
      </c>
      <c r="AI18" s="172">
        <f>90000000</f>
        <v>90000000</v>
      </c>
      <c r="AJ18" s="173">
        <v>1.7999999999999999E-2</v>
      </c>
      <c r="AK18" s="40">
        <f t="shared" si="11"/>
        <v>4499.9999999999991</v>
      </c>
      <c r="AL18" s="172">
        <f t="shared" ref="AL18:AL41" si="53">82475000</f>
        <v>82475000</v>
      </c>
      <c r="AM18" s="173">
        <v>2.1000000000000001E-2</v>
      </c>
      <c r="AN18" s="40">
        <f t="shared" si="12"/>
        <v>4811.041666666667</v>
      </c>
      <c r="AO18" s="172"/>
      <c r="AP18" s="173"/>
      <c r="AQ18" s="40">
        <f t="shared" si="13"/>
        <v>0</v>
      </c>
      <c r="AR18" s="172">
        <f t="shared" si="1"/>
        <v>115000000</v>
      </c>
      <c r="AS18" s="173">
        <v>2.0500000000000001E-2</v>
      </c>
      <c r="AT18" s="40">
        <f t="shared" si="14"/>
        <v>6548.6111111111113</v>
      </c>
      <c r="AU18" s="172"/>
      <c r="AV18" s="173"/>
      <c r="AW18" s="40">
        <f t="shared" si="15"/>
        <v>0</v>
      </c>
      <c r="AX18" s="172"/>
      <c r="AY18" s="173"/>
      <c r="AZ18" s="40">
        <f t="shared" si="16"/>
        <v>0</v>
      </c>
      <c r="BC18" s="40">
        <f t="shared" si="17"/>
        <v>0</v>
      </c>
      <c r="BF18" s="40">
        <f t="shared" si="18"/>
        <v>0</v>
      </c>
      <c r="BI18" s="40">
        <f t="shared" si="19"/>
        <v>0</v>
      </c>
      <c r="BL18" s="40">
        <f t="shared" si="20"/>
        <v>0</v>
      </c>
      <c r="BO18" s="40">
        <f t="shared" si="21"/>
        <v>0</v>
      </c>
      <c r="BR18" s="40">
        <f t="shared" si="22"/>
        <v>0</v>
      </c>
      <c r="BU18" s="40">
        <f t="shared" si="23"/>
        <v>0</v>
      </c>
      <c r="BX18" s="40">
        <f t="shared" si="24"/>
        <v>0</v>
      </c>
      <c r="CA18" s="40">
        <f t="shared" si="25"/>
        <v>0</v>
      </c>
      <c r="CD18" s="40">
        <f t="shared" si="26"/>
        <v>0</v>
      </c>
      <c r="CG18" s="40">
        <f t="shared" si="27"/>
        <v>0</v>
      </c>
      <c r="CJ18" s="40">
        <f t="shared" si="28"/>
        <v>0</v>
      </c>
      <c r="CM18" s="40">
        <f t="shared" si="29"/>
        <v>0</v>
      </c>
      <c r="CP18" s="40">
        <f t="shared" si="30"/>
        <v>0</v>
      </c>
      <c r="CS18" s="40">
        <f t="shared" si="31"/>
        <v>0</v>
      </c>
      <c r="CV18" s="40">
        <f t="shared" si="32"/>
        <v>0</v>
      </c>
      <c r="CY18" s="40">
        <f t="shared" si="33"/>
        <v>0</v>
      </c>
      <c r="DB18" s="40">
        <f t="shared" si="34"/>
        <v>0</v>
      </c>
      <c r="DE18" s="40">
        <f t="shared" si="35"/>
        <v>0</v>
      </c>
      <c r="DH18" s="40">
        <f t="shared" si="36"/>
        <v>0</v>
      </c>
      <c r="DK18" s="40">
        <f t="shared" si="37"/>
        <v>0</v>
      </c>
      <c r="DN18" s="40">
        <f t="shared" si="38"/>
        <v>0</v>
      </c>
      <c r="DQ18" s="40">
        <f t="shared" si="39"/>
        <v>0</v>
      </c>
      <c r="DT18" s="40">
        <f t="shared" si="40"/>
        <v>0</v>
      </c>
      <c r="DW18" s="40">
        <f t="shared" si="41"/>
        <v>0</v>
      </c>
      <c r="DZ18" s="40"/>
      <c r="EA18" s="40"/>
      <c r="EB18" s="75">
        <f t="shared" si="42"/>
        <v>287475000</v>
      </c>
      <c r="EC18" s="75">
        <f t="shared" si="43"/>
        <v>0</v>
      </c>
      <c r="ED18" s="40">
        <f t="shared" si="44"/>
        <v>15859.652777777777</v>
      </c>
      <c r="EE18" s="41">
        <f t="shared" si="45"/>
        <v>1.9860770501782761E-2</v>
      </c>
      <c r="EG18" s="75">
        <f t="shared" si="46"/>
        <v>0</v>
      </c>
      <c r="EH18" s="40">
        <f t="shared" si="47"/>
        <v>0</v>
      </c>
      <c r="EI18" s="41">
        <f t="shared" si="48"/>
        <v>0</v>
      </c>
      <c r="EJ18" s="41"/>
      <c r="EK18" s="75">
        <f t="shared" si="49"/>
        <v>287475000</v>
      </c>
      <c r="EL18" s="75">
        <f t="shared" si="50"/>
        <v>0</v>
      </c>
      <c r="EM18" s="75">
        <f t="shared" si="51"/>
        <v>15859.652777777777</v>
      </c>
      <c r="EN18" s="41">
        <f t="shared" si="52"/>
        <v>1.9860770501782761E-2</v>
      </c>
      <c r="EP18" s="40"/>
    </row>
    <row r="19" spans="1:147" x14ac:dyDescent="0.25">
      <c r="A19" s="25">
        <v>44751</v>
      </c>
      <c r="B19" s="40">
        <v>0</v>
      </c>
      <c r="D19" s="40">
        <f t="shared" si="2"/>
        <v>0</v>
      </c>
      <c r="G19" s="40">
        <f t="shared" si="3"/>
        <v>0</v>
      </c>
      <c r="J19" s="40">
        <f t="shared" si="4"/>
        <v>0</v>
      </c>
      <c r="M19" s="40">
        <f t="shared" si="5"/>
        <v>0</v>
      </c>
      <c r="P19" s="40">
        <f t="shared" si="6"/>
        <v>0</v>
      </c>
      <c r="S19" s="40">
        <f t="shared" si="7"/>
        <v>0</v>
      </c>
      <c r="V19" s="40">
        <f t="shared" si="8"/>
        <v>0</v>
      </c>
      <c r="Y19" s="40">
        <f t="shared" si="9"/>
        <v>0</v>
      </c>
      <c r="AB19" s="40">
        <f t="shared" si="10"/>
        <v>0</v>
      </c>
      <c r="AE19" s="40">
        <v>0</v>
      </c>
      <c r="AH19" s="40">
        <v>0</v>
      </c>
      <c r="AI19" s="172">
        <f>90000000</f>
        <v>90000000</v>
      </c>
      <c r="AJ19" s="173">
        <v>1.7999999999999999E-2</v>
      </c>
      <c r="AK19" s="40">
        <f t="shared" si="11"/>
        <v>4499.9999999999991</v>
      </c>
      <c r="AL19" s="172">
        <f t="shared" si="53"/>
        <v>82475000</v>
      </c>
      <c r="AM19" s="173">
        <v>2.1000000000000001E-2</v>
      </c>
      <c r="AN19" s="40">
        <f t="shared" si="12"/>
        <v>4811.041666666667</v>
      </c>
      <c r="AO19" s="172"/>
      <c r="AP19" s="173"/>
      <c r="AQ19" s="40">
        <f t="shared" si="13"/>
        <v>0</v>
      </c>
      <c r="AR19" s="172">
        <f t="shared" si="1"/>
        <v>115000000</v>
      </c>
      <c r="AS19" s="173">
        <v>2.0500000000000001E-2</v>
      </c>
      <c r="AT19" s="40">
        <f t="shared" si="14"/>
        <v>6548.6111111111113</v>
      </c>
      <c r="AU19" s="172"/>
      <c r="AV19" s="173"/>
      <c r="AW19" s="40">
        <f t="shared" si="15"/>
        <v>0</v>
      </c>
      <c r="AX19" s="172"/>
      <c r="AY19" s="173"/>
      <c r="AZ19" s="40">
        <f t="shared" si="16"/>
        <v>0</v>
      </c>
      <c r="BC19" s="40">
        <f t="shared" si="17"/>
        <v>0</v>
      </c>
      <c r="BF19" s="40">
        <f t="shared" si="18"/>
        <v>0</v>
      </c>
      <c r="BI19" s="40">
        <f t="shared" si="19"/>
        <v>0</v>
      </c>
      <c r="BL19" s="40">
        <f t="shared" si="20"/>
        <v>0</v>
      </c>
      <c r="BO19" s="40">
        <f t="shared" si="21"/>
        <v>0</v>
      </c>
      <c r="BR19" s="40">
        <f t="shared" si="22"/>
        <v>0</v>
      </c>
      <c r="BU19" s="40">
        <f t="shared" si="23"/>
        <v>0</v>
      </c>
      <c r="BX19" s="40">
        <f t="shared" si="24"/>
        <v>0</v>
      </c>
      <c r="CA19" s="40">
        <f t="shared" si="25"/>
        <v>0</v>
      </c>
      <c r="CD19" s="40">
        <f t="shared" si="26"/>
        <v>0</v>
      </c>
      <c r="CG19" s="40">
        <f t="shared" si="27"/>
        <v>0</v>
      </c>
      <c r="CJ19" s="40">
        <f t="shared" si="28"/>
        <v>0</v>
      </c>
      <c r="CM19" s="40">
        <f t="shared" si="29"/>
        <v>0</v>
      </c>
      <c r="CP19" s="40">
        <f t="shared" si="30"/>
        <v>0</v>
      </c>
      <c r="CS19" s="40">
        <f t="shared" si="31"/>
        <v>0</v>
      </c>
      <c r="CV19" s="40">
        <f t="shared" si="32"/>
        <v>0</v>
      </c>
      <c r="CY19" s="40">
        <f t="shared" si="33"/>
        <v>0</v>
      </c>
      <c r="DB19" s="40">
        <f t="shared" si="34"/>
        <v>0</v>
      </c>
      <c r="DE19" s="40">
        <f t="shared" si="35"/>
        <v>0</v>
      </c>
      <c r="DH19" s="40">
        <f t="shared" si="36"/>
        <v>0</v>
      </c>
      <c r="DK19" s="40">
        <f t="shared" si="37"/>
        <v>0</v>
      </c>
      <c r="DN19" s="40">
        <f t="shared" si="38"/>
        <v>0</v>
      </c>
      <c r="DQ19" s="40">
        <f t="shared" si="39"/>
        <v>0</v>
      </c>
      <c r="DT19" s="40">
        <f t="shared" si="40"/>
        <v>0</v>
      </c>
      <c r="DW19" s="40">
        <f t="shared" si="41"/>
        <v>0</v>
      </c>
      <c r="DZ19" s="40"/>
      <c r="EA19" s="40"/>
      <c r="EB19" s="75">
        <f t="shared" si="42"/>
        <v>287475000</v>
      </c>
      <c r="EC19" s="75">
        <f t="shared" si="43"/>
        <v>0</v>
      </c>
      <c r="ED19" s="40">
        <f t="shared" si="44"/>
        <v>15859.652777777777</v>
      </c>
      <c r="EE19" s="41">
        <f t="shared" si="45"/>
        <v>1.9860770501782761E-2</v>
      </c>
      <c r="EG19" s="75">
        <f t="shared" si="46"/>
        <v>0</v>
      </c>
      <c r="EH19" s="40">
        <f t="shared" si="47"/>
        <v>0</v>
      </c>
      <c r="EI19" s="41">
        <f t="shared" si="48"/>
        <v>0</v>
      </c>
      <c r="EJ19" s="41"/>
      <c r="EK19" s="75">
        <f t="shared" si="49"/>
        <v>287475000</v>
      </c>
      <c r="EL19" s="75">
        <f t="shared" si="50"/>
        <v>0</v>
      </c>
      <c r="EM19" s="75">
        <f t="shared" si="51"/>
        <v>15859.652777777777</v>
      </c>
      <c r="EN19" s="41">
        <f t="shared" si="52"/>
        <v>1.9860770501782761E-2</v>
      </c>
      <c r="EP19" s="40"/>
    </row>
    <row r="20" spans="1:147" x14ac:dyDescent="0.25">
      <c r="A20" s="25">
        <v>44752</v>
      </c>
      <c r="B20" s="40">
        <v>0</v>
      </c>
      <c r="D20" s="40">
        <f t="shared" si="2"/>
        <v>0</v>
      </c>
      <c r="G20" s="40">
        <f t="shared" si="3"/>
        <v>0</v>
      </c>
      <c r="J20" s="40">
        <f t="shared" si="4"/>
        <v>0</v>
      </c>
      <c r="M20" s="40">
        <f t="shared" si="5"/>
        <v>0</v>
      </c>
      <c r="P20" s="40">
        <f t="shared" si="6"/>
        <v>0</v>
      </c>
      <c r="S20" s="40">
        <f t="shared" si="7"/>
        <v>0</v>
      </c>
      <c r="V20" s="40">
        <f t="shared" si="8"/>
        <v>0</v>
      </c>
      <c r="Y20" s="40">
        <f t="shared" si="9"/>
        <v>0</v>
      </c>
      <c r="AB20" s="40">
        <f t="shared" si="10"/>
        <v>0</v>
      </c>
      <c r="AE20" s="40">
        <v>0</v>
      </c>
      <c r="AH20" s="40">
        <v>0</v>
      </c>
      <c r="AI20" s="172">
        <f>90000000</f>
        <v>90000000</v>
      </c>
      <c r="AJ20" s="173">
        <v>1.7999999999999999E-2</v>
      </c>
      <c r="AK20" s="40">
        <f t="shared" si="11"/>
        <v>4499.9999999999991</v>
      </c>
      <c r="AL20" s="172">
        <f t="shared" si="53"/>
        <v>82475000</v>
      </c>
      <c r="AM20" s="173">
        <v>2.1000000000000001E-2</v>
      </c>
      <c r="AN20" s="40">
        <f t="shared" si="12"/>
        <v>4811.041666666667</v>
      </c>
      <c r="AO20" s="172"/>
      <c r="AP20" s="173"/>
      <c r="AQ20" s="40">
        <f t="shared" si="13"/>
        <v>0</v>
      </c>
      <c r="AR20" s="172">
        <f t="shared" si="1"/>
        <v>115000000</v>
      </c>
      <c r="AS20" s="173">
        <v>2.0500000000000001E-2</v>
      </c>
      <c r="AT20" s="40">
        <f t="shared" si="14"/>
        <v>6548.6111111111113</v>
      </c>
      <c r="AU20" s="172"/>
      <c r="AV20" s="173"/>
      <c r="AW20" s="40">
        <f t="shared" si="15"/>
        <v>0</v>
      </c>
      <c r="AX20" s="172"/>
      <c r="AY20" s="173"/>
      <c r="AZ20" s="40">
        <f t="shared" si="16"/>
        <v>0</v>
      </c>
      <c r="BC20" s="40">
        <f t="shared" si="17"/>
        <v>0</v>
      </c>
      <c r="BF20" s="40">
        <f t="shared" si="18"/>
        <v>0</v>
      </c>
      <c r="BI20" s="40">
        <f t="shared" si="19"/>
        <v>0</v>
      </c>
      <c r="BL20" s="40">
        <f t="shared" si="20"/>
        <v>0</v>
      </c>
      <c r="BO20" s="40">
        <f t="shared" si="21"/>
        <v>0</v>
      </c>
      <c r="BR20" s="40">
        <f t="shared" si="22"/>
        <v>0</v>
      </c>
      <c r="BU20" s="40">
        <f t="shared" si="23"/>
        <v>0</v>
      </c>
      <c r="BX20" s="40">
        <f t="shared" si="24"/>
        <v>0</v>
      </c>
      <c r="CA20" s="40">
        <f t="shared" si="25"/>
        <v>0</v>
      </c>
      <c r="CD20" s="40">
        <f t="shared" si="26"/>
        <v>0</v>
      </c>
      <c r="CG20" s="40">
        <f t="shared" si="27"/>
        <v>0</v>
      </c>
      <c r="CJ20" s="40">
        <f t="shared" si="28"/>
        <v>0</v>
      </c>
      <c r="CM20" s="40">
        <f t="shared" si="29"/>
        <v>0</v>
      </c>
      <c r="CP20" s="40">
        <f t="shared" si="30"/>
        <v>0</v>
      </c>
      <c r="CS20" s="40">
        <f t="shared" si="31"/>
        <v>0</v>
      </c>
      <c r="CV20" s="40">
        <f t="shared" si="32"/>
        <v>0</v>
      </c>
      <c r="CY20" s="40">
        <f t="shared" si="33"/>
        <v>0</v>
      </c>
      <c r="DB20" s="40">
        <f t="shared" si="34"/>
        <v>0</v>
      </c>
      <c r="DE20" s="40">
        <f t="shared" si="35"/>
        <v>0</v>
      </c>
      <c r="DH20" s="40">
        <f t="shared" si="36"/>
        <v>0</v>
      </c>
      <c r="DK20" s="40">
        <f t="shared" si="37"/>
        <v>0</v>
      </c>
      <c r="DN20" s="40">
        <f t="shared" si="38"/>
        <v>0</v>
      </c>
      <c r="DQ20" s="40">
        <f t="shared" si="39"/>
        <v>0</v>
      </c>
      <c r="DT20" s="40">
        <f t="shared" si="40"/>
        <v>0</v>
      </c>
      <c r="DW20" s="40">
        <f t="shared" si="41"/>
        <v>0</v>
      </c>
      <c r="DZ20" s="40"/>
      <c r="EA20" s="40"/>
      <c r="EB20" s="75">
        <f t="shared" si="42"/>
        <v>287475000</v>
      </c>
      <c r="EC20" s="75">
        <f t="shared" si="43"/>
        <v>0</v>
      </c>
      <c r="ED20" s="40">
        <f t="shared" si="44"/>
        <v>15859.652777777777</v>
      </c>
      <c r="EE20" s="41">
        <f t="shared" si="45"/>
        <v>1.9860770501782761E-2</v>
      </c>
      <c r="EG20" s="75">
        <f t="shared" si="46"/>
        <v>0</v>
      </c>
      <c r="EH20" s="40">
        <f t="shared" si="47"/>
        <v>0</v>
      </c>
      <c r="EI20" s="41">
        <f t="shared" si="48"/>
        <v>0</v>
      </c>
      <c r="EJ20" s="41"/>
      <c r="EK20" s="75">
        <f t="shared" si="49"/>
        <v>287475000</v>
      </c>
      <c r="EL20" s="75">
        <f t="shared" si="50"/>
        <v>0</v>
      </c>
      <c r="EM20" s="75">
        <f t="shared" si="51"/>
        <v>15859.652777777777</v>
      </c>
      <c r="EN20" s="41">
        <f t="shared" si="52"/>
        <v>1.9860770501782761E-2</v>
      </c>
      <c r="EP20" s="40"/>
    </row>
    <row r="21" spans="1:147" x14ac:dyDescent="0.25">
      <c r="A21" s="25">
        <v>44753</v>
      </c>
      <c r="B21" s="40">
        <v>0</v>
      </c>
      <c r="D21" s="40">
        <f t="shared" si="2"/>
        <v>0</v>
      </c>
      <c r="G21" s="40">
        <f t="shared" si="3"/>
        <v>0</v>
      </c>
      <c r="J21" s="40">
        <f t="shared" si="4"/>
        <v>0</v>
      </c>
      <c r="M21" s="40">
        <f t="shared" si="5"/>
        <v>0</v>
      </c>
      <c r="P21" s="40">
        <f t="shared" si="6"/>
        <v>0</v>
      </c>
      <c r="S21" s="40">
        <f t="shared" si="7"/>
        <v>0</v>
      </c>
      <c r="V21" s="40">
        <f t="shared" si="8"/>
        <v>0</v>
      </c>
      <c r="Y21" s="40">
        <f t="shared" si="9"/>
        <v>0</v>
      </c>
      <c r="AB21" s="40">
        <f t="shared" si="10"/>
        <v>0</v>
      </c>
      <c r="AE21" s="40">
        <v>0</v>
      </c>
      <c r="AH21" s="40">
        <v>0</v>
      </c>
      <c r="AI21" s="172">
        <f>89475000</f>
        <v>89475000</v>
      </c>
      <c r="AJ21" s="173">
        <v>1.8499999999999999E-2</v>
      </c>
      <c r="AK21" s="40">
        <f t="shared" si="11"/>
        <v>4598.020833333333</v>
      </c>
      <c r="AL21" s="172">
        <f t="shared" si="53"/>
        <v>82475000</v>
      </c>
      <c r="AM21" s="173">
        <v>2.1000000000000001E-2</v>
      </c>
      <c r="AN21" s="40">
        <f t="shared" si="12"/>
        <v>4811.041666666667</v>
      </c>
      <c r="AO21" s="172"/>
      <c r="AP21" s="173"/>
      <c r="AQ21" s="40">
        <f t="shared" si="13"/>
        <v>0</v>
      </c>
      <c r="AR21" s="172">
        <f t="shared" si="1"/>
        <v>115000000</v>
      </c>
      <c r="AS21" s="173">
        <v>2.0500000000000001E-2</v>
      </c>
      <c r="AT21" s="40">
        <f t="shared" si="14"/>
        <v>6548.6111111111113</v>
      </c>
      <c r="AU21" s="172"/>
      <c r="AV21" s="173"/>
      <c r="AW21" s="40">
        <f t="shared" si="15"/>
        <v>0</v>
      </c>
      <c r="AX21" s="172"/>
      <c r="AY21" s="173"/>
      <c r="AZ21" s="40">
        <f t="shared" si="16"/>
        <v>0</v>
      </c>
      <c r="BC21" s="40">
        <f t="shared" si="17"/>
        <v>0</v>
      </c>
      <c r="BF21" s="40">
        <f t="shared" si="18"/>
        <v>0</v>
      </c>
      <c r="BI21" s="40">
        <f t="shared" si="19"/>
        <v>0</v>
      </c>
      <c r="BL21" s="40">
        <f t="shared" si="20"/>
        <v>0</v>
      </c>
      <c r="BO21" s="40">
        <f t="shared" si="21"/>
        <v>0</v>
      </c>
      <c r="BR21" s="40">
        <f t="shared" si="22"/>
        <v>0</v>
      </c>
      <c r="BU21" s="40">
        <f t="shared" si="23"/>
        <v>0</v>
      </c>
      <c r="BX21" s="40">
        <f t="shared" si="24"/>
        <v>0</v>
      </c>
      <c r="CA21" s="40">
        <f t="shared" si="25"/>
        <v>0</v>
      </c>
      <c r="CD21" s="40">
        <f t="shared" si="26"/>
        <v>0</v>
      </c>
      <c r="CG21" s="40">
        <f t="shared" si="27"/>
        <v>0</v>
      </c>
      <c r="CJ21" s="40">
        <f t="shared" si="28"/>
        <v>0</v>
      </c>
      <c r="CM21" s="40">
        <f t="shared" si="29"/>
        <v>0</v>
      </c>
      <c r="CP21" s="40">
        <f t="shared" si="30"/>
        <v>0</v>
      </c>
      <c r="CS21" s="40">
        <f t="shared" si="31"/>
        <v>0</v>
      </c>
      <c r="CV21" s="40">
        <f t="shared" si="32"/>
        <v>0</v>
      </c>
      <c r="CY21" s="40">
        <f t="shared" si="33"/>
        <v>0</v>
      </c>
      <c r="DB21" s="40">
        <f t="shared" si="34"/>
        <v>0</v>
      </c>
      <c r="DE21" s="40">
        <f t="shared" si="35"/>
        <v>0</v>
      </c>
      <c r="DH21" s="40">
        <f t="shared" si="36"/>
        <v>0</v>
      </c>
      <c r="DK21" s="40">
        <f t="shared" si="37"/>
        <v>0</v>
      </c>
      <c r="DN21" s="40">
        <f t="shared" si="38"/>
        <v>0</v>
      </c>
      <c r="DQ21" s="40">
        <f t="shared" si="39"/>
        <v>0</v>
      </c>
      <c r="DT21" s="40">
        <f t="shared" si="40"/>
        <v>0</v>
      </c>
      <c r="DW21" s="40">
        <f t="shared" si="41"/>
        <v>0</v>
      </c>
      <c r="DZ21" s="40"/>
      <c r="EA21" s="40"/>
      <c r="EB21" s="75">
        <f t="shared" si="42"/>
        <v>286950000</v>
      </c>
      <c r="EC21" s="75">
        <f t="shared" si="43"/>
        <v>0</v>
      </c>
      <c r="ED21" s="40">
        <f t="shared" si="44"/>
        <v>15957.673611111111</v>
      </c>
      <c r="EE21" s="41">
        <f t="shared" si="45"/>
        <v>2.0020081895800661E-2</v>
      </c>
      <c r="EG21" s="75">
        <f t="shared" si="46"/>
        <v>0</v>
      </c>
      <c r="EH21" s="40">
        <f t="shared" si="47"/>
        <v>0</v>
      </c>
      <c r="EI21" s="41">
        <f t="shared" si="48"/>
        <v>0</v>
      </c>
      <c r="EJ21" s="41"/>
      <c r="EK21" s="75">
        <f t="shared" si="49"/>
        <v>286950000</v>
      </c>
      <c r="EL21" s="75">
        <f t="shared" si="50"/>
        <v>0</v>
      </c>
      <c r="EM21" s="75">
        <f t="shared" si="51"/>
        <v>15957.673611111109</v>
      </c>
      <c r="EN21" s="41">
        <f t="shared" si="52"/>
        <v>2.0020081895800661E-2</v>
      </c>
      <c r="EO21" s="40"/>
      <c r="EP21" s="40"/>
      <c r="EQ21" s="40"/>
    </row>
    <row r="22" spans="1:147" x14ac:dyDescent="0.25">
      <c r="A22" s="25">
        <v>44754</v>
      </c>
      <c r="B22" s="40">
        <v>0</v>
      </c>
      <c r="D22" s="40">
        <f t="shared" si="2"/>
        <v>0</v>
      </c>
      <c r="G22" s="40">
        <f t="shared" si="3"/>
        <v>0</v>
      </c>
      <c r="J22" s="40">
        <f t="shared" si="4"/>
        <v>0</v>
      </c>
      <c r="M22" s="40">
        <f t="shared" si="5"/>
        <v>0</v>
      </c>
      <c r="P22" s="40">
        <f t="shared" si="6"/>
        <v>0</v>
      </c>
      <c r="S22" s="40">
        <f t="shared" si="7"/>
        <v>0</v>
      </c>
      <c r="V22" s="40">
        <f t="shared" si="8"/>
        <v>0</v>
      </c>
      <c r="Y22" s="40">
        <f t="shared" si="9"/>
        <v>0</v>
      </c>
      <c r="AB22" s="40">
        <f t="shared" si="10"/>
        <v>0</v>
      </c>
      <c r="AE22" s="40">
        <v>0</v>
      </c>
      <c r="AH22" s="40">
        <v>0</v>
      </c>
      <c r="AI22" s="172">
        <f>76550000</f>
        <v>76550000</v>
      </c>
      <c r="AJ22" s="173">
        <v>1.8499999999999999E-2</v>
      </c>
      <c r="AK22" s="40">
        <f t="shared" si="11"/>
        <v>3933.8194444444443</v>
      </c>
      <c r="AL22" s="172">
        <f t="shared" si="53"/>
        <v>82475000</v>
      </c>
      <c r="AM22" s="173">
        <v>2.1000000000000001E-2</v>
      </c>
      <c r="AN22" s="40">
        <f t="shared" si="12"/>
        <v>4811.041666666667</v>
      </c>
      <c r="AO22" s="172"/>
      <c r="AP22" s="173"/>
      <c r="AQ22" s="40">
        <f t="shared" si="13"/>
        <v>0</v>
      </c>
      <c r="AR22" s="172">
        <f t="shared" si="1"/>
        <v>115000000</v>
      </c>
      <c r="AS22" s="173">
        <v>2.0500000000000001E-2</v>
      </c>
      <c r="AT22" s="40">
        <f t="shared" si="14"/>
        <v>6548.6111111111113</v>
      </c>
      <c r="AU22" s="172"/>
      <c r="AV22" s="173"/>
      <c r="AW22" s="40">
        <f t="shared" si="15"/>
        <v>0</v>
      </c>
      <c r="AX22" s="172"/>
      <c r="AY22" s="173"/>
      <c r="AZ22" s="40">
        <f t="shared" si="16"/>
        <v>0</v>
      </c>
      <c r="BC22" s="40">
        <f t="shared" si="17"/>
        <v>0</v>
      </c>
      <c r="BF22" s="40">
        <f t="shared" si="18"/>
        <v>0</v>
      </c>
      <c r="BI22" s="40">
        <f t="shared" si="19"/>
        <v>0</v>
      </c>
      <c r="BL22" s="40">
        <f t="shared" si="20"/>
        <v>0</v>
      </c>
      <c r="BO22" s="40">
        <f t="shared" si="21"/>
        <v>0</v>
      </c>
      <c r="BR22" s="40">
        <f t="shared" si="22"/>
        <v>0</v>
      </c>
      <c r="BU22" s="40">
        <f t="shared" si="23"/>
        <v>0</v>
      </c>
      <c r="BX22" s="40">
        <f t="shared" si="24"/>
        <v>0</v>
      </c>
      <c r="CA22" s="40">
        <f t="shared" si="25"/>
        <v>0</v>
      </c>
      <c r="CD22" s="40">
        <f t="shared" si="26"/>
        <v>0</v>
      </c>
      <c r="CG22" s="40">
        <f t="shared" si="27"/>
        <v>0</v>
      </c>
      <c r="CJ22" s="40">
        <f t="shared" si="28"/>
        <v>0</v>
      </c>
      <c r="CM22" s="40">
        <f t="shared" si="29"/>
        <v>0</v>
      </c>
      <c r="CP22" s="40">
        <f t="shared" si="30"/>
        <v>0</v>
      </c>
      <c r="CS22" s="40">
        <f t="shared" si="31"/>
        <v>0</v>
      </c>
      <c r="CV22" s="40">
        <f t="shared" si="32"/>
        <v>0</v>
      </c>
      <c r="CY22" s="40">
        <f t="shared" si="33"/>
        <v>0</v>
      </c>
      <c r="DB22" s="40">
        <f t="shared" si="34"/>
        <v>0</v>
      </c>
      <c r="DE22" s="40">
        <f t="shared" si="35"/>
        <v>0</v>
      </c>
      <c r="DH22" s="40">
        <f t="shared" si="36"/>
        <v>0</v>
      </c>
      <c r="DK22" s="40">
        <f t="shared" si="37"/>
        <v>0</v>
      </c>
      <c r="DN22" s="40">
        <f t="shared" si="38"/>
        <v>0</v>
      </c>
      <c r="DQ22" s="40">
        <f t="shared" si="39"/>
        <v>0</v>
      </c>
      <c r="DT22" s="40">
        <f t="shared" si="40"/>
        <v>0</v>
      </c>
      <c r="DW22" s="40">
        <f t="shared" si="41"/>
        <v>0</v>
      </c>
      <c r="DZ22" s="40"/>
      <c r="EA22" s="40"/>
      <c r="EB22" s="75">
        <f t="shared" si="42"/>
        <v>274025000</v>
      </c>
      <c r="EC22" s="75">
        <f t="shared" si="43"/>
        <v>0</v>
      </c>
      <c r="ED22" s="40">
        <f t="shared" si="44"/>
        <v>15293.472222222223</v>
      </c>
      <c r="EE22" s="41">
        <f t="shared" si="45"/>
        <v>2.0091779947085119E-2</v>
      </c>
      <c r="EG22" s="75">
        <f t="shared" si="46"/>
        <v>0</v>
      </c>
      <c r="EH22" s="40">
        <f t="shared" si="47"/>
        <v>0</v>
      </c>
      <c r="EI22" s="41">
        <f t="shared" si="48"/>
        <v>0</v>
      </c>
      <c r="EJ22" s="41"/>
      <c r="EK22" s="75">
        <f t="shared" si="49"/>
        <v>274025000</v>
      </c>
      <c r="EL22" s="75">
        <f t="shared" si="50"/>
        <v>0</v>
      </c>
      <c r="EM22" s="75">
        <f t="shared" si="51"/>
        <v>15293.472222222223</v>
      </c>
      <c r="EN22" s="41">
        <f t="shared" si="52"/>
        <v>2.0091779947085119E-2</v>
      </c>
      <c r="EP22" s="40"/>
    </row>
    <row r="23" spans="1:147" x14ac:dyDescent="0.25">
      <c r="A23" s="25">
        <v>44755</v>
      </c>
      <c r="B23" s="40">
        <v>0</v>
      </c>
      <c r="D23" s="40">
        <f t="shared" si="2"/>
        <v>0</v>
      </c>
      <c r="G23" s="40">
        <f t="shared" si="3"/>
        <v>0</v>
      </c>
      <c r="J23" s="40">
        <f t="shared" si="4"/>
        <v>0</v>
      </c>
      <c r="M23" s="40">
        <f t="shared" si="5"/>
        <v>0</v>
      </c>
      <c r="P23" s="40">
        <f t="shared" si="6"/>
        <v>0</v>
      </c>
      <c r="S23" s="40">
        <f t="shared" si="7"/>
        <v>0</v>
      </c>
      <c r="V23" s="40">
        <f t="shared" si="8"/>
        <v>0</v>
      </c>
      <c r="Y23" s="40">
        <f t="shared" si="9"/>
        <v>0</v>
      </c>
      <c r="AB23" s="40">
        <f t="shared" si="10"/>
        <v>0</v>
      </c>
      <c r="AE23" s="40">
        <v>0</v>
      </c>
      <c r="AH23" s="40">
        <v>0</v>
      </c>
      <c r="AI23" s="172">
        <f>73400000</f>
        <v>73400000</v>
      </c>
      <c r="AJ23" s="173">
        <v>1.8499999999999999E-2</v>
      </c>
      <c r="AK23" s="40">
        <f t="shared" si="11"/>
        <v>3771.9444444444443</v>
      </c>
      <c r="AL23" s="172">
        <f t="shared" si="53"/>
        <v>82475000</v>
      </c>
      <c r="AM23" s="173">
        <v>2.1000000000000001E-2</v>
      </c>
      <c r="AN23" s="40">
        <f t="shared" si="12"/>
        <v>4811.041666666667</v>
      </c>
      <c r="AO23" s="172"/>
      <c r="AP23" s="173"/>
      <c r="AQ23" s="40">
        <f t="shared" si="13"/>
        <v>0</v>
      </c>
      <c r="AR23" s="172">
        <f t="shared" si="1"/>
        <v>115000000</v>
      </c>
      <c r="AS23" s="173">
        <v>2.0500000000000001E-2</v>
      </c>
      <c r="AT23" s="40">
        <f t="shared" si="14"/>
        <v>6548.6111111111113</v>
      </c>
      <c r="AU23" s="172"/>
      <c r="AV23" s="173"/>
      <c r="AW23" s="40">
        <f t="shared" si="15"/>
        <v>0</v>
      </c>
      <c r="AX23" s="172"/>
      <c r="AY23" s="173"/>
      <c r="AZ23" s="40">
        <f t="shared" si="16"/>
        <v>0</v>
      </c>
      <c r="BC23" s="40">
        <f t="shared" si="17"/>
        <v>0</v>
      </c>
      <c r="BF23" s="40">
        <f t="shared" si="18"/>
        <v>0</v>
      </c>
      <c r="BI23" s="40">
        <f t="shared" si="19"/>
        <v>0</v>
      </c>
      <c r="BL23" s="40">
        <f t="shared" si="20"/>
        <v>0</v>
      </c>
      <c r="BO23" s="40">
        <f t="shared" si="21"/>
        <v>0</v>
      </c>
      <c r="BR23" s="40">
        <f t="shared" si="22"/>
        <v>0</v>
      </c>
      <c r="BU23" s="40">
        <f t="shared" si="23"/>
        <v>0</v>
      </c>
      <c r="BX23" s="40">
        <f t="shared" si="24"/>
        <v>0</v>
      </c>
      <c r="CA23" s="40">
        <f t="shared" si="25"/>
        <v>0</v>
      </c>
      <c r="CD23" s="40">
        <f t="shared" si="26"/>
        <v>0</v>
      </c>
      <c r="CG23" s="40">
        <f t="shared" si="27"/>
        <v>0</v>
      </c>
      <c r="CJ23" s="40">
        <f t="shared" si="28"/>
        <v>0</v>
      </c>
      <c r="CM23" s="40">
        <f t="shared" si="29"/>
        <v>0</v>
      </c>
      <c r="CP23" s="40">
        <f t="shared" si="30"/>
        <v>0</v>
      </c>
      <c r="CS23" s="40">
        <f t="shared" si="31"/>
        <v>0</v>
      </c>
      <c r="CV23" s="40">
        <f t="shared" si="32"/>
        <v>0</v>
      </c>
      <c r="CY23" s="40">
        <f t="shared" si="33"/>
        <v>0</v>
      </c>
      <c r="DB23" s="40">
        <f t="shared" si="34"/>
        <v>0</v>
      </c>
      <c r="DE23" s="40">
        <f t="shared" si="35"/>
        <v>0</v>
      </c>
      <c r="DH23" s="40">
        <f t="shared" si="36"/>
        <v>0</v>
      </c>
      <c r="DK23" s="40">
        <f t="shared" si="37"/>
        <v>0</v>
      </c>
      <c r="DN23" s="40">
        <f t="shared" si="38"/>
        <v>0</v>
      </c>
      <c r="DQ23" s="40">
        <f t="shared" si="39"/>
        <v>0</v>
      </c>
      <c r="DT23" s="40">
        <f t="shared" si="40"/>
        <v>0</v>
      </c>
      <c r="DW23" s="40">
        <f t="shared" si="41"/>
        <v>0</v>
      </c>
      <c r="DZ23" s="40"/>
      <c r="EA23" s="40"/>
      <c r="EB23" s="75">
        <f t="shared" si="42"/>
        <v>270875000</v>
      </c>
      <c r="EC23" s="75">
        <f t="shared" si="43"/>
        <v>0</v>
      </c>
      <c r="ED23" s="40">
        <f t="shared" si="44"/>
        <v>15131.597222222223</v>
      </c>
      <c r="EE23" s="41">
        <f t="shared" si="45"/>
        <v>2.0110290724503922E-2</v>
      </c>
      <c r="EG23" s="75">
        <f t="shared" si="46"/>
        <v>0</v>
      </c>
      <c r="EH23" s="40">
        <f t="shared" si="47"/>
        <v>0</v>
      </c>
      <c r="EI23" s="41">
        <f t="shared" si="48"/>
        <v>0</v>
      </c>
      <c r="EJ23" s="41"/>
      <c r="EK23" s="75">
        <f t="shared" si="49"/>
        <v>270875000</v>
      </c>
      <c r="EL23" s="75">
        <f t="shared" si="50"/>
        <v>0</v>
      </c>
      <c r="EM23" s="75">
        <f t="shared" si="51"/>
        <v>15131.597222222223</v>
      </c>
      <c r="EN23" s="41">
        <f t="shared" si="52"/>
        <v>2.0110290724503922E-2</v>
      </c>
      <c r="EP23" s="40"/>
    </row>
    <row r="24" spans="1:147" x14ac:dyDescent="0.25">
      <c r="A24" s="25">
        <v>44756</v>
      </c>
      <c r="B24" s="40">
        <v>0</v>
      </c>
      <c r="D24" s="40">
        <f t="shared" si="2"/>
        <v>0</v>
      </c>
      <c r="G24" s="40">
        <f t="shared" si="3"/>
        <v>0</v>
      </c>
      <c r="J24" s="40">
        <f t="shared" si="4"/>
        <v>0</v>
      </c>
      <c r="M24" s="40">
        <f t="shared" si="5"/>
        <v>0</v>
      </c>
      <c r="P24" s="40">
        <f t="shared" si="6"/>
        <v>0</v>
      </c>
      <c r="S24" s="40">
        <f t="shared" si="7"/>
        <v>0</v>
      </c>
      <c r="V24" s="40">
        <f t="shared" si="8"/>
        <v>0</v>
      </c>
      <c r="Y24" s="40">
        <f t="shared" si="9"/>
        <v>0</v>
      </c>
      <c r="AB24" s="40">
        <f t="shared" si="10"/>
        <v>0</v>
      </c>
      <c r="AE24" s="40">
        <v>0</v>
      </c>
      <c r="AH24" s="40">
        <v>0</v>
      </c>
      <c r="AI24" s="172">
        <f>74600000+20000000+33500000</f>
        <v>128100000</v>
      </c>
      <c r="AJ24" s="173">
        <v>1.8499999999999999E-2</v>
      </c>
      <c r="AK24" s="40">
        <f t="shared" si="11"/>
        <v>6582.916666666667</v>
      </c>
      <c r="AL24" s="172">
        <f t="shared" si="53"/>
        <v>82475000</v>
      </c>
      <c r="AM24" s="173">
        <v>2.1000000000000001E-2</v>
      </c>
      <c r="AN24" s="40">
        <f t="shared" si="12"/>
        <v>4811.041666666667</v>
      </c>
      <c r="AO24" s="172">
        <v>1500000</v>
      </c>
      <c r="AP24" s="173">
        <v>2.4500000000000001E-2</v>
      </c>
      <c r="AQ24" s="40">
        <f t="shared" si="13"/>
        <v>102.08333333333333</v>
      </c>
      <c r="AR24" s="172">
        <f t="shared" ref="AR24:AR37" si="54">55000000</f>
        <v>55000000</v>
      </c>
      <c r="AS24" s="173">
        <v>2.0500000000000001E-2</v>
      </c>
      <c r="AT24" s="40">
        <f t="shared" si="14"/>
        <v>3131.9444444444443</v>
      </c>
      <c r="AU24" s="172"/>
      <c r="AV24" s="173"/>
      <c r="AW24" s="40">
        <f t="shared" si="15"/>
        <v>0</v>
      </c>
      <c r="AX24" s="172"/>
      <c r="AY24" s="173"/>
      <c r="AZ24" s="40">
        <f t="shared" si="16"/>
        <v>0</v>
      </c>
      <c r="BC24" s="40">
        <f t="shared" si="17"/>
        <v>0</v>
      </c>
      <c r="BF24" s="40">
        <f t="shared" si="18"/>
        <v>0</v>
      </c>
      <c r="BI24" s="40">
        <f t="shared" si="19"/>
        <v>0</v>
      </c>
      <c r="BL24" s="40">
        <f t="shared" si="20"/>
        <v>0</v>
      </c>
      <c r="BO24" s="40">
        <f t="shared" si="21"/>
        <v>0</v>
      </c>
      <c r="BR24" s="40">
        <f t="shared" si="22"/>
        <v>0</v>
      </c>
      <c r="BU24" s="40">
        <f t="shared" si="23"/>
        <v>0</v>
      </c>
      <c r="BX24" s="40">
        <f t="shared" si="24"/>
        <v>0</v>
      </c>
      <c r="CA24" s="40">
        <f t="shared" si="25"/>
        <v>0</v>
      </c>
      <c r="CD24" s="40">
        <f t="shared" si="26"/>
        <v>0</v>
      </c>
      <c r="CG24" s="40">
        <f t="shared" si="27"/>
        <v>0</v>
      </c>
      <c r="CJ24" s="40">
        <f t="shared" si="28"/>
        <v>0</v>
      </c>
      <c r="CM24" s="40">
        <f t="shared" si="29"/>
        <v>0</v>
      </c>
      <c r="CP24" s="40">
        <f t="shared" si="30"/>
        <v>0</v>
      </c>
      <c r="CS24" s="40">
        <f t="shared" si="31"/>
        <v>0</v>
      </c>
      <c r="CV24" s="40">
        <f t="shared" si="32"/>
        <v>0</v>
      </c>
      <c r="CY24" s="40">
        <f t="shared" si="33"/>
        <v>0</v>
      </c>
      <c r="DB24" s="40">
        <f t="shared" si="34"/>
        <v>0</v>
      </c>
      <c r="DE24" s="40">
        <f t="shared" si="35"/>
        <v>0</v>
      </c>
      <c r="DH24" s="40">
        <f t="shared" si="36"/>
        <v>0</v>
      </c>
      <c r="DK24" s="40">
        <f t="shared" si="37"/>
        <v>0</v>
      </c>
      <c r="DN24" s="40">
        <f t="shared" si="38"/>
        <v>0</v>
      </c>
      <c r="DQ24" s="40">
        <f t="shared" si="39"/>
        <v>0</v>
      </c>
      <c r="DT24" s="40">
        <f t="shared" si="40"/>
        <v>0</v>
      </c>
      <c r="DW24" s="40">
        <f t="shared" si="41"/>
        <v>0</v>
      </c>
      <c r="DZ24" s="40"/>
      <c r="EA24" s="40"/>
      <c r="EB24" s="75">
        <f t="shared" si="42"/>
        <v>267075000</v>
      </c>
      <c r="EC24" s="75">
        <f t="shared" si="43"/>
        <v>0</v>
      </c>
      <c r="ED24" s="40">
        <f t="shared" si="44"/>
        <v>14627.986111111113</v>
      </c>
      <c r="EE24" s="41">
        <f t="shared" si="45"/>
        <v>1.9717588692314898E-2</v>
      </c>
      <c r="EG24" s="75">
        <f t="shared" si="46"/>
        <v>0</v>
      </c>
      <c r="EH24" s="40">
        <f t="shared" si="47"/>
        <v>0</v>
      </c>
      <c r="EI24" s="41">
        <f t="shared" si="48"/>
        <v>0</v>
      </c>
      <c r="EJ24" s="41"/>
      <c r="EK24" s="75">
        <f t="shared" si="49"/>
        <v>267075000</v>
      </c>
      <c r="EL24" s="75">
        <f t="shared" si="50"/>
        <v>0</v>
      </c>
      <c r="EM24" s="75">
        <f t="shared" si="51"/>
        <v>14627.986111111113</v>
      </c>
      <c r="EN24" s="41">
        <f t="shared" si="52"/>
        <v>1.9717588692314898E-2</v>
      </c>
      <c r="EP24" s="40"/>
    </row>
    <row r="25" spans="1:147" x14ac:dyDescent="0.25">
      <c r="A25" s="25">
        <v>44757</v>
      </c>
      <c r="B25" s="40">
        <v>0</v>
      </c>
      <c r="D25" s="40">
        <f t="shared" si="2"/>
        <v>0</v>
      </c>
      <c r="G25" s="40">
        <f t="shared" si="3"/>
        <v>0</v>
      </c>
      <c r="J25" s="40">
        <f t="shared" si="4"/>
        <v>0</v>
      </c>
      <c r="M25" s="40">
        <f t="shared" si="5"/>
        <v>0</v>
      </c>
      <c r="P25" s="40">
        <f t="shared" si="6"/>
        <v>0</v>
      </c>
      <c r="S25" s="40">
        <f t="shared" si="7"/>
        <v>0</v>
      </c>
      <c r="V25" s="40">
        <f t="shared" si="8"/>
        <v>0</v>
      </c>
      <c r="Y25" s="40">
        <f t="shared" si="9"/>
        <v>0</v>
      </c>
      <c r="AB25" s="40">
        <f t="shared" si="10"/>
        <v>0</v>
      </c>
      <c r="AE25" s="40">
        <v>0</v>
      </c>
      <c r="AH25" s="40">
        <v>0</v>
      </c>
      <c r="AI25" s="172">
        <f>71200000+40000000+30981000</f>
        <v>142181000</v>
      </c>
      <c r="AJ25" s="173">
        <v>1.8499999999999999E-2</v>
      </c>
      <c r="AK25" s="40">
        <f t="shared" si="11"/>
        <v>7306.5236111111108</v>
      </c>
      <c r="AL25" s="172">
        <f t="shared" si="53"/>
        <v>82475000</v>
      </c>
      <c r="AM25" s="173">
        <v>2.1000000000000001E-2</v>
      </c>
      <c r="AN25" s="40">
        <f t="shared" si="12"/>
        <v>4811.041666666667</v>
      </c>
      <c r="AO25" s="172">
        <v>1500000</v>
      </c>
      <c r="AP25" s="173">
        <v>2.4500000000000001E-2</v>
      </c>
      <c r="AQ25" s="40">
        <f t="shared" si="13"/>
        <v>102.08333333333333</v>
      </c>
      <c r="AR25" s="172">
        <f t="shared" si="54"/>
        <v>55000000</v>
      </c>
      <c r="AS25" s="173">
        <v>2.0500000000000001E-2</v>
      </c>
      <c r="AT25" s="40">
        <f t="shared" si="14"/>
        <v>3131.9444444444443</v>
      </c>
      <c r="AU25" s="172">
        <v>4019000</v>
      </c>
      <c r="AV25" s="173">
        <v>2.5999999999999999E-2</v>
      </c>
      <c r="AW25" s="40">
        <f t="shared" si="15"/>
        <v>290.26111111111112</v>
      </c>
      <c r="AX25" s="172"/>
      <c r="AY25" s="173"/>
      <c r="AZ25" s="40">
        <f t="shared" si="16"/>
        <v>0</v>
      </c>
      <c r="BC25" s="40">
        <f t="shared" si="17"/>
        <v>0</v>
      </c>
      <c r="BF25" s="40">
        <f t="shared" si="18"/>
        <v>0</v>
      </c>
      <c r="BI25" s="40">
        <f t="shared" si="19"/>
        <v>0</v>
      </c>
      <c r="BL25" s="40">
        <f t="shared" si="20"/>
        <v>0</v>
      </c>
      <c r="BO25" s="40">
        <f t="shared" si="21"/>
        <v>0</v>
      </c>
      <c r="BR25" s="40">
        <f t="shared" si="22"/>
        <v>0</v>
      </c>
      <c r="BU25" s="40">
        <f t="shared" si="23"/>
        <v>0</v>
      </c>
      <c r="BX25" s="40">
        <f t="shared" si="24"/>
        <v>0</v>
      </c>
      <c r="CA25" s="40">
        <f t="shared" si="25"/>
        <v>0</v>
      </c>
      <c r="CD25" s="40">
        <f t="shared" si="26"/>
        <v>0</v>
      </c>
      <c r="CG25" s="40">
        <f t="shared" si="27"/>
        <v>0</v>
      </c>
      <c r="CJ25" s="40">
        <f t="shared" si="28"/>
        <v>0</v>
      </c>
      <c r="CM25" s="40">
        <f t="shared" si="29"/>
        <v>0</v>
      </c>
      <c r="CP25" s="40">
        <f t="shared" si="30"/>
        <v>0</v>
      </c>
      <c r="CS25" s="40">
        <f t="shared" si="31"/>
        <v>0</v>
      </c>
      <c r="CV25" s="40">
        <f t="shared" si="32"/>
        <v>0</v>
      </c>
      <c r="CY25" s="40">
        <f t="shared" si="33"/>
        <v>0</v>
      </c>
      <c r="DB25" s="40">
        <f t="shared" si="34"/>
        <v>0</v>
      </c>
      <c r="DE25" s="40">
        <f t="shared" si="35"/>
        <v>0</v>
      </c>
      <c r="DH25" s="40">
        <f t="shared" si="36"/>
        <v>0</v>
      </c>
      <c r="DK25" s="40">
        <f t="shared" si="37"/>
        <v>0</v>
      </c>
      <c r="DN25" s="40">
        <f t="shared" si="38"/>
        <v>0</v>
      </c>
      <c r="DQ25" s="40">
        <f t="shared" si="39"/>
        <v>0</v>
      </c>
      <c r="DT25" s="40">
        <f t="shared" si="40"/>
        <v>0</v>
      </c>
      <c r="DW25" s="40">
        <f t="shared" si="41"/>
        <v>0</v>
      </c>
      <c r="DZ25" s="40"/>
      <c r="EA25" s="40"/>
      <c r="EB25" s="75">
        <f t="shared" si="42"/>
        <v>285175000</v>
      </c>
      <c r="EC25" s="75">
        <f t="shared" si="43"/>
        <v>0</v>
      </c>
      <c r="ED25" s="40">
        <f t="shared" si="44"/>
        <v>15641.854166666668</v>
      </c>
      <c r="EE25" s="41">
        <f t="shared" si="45"/>
        <v>1.974600683790655E-2</v>
      </c>
      <c r="EG25" s="75">
        <f t="shared" si="46"/>
        <v>0</v>
      </c>
      <c r="EH25" s="40">
        <f t="shared" si="47"/>
        <v>0</v>
      </c>
      <c r="EI25" s="41">
        <f t="shared" si="48"/>
        <v>0</v>
      </c>
      <c r="EJ25" s="41"/>
      <c r="EK25" s="75">
        <f t="shared" si="49"/>
        <v>285175000</v>
      </c>
      <c r="EL25" s="75">
        <f t="shared" si="50"/>
        <v>0</v>
      </c>
      <c r="EM25" s="75">
        <f t="shared" si="51"/>
        <v>15641.854166666668</v>
      </c>
      <c r="EN25" s="41">
        <f t="shared" si="52"/>
        <v>1.974600683790655E-2</v>
      </c>
      <c r="EP25" s="40"/>
    </row>
    <row r="26" spans="1:147" x14ac:dyDescent="0.25">
      <c r="A26" s="25">
        <v>44758</v>
      </c>
      <c r="B26" s="40">
        <v>0</v>
      </c>
      <c r="D26" s="40">
        <f t="shared" si="2"/>
        <v>0</v>
      </c>
      <c r="G26" s="40">
        <f t="shared" si="3"/>
        <v>0</v>
      </c>
      <c r="J26" s="40">
        <f t="shared" si="4"/>
        <v>0</v>
      </c>
      <c r="M26" s="40">
        <f t="shared" si="5"/>
        <v>0</v>
      </c>
      <c r="P26" s="40">
        <f t="shared" si="6"/>
        <v>0</v>
      </c>
      <c r="S26" s="40">
        <f t="shared" si="7"/>
        <v>0</v>
      </c>
      <c r="V26" s="40">
        <f t="shared" si="8"/>
        <v>0</v>
      </c>
      <c r="Y26" s="40">
        <f t="shared" si="9"/>
        <v>0</v>
      </c>
      <c r="AB26" s="40">
        <f t="shared" si="10"/>
        <v>0</v>
      </c>
      <c r="AE26" s="40">
        <v>0</v>
      </c>
      <c r="AH26" s="40">
        <v>0</v>
      </c>
      <c r="AI26" s="172">
        <f>71200000+40000000+30981000</f>
        <v>142181000</v>
      </c>
      <c r="AJ26" s="173">
        <v>1.8499999999999999E-2</v>
      </c>
      <c r="AK26" s="40">
        <f t="shared" si="11"/>
        <v>7306.5236111111108</v>
      </c>
      <c r="AL26" s="172">
        <f t="shared" si="53"/>
        <v>82475000</v>
      </c>
      <c r="AM26" s="173">
        <v>2.1000000000000001E-2</v>
      </c>
      <c r="AN26" s="40">
        <f t="shared" si="12"/>
        <v>4811.041666666667</v>
      </c>
      <c r="AO26" s="172">
        <v>1500000</v>
      </c>
      <c r="AP26" s="173">
        <v>2.4500000000000001E-2</v>
      </c>
      <c r="AQ26" s="40">
        <f t="shared" si="13"/>
        <v>102.08333333333333</v>
      </c>
      <c r="AR26" s="172">
        <f t="shared" si="54"/>
        <v>55000000</v>
      </c>
      <c r="AS26" s="173">
        <v>2.0500000000000001E-2</v>
      </c>
      <c r="AT26" s="40">
        <f t="shared" si="14"/>
        <v>3131.9444444444443</v>
      </c>
      <c r="AU26" s="172">
        <v>4019000</v>
      </c>
      <c r="AV26" s="173">
        <v>2.5999999999999999E-2</v>
      </c>
      <c r="AW26" s="40">
        <f t="shared" si="15"/>
        <v>290.26111111111112</v>
      </c>
      <c r="AX26" s="172"/>
      <c r="AY26" s="173"/>
      <c r="AZ26" s="40">
        <f t="shared" si="16"/>
        <v>0</v>
      </c>
      <c r="BC26" s="40">
        <f t="shared" si="17"/>
        <v>0</v>
      </c>
      <c r="BF26" s="40">
        <f t="shared" si="18"/>
        <v>0</v>
      </c>
      <c r="BI26" s="40">
        <f t="shared" si="19"/>
        <v>0</v>
      </c>
      <c r="BL26" s="40">
        <f t="shared" si="20"/>
        <v>0</v>
      </c>
      <c r="BO26" s="40">
        <f t="shared" si="21"/>
        <v>0</v>
      </c>
      <c r="BR26" s="40">
        <f t="shared" si="22"/>
        <v>0</v>
      </c>
      <c r="BU26" s="40">
        <f t="shared" si="23"/>
        <v>0</v>
      </c>
      <c r="BX26" s="40">
        <f t="shared" si="24"/>
        <v>0</v>
      </c>
      <c r="CA26" s="40">
        <f t="shared" si="25"/>
        <v>0</v>
      </c>
      <c r="CD26" s="40">
        <f t="shared" si="26"/>
        <v>0</v>
      </c>
      <c r="CG26" s="40">
        <f t="shared" si="27"/>
        <v>0</v>
      </c>
      <c r="CJ26" s="40">
        <f t="shared" si="28"/>
        <v>0</v>
      </c>
      <c r="CM26" s="40">
        <f t="shared" si="29"/>
        <v>0</v>
      </c>
      <c r="CP26" s="40">
        <f t="shared" si="30"/>
        <v>0</v>
      </c>
      <c r="CS26" s="40">
        <f t="shared" si="31"/>
        <v>0</v>
      </c>
      <c r="CV26" s="40">
        <f t="shared" si="32"/>
        <v>0</v>
      </c>
      <c r="CY26" s="40">
        <f t="shared" si="33"/>
        <v>0</v>
      </c>
      <c r="DB26" s="40">
        <f t="shared" si="34"/>
        <v>0</v>
      </c>
      <c r="DE26" s="40">
        <f t="shared" si="35"/>
        <v>0</v>
      </c>
      <c r="DH26" s="40">
        <f t="shared" si="36"/>
        <v>0</v>
      </c>
      <c r="DK26" s="40">
        <f t="shared" si="37"/>
        <v>0</v>
      </c>
      <c r="DN26" s="40">
        <f t="shared" si="38"/>
        <v>0</v>
      </c>
      <c r="DQ26" s="40">
        <f t="shared" si="39"/>
        <v>0</v>
      </c>
      <c r="DT26" s="40">
        <f t="shared" si="40"/>
        <v>0</v>
      </c>
      <c r="DW26" s="40">
        <f t="shared" si="41"/>
        <v>0</v>
      </c>
      <c r="DZ26" s="40"/>
      <c r="EA26" s="40"/>
      <c r="EB26" s="75">
        <f t="shared" si="42"/>
        <v>285175000</v>
      </c>
      <c r="EC26" s="75">
        <f t="shared" si="43"/>
        <v>0</v>
      </c>
      <c r="ED26" s="40">
        <f t="shared" si="44"/>
        <v>15641.854166666668</v>
      </c>
      <c r="EE26" s="41">
        <f t="shared" si="45"/>
        <v>1.974600683790655E-2</v>
      </c>
      <c r="EG26" s="75">
        <f t="shared" si="46"/>
        <v>0</v>
      </c>
      <c r="EH26" s="40">
        <f t="shared" si="47"/>
        <v>0</v>
      </c>
      <c r="EI26" s="41">
        <f t="shared" si="48"/>
        <v>0</v>
      </c>
      <c r="EJ26" s="41"/>
      <c r="EK26" s="75">
        <f t="shared" si="49"/>
        <v>285175000</v>
      </c>
      <c r="EL26" s="75">
        <f t="shared" si="50"/>
        <v>0</v>
      </c>
      <c r="EM26" s="75">
        <f t="shared" si="51"/>
        <v>15641.854166666668</v>
      </c>
      <c r="EN26" s="41">
        <f t="shared" si="52"/>
        <v>1.974600683790655E-2</v>
      </c>
      <c r="EP26" s="40"/>
    </row>
    <row r="27" spans="1:147" x14ac:dyDescent="0.25">
      <c r="A27" s="25">
        <v>44759</v>
      </c>
      <c r="B27" s="40">
        <v>0</v>
      </c>
      <c r="D27" s="40">
        <f t="shared" si="2"/>
        <v>0</v>
      </c>
      <c r="G27" s="40">
        <f t="shared" si="3"/>
        <v>0</v>
      </c>
      <c r="J27" s="40">
        <f t="shared" si="4"/>
        <v>0</v>
      </c>
      <c r="M27" s="40">
        <f t="shared" si="5"/>
        <v>0</v>
      </c>
      <c r="P27" s="40">
        <f t="shared" si="6"/>
        <v>0</v>
      </c>
      <c r="S27" s="40">
        <f t="shared" si="7"/>
        <v>0</v>
      </c>
      <c r="V27" s="40">
        <f t="shared" si="8"/>
        <v>0</v>
      </c>
      <c r="Y27" s="40">
        <f t="shared" si="9"/>
        <v>0</v>
      </c>
      <c r="AB27" s="40">
        <f t="shared" si="10"/>
        <v>0</v>
      </c>
      <c r="AE27" s="40">
        <v>0</v>
      </c>
      <c r="AH27" s="40">
        <v>0</v>
      </c>
      <c r="AI27" s="172">
        <f>71200000+40000000+30981000</f>
        <v>142181000</v>
      </c>
      <c r="AJ27" s="173">
        <v>1.8499999999999999E-2</v>
      </c>
      <c r="AK27" s="40">
        <f t="shared" si="11"/>
        <v>7306.5236111111108</v>
      </c>
      <c r="AL27" s="172">
        <f t="shared" si="53"/>
        <v>82475000</v>
      </c>
      <c r="AM27" s="173">
        <v>2.1000000000000001E-2</v>
      </c>
      <c r="AN27" s="40">
        <f t="shared" si="12"/>
        <v>4811.041666666667</v>
      </c>
      <c r="AO27" s="172">
        <v>1500000</v>
      </c>
      <c r="AP27" s="173">
        <v>2.4500000000000001E-2</v>
      </c>
      <c r="AQ27" s="40">
        <f t="shared" si="13"/>
        <v>102.08333333333333</v>
      </c>
      <c r="AR27" s="172">
        <f t="shared" si="54"/>
        <v>55000000</v>
      </c>
      <c r="AS27" s="173">
        <v>2.0500000000000001E-2</v>
      </c>
      <c r="AT27" s="40">
        <f t="shared" si="14"/>
        <v>3131.9444444444443</v>
      </c>
      <c r="AU27" s="172">
        <v>4019000</v>
      </c>
      <c r="AV27" s="173">
        <v>2.5999999999999999E-2</v>
      </c>
      <c r="AW27" s="40">
        <f t="shared" si="15"/>
        <v>290.26111111111112</v>
      </c>
      <c r="AX27" s="172"/>
      <c r="AY27" s="173"/>
      <c r="AZ27" s="40">
        <f t="shared" si="16"/>
        <v>0</v>
      </c>
      <c r="BC27" s="40">
        <f t="shared" si="17"/>
        <v>0</v>
      </c>
      <c r="BF27" s="40">
        <f t="shared" si="18"/>
        <v>0</v>
      </c>
      <c r="BI27" s="40">
        <f t="shared" si="19"/>
        <v>0</v>
      </c>
      <c r="BL27" s="40">
        <f t="shared" si="20"/>
        <v>0</v>
      </c>
      <c r="BO27" s="40">
        <f t="shared" si="21"/>
        <v>0</v>
      </c>
      <c r="BR27" s="40">
        <f t="shared" si="22"/>
        <v>0</v>
      </c>
      <c r="BU27" s="40">
        <f t="shared" si="23"/>
        <v>0</v>
      </c>
      <c r="BX27" s="40">
        <f t="shared" si="24"/>
        <v>0</v>
      </c>
      <c r="CA27" s="40">
        <f t="shared" si="25"/>
        <v>0</v>
      </c>
      <c r="CD27" s="40">
        <f t="shared" si="26"/>
        <v>0</v>
      </c>
      <c r="CG27" s="40">
        <f t="shared" si="27"/>
        <v>0</v>
      </c>
      <c r="CJ27" s="40">
        <f t="shared" si="28"/>
        <v>0</v>
      </c>
      <c r="CM27" s="40">
        <f t="shared" si="29"/>
        <v>0</v>
      </c>
      <c r="CP27" s="40">
        <f t="shared" si="30"/>
        <v>0</v>
      </c>
      <c r="CS27" s="40">
        <f t="shared" si="31"/>
        <v>0</v>
      </c>
      <c r="CV27" s="40">
        <f t="shared" si="32"/>
        <v>0</v>
      </c>
      <c r="CY27" s="40">
        <f t="shared" si="33"/>
        <v>0</v>
      </c>
      <c r="DB27" s="40">
        <f t="shared" si="34"/>
        <v>0</v>
      </c>
      <c r="DE27" s="40">
        <f t="shared" si="35"/>
        <v>0</v>
      </c>
      <c r="DH27" s="40">
        <f t="shared" si="36"/>
        <v>0</v>
      </c>
      <c r="DK27" s="40">
        <f t="shared" si="37"/>
        <v>0</v>
      </c>
      <c r="DN27" s="40">
        <f t="shared" si="38"/>
        <v>0</v>
      </c>
      <c r="DQ27" s="40">
        <f t="shared" si="39"/>
        <v>0</v>
      </c>
      <c r="DT27" s="40">
        <f t="shared" si="40"/>
        <v>0</v>
      </c>
      <c r="DW27" s="40">
        <f t="shared" si="41"/>
        <v>0</v>
      </c>
      <c r="DZ27" s="40"/>
      <c r="EA27" s="40"/>
      <c r="EB27" s="75">
        <f t="shared" si="42"/>
        <v>285175000</v>
      </c>
      <c r="EC27" s="75">
        <f t="shared" si="43"/>
        <v>0</v>
      </c>
      <c r="ED27" s="40">
        <f t="shared" si="44"/>
        <v>15641.854166666668</v>
      </c>
      <c r="EE27" s="41">
        <f t="shared" si="45"/>
        <v>1.974600683790655E-2</v>
      </c>
      <c r="EG27" s="75">
        <f t="shared" si="46"/>
        <v>0</v>
      </c>
      <c r="EH27" s="40">
        <f t="shared" si="47"/>
        <v>0</v>
      </c>
      <c r="EI27" s="41">
        <f t="shared" si="48"/>
        <v>0</v>
      </c>
      <c r="EJ27" s="41"/>
      <c r="EK27" s="75">
        <f t="shared" si="49"/>
        <v>285175000</v>
      </c>
      <c r="EL27" s="75">
        <f t="shared" si="50"/>
        <v>0</v>
      </c>
      <c r="EM27" s="75">
        <f t="shared" si="51"/>
        <v>15641.854166666668</v>
      </c>
      <c r="EN27" s="41">
        <f t="shared" si="52"/>
        <v>1.974600683790655E-2</v>
      </c>
      <c r="EP27" s="40"/>
    </row>
    <row r="28" spans="1:147" x14ac:dyDescent="0.25">
      <c r="A28" s="25">
        <v>44760</v>
      </c>
      <c r="B28" s="40">
        <v>0</v>
      </c>
      <c r="D28" s="40">
        <f t="shared" si="2"/>
        <v>0</v>
      </c>
      <c r="G28" s="40">
        <f t="shared" si="3"/>
        <v>0</v>
      </c>
      <c r="J28" s="40">
        <f t="shared" si="4"/>
        <v>0</v>
      </c>
      <c r="M28" s="40">
        <f t="shared" si="5"/>
        <v>0</v>
      </c>
      <c r="P28" s="40">
        <f t="shared" si="6"/>
        <v>0</v>
      </c>
      <c r="S28" s="40">
        <f t="shared" si="7"/>
        <v>0</v>
      </c>
      <c r="V28" s="40">
        <f t="shared" si="8"/>
        <v>0</v>
      </c>
      <c r="Y28" s="40">
        <f t="shared" si="9"/>
        <v>0</v>
      </c>
      <c r="AB28" s="40">
        <f t="shared" si="10"/>
        <v>0</v>
      </c>
      <c r="AE28" s="40">
        <v>0</v>
      </c>
      <c r="AH28" s="40">
        <v>0</v>
      </c>
      <c r="AI28" s="172">
        <f>65000000+44750000</f>
        <v>109750000</v>
      </c>
      <c r="AJ28" s="173">
        <v>1.8499999999999999E-2</v>
      </c>
      <c r="AK28" s="40">
        <f t="shared" si="11"/>
        <v>5639.9305555555557</v>
      </c>
      <c r="AL28" s="172">
        <f t="shared" si="53"/>
        <v>82475000</v>
      </c>
      <c r="AM28" s="173">
        <v>2.1000000000000001E-2</v>
      </c>
      <c r="AN28" s="40">
        <f t="shared" si="12"/>
        <v>4811.041666666667</v>
      </c>
      <c r="AO28" s="172">
        <v>1500000</v>
      </c>
      <c r="AP28" s="173">
        <v>2.4500000000000001E-2</v>
      </c>
      <c r="AQ28" s="40">
        <f t="shared" si="13"/>
        <v>102.08333333333333</v>
      </c>
      <c r="AR28" s="172">
        <f t="shared" si="54"/>
        <v>55000000</v>
      </c>
      <c r="AS28" s="173">
        <v>2.0500000000000001E-2</v>
      </c>
      <c r="AT28" s="40">
        <f t="shared" si="14"/>
        <v>3131.9444444444443</v>
      </c>
      <c r="AU28" s="172">
        <f t="shared" ref="AU28:AU41" si="55">4019000+30000000</f>
        <v>34019000</v>
      </c>
      <c r="AV28" s="173">
        <v>2.5999999999999999E-2</v>
      </c>
      <c r="AW28" s="40">
        <f t="shared" si="15"/>
        <v>2456.9277777777779</v>
      </c>
      <c r="AX28" s="172"/>
      <c r="AY28" s="173"/>
      <c r="AZ28" s="40">
        <f t="shared" si="16"/>
        <v>0</v>
      </c>
      <c r="BC28" s="40">
        <f t="shared" si="17"/>
        <v>0</v>
      </c>
      <c r="BF28" s="40">
        <f t="shared" si="18"/>
        <v>0</v>
      </c>
      <c r="BI28" s="40">
        <f t="shared" si="19"/>
        <v>0</v>
      </c>
      <c r="BL28" s="40">
        <f t="shared" si="20"/>
        <v>0</v>
      </c>
      <c r="BO28" s="40">
        <f t="shared" si="21"/>
        <v>0</v>
      </c>
      <c r="BR28" s="40">
        <f t="shared" si="22"/>
        <v>0</v>
      </c>
      <c r="BU28" s="40">
        <f t="shared" si="23"/>
        <v>0</v>
      </c>
      <c r="BX28" s="40">
        <f t="shared" si="24"/>
        <v>0</v>
      </c>
      <c r="CA28" s="40">
        <f t="shared" si="25"/>
        <v>0</v>
      </c>
      <c r="CD28" s="40">
        <f t="shared" si="26"/>
        <v>0</v>
      </c>
      <c r="CG28" s="40">
        <f t="shared" si="27"/>
        <v>0</v>
      </c>
      <c r="CJ28" s="40">
        <f t="shared" si="28"/>
        <v>0</v>
      </c>
      <c r="CM28" s="40">
        <f t="shared" si="29"/>
        <v>0</v>
      </c>
      <c r="CP28" s="40">
        <f t="shared" si="30"/>
        <v>0</v>
      </c>
      <c r="CS28" s="40">
        <f t="shared" si="31"/>
        <v>0</v>
      </c>
      <c r="CV28" s="40">
        <f t="shared" si="32"/>
        <v>0</v>
      </c>
      <c r="CY28" s="40">
        <f t="shared" si="33"/>
        <v>0</v>
      </c>
      <c r="DB28" s="40">
        <f t="shared" si="34"/>
        <v>0</v>
      </c>
      <c r="DE28" s="40">
        <f t="shared" si="35"/>
        <v>0</v>
      </c>
      <c r="DH28" s="40">
        <f t="shared" si="36"/>
        <v>0</v>
      </c>
      <c r="DK28" s="40">
        <f t="shared" si="37"/>
        <v>0</v>
      </c>
      <c r="DN28" s="40">
        <f t="shared" si="38"/>
        <v>0</v>
      </c>
      <c r="DQ28" s="40">
        <f t="shared" si="39"/>
        <v>0</v>
      </c>
      <c r="DT28" s="40">
        <f t="shared" si="40"/>
        <v>0</v>
      </c>
      <c r="DW28" s="40">
        <f t="shared" si="41"/>
        <v>0</v>
      </c>
      <c r="DZ28" s="40"/>
      <c r="EA28" s="40"/>
      <c r="EB28" s="75">
        <f t="shared" si="42"/>
        <v>282744000</v>
      </c>
      <c r="EC28" s="75">
        <f t="shared" si="43"/>
        <v>0</v>
      </c>
      <c r="ED28" s="40">
        <f t="shared" si="44"/>
        <v>16141.927777777779</v>
      </c>
      <c r="EE28" s="41">
        <f t="shared" si="45"/>
        <v>2.0552492714257419E-2</v>
      </c>
      <c r="EG28" s="75">
        <f t="shared" si="46"/>
        <v>0</v>
      </c>
      <c r="EH28" s="40">
        <f t="shared" si="47"/>
        <v>0</v>
      </c>
      <c r="EI28" s="41">
        <f t="shared" si="48"/>
        <v>0</v>
      </c>
      <c r="EJ28" s="41"/>
      <c r="EK28" s="75">
        <f t="shared" si="49"/>
        <v>282744000</v>
      </c>
      <c r="EL28" s="75">
        <f t="shared" si="50"/>
        <v>0</v>
      </c>
      <c r="EM28" s="75">
        <f t="shared" si="51"/>
        <v>16141.927777777779</v>
      </c>
      <c r="EN28" s="41">
        <f t="shared" si="52"/>
        <v>2.0552492714257419E-2</v>
      </c>
      <c r="EP28" s="40"/>
    </row>
    <row r="29" spans="1:147" x14ac:dyDescent="0.25">
      <c r="A29" s="25">
        <v>44761</v>
      </c>
      <c r="B29" s="40">
        <v>0</v>
      </c>
      <c r="D29" s="40">
        <f t="shared" si="2"/>
        <v>0</v>
      </c>
      <c r="G29" s="40">
        <f t="shared" si="3"/>
        <v>0</v>
      </c>
      <c r="J29" s="40">
        <f t="shared" si="4"/>
        <v>0</v>
      </c>
      <c r="M29" s="40">
        <f t="shared" si="5"/>
        <v>0</v>
      </c>
      <c r="P29" s="40">
        <f t="shared" si="6"/>
        <v>0</v>
      </c>
      <c r="S29" s="40">
        <f t="shared" si="7"/>
        <v>0</v>
      </c>
      <c r="V29" s="40">
        <f t="shared" si="8"/>
        <v>0</v>
      </c>
      <c r="Y29" s="40">
        <f t="shared" si="9"/>
        <v>0</v>
      </c>
      <c r="AB29" s="40">
        <f t="shared" si="10"/>
        <v>0</v>
      </c>
      <c r="AE29" s="40">
        <v>0</v>
      </c>
      <c r="AH29" s="40">
        <v>0</v>
      </c>
      <c r="AI29" s="172">
        <f>55000000+58200000</f>
        <v>113200000</v>
      </c>
      <c r="AJ29" s="173">
        <v>1.8499999999999999E-2</v>
      </c>
      <c r="AK29" s="40">
        <f t="shared" si="11"/>
        <v>5817.2222222222226</v>
      </c>
      <c r="AL29" s="172">
        <f t="shared" si="53"/>
        <v>82475000</v>
      </c>
      <c r="AM29" s="173">
        <v>2.1000000000000001E-2</v>
      </c>
      <c r="AN29" s="40">
        <f t="shared" si="12"/>
        <v>4811.041666666667</v>
      </c>
      <c r="AO29" s="172">
        <v>1500000</v>
      </c>
      <c r="AP29" s="173">
        <v>2.4500000000000001E-2</v>
      </c>
      <c r="AQ29" s="40">
        <f t="shared" si="13"/>
        <v>102.08333333333333</v>
      </c>
      <c r="AR29" s="172">
        <f t="shared" si="54"/>
        <v>55000000</v>
      </c>
      <c r="AS29" s="173">
        <v>2.0500000000000001E-2</v>
      </c>
      <c r="AT29" s="40">
        <f t="shared" si="14"/>
        <v>3131.9444444444443</v>
      </c>
      <c r="AU29" s="172">
        <f t="shared" si="55"/>
        <v>34019000</v>
      </c>
      <c r="AV29" s="173">
        <v>2.5999999999999999E-2</v>
      </c>
      <c r="AW29" s="40">
        <f t="shared" si="15"/>
        <v>2456.9277777777779</v>
      </c>
      <c r="AX29" s="172"/>
      <c r="AY29" s="173"/>
      <c r="AZ29" s="40">
        <f t="shared" si="16"/>
        <v>0</v>
      </c>
      <c r="BC29" s="40">
        <f t="shared" si="17"/>
        <v>0</v>
      </c>
      <c r="BF29" s="40">
        <f t="shared" si="18"/>
        <v>0</v>
      </c>
      <c r="BI29" s="40">
        <f t="shared" si="19"/>
        <v>0</v>
      </c>
      <c r="BL29" s="40">
        <f t="shared" si="20"/>
        <v>0</v>
      </c>
      <c r="BO29" s="40">
        <f t="shared" si="21"/>
        <v>0</v>
      </c>
      <c r="BR29" s="40">
        <f t="shared" si="22"/>
        <v>0</v>
      </c>
      <c r="BU29" s="40">
        <f t="shared" si="23"/>
        <v>0</v>
      </c>
      <c r="BX29" s="40">
        <f t="shared" si="24"/>
        <v>0</v>
      </c>
      <c r="CA29" s="40">
        <f t="shared" si="25"/>
        <v>0</v>
      </c>
      <c r="CD29" s="40">
        <f t="shared" si="26"/>
        <v>0</v>
      </c>
      <c r="CG29" s="40">
        <f t="shared" si="27"/>
        <v>0</v>
      </c>
      <c r="CJ29" s="40">
        <f t="shared" si="28"/>
        <v>0</v>
      </c>
      <c r="CM29" s="40">
        <f t="shared" si="29"/>
        <v>0</v>
      </c>
      <c r="CP29" s="40">
        <f t="shared" si="30"/>
        <v>0</v>
      </c>
      <c r="CS29" s="40">
        <f t="shared" si="31"/>
        <v>0</v>
      </c>
      <c r="CV29" s="40">
        <f t="shared" si="32"/>
        <v>0</v>
      </c>
      <c r="CY29" s="40">
        <f t="shared" si="33"/>
        <v>0</v>
      </c>
      <c r="DB29" s="40">
        <f t="shared" si="34"/>
        <v>0</v>
      </c>
      <c r="DE29" s="40">
        <f t="shared" si="35"/>
        <v>0</v>
      </c>
      <c r="DH29" s="40">
        <f t="shared" si="36"/>
        <v>0</v>
      </c>
      <c r="DK29" s="40">
        <f t="shared" si="37"/>
        <v>0</v>
      </c>
      <c r="DN29" s="40">
        <f t="shared" si="38"/>
        <v>0</v>
      </c>
      <c r="DQ29" s="40">
        <f t="shared" si="39"/>
        <v>0</v>
      </c>
      <c r="DT29" s="40">
        <f t="shared" si="40"/>
        <v>0</v>
      </c>
      <c r="DW29" s="40">
        <f t="shared" si="41"/>
        <v>0</v>
      </c>
      <c r="DZ29" s="40"/>
      <c r="EA29" s="40"/>
      <c r="EB29" s="75">
        <f t="shared" si="42"/>
        <v>286194000</v>
      </c>
      <c r="EC29" s="75">
        <f t="shared" si="43"/>
        <v>0</v>
      </c>
      <c r="ED29" s="40">
        <f t="shared" si="44"/>
        <v>16319.219444444447</v>
      </c>
      <c r="EE29" s="41">
        <f t="shared" si="45"/>
        <v>2.0527750407066538E-2</v>
      </c>
      <c r="EG29" s="75">
        <f t="shared" si="46"/>
        <v>0</v>
      </c>
      <c r="EH29" s="40">
        <f t="shared" si="47"/>
        <v>0</v>
      </c>
      <c r="EI29" s="41">
        <f t="shared" si="48"/>
        <v>0</v>
      </c>
      <c r="EJ29" s="41"/>
      <c r="EK29" s="75">
        <f t="shared" si="49"/>
        <v>286194000</v>
      </c>
      <c r="EL29" s="75">
        <f t="shared" si="50"/>
        <v>0</v>
      </c>
      <c r="EM29" s="75">
        <f t="shared" si="51"/>
        <v>16319.219444444445</v>
      </c>
      <c r="EN29" s="41">
        <f t="shared" si="52"/>
        <v>2.0527750407066534E-2</v>
      </c>
      <c r="EP29" s="40"/>
    </row>
    <row r="30" spans="1:147" x14ac:dyDescent="0.25">
      <c r="A30" s="25">
        <v>44762</v>
      </c>
      <c r="B30" s="40">
        <v>0</v>
      </c>
      <c r="D30" s="40">
        <f t="shared" si="2"/>
        <v>0</v>
      </c>
      <c r="G30" s="40">
        <f t="shared" si="3"/>
        <v>0</v>
      </c>
      <c r="J30" s="40">
        <f t="shared" si="4"/>
        <v>0</v>
      </c>
      <c r="M30" s="40">
        <f t="shared" si="5"/>
        <v>0</v>
      </c>
      <c r="P30" s="40">
        <f t="shared" si="6"/>
        <v>0</v>
      </c>
      <c r="S30" s="40">
        <f t="shared" si="7"/>
        <v>0</v>
      </c>
      <c r="V30" s="40">
        <f t="shared" si="8"/>
        <v>0</v>
      </c>
      <c r="Y30" s="40">
        <f t="shared" si="9"/>
        <v>0</v>
      </c>
      <c r="AB30" s="40">
        <f t="shared" si="10"/>
        <v>0</v>
      </c>
      <c r="AE30" s="40">
        <v>0</v>
      </c>
      <c r="AH30" s="40">
        <v>0</v>
      </c>
      <c r="AI30" s="172">
        <f>55000000+11000000+40000000</f>
        <v>106000000</v>
      </c>
      <c r="AJ30" s="173">
        <v>1.8499999999999999E-2</v>
      </c>
      <c r="AK30" s="40">
        <f t="shared" si="11"/>
        <v>5447.2222222222226</v>
      </c>
      <c r="AL30" s="172">
        <f t="shared" si="53"/>
        <v>82475000</v>
      </c>
      <c r="AM30" s="173">
        <v>2.1000000000000001E-2</v>
      </c>
      <c r="AN30" s="40">
        <f t="shared" si="12"/>
        <v>4811.041666666667</v>
      </c>
      <c r="AO30" s="172">
        <v>1500000</v>
      </c>
      <c r="AP30" s="173">
        <v>2.4500000000000001E-2</v>
      </c>
      <c r="AQ30" s="40">
        <f t="shared" si="13"/>
        <v>102.08333333333333</v>
      </c>
      <c r="AR30" s="172">
        <f t="shared" si="54"/>
        <v>55000000</v>
      </c>
      <c r="AS30" s="173">
        <v>2.0500000000000001E-2</v>
      </c>
      <c r="AT30" s="40">
        <f t="shared" si="14"/>
        <v>3131.9444444444443</v>
      </c>
      <c r="AU30" s="172">
        <f t="shared" si="55"/>
        <v>34019000</v>
      </c>
      <c r="AV30" s="173">
        <v>2.5999999999999999E-2</v>
      </c>
      <c r="AW30" s="40">
        <f t="shared" si="15"/>
        <v>2456.9277777777779</v>
      </c>
      <c r="AX30" s="172"/>
      <c r="AY30" s="173"/>
      <c r="AZ30" s="40">
        <f t="shared" si="16"/>
        <v>0</v>
      </c>
      <c r="BC30" s="40">
        <f t="shared" si="17"/>
        <v>0</v>
      </c>
      <c r="BF30" s="40">
        <f t="shared" si="18"/>
        <v>0</v>
      </c>
      <c r="BI30" s="40">
        <f t="shared" si="19"/>
        <v>0</v>
      </c>
      <c r="BL30" s="40">
        <f t="shared" si="20"/>
        <v>0</v>
      </c>
      <c r="BO30" s="40">
        <f t="shared" si="21"/>
        <v>0</v>
      </c>
      <c r="BR30" s="40">
        <f t="shared" si="22"/>
        <v>0</v>
      </c>
      <c r="BU30" s="40">
        <f t="shared" si="23"/>
        <v>0</v>
      </c>
      <c r="BX30" s="40">
        <f t="shared" si="24"/>
        <v>0</v>
      </c>
      <c r="CA30" s="40">
        <f t="shared" si="25"/>
        <v>0</v>
      </c>
      <c r="CD30" s="40">
        <f t="shared" si="26"/>
        <v>0</v>
      </c>
      <c r="CG30" s="40">
        <f t="shared" si="27"/>
        <v>0</v>
      </c>
      <c r="CJ30" s="40">
        <f t="shared" si="28"/>
        <v>0</v>
      </c>
      <c r="CM30" s="40">
        <f t="shared" si="29"/>
        <v>0</v>
      </c>
      <c r="CP30" s="40">
        <f t="shared" si="30"/>
        <v>0</v>
      </c>
      <c r="CS30" s="40">
        <f t="shared" si="31"/>
        <v>0</v>
      </c>
      <c r="CV30" s="40">
        <f t="shared" si="32"/>
        <v>0</v>
      </c>
      <c r="CY30" s="40">
        <f t="shared" si="33"/>
        <v>0</v>
      </c>
      <c r="DB30" s="40">
        <f t="shared" si="34"/>
        <v>0</v>
      </c>
      <c r="DE30" s="40">
        <f t="shared" si="35"/>
        <v>0</v>
      </c>
      <c r="DH30" s="40">
        <f t="shared" si="36"/>
        <v>0</v>
      </c>
      <c r="DK30" s="40">
        <f t="shared" si="37"/>
        <v>0</v>
      </c>
      <c r="DN30" s="40">
        <f t="shared" si="38"/>
        <v>0</v>
      </c>
      <c r="DQ30" s="40">
        <f t="shared" si="39"/>
        <v>0</v>
      </c>
      <c r="DT30" s="40">
        <f t="shared" si="40"/>
        <v>0</v>
      </c>
      <c r="DW30" s="40">
        <f t="shared" si="41"/>
        <v>0</v>
      </c>
      <c r="DZ30" s="40"/>
      <c r="EA30" s="40"/>
      <c r="EB30" s="75">
        <f t="shared" si="42"/>
        <v>278994000</v>
      </c>
      <c r="EC30" s="75">
        <f t="shared" si="43"/>
        <v>0</v>
      </c>
      <c r="ED30" s="40">
        <f t="shared" si="44"/>
        <v>15949.219444444447</v>
      </c>
      <c r="EE30" s="41">
        <f t="shared" si="45"/>
        <v>2.0580080575209506E-2</v>
      </c>
      <c r="EG30" s="75">
        <f t="shared" si="46"/>
        <v>0</v>
      </c>
      <c r="EH30" s="40">
        <f t="shared" si="47"/>
        <v>0</v>
      </c>
      <c r="EI30" s="41">
        <f t="shared" si="48"/>
        <v>0</v>
      </c>
      <c r="EJ30" s="41"/>
      <c r="EK30" s="75">
        <f t="shared" si="49"/>
        <v>278994000</v>
      </c>
      <c r="EL30" s="75">
        <f t="shared" si="50"/>
        <v>0</v>
      </c>
      <c r="EM30" s="75">
        <f t="shared" si="51"/>
        <v>15949.219444444445</v>
      </c>
      <c r="EN30" s="41">
        <f t="shared" si="52"/>
        <v>2.0580080575209502E-2</v>
      </c>
      <c r="EO30" s="40"/>
      <c r="EP30" s="40"/>
      <c r="EQ30" s="40"/>
    </row>
    <row r="31" spans="1:147" x14ac:dyDescent="0.25">
      <c r="A31" s="25">
        <v>44763</v>
      </c>
      <c r="B31" s="40">
        <v>0</v>
      </c>
      <c r="D31" s="40">
        <f t="shared" si="2"/>
        <v>0</v>
      </c>
      <c r="G31" s="40">
        <f t="shared" si="3"/>
        <v>0</v>
      </c>
      <c r="J31" s="40">
        <f t="shared" si="4"/>
        <v>0</v>
      </c>
      <c r="M31" s="40">
        <f t="shared" si="5"/>
        <v>0</v>
      </c>
      <c r="P31" s="40">
        <f t="shared" si="6"/>
        <v>0</v>
      </c>
      <c r="S31" s="40">
        <f t="shared" si="7"/>
        <v>0</v>
      </c>
      <c r="V31" s="40">
        <f t="shared" si="8"/>
        <v>0</v>
      </c>
      <c r="Y31" s="40">
        <f t="shared" si="9"/>
        <v>0</v>
      </c>
      <c r="AB31" s="40">
        <f t="shared" si="10"/>
        <v>0</v>
      </c>
      <c r="AE31" s="40">
        <v>0</v>
      </c>
      <c r="AH31" s="40">
        <v>0</v>
      </c>
      <c r="AI31" s="172">
        <f>61850000</f>
        <v>61850000</v>
      </c>
      <c r="AJ31" s="173">
        <v>1.8499999999999999E-2</v>
      </c>
      <c r="AK31" s="40">
        <f t="shared" si="11"/>
        <v>3178.4027777777778</v>
      </c>
      <c r="AL31" s="172">
        <f t="shared" si="53"/>
        <v>82475000</v>
      </c>
      <c r="AM31" s="173">
        <v>2.1000000000000001E-2</v>
      </c>
      <c r="AN31" s="40">
        <f t="shared" si="12"/>
        <v>4811.041666666667</v>
      </c>
      <c r="AO31" s="172">
        <v>1500000</v>
      </c>
      <c r="AP31" s="173">
        <v>2.4500000000000001E-2</v>
      </c>
      <c r="AQ31" s="40">
        <f t="shared" si="13"/>
        <v>102.08333333333333</v>
      </c>
      <c r="AR31" s="172">
        <f t="shared" si="54"/>
        <v>55000000</v>
      </c>
      <c r="AS31" s="173">
        <v>2.0500000000000001E-2</v>
      </c>
      <c r="AT31" s="40">
        <f t="shared" si="14"/>
        <v>3131.9444444444443</v>
      </c>
      <c r="AU31" s="172">
        <f t="shared" si="55"/>
        <v>34019000</v>
      </c>
      <c r="AV31" s="173">
        <v>2.5999999999999999E-2</v>
      </c>
      <c r="AW31" s="40">
        <f t="shared" si="15"/>
        <v>2456.9277777777779</v>
      </c>
      <c r="AX31" s="172">
        <f t="shared" ref="AX31:AX41" si="56">40000000</f>
        <v>40000000</v>
      </c>
      <c r="AY31" s="173">
        <v>2.5499999999999998E-2</v>
      </c>
      <c r="AZ31" s="40">
        <f t="shared" si="16"/>
        <v>2833.333333333333</v>
      </c>
      <c r="BC31" s="40">
        <f t="shared" si="17"/>
        <v>0</v>
      </c>
      <c r="BF31" s="40">
        <f t="shared" si="18"/>
        <v>0</v>
      </c>
      <c r="BI31" s="40">
        <f t="shared" si="19"/>
        <v>0</v>
      </c>
      <c r="BL31" s="40">
        <f t="shared" si="20"/>
        <v>0</v>
      </c>
      <c r="BO31" s="40">
        <f t="shared" si="21"/>
        <v>0</v>
      </c>
      <c r="BR31" s="40">
        <f t="shared" si="22"/>
        <v>0</v>
      </c>
      <c r="BU31" s="40">
        <f t="shared" si="23"/>
        <v>0</v>
      </c>
      <c r="BX31" s="40">
        <f t="shared" si="24"/>
        <v>0</v>
      </c>
      <c r="CA31" s="40">
        <f t="shared" si="25"/>
        <v>0</v>
      </c>
      <c r="CD31" s="40">
        <f t="shared" si="26"/>
        <v>0</v>
      </c>
      <c r="CG31" s="40">
        <f t="shared" si="27"/>
        <v>0</v>
      </c>
      <c r="CJ31" s="40">
        <f t="shared" si="28"/>
        <v>0</v>
      </c>
      <c r="CM31" s="40">
        <f t="shared" si="29"/>
        <v>0</v>
      </c>
      <c r="CP31" s="40">
        <f t="shared" si="30"/>
        <v>0</v>
      </c>
      <c r="CS31" s="40">
        <f t="shared" si="31"/>
        <v>0</v>
      </c>
      <c r="CV31" s="40">
        <f t="shared" si="32"/>
        <v>0</v>
      </c>
      <c r="CY31" s="40">
        <f t="shared" si="33"/>
        <v>0</v>
      </c>
      <c r="DB31" s="40">
        <f t="shared" si="34"/>
        <v>0</v>
      </c>
      <c r="DE31" s="40">
        <f t="shared" si="35"/>
        <v>0</v>
      </c>
      <c r="DH31" s="40">
        <f t="shared" si="36"/>
        <v>0</v>
      </c>
      <c r="DK31" s="40">
        <f t="shared" si="37"/>
        <v>0</v>
      </c>
      <c r="DN31" s="40">
        <f t="shared" si="38"/>
        <v>0</v>
      </c>
      <c r="DQ31" s="40">
        <f t="shared" si="39"/>
        <v>0</v>
      </c>
      <c r="DT31" s="40">
        <f t="shared" si="40"/>
        <v>0</v>
      </c>
      <c r="DW31" s="40">
        <f t="shared" si="41"/>
        <v>0</v>
      </c>
      <c r="DZ31" s="40"/>
      <c r="EA31" s="40"/>
      <c r="EB31" s="75">
        <f t="shared" si="42"/>
        <v>274844000</v>
      </c>
      <c r="EC31" s="75">
        <f t="shared" si="43"/>
        <v>0</v>
      </c>
      <c r="ED31" s="40">
        <f t="shared" si="44"/>
        <v>16513.733333333334</v>
      </c>
      <c r="EE31" s="41">
        <f t="shared" si="45"/>
        <v>2.1630248431837699E-2</v>
      </c>
      <c r="EG31" s="75">
        <f t="shared" si="46"/>
        <v>0</v>
      </c>
      <c r="EH31" s="40">
        <f t="shared" si="47"/>
        <v>0</v>
      </c>
      <c r="EI31" s="41">
        <f t="shared" si="48"/>
        <v>0</v>
      </c>
      <c r="EJ31" s="41"/>
      <c r="EK31" s="75">
        <f t="shared" si="49"/>
        <v>274844000</v>
      </c>
      <c r="EL31" s="75">
        <f t="shared" si="50"/>
        <v>0</v>
      </c>
      <c r="EM31" s="75">
        <f t="shared" si="51"/>
        <v>16513.733333333334</v>
      </c>
      <c r="EN31" s="41">
        <f t="shared" si="52"/>
        <v>2.1630248431837699E-2</v>
      </c>
      <c r="EO31" s="40"/>
      <c r="EP31" s="40"/>
      <c r="EQ31" s="40"/>
    </row>
    <row r="32" spans="1:147" x14ac:dyDescent="0.25">
      <c r="A32" s="25">
        <v>44764</v>
      </c>
      <c r="B32" s="40">
        <v>0</v>
      </c>
      <c r="D32" s="40">
        <f t="shared" si="2"/>
        <v>0</v>
      </c>
      <c r="G32" s="40">
        <f t="shared" si="3"/>
        <v>0</v>
      </c>
      <c r="J32" s="40">
        <f t="shared" si="4"/>
        <v>0</v>
      </c>
      <c r="M32" s="40">
        <f t="shared" si="5"/>
        <v>0</v>
      </c>
      <c r="P32" s="40">
        <f t="shared" si="6"/>
        <v>0</v>
      </c>
      <c r="S32" s="40">
        <f t="shared" si="7"/>
        <v>0</v>
      </c>
      <c r="V32" s="40">
        <f t="shared" si="8"/>
        <v>0</v>
      </c>
      <c r="Y32" s="40">
        <f t="shared" si="9"/>
        <v>0</v>
      </c>
      <c r="AB32" s="40">
        <f t="shared" si="10"/>
        <v>0</v>
      </c>
      <c r="AE32" s="40">
        <v>0</v>
      </c>
      <c r="AH32" s="40">
        <v>0</v>
      </c>
      <c r="AI32" s="172">
        <f>56000000</f>
        <v>56000000</v>
      </c>
      <c r="AJ32" s="173">
        <v>1.8499999999999999E-2</v>
      </c>
      <c r="AK32" s="40">
        <f t="shared" si="11"/>
        <v>2877.7777777777778</v>
      </c>
      <c r="AL32" s="172">
        <f t="shared" si="53"/>
        <v>82475000</v>
      </c>
      <c r="AM32" s="173">
        <v>2.1000000000000001E-2</v>
      </c>
      <c r="AN32" s="40">
        <f t="shared" si="12"/>
        <v>4811.041666666667</v>
      </c>
      <c r="AO32" s="172">
        <v>1500000</v>
      </c>
      <c r="AP32" s="173">
        <v>2.4500000000000001E-2</v>
      </c>
      <c r="AQ32" s="40">
        <f t="shared" si="13"/>
        <v>102.08333333333333</v>
      </c>
      <c r="AR32" s="172">
        <f t="shared" si="54"/>
        <v>55000000</v>
      </c>
      <c r="AS32" s="173">
        <v>2.0500000000000001E-2</v>
      </c>
      <c r="AT32" s="40">
        <f t="shared" si="14"/>
        <v>3131.9444444444443</v>
      </c>
      <c r="AU32" s="172">
        <f t="shared" si="55"/>
        <v>34019000</v>
      </c>
      <c r="AV32" s="173">
        <v>2.5999999999999999E-2</v>
      </c>
      <c r="AW32" s="40">
        <f t="shared" si="15"/>
        <v>2456.9277777777779</v>
      </c>
      <c r="AX32" s="172">
        <f t="shared" si="56"/>
        <v>40000000</v>
      </c>
      <c r="AY32" s="173">
        <v>2.5499999999999998E-2</v>
      </c>
      <c r="AZ32" s="40">
        <f t="shared" si="16"/>
        <v>2833.333333333333</v>
      </c>
      <c r="BC32" s="40">
        <f t="shared" si="17"/>
        <v>0</v>
      </c>
      <c r="BF32" s="40">
        <f t="shared" si="18"/>
        <v>0</v>
      </c>
      <c r="BI32" s="40">
        <f t="shared" si="19"/>
        <v>0</v>
      </c>
      <c r="BL32" s="40">
        <f t="shared" si="20"/>
        <v>0</v>
      </c>
      <c r="BO32" s="40">
        <f t="shared" si="21"/>
        <v>0</v>
      </c>
      <c r="BR32" s="40">
        <f t="shared" si="22"/>
        <v>0</v>
      </c>
      <c r="BU32" s="40">
        <f t="shared" si="23"/>
        <v>0</v>
      </c>
      <c r="BX32" s="40">
        <f t="shared" si="24"/>
        <v>0</v>
      </c>
      <c r="CA32" s="40">
        <f t="shared" si="25"/>
        <v>0</v>
      </c>
      <c r="CD32" s="40">
        <f t="shared" si="26"/>
        <v>0</v>
      </c>
      <c r="CG32" s="40">
        <f t="shared" si="27"/>
        <v>0</v>
      </c>
      <c r="CJ32" s="40">
        <f t="shared" si="28"/>
        <v>0</v>
      </c>
      <c r="CM32" s="40">
        <f t="shared" si="29"/>
        <v>0</v>
      </c>
      <c r="CP32" s="40">
        <f t="shared" si="30"/>
        <v>0</v>
      </c>
      <c r="CS32" s="40">
        <f t="shared" si="31"/>
        <v>0</v>
      </c>
      <c r="CV32" s="40">
        <f t="shared" si="32"/>
        <v>0</v>
      </c>
      <c r="CY32" s="40">
        <f t="shared" si="33"/>
        <v>0</v>
      </c>
      <c r="DB32" s="40">
        <f t="shared" si="34"/>
        <v>0</v>
      </c>
      <c r="DE32" s="40">
        <f t="shared" si="35"/>
        <v>0</v>
      </c>
      <c r="DH32" s="40">
        <f t="shared" si="36"/>
        <v>0</v>
      </c>
      <c r="DK32" s="40">
        <f t="shared" si="37"/>
        <v>0</v>
      </c>
      <c r="DN32" s="40">
        <f t="shared" si="38"/>
        <v>0</v>
      </c>
      <c r="DQ32" s="40">
        <f t="shared" si="39"/>
        <v>0</v>
      </c>
      <c r="DT32" s="40">
        <f t="shared" si="40"/>
        <v>0</v>
      </c>
      <c r="DW32" s="40">
        <f t="shared" si="41"/>
        <v>0</v>
      </c>
      <c r="DZ32" s="40"/>
      <c r="EA32" s="40"/>
      <c r="EB32" s="75">
        <f t="shared" si="42"/>
        <v>268994000</v>
      </c>
      <c r="EC32" s="75">
        <f t="shared" si="43"/>
        <v>0</v>
      </c>
      <c r="ED32" s="40">
        <f t="shared" si="44"/>
        <v>16213.108333333334</v>
      </c>
      <c r="EE32" s="41">
        <f t="shared" si="45"/>
        <v>2.1698324126188689E-2</v>
      </c>
      <c r="EG32" s="75">
        <f t="shared" si="46"/>
        <v>0</v>
      </c>
      <c r="EH32" s="40">
        <f t="shared" si="47"/>
        <v>0</v>
      </c>
      <c r="EI32" s="41">
        <f t="shared" si="48"/>
        <v>0</v>
      </c>
      <c r="EJ32" s="41"/>
      <c r="EK32" s="75">
        <f t="shared" si="49"/>
        <v>268994000</v>
      </c>
      <c r="EL32" s="75">
        <f t="shared" si="50"/>
        <v>0</v>
      </c>
      <c r="EM32" s="75">
        <f t="shared" si="51"/>
        <v>16213.108333333334</v>
      </c>
      <c r="EN32" s="41">
        <f t="shared" si="52"/>
        <v>2.1698324126188689E-2</v>
      </c>
      <c r="EO32" s="40"/>
      <c r="EP32" s="40"/>
      <c r="EQ32" s="40"/>
    </row>
    <row r="33" spans="1:147" x14ac:dyDescent="0.25">
      <c r="A33" s="25">
        <v>44765</v>
      </c>
      <c r="B33" s="40">
        <v>0</v>
      </c>
      <c r="D33" s="40">
        <f t="shared" si="2"/>
        <v>0</v>
      </c>
      <c r="G33" s="40">
        <f t="shared" si="3"/>
        <v>0</v>
      </c>
      <c r="J33" s="40">
        <f t="shared" si="4"/>
        <v>0</v>
      </c>
      <c r="M33" s="40">
        <f t="shared" si="5"/>
        <v>0</v>
      </c>
      <c r="P33" s="40">
        <f t="shared" si="6"/>
        <v>0</v>
      </c>
      <c r="S33" s="40">
        <f t="shared" si="7"/>
        <v>0</v>
      </c>
      <c r="V33" s="40">
        <f t="shared" si="8"/>
        <v>0</v>
      </c>
      <c r="Y33" s="40">
        <f t="shared" si="9"/>
        <v>0</v>
      </c>
      <c r="AB33" s="40">
        <f t="shared" si="10"/>
        <v>0</v>
      </c>
      <c r="AE33" s="40">
        <v>0</v>
      </c>
      <c r="AH33" s="40">
        <v>0</v>
      </c>
      <c r="AI33" s="172">
        <f>56000000</f>
        <v>56000000</v>
      </c>
      <c r="AJ33" s="173">
        <v>1.8499999999999999E-2</v>
      </c>
      <c r="AK33" s="40">
        <f t="shared" si="11"/>
        <v>2877.7777777777778</v>
      </c>
      <c r="AL33" s="172">
        <f t="shared" si="53"/>
        <v>82475000</v>
      </c>
      <c r="AM33" s="173">
        <v>2.1000000000000001E-2</v>
      </c>
      <c r="AN33" s="40">
        <f t="shared" si="12"/>
        <v>4811.041666666667</v>
      </c>
      <c r="AO33" s="172">
        <v>1500000</v>
      </c>
      <c r="AP33" s="173">
        <v>2.4500000000000001E-2</v>
      </c>
      <c r="AQ33" s="40">
        <f t="shared" si="13"/>
        <v>102.08333333333333</v>
      </c>
      <c r="AR33" s="172">
        <f t="shared" si="54"/>
        <v>55000000</v>
      </c>
      <c r="AS33" s="173">
        <v>2.0500000000000001E-2</v>
      </c>
      <c r="AT33" s="40">
        <f t="shared" si="14"/>
        <v>3131.9444444444443</v>
      </c>
      <c r="AU33" s="172">
        <f t="shared" si="55"/>
        <v>34019000</v>
      </c>
      <c r="AV33" s="173">
        <v>2.5999999999999999E-2</v>
      </c>
      <c r="AW33" s="40">
        <f t="shared" si="15"/>
        <v>2456.9277777777779</v>
      </c>
      <c r="AX33" s="172">
        <f t="shared" si="56"/>
        <v>40000000</v>
      </c>
      <c r="AY33" s="173">
        <v>2.5499999999999998E-2</v>
      </c>
      <c r="AZ33" s="40">
        <f t="shared" si="16"/>
        <v>2833.333333333333</v>
      </c>
      <c r="BC33" s="40">
        <f t="shared" si="17"/>
        <v>0</v>
      </c>
      <c r="BF33" s="40">
        <f t="shared" si="18"/>
        <v>0</v>
      </c>
      <c r="BI33" s="40">
        <f t="shared" si="19"/>
        <v>0</v>
      </c>
      <c r="BL33" s="40">
        <f t="shared" si="20"/>
        <v>0</v>
      </c>
      <c r="BO33" s="40">
        <f t="shared" si="21"/>
        <v>0</v>
      </c>
      <c r="BR33" s="40">
        <f t="shared" si="22"/>
        <v>0</v>
      </c>
      <c r="BU33" s="40">
        <f t="shared" si="23"/>
        <v>0</v>
      </c>
      <c r="BX33" s="40">
        <f t="shared" si="24"/>
        <v>0</v>
      </c>
      <c r="CA33" s="40">
        <f t="shared" si="25"/>
        <v>0</v>
      </c>
      <c r="CD33" s="40">
        <f t="shared" si="26"/>
        <v>0</v>
      </c>
      <c r="CG33" s="40">
        <f t="shared" si="27"/>
        <v>0</v>
      </c>
      <c r="CJ33" s="40">
        <f t="shared" si="28"/>
        <v>0</v>
      </c>
      <c r="CM33" s="40">
        <f t="shared" si="29"/>
        <v>0</v>
      </c>
      <c r="CP33" s="40">
        <f t="shared" si="30"/>
        <v>0</v>
      </c>
      <c r="CS33" s="40">
        <f t="shared" si="31"/>
        <v>0</v>
      </c>
      <c r="CV33" s="40">
        <f t="shared" si="32"/>
        <v>0</v>
      </c>
      <c r="CY33" s="40">
        <f t="shared" si="33"/>
        <v>0</v>
      </c>
      <c r="DB33" s="40">
        <f t="shared" si="34"/>
        <v>0</v>
      </c>
      <c r="DE33" s="40">
        <f t="shared" si="35"/>
        <v>0</v>
      </c>
      <c r="DH33" s="40">
        <f t="shared" si="36"/>
        <v>0</v>
      </c>
      <c r="DK33" s="40">
        <f t="shared" si="37"/>
        <v>0</v>
      </c>
      <c r="DN33" s="40">
        <f t="shared" si="38"/>
        <v>0</v>
      </c>
      <c r="DQ33" s="40">
        <f t="shared" si="39"/>
        <v>0</v>
      </c>
      <c r="DT33" s="40">
        <f t="shared" si="40"/>
        <v>0</v>
      </c>
      <c r="DW33" s="40">
        <f t="shared" si="41"/>
        <v>0</v>
      </c>
      <c r="DZ33" s="40"/>
      <c r="EA33" s="40"/>
      <c r="EB33" s="75">
        <f t="shared" si="42"/>
        <v>268994000</v>
      </c>
      <c r="EC33" s="75">
        <f t="shared" si="43"/>
        <v>0</v>
      </c>
      <c r="ED33" s="40">
        <f t="shared" si="44"/>
        <v>16213.108333333334</v>
      </c>
      <c r="EE33" s="41">
        <f t="shared" si="45"/>
        <v>2.1698324126188689E-2</v>
      </c>
      <c r="EG33" s="75">
        <f t="shared" si="46"/>
        <v>0</v>
      </c>
      <c r="EH33" s="40">
        <f t="shared" si="47"/>
        <v>0</v>
      </c>
      <c r="EI33" s="41">
        <f t="shared" si="48"/>
        <v>0</v>
      </c>
      <c r="EJ33" s="41"/>
      <c r="EK33" s="75">
        <f t="shared" si="49"/>
        <v>268994000</v>
      </c>
      <c r="EL33" s="75">
        <f t="shared" si="50"/>
        <v>0</v>
      </c>
      <c r="EM33" s="75">
        <f t="shared" si="51"/>
        <v>16213.108333333334</v>
      </c>
      <c r="EN33" s="41">
        <f t="shared" si="52"/>
        <v>2.1698324126188689E-2</v>
      </c>
      <c r="EO33" s="40"/>
      <c r="EP33" s="40"/>
      <c r="EQ33" s="40"/>
    </row>
    <row r="34" spans="1:147" x14ac:dyDescent="0.25">
      <c r="A34" s="25">
        <v>44766</v>
      </c>
      <c r="B34" s="40">
        <v>0</v>
      </c>
      <c r="D34" s="40">
        <f t="shared" si="2"/>
        <v>0</v>
      </c>
      <c r="G34" s="40">
        <f t="shared" si="3"/>
        <v>0</v>
      </c>
      <c r="J34" s="40">
        <f t="shared" si="4"/>
        <v>0</v>
      </c>
      <c r="M34" s="40">
        <f t="shared" si="5"/>
        <v>0</v>
      </c>
      <c r="P34" s="40">
        <f t="shared" si="6"/>
        <v>0</v>
      </c>
      <c r="S34" s="40">
        <f t="shared" si="7"/>
        <v>0</v>
      </c>
      <c r="V34" s="40">
        <f t="shared" si="8"/>
        <v>0</v>
      </c>
      <c r="Y34" s="40">
        <f t="shared" si="9"/>
        <v>0</v>
      </c>
      <c r="AB34" s="40">
        <f t="shared" si="10"/>
        <v>0</v>
      </c>
      <c r="AE34" s="40">
        <v>0</v>
      </c>
      <c r="AH34" s="40">
        <v>0</v>
      </c>
      <c r="AI34" s="172">
        <f>56000000</f>
        <v>56000000</v>
      </c>
      <c r="AJ34" s="173">
        <v>1.8499999999999999E-2</v>
      </c>
      <c r="AK34" s="40">
        <f t="shared" si="11"/>
        <v>2877.7777777777778</v>
      </c>
      <c r="AL34" s="172">
        <f t="shared" si="53"/>
        <v>82475000</v>
      </c>
      <c r="AM34" s="173">
        <v>2.1000000000000001E-2</v>
      </c>
      <c r="AN34" s="40">
        <f t="shared" si="12"/>
        <v>4811.041666666667</v>
      </c>
      <c r="AO34" s="172">
        <v>1500000</v>
      </c>
      <c r="AP34" s="173">
        <v>2.4500000000000001E-2</v>
      </c>
      <c r="AQ34" s="40">
        <f t="shared" si="13"/>
        <v>102.08333333333333</v>
      </c>
      <c r="AR34" s="172">
        <f t="shared" si="54"/>
        <v>55000000</v>
      </c>
      <c r="AS34" s="173">
        <v>2.0500000000000001E-2</v>
      </c>
      <c r="AT34" s="40">
        <f t="shared" si="14"/>
        <v>3131.9444444444443</v>
      </c>
      <c r="AU34" s="172">
        <f t="shared" si="55"/>
        <v>34019000</v>
      </c>
      <c r="AV34" s="173">
        <v>2.5999999999999999E-2</v>
      </c>
      <c r="AW34" s="40">
        <f t="shared" si="15"/>
        <v>2456.9277777777779</v>
      </c>
      <c r="AX34" s="172">
        <f t="shared" si="56"/>
        <v>40000000</v>
      </c>
      <c r="AY34" s="173">
        <v>2.5499999999999998E-2</v>
      </c>
      <c r="AZ34" s="40">
        <f t="shared" si="16"/>
        <v>2833.333333333333</v>
      </c>
      <c r="BC34" s="40">
        <f t="shared" si="17"/>
        <v>0</v>
      </c>
      <c r="BF34" s="40">
        <f t="shared" si="18"/>
        <v>0</v>
      </c>
      <c r="BI34" s="40">
        <f t="shared" si="19"/>
        <v>0</v>
      </c>
      <c r="BL34" s="40">
        <f t="shared" si="20"/>
        <v>0</v>
      </c>
      <c r="BO34" s="40">
        <f t="shared" si="21"/>
        <v>0</v>
      </c>
      <c r="BR34" s="40">
        <f t="shared" si="22"/>
        <v>0</v>
      </c>
      <c r="BU34" s="40">
        <f t="shared" si="23"/>
        <v>0</v>
      </c>
      <c r="BX34" s="40">
        <f t="shared" si="24"/>
        <v>0</v>
      </c>
      <c r="CA34" s="40">
        <f t="shared" si="25"/>
        <v>0</v>
      </c>
      <c r="CD34" s="40">
        <f t="shared" si="26"/>
        <v>0</v>
      </c>
      <c r="CG34" s="40">
        <f t="shared" si="27"/>
        <v>0</v>
      </c>
      <c r="CJ34" s="40">
        <f t="shared" si="28"/>
        <v>0</v>
      </c>
      <c r="CM34" s="40">
        <f t="shared" si="29"/>
        <v>0</v>
      </c>
      <c r="CP34" s="40">
        <f t="shared" si="30"/>
        <v>0</v>
      </c>
      <c r="CS34" s="40">
        <f t="shared" si="31"/>
        <v>0</v>
      </c>
      <c r="CV34" s="40">
        <f t="shared" si="32"/>
        <v>0</v>
      </c>
      <c r="CY34" s="40">
        <f t="shared" si="33"/>
        <v>0</v>
      </c>
      <c r="DB34" s="40">
        <f t="shared" si="34"/>
        <v>0</v>
      </c>
      <c r="DE34" s="40">
        <f t="shared" si="35"/>
        <v>0</v>
      </c>
      <c r="DH34" s="40">
        <f t="shared" si="36"/>
        <v>0</v>
      </c>
      <c r="DK34" s="40">
        <f t="shared" si="37"/>
        <v>0</v>
      </c>
      <c r="DN34" s="40">
        <f t="shared" si="38"/>
        <v>0</v>
      </c>
      <c r="DQ34" s="40">
        <f t="shared" si="39"/>
        <v>0</v>
      </c>
      <c r="DT34" s="40">
        <f t="shared" si="40"/>
        <v>0</v>
      </c>
      <c r="DW34" s="40">
        <f t="shared" si="41"/>
        <v>0</v>
      </c>
      <c r="DZ34" s="40"/>
      <c r="EA34" s="40"/>
      <c r="EB34" s="75">
        <f t="shared" si="42"/>
        <v>268994000</v>
      </c>
      <c r="EC34" s="75">
        <f t="shared" si="43"/>
        <v>0</v>
      </c>
      <c r="ED34" s="40">
        <f t="shared" si="44"/>
        <v>16213.108333333334</v>
      </c>
      <c r="EE34" s="41">
        <f t="shared" si="45"/>
        <v>2.1698324126188689E-2</v>
      </c>
      <c r="EG34" s="75">
        <f t="shared" si="46"/>
        <v>0</v>
      </c>
      <c r="EH34" s="40">
        <f t="shared" si="47"/>
        <v>0</v>
      </c>
      <c r="EI34" s="41">
        <f t="shared" si="48"/>
        <v>0</v>
      </c>
      <c r="EJ34" s="41"/>
      <c r="EK34" s="75">
        <f t="shared" si="49"/>
        <v>268994000</v>
      </c>
      <c r="EL34" s="75">
        <f t="shared" si="50"/>
        <v>0</v>
      </c>
      <c r="EM34" s="75">
        <f t="shared" si="51"/>
        <v>16213.108333333334</v>
      </c>
      <c r="EN34" s="41">
        <f t="shared" si="52"/>
        <v>2.1698324126188689E-2</v>
      </c>
      <c r="EO34" s="40"/>
      <c r="EP34" s="40"/>
      <c r="EQ34" s="40"/>
    </row>
    <row r="35" spans="1:147" x14ac:dyDescent="0.25">
      <c r="A35" s="25">
        <v>44767</v>
      </c>
      <c r="B35" s="40">
        <v>0</v>
      </c>
      <c r="D35" s="40">
        <f t="shared" si="2"/>
        <v>0</v>
      </c>
      <c r="G35" s="40">
        <f t="shared" si="3"/>
        <v>0</v>
      </c>
      <c r="J35" s="40">
        <f t="shared" si="4"/>
        <v>0</v>
      </c>
      <c r="M35" s="40">
        <f t="shared" si="5"/>
        <v>0</v>
      </c>
      <c r="P35" s="40">
        <f t="shared" si="6"/>
        <v>0</v>
      </c>
      <c r="S35" s="40">
        <f t="shared" si="7"/>
        <v>0</v>
      </c>
      <c r="V35" s="40">
        <f t="shared" si="8"/>
        <v>0</v>
      </c>
      <c r="Y35" s="40">
        <f t="shared" si="9"/>
        <v>0</v>
      </c>
      <c r="AB35" s="40">
        <f t="shared" si="10"/>
        <v>0</v>
      </c>
      <c r="AE35" s="40">
        <v>0</v>
      </c>
      <c r="AH35" s="40">
        <v>0</v>
      </c>
      <c r="AI35" s="172">
        <f>73700000</f>
        <v>73700000</v>
      </c>
      <c r="AJ35" s="173">
        <v>1.8499999999999999E-2</v>
      </c>
      <c r="AK35" s="40">
        <f t="shared" si="11"/>
        <v>3787.3611111111113</v>
      </c>
      <c r="AL35" s="172">
        <f t="shared" si="53"/>
        <v>82475000</v>
      </c>
      <c r="AM35" s="173">
        <v>2.1000000000000001E-2</v>
      </c>
      <c r="AN35" s="40">
        <f t="shared" si="12"/>
        <v>4811.041666666667</v>
      </c>
      <c r="AO35" s="172">
        <v>1500000</v>
      </c>
      <c r="AP35" s="173">
        <v>2.4500000000000001E-2</v>
      </c>
      <c r="AQ35" s="40">
        <f t="shared" si="13"/>
        <v>102.08333333333333</v>
      </c>
      <c r="AR35" s="172">
        <f t="shared" si="54"/>
        <v>55000000</v>
      </c>
      <c r="AS35" s="173">
        <v>2.0500000000000001E-2</v>
      </c>
      <c r="AT35" s="40">
        <f t="shared" si="14"/>
        <v>3131.9444444444443</v>
      </c>
      <c r="AU35" s="172">
        <f t="shared" si="55"/>
        <v>34019000</v>
      </c>
      <c r="AV35" s="173">
        <v>2.5999999999999999E-2</v>
      </c>
      <c r="AW35" s="40">
        <f t="shared" si="15"/>
        <v>2456.9277777777779</v>
      </c>
      <c r="AX35" s="172">
        <f t="shared" si="56"/>
        <v>40000000</v>
      </c>
      <c r="AY35" s="173">
        <v>2.5499999999999998E-2</v>
      </c>
      <c r="AZ35" s="40">
        <f t="shared" si="16"/>
        <v>2833.333333333333</v>
      </c>
      <c r="BC35" s="40">
        <f t="shared" si="17"/>
        <v>0</v>
      </c>
      <c r="BF35" s="40">
        <f t="shared" si="18"/>
        <v>0</v>
      </c>
      <c r="BI35" s="40">
        <f t="shared" si="19"/>
        <v>0</v>
      </c>
      <c r="BL35" s="40">
        <f t="shared" si="20"/>
        <v>0</v>
      </c>
      <c r="BO35" s="40">
        <f t="shared" si="21"/>
        <v>0</v>
      </c>
      <c r="BR35" s="40">
        <f t="shared" si="22"/>
        <v>0</v>
      </c>
      <c r="BU35" s="40">
        <f t="shared" si="23"/>
        <v>0</v>
      </c>
      <c r="BX35" s="40">
        <f t="shared" si="24"/>
        <v>0</v>
      </c>
      <c r="CA35" s="40">
        <f t="shared" si="25"/>
        <v>0</v>
      </c>
      <c r="CD35" s="40">
        <f t="shared" si="26"/>
        <v>0</v>
      </c>
      <c r="CG35" s="40">
        <f t="shared" si="27"/>
        <v>0</v>
      </c>
      <c r="CJ35" s="40">
        <f t="shared" si="28"/>
        <v>0</v>
      </c>
      <c r="CM35" s="40">
        <f t="shared" si="29"/>
        <v>0</v>
      </c>
      <c r="CP35" s="40">
        <f t="shared" si="30"/>
        <v>0</v>
      </c>
      <c r="CS35" s="40">
        <f t="shared" si="31"/>
        <v>0</v>
      </c>
      <c r="CV35" s="40">
        <f t="shared" si="32"/>
        <v>0</v>
      </c>
      <c r="CY35" s="40">
        <f t="shared" si="33"/>
        <v>0</v>
      </c>
      <c r="DB35" s="40">
        <f t="shared" si="34"/>
        <v>0</v>
      </c>
      <c r="DE35" s="40">
        <f t="shared" si="35"/>
        <v>0</v>
      </c>
      <c r="DH35" s="40">
        <f t="shared" si="36"/>
        <v>0</v>
      </c>
      <c r="DK35" s="40">
        <f t="shared" si="37"/>
        <v>0</v>
      </c>
      <c r="DN35" s="40">
        <f t="shared" si="38"/>
        <v>0</v>
      </c>
      <c r="DQ35" s="40">
        <f t="shared" si="39"/>
        <v>0</v>
      </c>
      <c r="DT35" s="40">
        <f t="shared" si="40"/>
        <v>0</v>
      </c>
      <c r="DW35" s="40">
        <f t="shared" si="41"/>
        <v>0</v>
      </c>
      <c r="DZ35" s="40"/>
      <c r="EA35" s="40"/>
      <c r="EB35" s="75">
        <f t="shared" si="42"/>
        <v>286694000</v>
      </c>
      <c r="EC35" s="75">
        <f t="shared" si="43"/>
        <v>0</v>
      </c>
      <c r="ED35" s="40">
        <f t="shared" si="44"/>
        <v>17122.691666666666</v>
      </c>
      <c r="EE35" s="41">
        <f t="shared" si="45"/>
        <v>2.1500865033799103E-2</v>
      </c>
      <c r="EG35" s="75">
        <f t="shared" si="46"/>
        <v>0</v>
      </c>
      <c r="EH35" s="40">
        <f t="shared" si="47"/>
        <v>0</v>
      </c>
      <c r="EI35" s="41">
        <f t="shared" si="48"/>
        <v>0</v>
      </c>
      <c r="EJ35" s="41"/>
      <c r="EK35" s="75">
        <f t="shared" si="49"/>
        <v>286694000</v>
      </c>
      <c r="EL35" s="75">
        <f t="shared" si="50"/>
        <v>0</v>
      </c>
      <c r="EM35" s="75">
        <f t="shared" si="51"/>
        <v>17122.691666666666</v>
      </c>
      <c r="EN35" s="41">
        <f t="shared" si="52"/>
        <v>2.1500865033799103E-2</v>
      </c>
      <c r="EO35" s="40"/>
      <c r="EP35" s="40"/>
      <c r="EQ35" s="40"/>
    </row>
    <row r="36" spans="1:147" x14ac:dyDescent="0.25">
      <c r="A36" s="25">
        <v>44768</v>
      </c>
      <c r="B36" s="40">
        <v>0</v>
      </c>
      <c r="D36" s="40">
        <f t="shared" si="2"/>
        <v>0</v>
      </c>
      <c r="G36" s="40">
        <f t="shared" si="3"/>
        <v>0</v>
      </c>
      <c r="J36" s="40">
        <f t="shared" si="4"/>
        <v>0</v>
      </c>
      <c r="M36" s="40">
        <f t="shared" si="5"/>
        <v>0</v>
      </c>
      <c r="P36" s="40">
        <f t="shared" si="6"/>
        <v>0</v>
      </c>
      <c r="S36" s="40">
        <f t="shared" si="7"/>
        <v>0</v>
      </c>
      <c r="V36" s="40">
        <f t="shared" si="8"/>
        <v>0</v>
      </c>
      <c r="Y36" s="40">
        <f t="shared" si="9"/>
        <v>0</v>
      </c>
      <c r="AB36" s="40">
        <f t="shared" si="10"/>
        <v>0</v>
      </c>
      <c r="AE36" s="40">
        <v>0</v>
      </c>
      <c r="AH36" s="40">
        <v>0</v>
      </c>
      <c r="AI36" s="172">
        <f>63425000</f>
        <v>63425000</v>
      </c>
      <c r="AJ36" s="173">
        <v>1.8499999999999999E-2</v>
      </c>
      <c r="AK36" s="40">
        <f t="shared" si="11"/>
        <v>3259.3402777777778</v>
      </c>
      <c r="AL36" s="172">
        <f t="shared" si="53"/>
        <v>82475000</v>
      </c>
      <c r="AM36" s="173">
        <v>2.1000000000000001E-2</v>
      </c>
      <c r="AN36" s="40">
        <f t="shared" si="12"/>
        <v>4811.041666666667</v>
      </c>
      <c r="AO36" s="172">
        <v>1500000</v>
      </c>
      <c r="AP36" s="173">
        <v>2.4500000000000001E-2</v>
      </c>
      <c r="AQ36" s="40">
        <f t="shared" si="13"/>
        <v>102.08333333333333</v>
      </c>
      <c r="AR36" s="172">
        <f t="shared" si="54"/>
        <v>55000000</v>
      </c>
      <c r="AS36" s="173">
        <v>2.0500000000000001E-2</v>
      </c>
      <c r="AT36" s="40">
        <f t="shared" si="14"/>
        <v>3131.9444444444443</v>
      </c>
      <c r="AU36" s="172">
        <f t="shared" si="55"/>
        <v>34019000</v>
      </c>
      <c r="AV36" s="173">
        <v>2.5999999999999999E-2</v>
      </c>
      <c r="AW36" s="40">
        <f t="shared" si="15"/>
        <v>2456.9277777777779</v>
      </c>
      <c r="AX36" s="172">
        <f t="shared" si="56"/>
        <v>40000000</v>
      </c>
      <c r="AY36" s="173">
        <v>2.5499999999999998E-2</v>
      </c>
      <c r="AZ36" s="40">
        <f t="shared" si="16"/>
        <v>2833.333333333333</v>
      </c>
      <c r="BC36" s="40">
        <f t="shared" si="17"/>
        <v>0</v>
      </c>
      <c r="BF36" s="40">
        <f t="shared" si="18"/>
        <v>0</v>
      </c>
      <c r="BI36" s="40">
        <f t="shared" si="19"/>
        <v>0</v>
      </c>
      <c r="BL36" s="40">
        <f t="shared" si="20"/>
        <v>0</v>
      </c>
      <c r="BO36" s="40">
        <f t="shared" si="21"/>
        <v>0</v>
      </c>
      <c r="BR36" s="40">
        <f t="shared" si="22"/>
        <v>0</v>
      </c>
      <c r="BU36" s="40">
        <f t="shared" si="23"/>
        <v>0</v>
      </c>
      <c r="BX36" s="40">
        <f t="shared" si="24"/>
        <v>0</v>
      </c>
      <c r="CA36" s="40">
        <f t="shared" si="25"/>
        <v>0</v>
      </c>
      <c r="CD36" s="40">
        <f t="shared" si="26"/>
        <v>0</v>
      </c>
      <c r="CG36" s="40">
        <f t="shared" si="27"/>
        <v>0</v>
      </c>
      <c r="CJ36" s="40">
        <f t="shared" si="28"/>
        <v>0</v>
      </c>
      <c r="CM36" s="40">
        <f t="shared" si="29"/>
        <v>0</v>
      </c>
      <c r="CP36" s="40">
        <f t="shared" si="30"/>
        <v>0</v>
      </c>
      <c r="CS36" s="40">
        <f t="shared" si="31"/>
        <v>0</v>
      </c>
      <c r="CV36" s="40">
        <f t="shared" si="32"/>
        <v>0</v>
      </c>
      <c r="CY36" s="40">
        <f t="shared" si="33"/>
        <v>0</v>
      </c>
      <c r="DB36" s="40">
        <f t="shared" si="34"/>
        <v>0</v>
      </c>
      <c r="DE36" s="40">
        <f t="shared" si="35"/>
        <v>0</v>
      </c>
      <c r="DH36" s="40">
        <f t="shared" si="36"/>
        <v>0</v>
      </c>
      <c r="DK36" s="40">
        <f t="shared" si="37"/>
        <v>0</v>
      </c>
      <c r="DN36" s="40">
        <f t="shared" si="38"/>
        <v>0</v>
      </c>
      <c r="DQ36" s="40">
        <f t="shared" si="39"/>
        <v>0</v>
      </c>
      <c r="DT36" s="40">
        <f t="shared" si="40"/>
        <v>0</v>
      </c>
      <c r="DW36" s="40">
        <f t="shared" si="41"/>
        <v>0</v>
      </c>
      <c r="DZ36" s="40"/>
      <c r="EA36" s="40"/>
      <c r="EB36" s="75">
        <f t="shared" si="42"/>
        <v>276419000</v>
      </c>
      <c r="EC36" s="75">
        <f t="shared" si="43"/>
        <v>0</v>
      </c>
      <c r="ED36" s="40">
        <f t="shared" si="44"/>
        <v>16594.670833333334</v>
      </c>
      <c r="EE36" s="41">
        <f t="shared" si="45"/>
        <v>2.1612412677854995E-2</v>
      </c>
      <c r="EG36" s="75">
        <f t="shared" si="46"/>
        <v>0</v>
      </c>
      <c r="EH36" s="40">
        <f t="shared" si="47"/>
        <v>0</v>
      </c>
      <c r="EI36" s="41">
        <f t="shared" si="48"/>
        <v>0</v>
      </c>
      <c r="EJ36" s="41"/>
      <c r="EK36" s="75">
        <f t="shared" si="49"/>
        <v>276419000</v>
      </c>
      <c r="EL36" s="75">
        <f t="shared" si="50"/>
        <v>0</v>
      </c>
      <c r="EM36" s="75">
        <f t="shared" si="51"/>
        <v>16594.670833333334</v>
      </c>
      <c r="EN36" s="41">
        <f t="shared" si="52"/>
        <v>2.1612412677854995E-2</v>
      </c>
      <c r="EO36" s="40"/>
      <c r="EP36" s="40"/>
      <c r="EQ36" s="40"/>
    </row>
    <row r="37" spans="1:147" x14ac:dyDescent="0.25">
      <c r="A37" s="25">
        <v>44769</v>
      </c>
      <c r="B37" s="40">
        <v>0</v>
      </c>
      <c r="D37" s="40">
        <f t="shared" si="2"/>
        <v>0</v>
      </c>
      <c r="G37" s="40">
        <f t="shared" si="3"/>
        <v>0</v>
      </c>
      <c r="J37" s="40">
        <f t="shared" si="4"/>
        <v>0</v>
      </c>
      <c r="M37" s="40">
        <f t="shared" si="5"/>
        <v>0</v>
      </c>
      <c r="P37" s="40">
        <f t="shared" si="6"/>
        <v>0</v>
      </c>
      <c r="S37" s="40">
        <f t="shared" si="7"/>
        <v>0</v>
      </c>
      <c r="V37" s="40">
        <f t="shared" si="8"/>
        <v>0</v>
      </c>
      <c r="Y37" s="40">
        <f t="shared" si="9"/>
        <v>0</v>
      </c>
      <c r="AB37" s="40">
        <f t="shared" si="10"/>
        <v>0</v>
      </c>
      <c r="AE37" s="40">
        <v>0</v>
      </c>
      <c r="AH37" s="40">
        <v>0</v>
      </c>
      <c r="AI37" s="172">
        <f>58300000</f>
        <v>58300000</v>
      </c>
      <c r="AJ37" s="173">
        <v>1.8499999999999999E-2</v>
      </c>
      <c r="AK37" s="40">
        <f t="shared" si="11"/>
        <v>2995.9722222222222</v>
      </c>
      <c r="AL37" s="172">
        <f t="shared" si="53"/>
        <v>82475000</v>
      </c>
      <c r="AM37" s="173">
        <v>2.1000000000000001E-2</v>
      </c>
      <c r="AN37" s="40">
        <f t="shared" si="12"/>
        <v>4811.041666666667</v>
      </c>
      <c r="AO37" s="172">
        <v>1500000</v>
      </c>
      <c r="AP37" s="173">
        <v>2.4500000000000001E-2</v>
      </c>
      <c r="AQ37" s="40">
        <f t="shared" si="13"/>
        <v>102.08333333333333</v>
      </c>
      <c r="AR37" s="172">
        <f t="shared" si="54"/>
        <v>55000000</v>
      </c>
      <c r="AS37" s="173">
        <v>2.0500000000000001E-2</v>
      </c>
      <c r="AT37" s="40">
        <f t="shared" si="14"/>
        <v>3131.9444444444443</v>
      </c>
      <c r="AU37" s="172">
        <f t="shared" si="55"/>
        <v>34019000</v>
      </c>
      <c r="AV37" s="173">
        <v>2.5999999999999999E-2</v>
      </c>
      <c r="AW37" s="40">
        <f t="shared" si="15"/>
        <v>2456.9277777777779</v>
      </c>
      <c r="AX37" s="172">
        <f t="shared" si="56"/>
        <v>40000000</v>
      </c>
      <c r="AY37" s="173">
        <v>2.5499999999999998E-2</v>
      </c>
      <c r="AZ37" s="40">
        <f t="shared" si="16"/>
        <v>2833.333333333333</v>
      </c>
      <c r="BC37" s="40">
        <f t="shared" si="17"/>
        <v>0</v>
      </c>
      <c r="BF37" s="40">
        <f t="shared" si="18"/>
        <v>0</v>
      </c>
      <c r="BI37" s="40">
        <f t="shared" si="19"/>
        <v>0</v>
      </c>
      <c r="BL37" s="40">
        <f t="shared" si="20"/>
        <v>0</v>
      </c>
      <c r="BO37" s="40">
        <f t="shared" si="21"/>
        <v>0</v>
      </c>
      <c r="BR37" s="40">
        <f t="shared" si="22"/>
        <v>0</v>
      </c>
      <c r="BU37" s="40">
        <f t="shared" si="23"/>
        <v>0</v>
      </c>
      <c r="BX37" s="40">
        <f t="shared" si="24"/>
        <v>0</v>
      </c>
      <c r="CA37" s="40">
        <f t="shared" si="25"/>
        <v>0</v>
      </c>
      <c r="CD37" s="40">
        <f t="shared" si="26"/>
        <v>0</v>
      </c>
      <c r="CG37" s="40">
        <f t="shared" si="27"/>
        <v>0</v>
      </c>
      <c r="CJ37" s="40">
        <f t="shared" si="28"/>
        <v>0</v>
      </c>
      <c r="CM37" s="40">
        <f t="shared" si="29"/>
        <v>0</v>
      </c>
      <c r="CP37" s="40">
        <f t="shared" si="30"/>
        <v>0</v>
      </c>
      <c r="CS37" s="40">
        <f t="shared" si="31"/>
        <v>0</v>
      </c>
      <c r="CV37" s="40">
        <f t="shared" si="32"/>
        <v>0</v>
      </c>
      <c r="CY37" s="40">
        <f t="shared" si="33"/>
        <v>0</v>
      </c>
      <c r="DB37" s="40">
        <f t="shared" si="34"/>
        <v>0</v>
      </c>
      <c r="DE37" s="40">
        <f t="shared" si="35"/>
        <v>0</v>
      </c>
      <c r="DH37" s="40">
        <f t="shared" si="36"/>
        <v>0</v>
      </c>
      <c r="DK37" s="40">
        <f t="shared" si="37"/>
        <v>0</v>
      </c>
      <c r="DN37" s="40">
        <f t="shared" si="38"/>
        <v>0</v>
      </c>
      <c r="DQ37" s="40">
        <f t="shared" si="39"/>
        <v>0</v>
      </c>
      <c r="DT37" s="40">
        <f t="shared" si="40"/>
        <v>0</v>
      </c>
      <c r="DW37" s="40">
        <f t="shared" si="41"/>
        <v>0</v>
      </c>
      <c r="DZ37" s="40"/>
      <c r="EA37" s="40"/>
      <c r="EB37" s="75">
        <f t="shared" si="42"/>
        <v>271294000</v>
      </c>
      <c r="EC37" s="75">
        <f t="shared" si="43"/>
        <v>0</v>
      </c>
      <c r="ED37" s="40">
        <f t="shared" si="44"/>
        <v>16331.302777777775</v>
      </c>
      <c r="EE37" s="41">
        <f t="shared" si="45"/>
        <v>2.1671209094193015E-2</v>
      </c>
      <c r="EG37" s="75">
        <f t="shared" si="46"/>
        <v>0</v>
      </c>
      <c r="EH37" s="40">
        <f t="shared" si="47"/>
        <v>0</v>
      </c>
      <c r="EI37" s="41">
        <f t="shared" si="48"/>
        <v>0</v>
      </c>
      <c r="EJ37" s="41"/>
      <c r="EK37" s="75">
        <f t="shared" si="49"/>
        <v>271294000</v>
      </c>
      <c r="EL37" s="75">
        <f t="shared" si="50"/>
        <v>0</v>
      </c>
      <c r="EM37" s="75">
        <f t="shared" si="51"/>
        <v>16331.302777777779</v>
      </c>
      <c r="EN37" s="41">
        <f t="shared" si="52"/>
        <v>2.1671209094193018E-2</v>
      </c>
      <c r="EO37" s="40"/>
      <c r="EP37" s="40"/>
      <c r="EQ37" s="40"/>
    </row>
    <row r="38" spans="1:147" x14ac:dyDescent="0.25">
      <c r="A38" s="25">
        <v>44770</v>
      </c>
      <c r="B38" s="40">
        <v>0</v>
      </c>
      <c r="D38" s="40">
        <f t="shared" si="2"/>
        <v>0</v>
      </c>
      <c r="G38" s="40">
        <f t="shared" si="3"/>
        <v>0</v>
      </c>
      <c r="J38" s="40">
        <f t="shared" si="4"/>
        <v>0</v>
      </c>
      <c r="M38" s="40">
        <f t="shared" si="5"/>
        <v>0</v>
      </c>
      <c r="P38" s="40">
        <f t="shared" si="6"/>
        <v>0</v>
      </c>
      <c r="S38" s="40">
        <f t="shared" si="7"/>
        <v>0</v>
      </c>
      <c r="V38" s="40">
        <f t="shared" si="8"/>
        <v>0</v>
      </c>
      <c r="Y38" s="40">
        <f t="shared" si="9"/>
        <v>0</v>
      </c>
      <c r="AB38" s="40">
        <f t="shared" si="10"/>
        <v>0</v>
      </c>
      <c r="AE38" s="40">
        <v>0</v>
      </c>
      <c r="AH38" s="40">
        <v>0</v>
      </c>
      <c r="AI38" s="172">
        <f>45400000+68000000</f>
        <v>113400000</v>
      </c>
      <c r="AJ38" s="173">
        <v>2.5999999999999999E-2</v>
      </c>
      <c r="AK38" s="40">
        <f t="shared" si="11"/>
        <v>8190</v>
      </c>
      <c r="AL38" s="172">
        <f t="shared" si="53"/>
        <v>82475000</v>
      </c>
      <c r="AM38" s="173">
        <v>2.1000000000000001E-2</v>
      </c>
      <c r="AN38" s="40">
        <f t="shared" si="12"/>
        <v>4811.041666666667</v>
      </c>
      <c r="AO38" s="172">
        <v>1500000</v>
      </c>
      <c r="AP38" s="173">
        <v>2.4500000000000001E-2</v>
      </c>
      <c r="AQ38" s="40">
        <f t="shared" si="13"/>
        <v>102.08333333333333</v>
      </c>
      <c r="AR38" s="172"/>
      <c r="AS38" s="173"/>
      <c r="AT38" s="40">
        <f t="shared" si="14"/>
        <v>0</v>
      </c>
      <c r="AU38" s="172">
        <f t="shared" si="55"/>
        <v>34019000</v>
      </c>
      <c r="AV38" s="173">
        <v>2.5999999999999999E-2</v>
      </c>
      <c r="AW38" s="40">
        <f t="shared" si="15"/>
        <v>2456.9277777777779</v>
      </c>
      <c r="AX38" s="172">
        <f t="shared" si="56"/>
        <v>40000000</v>
      </c>
      <c r="AY38" s="173">
        <v>2.5499999999999998E-2</v>
      </c>
      <c r="AZ38" s="40">
        <f t="shared" si="16"/>
        <v>2833.333333333333</v>
      </c>
      <c r="BC38" s="40">
        <f t="shared" si="17"/>
        <v>0</v>
      </c>
      <c r="BF38" s="40">
        <f t="shared" si="18"/>
        <v>0</v>
      </c>
      <c r="BI38" s="40">
        <f t="shared" si="19"/>
        <v>0</v>
      </c>
      <c r="BL38" s="40">
        <f t="shared" si="20"/>
        <v>0</v>
      </c>
      <c r="BO38" s="40">
        <f t="shared" si="21"/>
        <v>0</v>
      </c>
      <c r="BR38" s="40">
        <f t="shared" si="22"/>
        <v>0</v>
      </c>
      <c r="BU38" s="40">
        <f t="shared" si="23"/>
        <v>0</v>
      </c>
      <c r="BX38" s="40">
        <f t="shared" si="24"/>
        <v>0</v>
      </c>
      <c r="CA38" s="40">
        <f t="shared" si="25"/>
        <v>0</v>
      </c>
      <c r="CD38" s="40">
        <f t="shared" si="26"/>
        <v>0</v>
      </c>
      <c r="CG38" s="40">
        <f t="shared" si="27"/>
        <v>0</v>
      </c>
      <c r="CJ38" s="40">
        <f t="shared" si="28"/>
        <v>0</v>
      </c>
      <c r="CM38" s="40">
        <f t="shared" si="29"/>
        <v>0</v>
      </c>
      <c r="CP38" s="40">
        <f t="shared" si="30"/>
        <v>0</v>
      </c>
      <c r="CS38" s="40">
        <f t="shared" si="31"/>
        <v>0</v>
      </c>
      <c r="CV38" s="40">
        <f t="shared" si="32"/>
        <v>0</v>
      </c>
      <c r="CY38" s="40">
        <f t="shared" si="33"/>
        <v>0</v>
      </c>
      <c r="DB38" s="40">
        <f t="shared" si="34"/>
        <v>0</v>
      </c>
      <c r="DE38" s="40">
        <f t="shared" si="35"/>
        <v>0</v>
      </c>
      <c r="DH38" s="40">
        <f t="shared" si="36"/>
        <v>0</v>
      </c>
      <c r="DK38" s="40">
        <f t="shared" si="37"/>
        <v>0</v>
      </c>
      <c r="DN38" s="40">
        <f t="shared" si="38"/>
        <v>0</v>
      </c>
      <c r="DQ38" s="40">
        <f t="shared" si="39"/>
        <v>0</v>
      </c>
      <c r="DT38" s="40">
        <f t="shared" si="40"/>
        <v>0</v>
      </c>
      <c r="DW38" s="40">
        <f t="shared" si="41"/>
        <v>0</v>
      </c>
      <c r="DZ38" s="40"/>
      <c r="EA38" s="40"/>
      <c r="EB38" s="75">
        <f t="shared" si="42"/>
        <v>271394000</v>
      </c>
      <c r="EC38" s="75">
        <f t="shared" si="43"/>
        <v>0</v>
      </c>
      <c r="ED38" s="40">
        <f t="shared" si="44"/>
        <v>18393.386111111111</v>
      </c>
      <c r="EE38" s="41">
        <f t="shared" si="45"/>
        <v>2.4398546025335859E-2</v>
      </c>
      <c r="EG38" s="75">
        <f t="shared" si="46"/>
        <v>0</v>
      </c>
      <c r="EH38" s="40">
        <f t="shared" si="47"/>
        <v>0</v>
      </c>
      <c r="EI38" s="41">
        <f t="shared" si="48"/>
        <v>0</v>
      </c>
      <c r="EJ38" s="41"/>
      <c r="EK38" s="75">
        <f t="shared" si="49"/>
        <v>271394000</v>
      </c>
      <c r="EL38" s="75">
        <f t="shared" si="50"/>
        <v>0</v>
      </c>
      <c r="EM38" s="75">
        <f t="shared" si="51"/>
        <v>18393.386111111111</v>
      </c>
      <c r="EN38" s="41">
        <f t="shared" si="52"/>
        <v>2.4398546025335859E-2</v>
      </c>
      <c r="EO38" s="40"/>
      <c r="EP38" s="40"/>
      <c r="EQ38" s="40"/>
    </row>
    <row r="39" spans="1:147" x14ac:dyDescent="0.25">
      <c r="A39" s="25">
        <v>44771</v>
      </c>
      <c r="B39" s="40">
        <v>0</v>
      </c>
      <c r="D39" s="40">
        <f t="shared" si="2"/>
        <v>0</v>
      </c>
      <c r="G39" s="40">
        <f t="shared" si="3"/>
        <v>0</v>
      </c>
      <c r="J39" s="40">
        <f t="shared" si="4"/>
        <v>0</v>
      </c>
      <c r="M39" s="40">
        <f t="shared" si="5"/>
        <v>0</v>
      </c>
      <c r="P39" s="40">
        <f t="shared" si="6"/>
        <v>0</v>
      </c>
      <c r="S39" s="40">
        <f t="shared" si="7"/>
        <v>0</v>
      </c>
      <c r="V39" s="40">
        <f t="shared" si="8"/>
        <v>0</v>
      </c>
      <c r="Y39" s="40">
        <f t="shared" si="9"/>
        <v>0</v>
      </c>
      <c r="AB39" s="40">
        <f t="shared" si="10"/>
        <v>0</v>
      </c>
      <c r="AE39" s="40">
        <v>0</v>
      </c>
      <c r="AH39" s="40">
        <v>0</v>
      </c>
      <c r="AI39" s="172">
        <f>65000000</f>
        <v>65000000</v>
      </c>
      <c r="AJ39" s="173">
        <v>2.5999999999999999E-2</v>
      </c>
      <c r="AK39" s="40">
        <f t="shared" si="11"/>
        <v>4694.4444444444443</v>
      </c>
      <c r="AL39" s="172">
        <f t="shared" si="53"/>
        <v>82475000</v>
      </c>
      <c r="AM39" s="173">
        <v>2.1000000000000001E-2</v>
      </c>
      <c r="AN39" s="40">
        <f t="shared" si="12"/>
        <v>4811.041666666667</v>
      </c>
      <c r="AO39" s="172">
        <v>1500000</v>
      </c>
      <c r="AP39" s="173">
        <v>2.4500000000000001E-2</v>
      </c>
      <c r="AQ39" s="40">
        <f t="shared" si="13"/>
        <v>102.08333333333333</v>
      </c>
      <c r="AR39" s="172">
        <f>61000000</f>
        <v>61000000</v>
      </c>
      <c r="AS39" s="173">
        <v>2.7E-2</v>
      </c>
      <c r="AT39" s="40">
        <f t="shared" si="14"/>
        <v>4575</v>
      </c>
      <c r="AU39" s="172">
        <f t="shared" si="55"/>
        <v>34019000</v>
      </c>
      <c r="AV39" s="173">
        <v>2.5999999999999999E-2</v>
      </c>
      <c r="AW39" s="40">
        <f t="shared" si="15"/>
        <v>2456.9277777777779</v>
      </c>
      <c r="AX39" s="172">
        <f t="shared" si="56"/>
        <v>40000000</v>
      </c>
      <c r="AY39" s="173">
        <v>2.5499999999999998E-2</v>
      </c>
      <c r="AZ39" s="40">
        <f t="shared" si="16"/>
        <v>2833.333333333333</v>
      </c>
      <c r="BC39" s="40">
        <f t="shared" si="17"/>
        <v>0</v>
      </c>
      <c r="BF39" s="40">
        <f t="shared" si="18"/>
        <v>0</v>
      </c>
      <c r="BI39" s="40">
        <f t="shared" si="19"/>
        <v>0</v>
      </c>
      <c r="BL39" s="40">
        <f t="shared" si="20"/>
        <v>0</v>
      </c>
      <c r="BO39" s="40">
        <f t="shared" si="21"/>
        <v>0</v>
      </c>
      <c r="BR39" s="40">
        <f t="shared" si="22"/>
        <v>0</v>
      </c>
      <c r="BU39" s="40">
        <f t="shared" si="23"/>
        <v>0</v>
      </c>
      <c r="BX39" s="40">
        <f t="shared" si="24"/>
        <v>0</v>
      </c>
      <c r="CA39" s="40">
        <f t="shared" si="25"/>
        <v>0</v>
      </c>
      <c r="CD39" s="40">
        <f t="shared" si="26"/>
        <v>0</v>
      </c>
      <c r="CG39" s="40">
        <f t="shared" si="27"/>
        <v>0</v>
      </c>
      <c r="CJ39" s="40">
        <f t="shared" si="28"/>
        <v>0</v>
      </c>
      <c r="CM39" s="40">
        <f t="shared" si="29"/>
        <v>0</v>
      </c>
      <c r="CP39" s="40">
        <f t="shared" si="30"/>
        <v>0</v>
      </c>
      <c r="CS39" s="40">
        <f t="shared" si="31"/>
        <v>0</v>
      </c>
      <c r="CV39" s="40">
        <f t="shared" si="32"/>
        <v>0</v>
      </c>
      <c r="CY39" s="40">
        <f t="shared" si="33"/>
        <v>0</v>
      </c>
      <c r="DB39" s="40">
        <f t="shared" si="34"/>
        <v>0</v>
      </c>
      <c r="DE39" s="40">
        <f t="shared" si="35"/>
        <v>0</v>
      </c>
      <c r="DH39" s="40">
        <f t="shared" si="36"/>
        <v>0</v>
      </c>
      <c r="DK39" s="40">
        <f t="shared" si="37"/>
        <v>0</v>
      </c>
      <c r="DN39" s="40">
        <f t="shared" si="38"/>
        <v>0</v>
      </c>
      <c r="DQ39" s="40">
        <f t="shared" si="39"/>
        <v>0</v>
      </c>
      <c r="DT39" s="40">
        <f t="shared" si="40"/>
        <v>0</v>
      </c>
      <c r="DW39" s="40">
        <f t="shared" si="41"/>
        <v>0</v>
      </c>
      <c r="DZ39" s="40"/>
      <c r="EA39" s="40"/>
      <c r="EB39" s="75">
        <f t="shared" si="42"/>
        <v>283994000</v>
      </c>
      <c r="EC39" s="75">
        <f t="shared" si="43"/>
        <v>0</v>
      </c>
      <c r="ED39" s="40">
        <f t="shared" si="44"/>
        <v>19472.830555555556</v>
      </c>
      <c r="EE39" s="41">
        <f t="shared" si="45"/>
        <v>2.4684391219532809E-2</v>
      </c>
      <c r="EG39" s="75">
        <f t="shared" si="46"/>
        <v>0</v>
      </c>
      <c r="EH39" s="40">
        <f t="shared" si="47"/>
        <v>0</v>
      </c>
      <c r="EI39" s="41">
        <f t="shared" si="48"/>
        <v>0</v>
      </c>
      <c r="EJ39" s="41"/>
      <c r="EK39" s="75">
        <f t="shared" si="49"/>
        <v>283994000</v>
      </c>
      <c r="EL39" s="75">
        <f t="shared" si="50"/>
        <v>0</v>
      </c>
      <c r="EM39" s="75">
        <f t="shared" si="51"/>
        <v>19472.830555555556</v>
      </c>
      <c r="EN39" s="41">
        <f t="shared" si="52"/>
        <v>2.4684391219532809E-2</v>
      </c>
      <c r="EP39" s="40"/>
    </row>
    <row r="40" spans="1:147" x14ac:dyDescent="0.25">
      <c r="A40" s="25">
        <v>44772</v>
      </c>
      <c r="B40" s="40">
        <v>0</v>
      </c>
      <c r="D40" s="40">
        <f t="shared" si="2"/>
        <v>0</v>
      </c>
      <c r="G40" s="40">
        <f t="shared" si="3"/>
        <v>0</v>
      </c>
      <c r="J40" s="40">
        <f t="shared" si="4"/>
        <v>0</v>
      </c>
      <c r="M40" s="40">
        <f t="shared" si="5"/>
        <v>0</v>
      </c>
      <c r="P40" s="40">
        <f t="shared" si="6"/>
        <v>0</v>
      </c>
      <c r="S40" s="40">
        <f t="shared" si="7"/>
        <v>0</v>
      </c>
      <c r="V40" s="40">
        <f t="shared" si="8"/>
        <v>0</v>
      </c>
      <c r="Y40" s="40">
        <f t="shared" si="9"/>
        <v>0</v>
      </c>
      <c r="AB40" s="40">
        <f t="shared" si="10"/>
        <v>0</v>
      </c>
      <c r="AE40" s="40">
        <v>0</v>
      </c>
      <c r="AH40" s="40">
        <v>0</v>
      </c>
      <c r="AI40" s="172">
        <f t="shared" ref="AI40:AI41" si="57">65000000</f>
        <v>65000000</v>
      </c>
      <c r="AJ40" s="173">
        <v>2.5999999999999999E-2</v>
      </c>
      <c r="AK40" s="40">
        <f t="shared" si="11"/>
        <v>4694.4444444444443</v>
      </c>
      <c r="AL40" s="172">
        <f t="shared" si="53"/>
        <v>82475000</v>
      </c>
      <c r="AM40" s="173">
        <v>2.1000000000000001E-2</v>
      </c>
      <c r="AN40" s="40">
        <f t="shared" si="12"/>
        <v>4811.041666666667</v>
      </c>
      <c r="AO40" s="172">
        <v>1500000</v>
      </c>
      <c r="AP40" s="173">
        <v>2.4500000000000001E-2</v>
      </c>
      <c r="AQ40" s="40">
        <f t="shared" si="13"/>
        <v>102.08333333333333</v>
      </c>
      <c r="AR40" s="172">
        <f t="shared" ref="AR40:AR41" si="58">61000000</f>
        <v>61000000</v>
      </c>
      <c r="AS40" s="173">
        <v>2.7E-2</v>
      </c>
      <c r="AT40" s="40">
        <f t="shared" si="14"/>
        <v>4575</v>
      </c>
      <c r="AU40" s="172">
        <f t="shared" si="55"/>
        <v>34019000</v>
      </c>
      <c r="AV40" s="173">
        <v>2.5999999999999999E-2</v>
      </c>
      <c r="AW40" s="40">
        <f t="shared" si="15"/>
        <v>2456.9277777777779</v>
      </c>
      <c r="AX40" s="172">
        <f t="shared" si="56"/>
        <v>40000000</v>
      </c>
      <c r="AY40" s="173">
        <v>2.5499999999999998E-2</v>
      </c>
      <c r="AZ40" s="40">
        <f t="shared" si="16"/>
        <v>2833.333333333333</v>
      </c>
      <c r="BC40" s="40">
        <f t="shared" si="17"/>
        <v>0</v>
      </c>
      <c r="BF40" s="40">
        <f t="shared" si="18"/>
        <v>0</v>
      </c>
      <c r="BI40" s="40">
        <f t="shared" si="19"/>
        <v>0</v>
      </c>
      <c r="BL40" s="40">
        <f t="shared" si="20"/>
        <v>0</v>
      </c>
      <c r="BO40" s="40">
        <f t="shared" si="21"/>
        <v>0</v>
      </c>
      <c r="BR40" s="40">
        <f t="shared" si="22"/>
        <v>0</v>
      </c>
      <c r="BU40" s="40">
        <f t="shared" si="23"/>
        <v>0</v>
      </c>
      <c r="BX40" s="40">
        <f t="shared" si="24"/>
        <v>0</v>
      </c>
      <c r="CA40" s="40">
        <f t="shared" si="25"/>
        <v>0</v>
      </c>
      <c r="CD40" s="40">
        <f t="shared" si="26"/>
        <v>0</v>
      </c>
      <c r="CG40" s="40">
        <f t="shared" si="27"/>
        <v>0</v>
      </c>
      <c r="CJ40" s="40">
        <f t="shared" si="28"/>
        <v>0</v>
      </c>
      <c r="CM40" s="40">
        <f t="shared" si="29"/>
        <v>0</v>
      </c>
      <c r="CP40" s="40">
        <f t="shared" si="30"/>
        <v>0</v>
      </c>
      <c r="CS40" s="40">
        <f t="shared" si="31"/>
        <v>0</v>
      </c>
      <c r="CV40" s="40">
        <f t="shared" si="32"/>
        <v>0</v>
      </c>
      <c r="CY40" s="40">
        <f t="shared" si="33"/>
        <v>0</v>
      </c>
      <c r="DB40" s="40">
        <f t="shared" si="34"/>
        <v>0</v>
      </c>
      <c r="DE40" s="40">
        <f t="shared" si="35"/>
        <v>0</v>
      </c>
      <c r="DH40" s="40">
        <f t="shared" si="36"/>
        <v>0</v>
      </c>
      <c r="DK40" s="40">
        <f t="shared" si="37"/>
        <v>0</v>
      </c>
      <c r="DN40" s="40">
        <f t="shared" si="38"/>
        <v>0</v>
      </c>
      <c r="DQ40" s="40">
        <f t="shared" si="39"/>
        <v>0</v>
      </c>
      <c r="DT40" s="40">
        <f t="shared" si="40"/>
        <v>0</v>
      </c>
      <c r="DW40" s="40">
        <f t="shared" si="41"/>
        <v>0</v>
      </c>
      <c r="DZ40" s="40"/>
      <c r="EA40" s="40"/>
      <c r="EB40" s="75">
        <f t="shared" si="42"/>
        <v>283994000</v>
      </c>
      <c r="EC40" s="75">
        <f t="shared" si="43"/>
        <v>0</v>
      </c>
      <c r="ED40" s="40">
        <f t="shared" si="44"/>
        <v>19472.830555555556</v>
      </c>
      <c r="EE40" s="41">
        <f t="shared" si="45"/>
        <v>2.4684391219532809E-2</v>
      </c>
      <c r="EG40" s="75">
        <f t="shared" si="46"/>
        <v>0</v>
      </c>
      <c r="EH40" s="40">
        <f t="shared" si="47"/>
        <v>0</v>
      </c>
      <c r="EI40" s="41">
        <f t="shared" si="48"/>
        <v>0</v>
      </c>
      <c r="EJ40" s="41"/>
      <c r="EK40" s="75">
        <f t="shared" si="49"/>
        <v>283994000</v>
      </c>
      <c r="EL40" s="75">
        <f t="shared" si="50"/>
        <v>0</v>
      </c>
      <c r="EM40" s="75">
        <f t="shared" si="51"/>
        <v>19472.830555555556</v>
      </c>
      <c r="EN40" s="41">
        <f t="shared" si="52"/>
        <v>2.4684391219532809E-2</v>
      </c>
      <c r="EP40" s="40"/>
    </row>
    <row r="41" spans="1:147" x14ac:dyDescent="0.25">
      <c r="A41" s="25">
        <v>44773</v>
      </c>
      <c r="B41" s="40">
        <v>0</v>
      </c>
      <c r="D41" s="40">
        <f t="shared" si="2"/>
        <v>0</v>
      </c>
      <c r="G41" s="40">
        <f t="shared" si="3"/>
        <v>0</v>
      </c>
      <c r="J41" s="40">
        <f t="shared" si="4"/>
        <v>0</v>
      </c>
      <c r="M41" s="40">
        <f t="shared" si="5"/>
        <v>0</v>
      </c>
      <c r="P41" s="40">
        <f t="shared" si="6"/>
        <v>0</v>
      </c>
      <c r="S41" s="40">
        <f t="shared" si="7"/>
        <v>0</v>
      </c>
      <c r="V41" s="40">
        <f t="shared" si="8"/>
        <v>0</v>
      </c>
      <c r="Y41" s="40">
        <f t="shared" si="9"/>
        <v>0</v>
      </c>
      <c r="AB41" s="40">
        <f t="shared" si="10"/>
        <v>0</v>
      </c>
      <c r="AE41" s="40">
        <v>0</v>
      </c>
      <c r="AH41" s="40">
        <v>0</v>
      </c>
      <c r="AI41" s="172">
        <f t="shared" si="57"/>
        <v>65000000</v>
      </c>
      <c r="AJ41" s="173">
        <v>2.5999999999999999E-2</v>
      </c>
      <c r="AK41" s="40">
        <f t="shared" si="11"/>
        <v>4694.4444444444443</v>
      </c>
      <c r="AL41" s="172">
        <f t="shared" si="53"/>
        <v>82475000</v>
      </c>
      <c r="AM41" s="173">
        <v>2.1000000000000001E-2</v>
      </c>
      <c r="AN41" s="40">
        <f t="shared" si="12"/>
        <v>4811.041666666667</v>
      </c>
      <c r="AO41" s="172">
        <v>1500000</v>
      </c>
      <c r="AP41" s="173">
        <v>2.4500000000000001E-2</v>
      </c>
      <c r="AQ41" s="40">
        <f t="shared" si="13"/>
        <v>102.08333333333333</v>
      </c>
      <c r="AR41" s="172">
        <f t="shared" si="58"/>
        <v>61000000</v>
      </c>
      <c r="AS41" s="173">
        <v>2.7E-2</v>
      </c>
      <c r="AT41" s="40">
        <f t="shared" si="14"/>
        <v>4575</v>
      </c>
      <c r="AU41" s="172">
        <f t="shared" si="55"/>
        <v>34019000</v>
      </c>
      <c r="AV41" s="173">
        <v>2.5999999999999999E-2</v>
      </c>
      <c r="AW41" s="40">
        <f t="shared" si="15"/>
        <v>2456.9277777777779</v>
      </c>
      <c r="AX41" s="172">
        <f t="shared" si="56"/>
        <v>40000000</v>
      </c>
      <c r="AY41" s="173">
        <v>2.5499999999999998E-2</v>
      </c>
      <c r="AZ41" s="40">
        <f t="shared" si="16"/>
        <v>2833.333333333333</v>
      </c>
      <c r="BC41" s="40">
        <f t="shared" si="17"/>
        <v>0</v>
      </c>
      <c r="BF41" s="40">
        <f t="shared" si="18"/>
        <v>0</v>
      </c>
      <c r="BI41" s="40">
        <f t="shared" si="19"/>
        <v>0</v>
      </c>
      <c r="BL41" s="40">
        <f t="shared" si="20"/>
        <v>0</v>
      </c>
      <c r="BO41" s="40">
        <f t="shared" si="21"/>
        <v>0</v>
      </c>
      <c r="BR41" s="40">
        <f t="shared" si="22"/>
        <v>0</v>
      </c>
      <c r="BU41" s="40">
        <f t="shared" si="23"/>
        <v>0</v>
      </c>
      <c r="BX41" s="40">
        <f t="shared" si="24"/>
        <v>0</v>
      </c>
      <c r="CA41" s="40">
        <f t="shared" si="25"/>
        <v>0</v>
      </c>
      <c r="CD41" s="40">
        <f t="shared" si="26"/>
        <v>0</v>
      </c>
      <c r="CG41" s="40">
        <f t="shared" si="27"/>
        <v>0</v>
      </c>
      <c r="CJ41" s="40">
        <f t="shared" si="28"/>
        <v>0</v>
      </c>
      <c r="CM41" s="40">
        <f t="shared" si="29"/>
        <v>0</v>
      </c>
      <c r="CP41" s="40">
        <f t="shared" si="30"/>
        <v>0</v>
      </c>
      <c r="CS41" s="40">
        <f t="shared" si="31"/>
        <v>0</v>
      </c>
      <c r="CV41" s="40">
        <f t="shared" si="32"/>
        <v>0</v>
      </c>
      <c r="CY41" s="40">
        <f t="shared" si="33"/>
        <v>0</v>
      </c>
      <c r="DB41" s="40">
        <f t="shared" si="34"/>
        <v>0</v>
      </c>
      <c r="DE41" s="40">
        <f t="shared" si="35"/>
        <v>0</v>
      </c>
      <c r="DH41" s="40">
        <f t="shared" si="36"/>
        <v>0</v>
      </c>
      <c r="DK41" s="40">
        <f t="shared" si="37"/>
        <v>0</v>
      </c>
      <c r="DN41" s="40">
        <f t="shared" si="38"/>
        <v>0</v>
      </c>
      <c r="DQ41" s="40">
        <f t="shared" si="39"/>
        <v>0</v>
      </c>
      <c r="DT41" s="40">
        <f t="shared" si="40"/>
        <v>0</v>
      </c>
      <c r="DW41" s="40">
        <f t="shared" si="41"/>
        <v>0</v>
      </c>
      <c r="DZ41" s="40"/>
      <c r="EA41" s="40"/>
      <c r="EB41" s="75">
        <f t="shared" si="42"/>
        <v>283994000</v>
      </c>
      <c r="EC41" s="75">
        <f t="shared" si="43"/>
        <v>0</v>
      </c>
      <c r="ED41" s="40">
        <f t="shared" si="44"/>
        <v>19472.830555555556</v>
      </c>
      <c r="EE41" s="41">
        <f t="shared" si="45"/>
        <v>2.4684391219532809E-2</v>
      </c>
      <c r="EG41" s="75">
        <f t="shared" si="46"/>
        <v>0</v>
      </c>
      <c r="EH41" s="40">
        <f t="shared" si="47"/>
        <v>0</v>
      </c>
      <c r="EI41" s="41">
        <f t="shared" si="48"/>
        <v>0</v>
      </c>
      <c r="EJ41" s="41"/>
      <c r="EK41" s="75">
        <f t="shared" si="49"/>
        <v>283994000</v>
      </c>
      <c r="EL41" s="75">
        <f t="shared" si="50"/>
        <v>0</v>
      </c>
      <c r="EM41" s="75">
        <f t="shared" si="51"/>
        <v>19472.830555555556</v>
      </c>
      <c r="EN41" s="41">
        <f t="shared" si="52"/>
        <v>2.4684391219532809E-2</v>
      </c>
      <c r="EP41" s="40"/>
    </row>
    <row r="42" spans="1:147" x14ac:dyDescent="0.25">
      <c r="A42" s="76" t="s">
        <v>75</v>
      </c>
      <c r="D42" s="77">
        <f>SUM(D11:D41)</f>
        <v>0</v>
      </c>
      <c r="G42" s="77">
        <f>SUM(G11:G41)</f>
        <v>0</v>
      </c>
      <c r="J42" s="77">
        <f>SUM(J11:J41)</f>
        <v>0</v>
      </c>
      <c r="M42" s="77">
        <f>SUM(M11:M41)</f>
        <v>0</v>
      </c>
      <c r="P42" s="77">
        <f>SUM(P11:P41)</f>
        <v>0</v>
      </c>
      <c r="S42" s="77">
        <f>SUM(S11:S41)</f>
        <v>0</v>
      </c>
      <c r="V42" s="77">
        <f>SUM(V11:V41)</f>
        <v>0</v>
      </c>
      <c r="Y42" s="77">
        <f>SUM(Y11:Y41)</f>
        <v>0</v>
      </c>
      <c r="AB42" s="77">
        <f>SUM(AB11:AB41)</f>
        <v>0</v>
      </c>
      <c r="AE42" s="77">
        <f>SUM(AE11:AE41)</f>
        <v>0</v>
      </c>
      <c r="AH42" s="77">
        <f>SUM(AH11:AH41)</f>
        <v>0</v>
      </c>
      <c r="AK42" s="77">
        <f>SUM(AK11:AK41)</f>
        <v>144405.23055555555</v>
      </c>
      <c r="AN42" s="77">
        <f>SUM(AN11:AN41)</f>
        <v>125131.66666666672</v>
      </c>
      <c r="AQ42" s="77">
        <f>SUM(AQ11:AQ41)</f>
        <v>13504.166666666677</v>
      </c>
      <c r="AT42" s="77">
        <f>SUM(AT11:AT41)</f>
        <v>142704.16666666657</v>
      </c>
      <c r="AW42" s="77">
        <f>SUM(AW11:AW41)</f>
        <v>35267.772222222229</v>
      </c>
      <c r="AZ42" s="77">
        <f>SUM(AZ11:AZ41)</f>
        <v>31166.666666666657</v>
      </c>
      <c r="BC42" s="77">
        <f>SUM(BC11:BC41)</f>
        <v>0</v>
      </c>
      <c r="BF42" s="77">
        <f>SUM(BF11:BF41)</f>
        <v>0</v>
      </c>
      <c r="BI42" s="77">
        <f>SUM(BI11:BI41)</f>
        <v>0</v>
      </c>
      <c r="BL42" s="77">
        <f>SUM(BL11:BL41)</f>
        <v>0</v>
      </c>
      <c r="BO42" s="77">
        <f>SUM(BO11:BO41)</f>
        <v>0</v>
      </c>
      <c r="BR42" s="77">
        <f>SUM(BR11:BR41)</f>
        <v>0</v>
      </c>
      <c r="BU42" s="77">
        <f>SUM(BU11:BU41)</f>
        <v>0</v>
      </c>
      <c r="BX42" s="77">
        <f>SUM(BX11:BX41)</f>
        <v>0</v>
      </c>
      <c r="CA42" s="77">
        <f>SUM(CA11:CA41)</f>
        <v>0</v>
      </c>
      <c r="CD42" s="77">
        <f>SUM(CD11:CD41)</f>
        <v>0</v>
      </c>
      <c r="CG42" s="77">
        <f>SUM(CG11:CG41)</f>
        <v>0</v>
      </c>
      <c r="CJ42" s="77">
        <f>SUM(CJ11:CJ41)</f>
        <v>0</v>
      </c>
      <c r="CM42" s="77">
        <f>SUM(CM11:CM41)</f>
        <v>0</v>
      </c>
      <c r="CP42" s="77">
        <f>SUM(CP11:CP41)</f>
        <v>0</v>
      </c>
      <c r="CS42" s="77">
        <f>SUM(CS11:CS41)</f>
        <v>0</v>
      </c>
      <c r="CV42" s="77">
        <f>SUM(CV11:CV41)</f>
        <v>0</v>
      </c>
      <c r="CY42" s="77">
        <f>SUM(CY11:CY41)</f>
        <v>0</v>
      </c>
      <c r="DB42" s="77">
        <f>SUM(DB11:DB41)</f>
        <v>0</v>
      </c>
      <c r="DE42" s="77">
        <f>SUM(DE11:DE41)</f>
        <v>0</v>
      </c>
      <c r="DH42" s="77">
        <f>SUM(DH11:DH41)</f>
        <v>0</v>
      </c>
      <c r="DK42" s="77">
        <f>SUM(DK11:DK41)</f>
        <v>0</v>
      </c>
      <c r="DN42" s="77">
        <f>SUM(DN11:DN41)</f>
        <v>0</v>
      </c>
      <c r="DQ42" s="77">
        <f>SUM(DQ11:DQ41)</f>
        <v>0</v>
      </c>
      <c r="DT42" s="77">
        <f>SUM(DT11:DT41)</f>
        <v>0</v>
      </c>
      <c r="DW42" s="77">
        <f>SUM(DW11:DW41)</f>
        <v>0</v>
      </c>
      <c r="DZ42" s="40"/>
      <c r="EA42" s="40"/>
      <c r="EB42" s="40"/>
      <c r="EC42" s="40"/>
      <c r="ED42" s="77">
        <f>SUM(ED11:ED41)</f>
        <v>492179.66944444447</v>
      </c>
      <c r="EE42" s="41"/>
      <c r="EG42" s="40"/>
      <c r="EH42" s="77">
        <f>SUM(EH11:EH41)</f>
        <v>0</v>
      </c>
      <c r="EI42" s="41"/>
      <c r="EJ42" s="41"/>
      <c r="EK42" s="40"/>
      <c r="EL42" s="40"/>
      <c r="EM42" s="77">
        <f>SUM(EM11:EM41)</f>
        <v>492179.66944444447</v>
      </c>
      <c r="EN42" s="41"/>
    </row>
    <row r="44" spans="1:147" x14ac:dyDescent="0.25">
      <c r="AP44" s="218"/>
      <c r="EM44" s="78"/>
    </row>
    <row r="45" spans="1:147" x14ac:dyDescent="0.25">
      <c r="EM45" s="40"/>
    </row>
    <row r="46" spans="1:147" x14ac:dyDescent="0.25">
      <c r="EM46" s="40"/>
    </row>
    <row r="48" spans="1:147" x14ac:dyDescent="0.25">
      <c r="AY48" s="218"/>
      <c r="EM48" s="40"/>
    </row>
    <row r="49" spans="143:143" x14ac:dyDescent="0.25">
      <c r="EM49" s="4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H30"/>
  <sheetViews>
    <sheetView workbookViewId="0">
      <selection activeCell="H19" sqref="H19"/>
    </sheetView>
  </sheetViews>
  <sheetFormatPr defaultRowHeight="15" x14ac:dyDescent="0.25"/>
  <cols>
    <col min="1" max="1" width="20.28515625" customWidth="1"/>
    <col min="2" max="2" width="17.7109375" customWidth="1"/>
    <col min="3" max="4" width="16" customWidth="1"/>
    <col min="5" max="5" width="12" customWidth="1"/>
    <col min="6" max="6" width="1.7109375" bestFit="1" customWidth="1"/>
    <col min="7" max="7" width="17.42578125" customWidth="1"/>
    <col min="8" max="8" width="19.42578125" customWidth="1"/>
    <col min="14" max="14" width="11.5703125" bestFit="1" customWidth="1"/>
  </cols>
  <sheetData>
    <row r="1" spans="1:8" x14ac:dyDescent="0.25">
      <c r="A1" t="s">
        <v>0</v>
      </c>
    </row>
    <row r="2" spans="1:8" x14ac:dyDescent="0.25">
      <c r="A2" t="s">
        <v>15</v>
      </c>
    </row>
    <row r="3" spans="1:8" x14ac:dyDescent="0.25">
      <c r="A3" t="s">
        <v>241</v>
      </c>
    </row>
    <row r="4" spans="1:8" x14ac:dyDescent="0.25">
      <c r="A4" t="s">
        <v>176</v>
      </c>
    </row>
    <row r="5" spans="1:8" x14ac:dyDescent="0.25">
      <c r="A5" s="81"/>
      <c r="E5" s="126"/>
      <c r="F5" s="126"/>
    </row>
    <row r="6" spans="1:8" ht="15.75" thickBot="1" x14ac:dyDescent="0.3">
      <c r="E6" s="124"/>
    </row>
    <row r="7" spans="1:8" ht="48.75" customHeight="1" x14ac:dyDescent="0.25">
      <c r="A7" s="82" t="s">
        <v>36</v>
      </c>
      <c r="B7" s="82" t="s">
        <v>186</v>
      </c>
      <c r="C7" s="82" t="s">
        <v>175</v>
      </c>
      <c r="D7" s="82" t="s">
        <v>173</v>
      </c>
      <c r="E7" s="82" t="s">
        <v>187</v>
      </c>
      <c r="F7" s="82"/>
      <c r="G7" s="82" t="s">
        <v>174</v>
      </c>
      <c r="H7" s="82" t="s">
        <v>182</v>
      </c>
    </row>
    <row r="8" spans="1:8" x14ac:dyDescent="0.25">
      <c r="A8" s="91">
        <v>44409</v>
      </c>
      <c r="B8" s="83">
        <f>-'Monthly Cost Tracker 2'!C22</f>
        <v>102404.53999999998</v>
      </c>
      <c r="C8" s="83"/>
      <c r="D8" s="84">
        <v>2935409370</v>
      </c>
      <c r="E8" s="128">
        <f t="shared" ref="E8:E13" si="0">(492803+542350)/30730452570</f>
        <v>3.368492532422213E-5</v>
      </c>
      <c r="F8" s="170">
        <v>1</v>
      </c>
      <c r="G8" s="83">
        <f>D8*E8</f>
        <v>98879.045424471929</v>
      </c>
      <c r="H8" s="125">
        <f t="shared" ref="H8:H19" si="1">G8-B8</f>
        <v>-3525.4945755280496</v>
      </c>
    </row>
    <row r="9" spans="1:8" x14ac:dyDescent="0.25">
      <c r="A9" s="91">
        <v>44440</v>
      </c>
      <c r="B9" s="83">
        <f>-'Monthly Cost Tracker 2'!D22</f>
        <v>102427.52999999997</v>
      </c>
      <c r="C9" s="83"/>
      <c r="D9" s="84">
        <v>2368251749.9999995</v>
      </c>
      <c r="E9" s="128">
        <f t="shared" si="0"/>
        <v>3.368492532422213E-5</v>
      </c>
      <c r="F9" s="170">
        <v>1</v>
      </c>
      <c r="G9" s="83">
        <f t="shared" ref="G9:G13" si="2">D9*E9</f>
        <v>79774.383347708368</v>
      </c>
      <c r="H9" s="125">
        <f t="shared" si="1"/>
        <v>-22653.146652291602</v>
      </c>
    </row>
    <row r="10" spans="1:8" x14ac:dyDescent="0.25">
      <c r="A10" s="91">
        <v>44470</v>
      </c>
      <c r="B10" s="83">
        <f>-'Monthly Cost Tracker 2'!E22</f>
        <v>81058.519999999975</v>
      </c>
      <c r="C10" s="83"/>
      <c r="D10" s="84">
        <v>2151518370</v>
      </c>
      <c r="E10" s="128">
        <f t="shared" si="0"/>
        <v>3.368492532422213E-5</v>
      </c>
      <c r="F10" s="170">
        <v>1</v>
      </c>
      <c r="G10" s="83">
        <f t="shared" si="2"/>
        <v>72473.735627142116</v>
      </c>
      <c r="H10" s="125">
        <f t="shared" si="1"/>
        <v>-8584.7843728578591</v>
      </c>
    </row>
    <row r="11" spans="1:8" x14ac:dyDescent="0.25">
      <c r="A11" s="91">
        <v>44501</v>
      </c>
      <c r="B11" s="83">
        <f>-'Monthly Cost Tracker 2'!F22</f>
        <v>73598.349999999977</v>
      </c>
      <c r="C11" s="83"/>
      <c r="D11" s="84">
        <v>2341426809.9999995</v>
      </c>
      <c r="E11" s="128">
        <f t="shared" si="0"/>
        <v>3.368492532422213E-5</v>
      </c>
      <c r="F11" s="170">
        <v>1</v>
      </c>
      <c r="G11" s="83">
        <f t="shared" si="2"/>
        <v>78870.787246981621</v>
      </c>
      <c r="H11" s="125">
        <f t="shared" si="1"/>
        <v>5272.4372469816444</v>
      </c>
    </row>
    <row r="12" spans="1:8" x14ac:dyDescent="0.25">
      <c r="A12" s="91">
        <v>44531</v>
      </c>
      <c r="B12" s="83">
        <f>-'Monthly Cost Tracker 2'!G22</f>
        <v>88835.289999999979</v>
      </c>
      <c r="C12" s="83"/>
      <c r="D12" s="84">
        <v>2920916660</v>
      </c>
      <c r="E12" s="128">
        <f t="shared" si="0"/>
        <v>3.368492532422213E-5</v>
      </c>
      <c r="F12" s="170">
        <v>1</v>
      </c>
      <c r="G12" s="83">
        <f t="shared" si="2"/>
        <v>98390.859570376328</v>
      </c>
      <c r="H12" s="125">
        <f t="shared" si="1"/>
        <v>9555.5695703763486</v>
      </c>
    </row>
    <row r="13" spans="1:8" x14ac:dyDescent="0.25">
      <c r="A13" s="91">
        <v>44562</v>
      </c>
      <c r="B13" s="83">
        <f>-'Monthly Cost Tracker 2'!H22</f>
        <v>100747.01999999997</v>
      </c>
      <c r="C13" s="83"/>
      <c r="D13" s="84">
        <v>2958742380</v>
      </c>
      <c r="E13" s="128">
        <f t="shared" si="0"/>
        <v>3.368492532422213E-5</v>
      </c>
      <c r="F13" s="170">
        <v>1</v>
      </c>
      <c r="G13" s="83">
        <f t="shared" si="2"/>
        <v>99665.016123911264</v>
      </c>
      <c r="H13" s="125">
        <f t="shared" si="1"/>
        <v>-1082.003876088711</v>
      </c>
    </row>
    <row r="14" spans="1:8" x14ac:dyDescent="0.25">
      <c r="A14" s="91">
        <v>44593</v>
      </c>
      <c r="B14" s="83">
        <f>-'Monthly Cost Tracker 3'!I22</f>
        <v>-366698.59951770282</v>
      </c>
      <c r="C14" s="83"/>
      <c r="D14" s="84">
        <v>2565399000</v>
      </c>
      <c r="E14" s="128">
        <f>(-15217049+9630)/30647398000</f>
        <v>-4.962058769230589E-4</v>
      </c>
      <c r="F14" s="170">
        <v>2</v>
      </c>
      <c r="G14" s="83">
        <f>D14*E14</f>
        <v>-1272966.0604525383</v>
      </c>
      <c r="H14" s="83">
        <f t="shared" si="1"/>
        <v>-906267.46093483549</v>
      </c>
    </row>
    <row r="15" spans="1:8" x14ac:dyDescent="0.25">
      <c r="A15" s="91">
        <v>44621</v>
      </c>
      <c r="B15" s="83">
        <f>-'Monthly Cost Tracker 3'!J22</f>
        <v>-2036548.7873214467</v>
      </c>
      <c r="C15" s="83"/>
      <c r="D15" s="84">
        <v>2384302000</v>
      </c>
      <c r="E15" s="128">
        <f t="shared" ref="E15:E25" si="3">(-15217049+9630)/30647398000</f>
        <v>-4.962058769230589E-4</v>
      </c>
      <c r="F15" s="170">
        <v>2</v>
      </c>
      <c r="G15" s="83">
        <f t="shared" ref="G15:G18" si="4">D15*E15</f>
        <v>-1183104.6647594031</v>
      </c>
      <c r="H15" s="83">
        <f t="shared" si="1"/>
        <v>853444.1225620436</v>
      </c>
    </row>
    <row r="16" spans="1:8" x14ac:dyDescent="0.25">
      <c r="A16" s="91">
        <v>44652</v>
      </c>
      <c r="B16" s="83">
        <f>-'Monthly Cost Tracker 3'!K22</f>
        <v>-1139393.6885014221</v>
      </c>
      <c r="C16" s="83"/>
      <c r="D16" s="84">
        <v>2073205000</v>
      </c>
      <c r="E16" s="128">
        <f t="shared" si="3"/>
        <v>-4.962058769230589E-4</v>
      </c>
      <c r="F16" s="170">
        <v>2</v>
      </c>
      <c r="G16" s="83">
        <f t="shared" si="4"/>
        <v>-1028736.5050662704</v>
      </c>
      <c r="H16" s="83">
        <f t="shared" si="1"/>
        <v>110657.1834351517</v>
      </c>
    </row>
    <row r="17" spans="1:8" x14ac:dyDescent="0.25">
      <c r="A17" s="91">
        <v>44682</v>
      </c>
      <c r="B17" s="83">
        <f>-'Monthly Cost Tracker 3'!L22</f>
        <v>-1092549.8085630334</v>
      </c>
      <c r="C17" s="83"/>
      <c r="D17" s="84">
        <v>2254711000</v>
      </c>
      <c r="E17" s="128">
        <f t="shared" si="3"/>
        <v>-4.962058769230589E-4</v>
      </c>
      <c r="F17" s="170">
        <v>2</v>
      </c>
      <c r="G17" s="83">
        <f t="shared" si="4"/>
        <v>-1118800.8489630672</v>
      </c>
      <c r="H17" s="83">
        <f t="shared" si="1"/>
        <v>-26251.040400033817</v>
      </c>
    </row>
    <row r="18" spans="1:8" x14ac:dyDescent="0.25">
      <c r="A18" s="91">
        <v>44713</v>
      </c>
      <c r="B18" s="83">
        <f>-'Monthly Cost Tracker 3'!M22</f>
        <v>-1294033.5482980334</v>
      </c>
      <c r="C18" s="83"/>
      <c r="D18" s="84">
        <v>2720238000</v>
      </c>
      <c r="E18" s="128">
        <f t="shared" si="3"/>
        <v>-4.962058769230589E-4</v>
      </c>
      <c r="F18" s="170">
        <v>2</v>
      </c>
      <c r="G18" s="83">
        <f t="shared" si="4"/>
        <v>-1349798.082229428</v>
      </c>
      <c r="H18" s="83">
        <f t="shared" si="1"/>
        <v>-55764.533931394573</v>
      </c>
    </row>
    <row r="19" spans="1:8" x14ac:dyDescent="0.25">
      <c r="A19" s="91">
        <v>44743</v>
      </c>
      <c r="B19" s="83">
        <f>-'Monthly Cost Tracker 3'!N22</f>
        <v>-1574882.6579286489</v>
      </c>
      <c r="C19" s="83"/>
      <c r="D19" s="84">
        <v>3108793000</v>
      </c>
      <c r="E19" s="128">
        <f t="shared" si="3"/>
        <v>-4.962058769230589E-4</v>
      </c>
      <c r="F19" s="170">
        <v>2</v>
      </c>
      <c r="G19" s="83">
        <f t="shared" ref="G19:G25" si="5">D19*E19</f>
        <v>-1542601.356737267</v>
      </c>
      <c r="H19" s="83">
        <f t="shared" si="1"/>
        <v>32281.301191381877</v>
      </c>
    </row>
    <row r="20" spans="1:8" x14ac:dyDescent="0.25">
      <c r="A20" s="91">
        <v>44774</v>
      </c>
      <c r="B20" s="124"/>
      <c r="C20" s="83">
        <f>D20*E20</f>
        <v>-1483117.6848293615</v>
      </c>
      <c r="D20" s="84">
        <v>2988916000</v>
      </c>
      <c r="E20" s="128">
        <f t="shared" si="3"/>
        <v>-4.962058769230589E-4</v>
      </c>
      <c r="F20" s="170">
        <v>2</v>
      </c>
      <c r="G20" s="83">
        <f>D20*E20</f>
        <v>-1483117.6848293615</v>
      </c>
      <c r="H20" s="125">
        <f t="shared" ref="H20:H25" si="6">G20-C20</f>
        <v>0</v>
      </c>
    </row>
    <row r="21" spans="1:8" x14ac:dyDescent="0.25">
      <c r="A21" s="91">
        <v>44805</v>
      </c>
      <c r="B21" s="124"/>
      <c r="C21" s="83">
        <f t="shared" ref="C21:C25" si="7">D21*E21</f>
        <v>-1222194.2751257711</v>
      </c>
      <c r="D21" s="84">
        <v>2463079000</v>
      </c>
      <c r="E21" s="128">
        <f t="shared" si="3"/>
        <v>-4.962058769230589E-4</v>
      </c>
      <c r="F21" s="170">
        <v>2</v>
      </c>
      <c r="G21" s="83">
        <f t="shared" si="5"/>
        <v>-1222194.2751257711</v>
      </c>
      <c r="H21" s="125">
        <f t="shared" si="6"/>
        <v>0</v>
      </c>
    </row>
    <row r="22" spans="1:8" x14ac:dyDescent="0.25">
      <c r="A22" s="91">
        <v>44835</v>
      </c>
      <c r="B22" s="124"/>
      <c r="C22" s="83">
        <f t="shared" si="7"/>
        <v>-1051547.0892284233</v>
      </c>
      <c r="D22" s="84">
        <v>2119175000</v>
      </c>
      <c r="E22" s="128">
        <f t="shared" si="3"/>
        <v>-4.962058769230589E-4</v>
      </c>
      <c r="F22" s="170">
        <v>2</v>
      </c>
      <c r="G22" s="83">
        <f t="shared" si="5"/>
        <v>-1051547.0892284233</v>
      </c>
      <c r="H22" s="125">
        <f t="shared" si="6"/>
        <v>0</v>
      </c>
    </row>
    <row r="23" spans="1:8" x14ac:dyDescent="0.25">
      <c r="A23" s="91">
        <v>44866</v>
      </c>
      <c r="B23" s="124"/>
      <c r="C23" s="83">
        <f t="shared" si="7"/>
        <v>-1144414.9963298354</v>
      </c>
      <c r="D23" s="84">
        <v>2306331000</v>
      </c>
      <c r="E23" s="128">
        <f t="shared" si="3"/>
        <v>-4.962058769230589E-4</v>
      </c>
      <c r="F23" s="170">
        <v>2</v>
      </c>
      <c r="G23" s="83">
        <f t="shared" si="5"/>
        <v>-1144414.9963298354</v>
      </c>
      <c r="H23" s="125">
        <f t="shared" si="6"/>
        <v>0</v>
      </c>
    </row>
    <row r="24" spans="1:8" x14ac:dyDescent="0.25">
      <c r="A24" s="91">
        <v>44896</v>
      </c>
      <c r="B24" s="124"/>
      <c r="C24" s="83">
        <f t="shared" si="7"/>
        <v>-1356890.3528282891</v>
      </c>
      <c r="D24" s="84">
        <v>2734531000</v>
      </c>
      <c r="E24" s="128">
        <f t="shared" si="3"/>
        <v>-4.962058769230589E-4</v>
      </c>
      <c r="F24" s="170">
        <v>2</v>
      </c>
      <c r="G24" s="83">
        <f t="shared" si="5"/>
        <v>-1356890.3528282891</v>
      </c>
      <c r="H24" s="125">
        <f t="shared" si="6"/>
        <v>0</v>
      </c>
    </row>
    <row r="25" spans="1:8" x14ac:dyDescent="0.25">
      <c r="A25" s="91">
        <v>44927</v>
      </c>
      <c r="B25" s="124"/>
      <c r="C25" s="83">
        <f t="shared" si="7"/>
        <v>-1453247.0834503472</v>
      </c>
      <c r="D25" s="84">
        <v>2928718000</v>
      </c>
      <c r="E25" s="128">
        <f t="shared" si="3"/>
        <v>-4.962058769230589E-4</v>
      </c>
      <c r="F25" s="170">
        <v>2</v>
      </c>
      <c r="G25" s="83">
        <f t="shared" si="5"/>
        <v>-1453247.0834503472</v>
      </c>
      <c r="H25" s="125">
        <f t="shared" si="6"/>
        <v>0</v>
      </c>
    </row>
    <row r="26" spans="1:8" x14ac:dyDescent="0.25">
      <c r="B26" s="85"/>
      <c r="C26" s="85"/>
      <c r="D26" s="84"/>
      <c r="E26" s="84"/>
      <c r="F26" s="84"/>
      <c r="G26" s="83"/>
      <c r="H26" s="83"/>
    </row>
    <row r="27" spans="1:8" ht="15.75" thickBot="1" x14ac:dyDescent="0.3">
      <c r="A27" s="86" t="s">
        <v>75</v>
      </c>
      <c r="B27" s="87">
        <f>SUM(B8:B26)</f>
        <v>-6955035.8401302882</v>
      </c>
      <c r="C27" s="87">
        <f>SUM(C14:C26)</f>
        <v>-7711411.4817920281</v>
      </c>
      <c r="D27" s="88">
        <f>SUM(D8:D26)</f>
        <v>46323663340</v>
      </c>
      <c r="E27" s="89"/>
      <c r="F27" s="89"/>
      <c r="G27" s="87">
        <f>SUM(G8:G26)</f>
        <v>-14679365.172659408</v>
      </c>
      <c r="H27" s="87">
        <f>SUM(H8:H26)</f>
        <v>-12917.850737094879</v>
      </c>
    </row>
    <row r="28" spans="1:8" ht="15.75" thickTop="1" x14ac:dyDescent="0.25">
      <c r="D28" s="122"/>
      <c r="G28" s="122"/>
      <c r="H28" s="90"/>
    </row>
    <row r="29" spans="1:8" ht="18.75" x14ac:dyDescent="0.35">
      <c r="A29" t="s">
        <v>228</v>
      </c>
      <c r="B29" s="124"/>
      <c r="D29" s="90"/>
    </row>
    <row r="30" spans="1:8" ht="18.75" x14ac:dyDescent="0.35">
      <c r="A30" t="s">
        <v>243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N25"/>
  <sheetViews>
    <sheetView tabSelected="1" zoomScaleNormal="100" workbookViewId="0">
      <selection activeCell="C18" sqref="C18"/>
    </sheetView>
  </sheetViews>
  <sheetFormatPr defaultRowHeight="15" x14ac:dyDescent="0.25"/>
  <cols>
    <col min="1" max="1" width="4.7109375" customWidth="1"/>
    <col min="2" max="2" width="66" customWidth="1"/>
    <col min="3" max="3" width="21.42578125" bestFit="1" customWidth="1"/>
    <col min="4" max="4" width="14" bestFit="1" customWidth="1"/>
    <col min="14" max="14" width="14.28515625" bestFit="1" customWidth="1"/>
  </cols>
  <sheetData>
    <row r="1" spans="1:14" x14ac:dyDescent="0.25">
      <c r="A1" t="s">
        <v>0</v>
      </c>
    </row>
    <row r="2" spans="1:14" x14ac:dyDescent="0.25">
      <c r="A2" t="s">
        <v>15</v>
      </c>
    </row>
    <row r="3" spans="1:14" x14ac:dyDescent="0.25">
      <c r="A3" t="s">
        <v>241</v>
      </c>
    </row>
    <row r="4" spans="1:14" x14ac:dyDescent="0.25">
      <c r="A4" t="s">
        <v>247</v>
      </c>
    </row>
    <row r="6" spans="1:14" x14ac:dyDescent="0.25">
      <c r="C6" s="10" t="s">
        <v>244</v>
      </c>
    </row>
    <row r="7" spans="1:14" x14ac:dyDescent="0.25">
      <c r="C7" s="11"/>
    </row>
    <row r="9" spans="1:14" x14ac:dyDescent="0.25">
      <c r="A9">
        <v>1</v>
      </c>
      <c r="B9" t="s">
        <v>16</v>
      </c>
      <c r="C9" s="119">
        <f>SUM('Monthly Cost Tracker 4'!B20:M20)</f>
        <v>19971040.053640231</v>
      </c>
    </row>
    <row r="10" spans="1:14" x14ac:dyDescent="0.25">
      <c r="A10">
        <v>2</v>
      </c>
      <c r="B10" t="s">
        <v>17</v>
      </c>
      <c r="C10" s="120">
        <f>SUM('Monthly Cost Tracker 4'!B25:M25)</f>
        <v>10100629.419245895</v>
      </c>
    </row>
    <row r="11" spans="1:14" x14ac:dyDescent="0.25">
      <c r="A11">
        <v>3</v>
      </c>
      <c r="B11" t="s">
        <v>18</v>
      </c>
      <c r="C11" s="121">
        <f>+C13+C12</f>
        <v>9902187.68495401</v>
      </c>
    </row>
    <row r="12" spans="1:14" x14ac:dyDescent="0.25">
      <c r="A12">
        <v>3.1</v>
      </c>
      <c r="B12" s="9" t="s">
        <v>19</v>
      </c>
      <c r="C12" s="120">
        <f>SUM('Monthly Cost Tracker 4'!B29:M29)+SUM('Monthly Cost Tracker 3'!C29:N29)+SUM('Monthly Cost Tracker 2'!C29:N29)</f>
        <v>31777.050559673455</v>
      </c>
      <c r="D12" s="122"/>
    </row>
    <row r="13" spans="1:14" x14ac:dyDescent="0.25">
      <c r="A13">
        <v>3.2</v>
      </c>
      <c r="B13" s="9" t="s">
        <v>20</v>
      </c>
      <c r="C13" s="121">
        <f>+C9-C10</f>
        <v>9870410.6343943365</v>
      </c>
      <c r="D13" s="4"/>
      <c r="E13" s="12"/>
      <c r="N13" s="80"/>
    </row>
    <row r="14" spans="1:14" x14ac:dyDescent="0.25">
      <c r="A14">
        <v>4</v>
      </c>
      <c r="B14" t="s">
        <v>21</v>
      </c>
      <c r="C14" s="123">
        <f>+RRR!G11</f>
        <v>687442.927279233</v>
      </c>
      <c r="N14" s="80"/>
    </row>
    <row r="15" spans="1:14" x14ac:dyDescent="0.25">
      <c r="A15">
        <v>5</v>
      </c>
      <c r="B15" t="s">
        <v>22</v>
      </c>
      <c r="C15" s="123">
        <f>'True-Up'!H27</f>
        <v>-12917.850737094879</v>
      </c>
      <c r="N15" s="80"/>
    </row>
    <row r="16" spans="1:14" x14ac:dyDescent="0.25">
      <c r="A16">
        <v>6</v>
      </c>
      <c r="B16" t="s">
        <v>23</v>
      </c>
      <c r="C16" s="120">
        <v>0</v>
      </c>
      <c r="N16" s="80"/>
    </row>
    <row r="17" spans="1:14" x14ac:dyDescent="0.25">
      <c r="A17">
        <v>7</v>
      </c>
      <c r="B17" t="s">
        <v>86</v>
      </c>
      <c r="C17" s="121">
        <f>SUM(C14:C16)+C11</f>
        <v>10576712.761496149</v>
      </c>
      <c r="N17" s="80"/>
    </row>
    <row r="18" spans="1:14" ht="18" x14ac:dyDescent="0.35">
      <c r="A18">
        <v>8</v>
      </c>
      <c r="B18" t="s">
        <v>89</v>
      </c>
      <c r="C18" s="123">
        <f>SUM(SRP!O2:O13)*1000</f>
        <v>30555292790.688656</v>
      </c>
      <c r="N18" s="80"/>
    </row>
    <row r="19" spans="1:14" x14ac:dyDescent="0.25">
      <c r="A19">
        <v>9</v>
      </c>
      <c r="B19" t="s">
        <v>87</v>
      </c>
      <c r="C19" s="28">
        <f>+C25</f>
        <v>3.4614993984673155E-4</v>
      </c>
      <c r="N19" s="80"/>
    </row>
    <row r="20" spans="1:14" x14ac:dyDescent="0.25">
      <c r="A20">
        <v>10</v>
      </c>
      <c r="B20" t="s">
        <v>25</v>
      </c>
      <c r="C20" s="28">
        <f>+C19</f>
        <v>3.4614993984673155E-4</v>
      </c>
      <c r="D20" s="4"/>
      <c r="N20" s="80"/>
    </row>
    <row r="21" spans="1:14" x14ac:dyDescent="0.25">
      <c r="A21">
        <v>11</v>
      </c>
      <c r="B21" t="s">
        <v>24</v>
      </c>
      <c r="C21" s="4">
        <v>0</v>
      </c>
    </row>
    <row r="22" spans="1:14" x14ac:dyDescent="0.25">
      <c r="A22">
        <v>12</v>
      </c>
      <c r="B22" t="s">
        <v>26</v>
      </c>
      <c r="C22" s="28">
        <f>+C20+C21</f>
        <v>3.4614993984673155E-4</v>
      </c>
    </row>
    <row r="24" spans="1:14" x14ac:dyDescent="0.25">
      <c r="B24" t="s">
        <v>85</v>
      </c>
      <c r="C24" s="28">
        <f>RAC!J19</f>
        <v>9.8665823132066278E-3</v>
      </c>
    </row>
    <row r="25" spans="1:14" ht="18" x14ac:dyDescent="0.35">
      <c r="A25" s="29" t="s">
        <v>88</v>
      </c>
      <c r="B25" t="s">
        <v>90</v>
      </c>
      <c r="C25" s="28">
        <f>+MIN(C17/C18,C24)</f>
        <v>3.4614993984673155E-4</v>
      </c>
    </row>
  </sheetData>
  <pageMargins left="0.7" right="0.7" top="0.75" bottom="0.75" header="0.3" footer="0.3"/>
  <pageSetup scale="84" orientation="portrait" r:id="rId1"/>
  <headerFooter>
    <oddFooter>&amp;RSchedule - JNG - 1
&amp;P</oddFooter>
  </headerFooter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19"/>
  <sheetViews>
    <sheetView zoomScaleNormal="100" workbookViewId="0">
      <selection activeCell="F10" sqref="F10"/>
    </sheetView>
  </sheetViews>
  <sheetFormatPr defaultRowHeight="15" x14ac:dyDescent="0.25"/>
  <cols>
    <col min="1" max="1" width="12.5703125" bestFit="1" customWidth="1"/>
    <col min="2" max="2" width="14.28515625" bestFit="1" customWidth="1"/>
    <col min="3" max="3" width="12.85546875" bestFit="1" customWidth="1"/>
    <col min="4" max="4" width="16" bestFit="1" customWidth="1"/>
    <col min="5" max="5" width="20.140625" customWidth="1"/>
    <col min="6" max="7" width="16.28515625" bestFit="1" customWidth="1"/>
  </cols>
  <sheetData>
    <row r="1" spans="1:7" x14ac:dyDescent="0.25">
      <c r="A1" t="s">
        <v>0</v>
      </c>
    </row>
    <row r="2" spans="1:7" x14ac:dyDescent="0.25">
      <c r="A2" t="s">
        <v>15</v>
      </c>
    </row>
    <row r="3" spans="1:7" x14ac:dyDescent="0.25">
      <c r="A3" t="s">
        <v>241</v>
      </c>
    </row>
    <row r="4" spans="1:7" x14ac:dyDescent="0.25">
      <c r="A4" t="s">
        <v>245</v>
      </c>
    </row>
    <row r="7" spans="1:7" ht="17.25" x14ac:dyDescent="0.25">
      <c r="C7" s="14" t="s">
        <v>309</v>
      </c>
      <c r="D7" s="259" t="s">
        <v>306</v>
      </c>
      <c r="E7" s="259" t="s">
        <v>305</v>
      </c>
      <c r="F7" s="14" t="s">
        <v>310</v>
      </c>
      <c r="G7" s="251" t="s">
        <v>304</v>
      </c>
    </row>
    <row r="8" spans="1:7" x14ac:dyDescent="0.25">
      <c r="A8" t="s">
        <v>31</v>
      </c>
      <c r="B8" s="13"/>
      <c r="C8" s="85">
        <f>SUM('Monthly Cost Tracker 4'!B6:M11)</f>
        <v>6011239.2199999997</v>
      </c>
      <c r="D8" s="119"/>
      <c r="E8" s="85">
        <f>'ER-2021-0240'!D26</f>
        <v>4172607.4900000007</v>
      </c>
      <c r="F8" s="119">
        <f>C8</f>
        <v>6011239.2199999997</v>
      </c>
      <c r="G8" s="85">
        <f>F8-E8</f>
        <v>1838631.7299999991</v>
      </c>
    </row>
    <row r="9" spans="1:7" x14ac:dyDescent="0.25">
      <c r="A9" t="s">
        <v>32</v>
      </c>
      <c r="B9" s="13"/>
      <c r="C9" s="85">
        <f>SUM('Monthly Cost Tracker 4'!B12:M12)</f>
        <v>3713001.75</v>
      </c>
      <c r="D9" s="119"/>
      <c r="E9" s="85">
        <f>'ER-2021-0240'!D27</f>
        <v>2937305.73</v>
      </c>
      <c r="F9" s="119">
        <f>C9</f>
        <v>3713001.75</v>
      </c>
      <c r="G9" s="85">
        <f t="shared" ref="G9" si="0">F9-E9</f>
        <v>775696.02</v>
      </c>
    </row>
    <row r="10" spans="1:7" x14ac:dyDescent="0.25">
      <c r="A10" t="s">
        <v>308</v>
      </c>
      <c r="B10" s="13"/>
      <c r="C10" s="85">
        <f>SUM('Monthly Cost Tracker 4'!B13:M19)</f>
        <v>10246799.083640229</v>
      </c>
      <c r="D10" s="119">
        <f>SUM('Monthly Cost Tracker 4'!I13:M19)</f>
        <v>5569225.6033801399</v>
      </c>
      <c r="E10" s="85">
        <f>SUM('ER-2021-0240'!D28:D31,'ER-2021-0240'!D39:D48)</f>
        <v>15293026.270833103</v>
      </c>
      <c r="F10" s="119">
        <f>D10/5*12</f>
        <v>13366141.448112337</v>
      </c>
      <c r="G10" s="85">
        <f>F10-E10</f>
        <v>-1926884.8227207661</v>
      </c>
    </row>
    <row r="11" spans="1:7" ht="15.75" thickBot="1" x14ac:dyDescent="0.3">
      <c r="A11" t="s">
        <v>246</v>
      </c>
      <c r="C11" s="260">
        <f t="shared" ref="C11" si="1">SUM(C8:C10)</f>
        <v>19971040.053640228</v>
      </c>
      <c r="D11" s="260">
        <f>SUM(D8:D10)</f>
        <v>5569225.6033801399</v>
      </c>
      <c r="E11" s="260">
        <f t="shared" ref="E11:G11" si="2">SUM(E8:E10)</f>
        <v>22402939.490833104</v>
      </c>
      <c r="F11" s="260">
        <f t="shared" si="2"/>
        <v>23090382.418112338</v>
      </c>
      <c r="G11" s="260">
        <f t="shared" si="2"/>
        <v>687442.927279233</v>
      </c>
    </row>
    <row r="12" spans="1:7" ht="15.75" thickTop="1" x14ac:dyDescent="0.25"/>
    <row r="14" spans="1:7" ht="16.5" customHeight="1" x14ac:dyDescent="0.25">
      <c r="A14" s="320" t="s">
        <v>311</v>
      </c>
      <c r="B14" s="320"/>
      <c r="C14" s="320"/>
      <c r="D14" s="320"/>
      <c r="E14" s="320"/>
      <c r="F14" s="320"/>
      <c r="G14" s="320"/>
    </row>
    <row r="15" spans="1:7" x14ac:dyDescent="0.25">
      <c r="A15" s="320"/>
      <c r="B15" s="320"/>
      <c r="C15" s="320"/>
      <c r="D15" s="320"/>
      <c r="E15" s="320"/>
      <c r="F15" s="320"/>
      <c r="G15" s="320"/>
    </row>
    <row r="16" spans="1:7" x14ac:dyDescent="0.25">
      <c r="A16" s="320"/>
      <c r="B16" s="320"/>
      <c r="C16" s="320"/>
      <c r="D16" s="320"/>
      <c r="E16" s="320"/>
      <c r="F16" s="320"/>
      <c r="G16" s="320"/>
    </row>
    <row r="17" spans="1:6" ht="17.25" x14ac:dyDescent="0.25">
      <c r="A17" s="258" t="s">
        <v>307</v>
      </c>
      <c r="B17" s="15"/>
      <c r="C17" s="15"/>
      <c r="D17" s="15"/>
      <c r="E17" s="15"/>
      <c r="F17" s="15"/>
    </row>
    <row r="18" spans="1:6" x14ac:dyDescent="0.25">
      <c r="B18" s="15"/>
      <c r="C18" s="15"/>
      <c r="D18" s="15"/>
      <c r="E18" s="15"/>
      <c r="F18" s="15"/>
    </row>
    <row r="19" spans="1:6" ht="27.4" customHeight="1" x14ac:dyDescent="0.25">
      <c r="B19" s="15"/>
      <c r="C19" s="15"/>
      <c r="D19" s="15"/>
      <c r="E19" s="15"/>
      <c r="F19" s="15"/>
    </row>
  </sheetData>
  <mergeCells count="1">
    <mergeCell ref="A14:G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3">
    <pageSetUpPr fitToPage="1"/>
  </sheetPr>
  <dimension ref="A1:F61"/>
  <sheetViews>
    <sheetView zoomScaleNormal="100" workbookViewId="0">
      <selection activeCell="D55" sqref="D55"/>
    </sheetView>
  </sheetViews>
  <sheetFormatPr defaultColWidth="8.7109375" defaultRowHeight="15" x14ac:dyDescent="0.25"/>
  <cols>
    <col min="2" max="2" width="18.42578125" style="220" bestFit="1" customWidth="1"/>
    <col min="3" max="3" width="52.7109375" style="220" bestFit="1" customWidth="1"/>
    <col min="4" max="4" width="16.5703125" style="220" customWidth="1"/>
    <col min="5" max="5" width="41.7109375" style="220" customWidth="1"/>
    <col min="6" max="6" width="7.28515625" style="221" customWidth="1"/>
    <col min="7" max="7" width="27.28515625" bestFit="1" customWidth="1"/>
  </cols>
  <sheetData>
    <row r="1" spans="1:6" x14ac:dyDescent="0.25">
      <c r="A1" s="219" t="s">
        <v>224</v>
      </c>
    </row>
    <row r="2" spans="1:6" x14ac:dyDescent="0.25">
      <c r="A2" s="219" t="s">
        <v>248</v>
      </c>
    </row>
    <row r="3" spans="1:6" x14ac:dyDescent="0.25">
      <c r="A3" s="219" t="s">
        <v>249</v>
      </c>
    </row>
    <row r="4" spans="1:6" x14ac:dyDescent="0.25">
      <c r="C4" s="222"/>
      <c r="D4" s="222"/>
      <c r="E4" s="222"/>
      <c r="F4" s="223"/>
    </row>
    <row r="5" spans="1:6" x14ac:dyDescent="0.25">
      <c r="A5" s="224"/>
      <c r="C5" s="222"/>
      <c r="D5" s="222"/>
      <c r="E5" s="222"/>
      <c r="F5" s="223"/>
    </row>
    <row r="6" spans="1:6" x14ac:dyDescent="0.25">
      <c r="A6" s="225" t="s">
        <v>250</v>
      </c>
      <c r="B6" s="226"/>
      <c r="C6" s="226"/>
      <c r="D6" s="226"/>
      <c r="E6" s="226"/>
      <c r="F6" s="223"/>
    </row>
    <row r="7" spans="1:6" x14ac:dyDescent="0.25">
      <c r="A7" s="227"/>
      <c r="B7" s="228"/>
      <c r="C7" s="228"/>
      <c r="D7" s="228"/>
      <c r="E7" s="228"/>
      <c r="F7" s="223"/>
    </row>
    <row r="8" spans="1:6" ht="15.75" thickBot="1" x14ac:dyDescent="0.3">
      <c r="A8" s="227"/>
      <c r="B8" s="228"/>
      <c r="C8" s="229" t="s">
        <v>251</v>
      </c>
      <c r="D8" s="230">
        <v>-11459860.029999988</v>
      </c>
      <c r="E8" s="231" t="s">
        <v>252</v>
      </c>
      <c r="F8" s="223"/>
    </row>
    <row r="9" spans="1:6" ht="15.75" thickTop="1" x14ac:dyDescent="0.25">
      <c r="A9" s="227"/>
      <c r="B9" s="228"/>
      <c r="C9" s="228"/>
      <c r="D9" s="232"/>
      <c r="E9" s="232"/>
      <c r="F9" s="223"/>
    </row>
    <row r="10" spans="1:6" x14ac:dyDescent="0.25">
      <c r="A10" s="227"/>
      <c r="B10" s="228"/>
      <c r="C10" s="228" t="s">
        <v>253</v>
      </c>
      <c r="D10" s="233">
        <v>-1579678.99</v>
      </c>
      <c r="E10" s="231" t="s">
        <v>254</v>
      </c>
      <c r="F10" s="223"/>
    </row>
    <row r="11" spans="1:6" ht="13.5" customHeight="1" x14ac:dyDescent="0.25">
      <c r="C11" s="220" t="s">
        <v>255</v>
      </c>
      <c r="D11" s="234">
        <v>-476905.52</v>
      </c>
      <c r="E11" s="231" t="s">
        <v>256</v>
      </c>
      <c r="F11" s="223"/>
    </row>
    <row r="12" spans="1:6" x14ac:dyDescent="0.25">
      <c r="C12" s="220" t="s">
        <v>257</v>
      </c>
      <c r="D12" s="234">
        <v>-7480420.8000000007</v>
      </c>
      <c r="E12" s="231" t="s">
        <v>258</v>
      </c>
      <c r="F12" s="223"/>
    </row>
    <row r="13" spans="1:6" ht="15.75" thickBot="1" x14ac:dyDescent="0.3">
      <c r="C13" s="229" t="s">
        <v>259</v>
      </c>
      <c r="D13" s="235">
        <v>-9537005.3100000005</v>
      </c>
      <c r="E13" s="231"/>
    </row>
    <row r="14" spans="1:6" ht="15.75" thickTop="1" x14ac:dyDescent="0.25">
      <c r="D14" s="234"/>
      <c r="E14" s="231"/>
    </row>
    <row r="15" spans="1:6" x14ac:dyDescent="0.25">
      <c r="C15" s="220" t="s">
        <v>260</v>
      </c>
      <c r="D15" s="234">
        <v>-2380033</v>
      </c>
      <c r="E15" s="231" t="s">
        <v>261</v>
      </c>
    </row>
    <row r="16" spans="1:6" ht="15.75" thickBot="1" x14ac:dyDescent="0.3">
      <c r="C16" s="229" t="s">
        <v>262</v>
      </c>
      <c r="D16" s="236">
        <v>-2380033</v>
      </c>
      <c r="E16" s="237" t="s">
        <v>263</v>
      </c>
      <c r="F16" s="231"/>
    </row>
    <row r="17" spans="1:6" ht="15.75" thickTop="1" x14ac:dyDescent="0.25">
      <c r="D17" s="238"/>
      <c r="E17" s="238"/>
    </row>
    <row r="18" spans="1:6" x14ac:dyDescent="0.25">
      <c r="D18" s="239"/>
      <c r="E18" s="238"/>
    </row>
    <row r="21" spans="1:6" x14ac:dyDescent="0.25">
      <c r="D21" s="240"/>
    </row>
    <row r="22" spans="1:6" x14ac:dyDescent="0.25">
      <c r="B22" s="241"/>
    </row>
    <row r="23" spans="1:6" x14ac:dyDescent="0.25">
      <c r="A23" s="225" t="s">
        <v>264</v>
      </c>
      <c r="B23" s="226"/>
      <c r="C23" s="226"/>
      <c r="D23" s="226"/>
      <c r="E23" s="226"/>
    </row>
    <row r="24" spans="1:6" x14ac:dyDescent="0.25">
      <c r="A24" s="227"/>
      <c r="B24" s="228"/>
      <c r="C24" s="228"/>
      <c r="D24" s="228"/>
      <c r="E24" s="228"/>
    </row>
    <row r="25" spans="1:6" x14ac:dyDescent="0.25">
      <c r="B25" s="241"/>
      <c r="D25" s="221"/>
      <c r="E25" s="221"/>
    </row>
    <row r="26" spans="1:6" x14ac:dyDescent="0.25">
      <c r="B26" s="241"/>
      <c r="C26" s="220" t="s">
        <v>31</v>
      </c>
      <c r="D26" s="239">
        <v>4172607.4900000007</v>
      </c>
      <c r="E26" s="221" t="s">
        <v>265</v>
      </c>
      <c r="F26"/>
    </row>
    <row r="27" spans="1:6" x14ac:dyDescent="0.25">
      <c r="B27" s="241"/>
      <c r="C27" s="220" t="s">
        <v>266</v>
      </c>
      <c r="D27" s="239">
        <v>2937305.73</v>
      </c>
      <c r="E27" s="221" t="s">
        <v>261</v>
      </c>
      <c r="F27"/>
    </row>
    <row r="28" spans="1:6" x14ac:dyDescent="0.25">
      <c r="C28" s="220" t="s">
        <v>267</v>
      </c>
      <c r="D28" s="242">
        <v>831736</v>
      </c>
      <c r="E28" s="221" t="s">
        <v>268</v>
      </c>
      <c r="F28"/>
    </row>
    <row r="29" spans="1:6" x14ac:dyDescent="0.25">
      <c r="C29" s="220" t="s">
        <v>269</v>
      </c>
      <c r="D29" s="242">
        <v>5264812.0000000009</v>
      </c>
      <c r="E29" s="221" t="s">
        <v>270</v>
      </c>
      <c r="F29"/>
    </row>
    <row r="30" spans="1:6" x14ac:dyDescent="0.25">
      <c r="C30" s="220" t="s">
        <v>271</v>
      </c>
      <c r="D30" s="242">
        <v>7966108.5287092393</v>
      </c>
      <c r="E30" s="221" t="s">
        <v>272</v>
      </c>
      <c r="F30"/>
    </row>
    <row r="31" spans="1:6" x14ac:dyDescent="0.25">
      <c r="C31" s="220" t="s">
        <v>273</v>
      </c>
      <c r="D31" s="243">
        <v>1918179.3914106362</v>
      </c>
      <c r="E31" s="221" t="s">
        <v>274</v>
      </c>
      <c r="F31"/>
    </row>
    <row r="32" spans="1:6" x14ac:dyDescent="0.25">
      <c r="D32" s="243"/>
      <c r="E32" s="221"/>
      <c r="F32"/>
    </row>
    <row r="33" spans="1:6" ht="15.75" thickBot="1" x14ac:dyDescent="0.3">
      <c r="C33" s="229" t="s">
        <v>275</v>
      </c>
      <c r="D33" s="244">
        <f>SUM(D26:D32)</f>
        <v>23090749.14011988</v>
      </c>
      <c r="E33" s="221"/>
      <c r="F33"/>
    </row>
    <row r="34" spans="1:6" ht="15.75" thickTop="1" x14ac:dyDescent="0.25">
      <c r="E34" s="245"/>
      <c r="F34"/>
    </row>
    <row r="35" spans="1:6" x14ac:dyDescent="0.25">
      <c r="F35"/>
    </row>
    <row r="36" spans="1:6" x14ac:dyDescent="0.25">
      <c r="A36" s="225" t="s">
        <v>276</v>
      </c>
      <c r="B36" s="226"/>
      <c r="C36" s="226"/>
      <c r="D36" s="226"/>
      <c r="E36" s="226"/>
    </row>
    <row r="39" spans="1:6" x14ac:dyDescent="0.25">
      <c r="B39" s="122"/>
      <c r="C39" s="220" t="s">
        <v>277</v>
      </c>
      <c r="D39" s="246">
        <v>-74172393.421636432</v>
      </c>
      <c r="E39" s="221" t="s">
        <v>278</v>
      </c>
    </row>
    <row r="40" spans="1:6" x14ac:dyDescent="0.25">
      <c r="C40" s="220" t="s">
        <v>279</v>
      </c>
      <c r="D40" s="85">
        <v>84056115.705834195</v>
      </c>
      <c r="E40" s="85" t="s">
        <v>280</v>
      </c>
    </row>
    <row r="41" spans="1:6" x14ac:dyDescent="0.25">
      <c r="C41" s="220" t="s">
        <v>281</v>
      </c>
      <c r="D41" s="246">
        <v>-53509635.796817876</v>
      </c>
      <c r="E41" s="221"/>
    </row>
    <row r="42" spans="1:6" x14ac:dyDescent="0.25">
      <c r="C42" s="220" t="s">
        <v>282</v>
      </c>
      <c r="D42" s="246">
        <v>-39663.333333333336</v>
      </c>
      <c r="E42" s="221"/>
    </row>
    <row r="43" spans="1:6" x14ac:dyDescent="0.25">
      <c r="C43" s="220" t="s">
        <v>283</v>
      </c>
      <c r="D43" s="246">
        <v>-1108.4933333334823</v>
      </c>
      <c r="E43" s="221"/>
    </row>
    <row r="44" spans="1:6" x14ac:dyDescent="0.25">
      <c r="C44" s="220" t="s">
        <v>284</v>
      </c>
      <c r="D44" s="246">
        <v>626.23666666696465</v>
      </c>
      <c r="E44" s="221"/>
    </row>
    <row r="45" spans="1:6" x14ac:dyDescent="0.25">
      <c r="C45" s="220" t="s">
        <v>285</v>
      </c>
      <c r="D45" s="246">
        <v>336505.48333333927</v>
      </c>
      <c r="E45" s="221"/>
    </row>
    <row r="46" spans="1:6" x14ac:dyDescent="0.25">
      <c r="C46" s="220" t="s">
        <v>7</v>
      </c>
      <c r="D46" s="246">
        <v>41616687</v>
      </c>
      <c r="E46" s="221" t="s">
        <v>286</v>
      </c>
    </row>
    <row r="47" spans="1:6" x14ac:dyDescent="0.25">
      <c r="C47" s="220" t="s">
        <v>9</v>
      </c>
      <c r="D47" s="246">
        <v>12943.970000000001</v>
      </c>
      <c r="E47" s="221"/>
    </row>
    <row r="48" spans="1:6" x14ac:dyDescent="0.25">
      <c r="C48" s="220" t="s">
        <v>287</v>
      </c>
      <c r="D48" s="246">
        <v>1012113</v>
      </c>
      <c r="E48" s="221" t="s">
        <v>288</v>
      </c>
    </row>
    <row r="49" spans="3:5" x14ac:dyDescent="0.25">
      <c r="C49" s="220" t="s">
        <v>289</v>
      </c>
      <c r="D49" s="246">
        <f>D33</f>
        <v>23090749.14011988</v>
      </c>
      <c r="E49" s="221" t="s">
        <v>290</v>
      </c>
    </row>
    <row r="50" spans="3:5" ht="15.75" thickBot="1" x14ac:dyDescent="0.3">
      <c r="C50" s="229" t="s">
        <v>291</v>
      </c>
      <c r="D50" s="247">
        <f>SUM(D39:D49)</f>
        <v>22402939.490833104</v>
      </c>
    </row>
    <row r="51" spans="3:5" ht="15.75" thickTop="1" x14ac:dyDescent="0.25"/>
    <row r="52" spans="3:5" x14ac:dyDescent="0.25">
      <c r="C52" s="15"/>
    </row>
    <row r="53" spans="3:5" x14ac:dyDescent="0.25">
      <c r="C53" s="29"/>
      <c r="D53" s="241"/>
    </row>
    <row r="54" spans="3:5" x14ac:dyDescent="0.25">
      <c r="C54" s="29"/>
      <c r="D54" s="248"/>
    </row>
    <row r="55" spans="3:5" x14ac:dyDescent="0.25">
      <c r="C55" s="249"/>
      <c r="D55" s="241"/>
    </row>
    <row r="56" spans="3:5" x14ac:dyDescent="0.25">
      <c r="C56" s="249"/>
      <c r="D56" s="241"/>
    </row>
    <row r="57" spans="3:5" x14ac:dyDescent="0.25">
      <c r="C57" s="29"/>
      <c r="D57" s="248"/>
    </row>
    <row r="61" spans="3:5" x14ac:dyDescent="0.25">
      <c r="C61" s="250"/>
    </row>
  </sheetData>
  <pageMargins left="0.7" right="0.7" top="0.75" bottom="0.75" header="0.3" footer="0.3"/>
  <pageSetup scale="65" orientation="portrait" horizontalDpi="1200" verticalDpi="1200" r:id="rId1"/>
  <headerFoot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zoomScale="85" zoomScaleNormal="85" zoomScaleSheetLayoutView="81" workbookViewId="0">
      <selection activeCell="A3" sqref="A3"/>
    </sheetView>
  </sheetViews>
  <sheetFormatPr defaultColWidth="9.140625" defaultRowHeight="12.75" x14ac:dyDescent="0.2"/>
  <cols>
    <col min="1" max="1" width="2" style="263" customWidth="1"/>
    <col min="2" max="2" width="23.28515625" style="263" bestFit="1" customWidth="1"/>
    <col min="3" max="3" width="36.28515625" style="263" bestFit="1" customWidth="1"/>
    <col min="4" max="4" width="16.140625" style="263" customWidth="1"/>
    <col min="5" max="5" width="19" style="263" bestFit="1" customWidth="1"/>
    <col min="6" max="6" width="22.85546875" style="263" bestFit="1" customWidth="1"/>
    <col min="7" max="7" width="3" style="263" customWidth="1"/>
    <col min="8" max="8" width="13.85546875" style="263" bestFit="1" customWidth="1"/>
    <col min="9" max="9" width="42.42578125" style="263" bestFit="1" customWidth="1"/>
    <col min="10" max="10" width="17.140625" style="263" bestFit="1" customWidth="1"/>
    <col min="11" max="11" width="16.42578125" style="263" bestFit="1" customWidth="1"/>
    <col min="12" max="12" width="21.85546875" style="263" bestFit="1" customWidth="1"/>
    <col min="13" max="13" width="17" style="263" bestFit="1" customWidth="1"/>
    <col min="14" max="14" width="17.5703125" style="263" bestFit="1" customWidth="1"/>
    <col min="15" max="16384" width="9.140625" style="263"/>
  </cols>
  <sheetData>
    <row r="1" spans="1:14" s="262" customFormat="1" x14ac:dyDescent="0.2">
      <c r="A1" s="261" t="s">
        <v>0</v>
      </c>
    </row>
    <row r="2" spans="1:14" s="262" customFormat="1" x14ac:dyDescent="0.2">
      <c r="A2" s="261" t="s">
        <v>312</v>
      </c>
    </row>
    <row r="3" spans="1:14" s="262" customFormat="1" x14ac:dyDescent="0.2">
      <c r="A3" s="261"/>
    </row>
    <row r="4" spans="1:14" ht="13.5" thickBot="1" x14ac:dyDescent="0.25">
      <c r="B4" s="264"/>
      <c r="C4" s="264"/>
      <c r="D4" s="264"/>
      <c r="E4" s="264"/>
      <c r="F4" s="264"/>
    </row>
    <row r="5" spans="1:14" s="265" customFormat="1" ht="19.5" thickBot="1" x14ac:dyDescent="0.35">
      <c r="B5" s="327" t="s">
        <v>48</v>
      </c>
      <c r="C5" s="328"/>
      <c r="D5" s="329"/>
      <c r="E5" s="329"/>
      <c r="F5" s="330"/>
      <c r="H5" s="327" t="s">
        <v>49</v>
      </c>
      <c r="I5" s="328"/>
      <c r="J5" s="328"/>
      <c r="K5" s="328"/>
      <c r="L5" s="328"/>
      <c r="M5" s="328"/>
      <c r="N5" s="331"/>
    </row>
    <row r="6" spans="1:14" s="265" customFormat="1" ht="15" x14ac:dyDescent="0.25">
      <c r="B6" s="266"/>
      <c r="C6" s="267"/>
      <c r="D6" s="332" t="s">
        <v>50</v>
      </c>
      <c r="E6" s="333"/>
      <c r="F6" s="268">
        <f>AVERAGE(F20,F33)</f>
        <v>8.5150301181978E-2</v>
      </c>
      <c r="H6" s="266"/>
      <c r="I6" s="269" t="s">
        <v>51</v>
      </c>
      <c r="J6" s="270">
        <f>N33</f>
        <v>8.9973083861900782E-2</v>
      </c>
      <c r="K6" s="267"/>
      <c r="L6" s="267"/>
      <c r="M6" s="267"/>
      <c r="N6" s="271"/>
    </row>
    <row r="7" spans="1:14" s="265" customFormat="1" ht="13.5" thickBot="1" x14ac:dyDescent="0.25">
      <c r="B7" s="266"/>
      <c r="C7" s="267"/>
      <c r="D7" s="334" t="s">
        <v>52</v>
      </c>
      <c r="E7" s="335"/>
      <c r="F7" s="272">
        <v>42826</v>
      </c>
      <c r="H7" s="266"/>
      <c r="I7" s="273" t="s">
        <v>53</v>
      </c>
      <c r="J7" s="274">
        <f>I33</f>
        <v>8.7791713002272787E-2</v>
      </c>
      <c r="K7" s="267"/>
      <c r="L7" s="267"/>
      <c r="M7" s="267"/>
      <c r="N7" s="271"/>
    </row>
    <row r="8" spans="1:14" s="265" customFormat="1" ht="13.5" thickBot="1" x14ac:dyDescent="0.25">
      <c r="B8" s="266"/>
      <c r="C8" s="267"/>
      <c r="D8" s="267"/>
      <c r="E8" s="267"/>
      <c r="F8" s="271"/>
      <c r="H8" s="266"/>
      <c r="I8" s="275" t="s">
        <v>54</v>
      </c>
      <c r="J8" s="274">
        <f>(L32+M32)/H32</f>
        <v>2.1813708596279805E-3</v>
      </c>
      <c r="K8" s="267"/>
      <c r="L8" s="267"/>
      <c r="M8" s="267"/>
      <c r="N8" s="271"/>
    </row>
    <row r="9" spans="1:14" s="265" customFormat="1" ht="15.75" x14ac:dyDescent="0.25">
      <c r="B9" s="321" t="s">
        <v>55</v>
      </c>
      <c r="C9" s="322"/>
      <c r="D9" s="322"/>
      <c r="E9" s="322"/>
      <c r="F9" s="323"/>
      <c r="H9" s="266"/>
      <c r="I9" s="273" t="s">
        <v>56</v>
      </c>
      <c r="J9" s="276">
        <f>(J6/F6)^(1/((J10-F7)/365))-1</f>
        <v>9.4765172417832222E-3</v>
      </c>
      <c r="K9" s="267"/>
      <c r="L9" s="267"/>
      <c r="M9" s="267"/>
      <c r="N9" s="271"/>
    </row>
    <row r="10" spans="1:14" s="265" customFormat="1" x14ac:dyDescent="0.2">
      <c r="B10" s="273"/>
      <c r="C10" s="277" t="s">
        <v>57</v>
      </c>
      <c r="D10" s="277" t="s">
        <v>58</v>
      </c>
      <c r="E10" s="277" t="s">
        <v>59</v>
      </c>
      <c r="F10" s="278" t="s">
        <v>60</v>
      </c>
      <c r="H10" s="266"/>
      <c r="I10" s="273" t="s">
        <v>52</v>
      </c>
      <c r="J10" s="279">
        <v>44958</v>
      </c>
      <c r="K10" s="267"/>
      <c r="L10" s="280"/>
      <c r="M10" s="267"/>
      <c r="N10" s="271"/>
    </row>
    <row r="11" spans="1:14" s="265" customFormat="1" ht="15" x14ac:dyDescent="0.25">
      <c r="B11" s="273" t="s">
        <v>61</v>
      </c>
      <c r="C11" s="281">
        <v>1308982935.1561263</v>
      </c>
      <c r="D11" s="282">
        <v>12812045844.15897</v>
      </c>
      <c r="E11" s="283">
        <f>D11*0.00124</f>
        <v>15886936.846757123</v>
      </c>
      <c r="F11" s="284">
        <f>C11+E11</f>
        <v>1324869872.0028834</v>
      </c>
      <c r="H11" s="266"/>
      <c r="I11" s="273" t="s">
        <v>313</v>
      </c>
      <c r="J11" s="285">
        <f>(J10-F7)/365</f>
        <v>5.8410958904109593</v>
      </c>
      <c r="K11" s="267"/>
      <c r="L11" s="267"/>
      <c r="M11" s="267"/>
      <c r="N11" s="271"/>
    </row>
    <row r="12" spans="1:14" s="265" customFormat="1" ht="15" x14ac:dyDescent="0.25">
      <c r="B12" s="273" t="s">
        <v>62</v>
      </c>
      <c r="C12" s="281">
        <v>316514060.7287904</v>
      </c>
      <c r="D12" s="282">
        <v>3314685710.2862983</v>
      </c>
      <c r="E12" s="283">
        <f t="shared" ref="E12:E17" si="0">D12*0.00124</f>
        <v>4110210.28075501</v>
      </c>
      <c r="F12" s="284">
        <f t="shared" ref="F12:F18" si="1">C12+E12</f>
        <v>320624271.00954539</v>
      </c>
      <c r="H12" s="266"/>
      <c r="I12" s="273" t="s">
        <v>63</v>
      </c>
      <c r="J12" s="274">
        <f>(F6*(1.0285^(J11)))</f>
        <v>0.10033966617510739</v>
      </c>
      <c r="K12" s="267"/>
      <c r="N12" s="271"/>
    </row>
    <row r="13" spans="1:14" s="265" customFormat="1" ht="15" x14ac:dyDescent="0.25">
      <c r="B13" s="273" t="s">
        <v>64</v>
      </c>
      <c r="C13" s="281">
        <v>609538433.00189579</v>
      </c>
      <c r="D13" s="282">
        <v>8031106053.8757181</v>
      </c>
      <c r="E13" s="283">
        <f t="shared" si="0"/>
        <v>9958571.5068058912</v>
      </c>
      <c r="F13" s="284">
        <f t="shared" si="1"/>
        <v>619497004.50870168</v>
      </c>
      <c r="H13" s="266"/>
      <c r="I13" s="273" t="s">
        <v>65</v>
      </c>
      <c r="J13" s="274">
        <f>I33-F6</f>
        <v>2.6414118202947867E-3</v>
      </c>
      <c r="K13" s="267"/>
      <c r="L13" s="286"/>
      <c r="M13" s="287"/>
      <c r="N13" s="271"/>
    </row>
    <row r="14" spans="1:14" s="265" customFormat="1" ht="15" x14ac:dyDescent="0.25">
      <c r="B14" s="273" t="s">
        <v>66</v>
      </c>
      <c r="C14" s="281">
        <v>245102970.57551768</v>
      </c>
      <c r="D14" s="282">
        <v>3683300923.8602734</v>
      </c>
      <c r="E14" s="283">
        <f>D14*0.0012</f>
        <v>4419961.108632328</v>
      </c>
      <c r="F14" s="284">
        <f t="shared" si="1"/>
        <v>249522931.68415001</v>
      </c>
      <c r="H14" s="266"/>
      <c r="I14" s="273" t="s">
        <v>67</v>
      </c>
      <c r="J14" s="274">
        <f>J12-F6</f>
        <v>1.5189364993129395E-2</v>
      </c>
      <c r="K14" s="267"/>
      <c r="L14" s="267"/>
      <c r="M14" s="267"/>
      <c r="N14" s="271"/>
    </row>
    <row r="15" spans="1:14" s="265" customFormat="1" ht="15" x14ac:dyDescent="0.25">
      <c r="B15" s="273" t="s">
        <v>68</v>
      </c>
      <c r="C15" s="281">
        <v>215769113.9882344</v>
      </c>
      <c r="D15" s="282">
        <v>3778918417.2382569</v>
      </c>
      <c r="E15" s="283">
        <f>D15*0.0012</f>
        <v>4534702.1006859075</v>
      </c>
      <c r="F15" s="284">
        <f t="shared" si="1"/>
        <v>220303816.0889203</v>
      </c>
      <c r="H15" s="266"/>
      <c r="I15" s="273" t="s">
        <v>69</v>
      </c>
      <c r="J15" s="274">
        <f>L33</f>
        <v>2.6813708596279805E-3</v>
      </c>
      <c r="K15" s="267"/>
      <c r="L15" s="267"/>
      <c r="M15" s="267"/>
      <c r="N15" s="271"/>
    </row>
    <row r="16" spans="1:14" s="265" customFormat="1" ht="15.75" thickBot="1" x14ac:dyDescent="0.3">
      <c r="B16" s="273" t="s">
        <v>70</v>
      </c>
      <c r="C16" s="281">
        <v>38160833.115842789</v>
      </c>
      <c r="D16" s="282">
        <v>140442436</v>
      </c>
      <c r="E16" s="283">
        <f>D16*0.00124</f>
        <v>174148.62064000001</v>
      </c>
      <c r="F16" s="284">
        <f t="shared" si="1"/>
        <v>38334981.736482792</v>
      </c>
      <c r="H16" s="266"/>
      <c r="I16" s="288" t="s">
        <v>71</v>
      </c>
      <c r="J16" s="289">
        <f>M33</f>
        <v>-5.0000000000000001E-4</v>
      </c>
      <c r="K16" s="267"/>
      <c r="L16" s="267"/>
      <c r="M16" s="267"/>
      <c r="N16" s="271"/>
    </row>
    <row r="17" spans="2:14" s="265" customFormat="1" ht="15.75" thickBot="1" x14ac:dyDescent="0.3">
      <c r="B17" s="273" t="s">
        <v>72</v>
      </c>
      <c r="C17" s="281">
        <v>3935407.4222543421</v>
      </c>
      <c r="D17" s="282">
        <v>76147883</v>
      </c>
      <c r="E17" s="283">
        <f t="shared" si="0"/>
        <v>94423.374920000002</v>
      </c>
      <c r="F17" s="284">
        <f t="shared" si="1"/>
        <v>4029830.797174342</v>
      </c>
      <c r="H17" s="266"/>
      <c r="I17" s="267"/>
      <c r="J17" s="267"/>
      <c r="K17" s="267"/>
      <c r="L17" s="267"/>
      <c r="M17" s="267"/>
      <c r="N17" s="271"/>
    </row>
    <row r="18" spans="2:14" s="265" customFormat="1" ht="15" x14ac:dyDescent="0.25">
      <c r="B18" s="273" t="s">
        <v>73</v>
      </c>
      <c r="C18" s="281">
        <v>79827.129125472435</v>
      </c>
      <c r="D18" s="282">
        <v>680679</v>
      </c>
      <c r="E18" s="283">
        <v>0</v>
      </c>
      <c r="F18" s="284">
        <f t="shared" si="1"/>
        <v>79827.129125472435</v>
      </c>
      <c r="H18" s="266"/>
      <c r="I18" s="336" t="s">
        <v>74</v>
      </c>
      <c r="J18" s="337"/>
      <c r="K18" s="267"/>
      <c r="L18" s="267"/>
      <c r="M18" s="267"/>
      <c r="N18" s="271"/>
    </row>
    <row r="19" spans="2:14" s="265" customFormat="1" ht="15" x14ac:dyDescent="0.25">
      <c r="B19" s="273" t="s">
        <v>75</v>
      </c>
      <c r="C19" s="281">
        <f>SUM(C11:C18)</f>
        <v>2738083581.1177878</v>
      </c>
      <c r="D19" s="282">
        <f>SUM(D11:D18)</f>
        <v>31837327947.419518</v>
      </c>
      <c r="E19" s="283">
        <f>SUM(E11:E18)</f>
        <v>39178953.839196265</v>
      </c>
      <c r="F19" s="284">
        <f>SUM(F11:F18)</f>
        <v>2777262534.9569836</v>
      </c>
      <c r="H19" s="266"/>
      <c r="I19" s="273" t="s">
        <v>76</v>
      </c>
      <c r="J19" s="290">
        <f>J14-J13-J15</f>
        <v>9.8665823132066278E-3</v>
      </c>
      <c r="K19" s="267"/>
      <c r="L19" s="267"/>
      <c r="M19" s="267"/>
      <c r="N19" s="271"/>
    </row>
    <row r="20" spans="2:14" s="265" customFormat="1" ht="15.75" thickBot="1" x14ac:dyDescent="0.3">
      <c r="B20" s="291"/>
      <c r="C20" s="292" t="s">
        <v>53</v>
      </c>
      <c r="D20" s="293">
        <f>C19/D19</f>
        <v>8.6002304767530444E-2</v>
      </c>
      <c r="E20" s="294" t="s">
        <v>51</v>
      </c>
      <c r="F20" s="295">
        <f>F19/D19</f>
        <v>8.7232902822238459E-2</v>
      </c>
      <c r="H20" s="266"/>
      <c r="I20" s="288" t="s">
        <v>77</v>
      </c>
      <c r="J20" s="296">
        <f>J14-J13-J16</f>
        <v>1.3047953172834609E-2</v>
      </c>
      <c r="K20" s="267"/>
      <c r="L20" s="267"/>
      <c r="M20" s="267"/>
      <c r="N20" s="271"/>
    </row>
    <row r="21" spans="2:14" s="265" customFormat="1" ht="13.5" thickBot="1" x14ac:dyDescent="0.25">
      <c r="B21" s="266"/>
      <c r="C21" s="267"/>
      <c r="D21" s="267"/>
      <c r="E21" s="267"/>
      <c r="F21" s="271"/>
      <c r="H21" s="266"/>
      <c r="I21" s="267"/>
      <c r="J21" s="267"/>
      <c r="K21" s="267"/>
      <c r="L21" s="267"/>
      <c r="M21" s="267"/>
      <c r="N21" s="271"/>
    </row>
    <row r="22" spans="2:14" s="265" customFormat="1" ht="15.75" x14ac:dyDescent="0.25">
      <c r="B22" s="321" t="s">
        <v>78</v>
      </c>
      <c r="C22" s="322"/>
      <c r="D22" s="322"/>
      <c r="E22" s="322"/>
      <c r="F22" s="323"/>
      <c r="H22" s="324" t="s">
        <v>314</v>
      </c>
      <c r="I22" s="325"/>
      <c r="J22" s="325"/>
      <c r="K22" s="325"/>
      <c r="L22" s="325"/>
      <c r="M22" s="325"/>
      <c r="N22" s="326"/>
    </row>
    <row r="23" spans="2:14" s="265" customFormat="1" ht="48" x14ac:dyDescent="0.2">
      <c r="B23" s="273"/>
      <c r="C23" s="277" t="s">
        <v>79</v>
      </c>
      <c r="D23" s="277" t="s">
        <v>57</v>
      </c>
      <c r="E23" s="277" t="s">
        <v>59</v>
      </c>
      <c r="F23" s="278" t="s">
        <v>60</v>
      </c>
      <c r="H23" s="297" t="s">
        <v>292</v>
      </c>
      <c r="I23" s="298" t="s">
        <v>293</v>
      </c>
      <c r="J23" s="298" t="s">
        <v>80</v>
      </c>
      <c r="K23" s="298" t="s">
        <v>71</v>
      </c>
      <c r="L23" s="298" t="s">
        <v>81</v>
      </c>
      <c r="M23" s="298" t="s">
        <v>82</v>
      </c>
      <c r="N23" s="299" t="s">
        <v>83</v>
      </c>
    </row>
    <row r="24" spans="2:14" s="265" customFormat="1" x14ac:dyDescent="0.2">
      <c r="B24" s="273" t="s">
        <v>61</v>
      </c>
      <c r="C24" s="281">
        <v>-79595105</v>
      </c>
      <c r="D24" s="281">
        <f t="shared" ref="D24:D31" si="2">C11+C24</f>
        <v>1229387830.1561263</v>
      </c>
      <c r="E24" s="281">
        <f>D11*0.00231</f>
        <v>29595825.900007222</v>
      </c>
      <c r="F24" s="300">
        <f t="shared" ref="F24:F31" si="3">C11+C24+E24</f>
        <v>1258983656.0561335</v>
      </c>
      <c r="H24" s="301">
        <v>13386011261.093628</v>
      </c>
      <c r="I24" s="302">
        <v>1389372415.8008518</v>
      </c>
      <c r="J24" s="303">
        <v>2.7000000000000001E-3</v>
      </c>
      <c r="K24" s="303">
        <v>-5.0000000000000001E-4</v>
      </c>
      <c r="L24" s="304">
        <f>J24*H24</f>
        <v>36142230.404952794</v>
      </c>
      <c r="M24" s="304">
        <f>K24*H24</f>
        <v>-6693005.6305468138</v>
      </c>
      <c r="N24" s="305">
        <f t="shared" ref="N24:N31" si="4">L24+I24+M24</f>
        <v>1418821640.5752578</v>
      </c>
    </row>
    <row r="25" spans="2:14" s="265" customFormat="1" x14ac:dyDescent="0.2">
      <c r="B25" s="273" t="s">
        <v>62</v>
      </c>
      <c r="C25" s="281">
        <v>-19272860</v>
      </c>
      <c r="D25" s="281">
        <f t="shared" si="2"/>
        <v>297241200.7287904</v>
      </c>
      <c r="E25" s="281">
        <f>D12*0.00231</f>
        <v>7656923.990761349</v>
      </c>
      <c r="F25" s="300">
        <f t="shared" si="3"/>
        <v>304898124.71955174</v>
      </c>
      <c r="H25" s="301">
        <v>3088739045.792449</v>
      </c>
      <c r="I25" s="302">
        <v>296857638.60704482</v>
      </c>
      <c r="J25" s="303">
        <f>J24</f>
        <v>2.7000000000000001E-3</v>
      </c>
      <c r="K25" s="303">
        <f t="shared" ref="K25:K31" si="5">K24</f>
        <v>-5.0000000000000001E-4</v>
      </c>
      <c r="L25" s="304">
        <f t="shared" ref="L25:L31" si="6">J25*H25</f>
        <v>8339595.4236396123</v>
      </c>
      <c r="M25" s="304">
        <f t="shared" ref="M25:M31" si="7">K25*H25</f>
        <v>-1544369.5228962246</v>
      </c>
      <c r="N25" s="305">
        <f t="shared" si="4"/>
        <v>303652864.50778818</v>
      </c>
    </row>
    <row r="26" spans="2:14" s="265" customFormat="1" x14ac:dyDescent="0.2">
      <c r="B26" s="273" t="s">
        <v>64</v>
      </c>
      <c r="C26" s="281">
        <v>-37046737</v>
      </c>
      <c r="D26" s="281">
        <f t="shared" si="2"/>
        <v>572491696.00189579</v>
      </c>
      <c r="E26" s="281">
        <f>D13*0.00231</f>
        <v>18551854.984452907</v>
      </c>
      <c r="F26" s="300">
        <f t="shared" si="3"/>
        <v>591043550.98634875</v>
      </c>
      <c r="H26" s="301">
        <v>7147886406.5236387</v>
      </c>
      <c r="I26" s="302">
        <v>547537006.66439235</v>
      </c>
      <c r="J26" s="303">
        <f>J25</f>
        <v>2.7000000000000001E-3</v>
      </c>
      <c r="K26" s="303">
        <f t="shared" si="5"/>
        <v>-5.0000000000000001E-4</v>
      </c>
      <c r="L26" s="304">
        <f t="shared" si="6"/>
        <v>19299293.297613826</v>
      </c>
      <c r="M26" s="304">
        <f t="shared" si="7"/>
        <v>-3573943.2032618197</v>
      </c>
      <c r="N26" s="305">
        <f t="shared" si="4"/>
        <v>563262356.75874436</v>
      </c>
    </row>
    <row r="27" spans="2:14" s="265" customFormat="1" x14ac:dyDescent="0.2">
      <c r="B27" s="273" t="s">
        <v>66</v>
      </c>
      <c r="C27" s="281">
        <v>-14895970</v>
      </c>
      <c r="D27" s="281">
        <f t="shared" si="2"/>
        <v>230207000.57551768</v>
      </c>
      <c r="E27" s="281">
        <f>D14*0.00225</f>
        <v>8287427.0786856143</v>
      </c>
      <c r="F27" s="300">
        <f t="shared" si="3"/>
        <v>238494427.6542033</v>
      </c>
      <c r="H27" s="301">
        <v>3544455219.1010923</v>
      </c>
      <c r="I27" s="302">
        <v>233999055.21847987</v>
      </c>
      <c r="J27" s="303">
        <v>2.6199999999999999E-3</v>
      </c>
      <c r="K27" s="303">
        <f t="shared" si="5"/>
        <v>-5.0000000000000001E-4</v>
      </c>
      <c r="L27" s="304">
        <f t="shared" si="6"/>
        <v>9286472.6740448624</v>
      </c>
      <c r="M27" s="304">
        <f t="shared" si="7"/>
        <v>-1772227.6095505462</v>
      </c>
      <c r="N27" s="305">
        <f t="shared" si="4"/>
        <v>241513300.28297418</v>
      </c>
    </row>
    <row r="28" spans="2:14" s="265" customFormat="1" x14ac:dyDescent="0.2">
      <c r="B28" s="273" t="s">
        <v>68</v>
      </c>
      <c r="C28" s="281">
        <v>-13141909</v>
      </c>
      <c r="D28" s="281">
        <f t="shared" si="2"/>
        <v>202627204.9882344</v>
      </c>
      <c r="E28" s="281">
        <f>D15*0.00225</f>
        <v>8502566.4387860782</v>
      </c>
      <c r="F28" s="300">
        <f t="shared" si="3"/>
        <v>211129771.42702049</v>
      </c>
      <c r="H28" s="301">
        <v>3671663828.9843974</v>
      </c>
      <c r="I28" s="302">
        <v>210858037.87764668</v>
      </c>
      <c r="J28" s="303">
        <f>J27</f>
        <v>2.6199999999999999E-3</v>
      </c>
      <c r="K28" s="303">
        <f t="shared" si="5"/>
        <v>-5.0000000000000001E-4</v>
      </c>
      <c r="L28" s="304">
        <f t="shared" si="6"/>
        <v>9619759.2319391202</v>
      </c>
      <c r="M28" s="304">
        <f t="shared" si="7"/>
        <v>-1835831.9144921987</v>
      </c>
      <c r="N28" s="305">
        <f t="shared" si="4"/>
        <v>218641965.1950936</v>
      </c>
    </row>
    <row r="29" spans="2:14" s="265" customFormat="1" x14ac:dyDescent="0.2">
      <c r="B29" s="273" t="s">
        <v>70</v>
      </c>
      <c r="C29" s="281">
        <v>-2327399</v>
      </c>
      <c r="D29" s="281">
        <f t="shared" si="2"/>
        <v>35833434.115842789</v>
      </c>
      <c r="E29" s="281">
        <f>D16*0.00231</f>
        <v>324422.02716</v>
      </c>
      <c r="F29" s="300">
        <f t="shared" si="3"/>
        <v>36157856.143002786</v>
      </c>
      <c r="H29" s="301">
        <v>97976280</v>
      </c>
      <c r="I29" s="302">
        <v>38799463.665928781</v>
      </c>
      <c r="J29" s="303">
        <f>J24</f>
        <v>2.7000000000000001E-3</v>
      </c>
      <c r="K29" s="303">
        <f t="shared" si="5"/>
        <v>-5.0000000000000001E-4</v>
      </c>
      <c r="L29" s="304">
        <f t="shared" si="6"/>
        <v>264535.95600000001</v>
      </c>
      <c r="M29" s="304">
        <f t="shared" si="7"/>
        <v>-48988.14</v>
      </c>
      <c r="N29" s="305">
        <f t="shared" si="4"/>
        <v>39015011.481928781</v>
      </c>
    </row>
    <row r="30" spans="2:14" s="265" customFormat="1" x14ac:dyDescent="0.2">
      <c r="B30" s="273" t="s">
        <v>72</v>
      </c>
      <c r="C30" s="281">
        <v>-240063</v>
      </c>
      <c r="D30" s="281">
        <f t="shared" si="2"/>
        <v>3695344.4222543421</v>
      </c>
      <c r="E30" s="281">
        <f>D17*0.00231</f>
        <v>175901.60973</v>
      </c>
      <c r="F30" s="300">
        <f t="shared" si="3"/>
        <v>3871246.0319843423</v>
      </c>
      <c r="H30" s="301">
        <v>51580297</v>
      </c>
      <c r="I30" s="302">
        <v>3030236.8248246913</v>
      </c>
      <c r="J30" s="303">
        <f>J29</f>
        <v>2.7000000000000001E-3</v>
      </c>
      <c r="K30" s="303">
        <f t="shared" si="5"/>
        <v>-5.0000000000000001E-4</v>
      </c>
      <c r="L30" s="304">
        <f t="shared" si="6"/>
        <v>139266.80190000002</v>
      </c>
      <c r="M30" s="304">
        <f t="shared" si="7"/>
        <v>-25790.148499999999</v>
      </c>
      <c r="N30" s="305">
        <f t="shared" si="4"/>
        <v>3143713.478224691</v>
      </c>
    </row>
    <row r="31" spans="2:14" s="265" customFormat="1" x14ac:dyDescent="0.2">
      <c r="B31" s="273" t="s">
        <v>73</v>
      </c>
      <c r="C31" s="281">
        <v>-4868</v>
      </c>
      <c r="D31" s="281">
        <f t="shared" si="2"/>
        <v>74959.129125472435</v>
      </c>
      <c r="E31" s="281">
        <v>0</v>
      </c>
      <c r="F31" s="300">
        <f t="shared" si="3"/>
        <v>74959.129125472435</v>
      </c>
      <c r="H31" s="301">
        <v>209532</v>
      </c>
      <c r="I31" s="302">
        <v>81563.759999999995</v>
      </c>
      <c r="J31" s="303">
        <f>J30</f>
        <v>2.7000000000000001E-3</v>
      </c>
      <c r="K31" s="303">
        <f t="shared" si="5"/>
        <v>-5.0000000000000001E-4</v>
      </c>
      <c r="L31" s="304">
        <f t="shared" si="6"/>
        <v>565.7364</v>
      </c>
      <c r="M31" s="304">
        <f t="shared" si="7"/>
        <v>-104.76600000000001</v>
      </c>
      <c r="N31" s="305">
        <f t="shared" si="4"/>
        <v>82024.730399999986</v>
      </c>
    </row>
    <row r="32" spans="2:14" s="265" customFormat="1" x14ac:dyDescent="0.2">
      <c r="B32" s="273" t="s">
        <v>75</v>
      </c>
      <c r="C32" s="281">
        <f>SUM(C24:C31)</f>
        <v>-166524911</v>
      </c>
      <c r="D32" s="281">
        <f>SUM(D24:D31)</f>
        <v>2571558670.1177878</v>
      </c>
      <c r="E32" s="281">
        <f>SUM(E24:E31)</f>
        <v>73094922.029583171</v>
      </c>
      <c r="F32" s="300">
        <f>SUM(F24:F31)</f>
        <v>2644653592.1473708</v>
      </c>
      <c r="H32" s="306">
        <f>SUM(H24:H31)</f>
        <v>30988521870.495209</v>
      </c>
      <c r="I32" s="307">
        <f>SUM(I24:I31)</f>
        <v>2720535418.4191689</v>
      </c>
      <c r="J32" s="308"/>
      <c r="K32" s="308"/>
      <c r="L32" s="304">
        <f>SUM(L24:L31)</f>
        <v>83091719.526490211</v>
      </c>
      <c r="M32" s="304">
        <f>SUM(M24:M31)</f>
        <v>-15494260.935247604</v>
      </c>
      <c r="N32" s="305">
        <f>SUM(N24:N31)</f>
        <v>2788132877.0104117</v>
      </c>
    </row>
    <row r="33" spans="2:14" s="265" customFormat="1" ht="15.75" thickBot="1" x14ac:dyDescent="0.3">
      <c r="B33" s="291"/>
      <c r="C33" s="292" t="s">
        <v>53</v>
      </c>
      <c r="D33" s="293">
        <f>D32/D19</f>
        <v>8.0771812080612057E-2</v>
      </c>
      <c r="E33" s="294" t="s">
        <v>51</v>
      </c>
      <c r="F33" s="309">
        <f>F32/D19</f>
        <v>8.3067699541717527E-2</v>
      </c>
      <c r="H33" s="310" t="s">
        <v>84</v>
      </c>
      <c r="I33" s="311">
        <f>I32/$H$32</f>
        <v>8.7791713002272787E-2</v>
      </c>
      <c r="J33" s="312"/>
      <c r="K33" s="313"/>
      <c r="L33" s="314">
        <f>L32/$H$32</f>
        <v>2.6813708596279805E-3</v>
      </c>
      <c r="M33" s="311">
        <f>M32/$H$32</f>
        <v>-5.0000000000000001E-4</v>
      </c>
      <c r="N33" s="315">
        <f>N32/$H$32</f>
        <v>8.9973083861900782E-2</v>
      </c>
    </row>
    <row r="36" spans="2:14" x14ac:dyDescent="0.2">
      <c r="B36" s="316" t="s">
        <v>315</v>
      </c>
      <c r="C36" s="264"/>
      <c r="D36" s="264"/>
      <c r="E36" s="264"/>
      <c r="F36" s="264"/>
    </row>
    <row r="37" spans="2:14" x14ac:dyDescent="0.2">
      <c r="C37" s="264"/>
      <c r="D37" s="264"/>
      <c r="E37" s="264"/>
      <c r="F37" s="264"/>
    </row>
  </sheetData>
  <mergeCells count="8">
    <mergeCell ref="B22:F22"/>
    <mergeCell ref="H22:N22"/>
    <mergeCell ref="B5:F5"/>
    <mergeCell ref="H5:N5"/>
    <mergeCell ref="D6:E6"/>
    <mergeCell ref="D7:E7"/>
    <mergeCell ref="B9:F9"/>
    <mergeCell ref="I18:J18"/>
  </mergeCells>
  <pageMargins left="0.25" right="0.25" top="1" bottom="1" header="0.5" footer="0.5"/>
  <pageSetup scale="74" fitToHeight="2" orientation="landscape" r:id="rId1"/>
  <headerFooter alignWithMargins="0">
    <oddFooter>&amp;CSchedule JG-FAR&amp;RConfidential
4 CSR 240-2.090(8.2(A) supp.1)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13"/>
  <sheetViews>
    <sheetView workbookViewId="0">
      <selection activeCell="O2" sqref="O2:O13"/>
    </sheetView>
  </sheetViews>
  <sheetFormatPr defaultRowHeight="15" x14ac:dyDescent="0.25"/>
  <cols>
    <col min="15" max="15" width="11.28515625" bestFit="1" customWidth="1"/>
  </cols>
  <sheetData>
    <row r="1" spans="1:17" x14ac:dyDescent="0.25">
      <c r="A1" s="25" t="s">
        <v>33</v>
      </c>
      <c r="B1" s="25" t="s">
        <v>34</v>
      </c>
      <c r="C1" s="25" t="s">
        <v>35</v>
      </c>
      <c r="D1" s="25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</row>
    <row r="2" spans="1:17" x14ac:dyDescent="0.25">
      <c r="A2" s="131">
        <v>20232</v>
      </c>
      <c r="B2" s="132">
        <v>44958</v>
      </c>
      <c r="C2" s="129">
        <v>2022</v>
      </c>
      <c r="D2" s="129">
        <v>2</v>
      </c>
      <c r="E2" s="130">
        <v>1179506.72</v>
      </c>
      <c r="F2" s="130">
        <v>265165.15999999997</v>
      </c>
      <c r="G2" s="130">
        <v>515117.43</v>
      </c>
      <c r="H2" s="130">
        <v>192332.97</v>
      </c>
      <c r="I2" s="130">
        <v>101149.85</v>
      </c>
      <c r="J2" s="130">
        <v>7802.59</v>
      </c>
      <c r="K2" s="130">
        <v>63848.639999999999</v>
      </c>
      <c r="L2" s="130">
        <v>88039.81</v>
      </c>
      <c r="M2" s="130">
        <v>158781.29999999999</v>
      </c>
      <c r="N2" s="130">
        <v>10911.394093925923</v>
      </c>
      <c r="O2" s="130">
        <v>2582655.8640939258</v>
      </c>
      <c r="P2" s="26"/>
      <c r="Q2" s="27"/>
    </row>
    <row r="3" spans="1:17" x14ac:dyDescent="0.25">
      <c r="A3" s="131">
        <v>20233</v>
      </c>
      <c r="B3" s="132">
        <v>44986</v>
      </c>
      <c r="C3" s="129">
        <v>2022</v>
      </c>
      <c r="D3" s="129">
        <v>3</v>
      </c>
      <c r="E3" s="130">
        <v>980867.83</v>
      </c>
      <c r="F3" s="130">
        <v>241034.23999999999</v>
      </c>
      <c r="G3" s="130">
        <v>535078.93999999994</v>
      </c>
      <c r="H3" s="130">
        <v>201663.32</v>
      </c>
      <c r="I3" s="130">
        <v>115875.28</v>
      </c>
      <c r="J3" s="130">
        <v>6123.74</v>
      </c>
      <c r="K3" s="130">
        <v>64600.86</v>
      </c>
      <c r="L3" s="130">
        <v>98553.98</v>
      </c>
      <c r="M3" s="130">
        <v>187875.09</v>
      </c>
      <c r="N3" s="130">
        <v>11774.602862371739</v>
      </c>
      <c r="O3" s="130">
        <v>2443447.8828623719</v>
      </c>
      <c r="P3" s="26"/>
      <c r="Q3" s="27"/>
    </row>
    <row r="4" spans="1:17" x14ac:dyDescent="0.25">
      <c r="A4" s="131">
        <v>20234</v>
      </c>
      <c r="B4" s="132">
        <v>45017</v>
      </c>
      <c r="C4" s="129">
        <v>2022</v>
      </c>
      <c r="D4" s="129">
        <v>4</v>
      </c>
      <c r="E4" s="130">
        <v>720983.91</v>
      </c>
      <c r="F4" s="130">
        <v>211872.94</v>
      </c>
      <c r="G4" s="130">
        <v>497697.23</v>
      </c>
      <c r="H4" s="130">
        <v>196844.92</v>
      </c>
      <c r="I4" s="130">
        <v>115666.2</v>
      </c>
      <c r="J4" s="130">
        <v>5550.61</v>
      </c>
      <c r="K4" s="130">
        <v>61989.79</v>
      </c>
      <c r="L4" s="130">
        <v>92882.880000000005</v>
      </c>
      <c r="M4" s="130">
        <v>188459.62</v>
      </c>
      <c r="N4" s="130">
        <v>9941.5292712186383</v>
      </c>
      <c r="O4" s="130">
        <v>2101889.6292712186</v>
      </c>
      <c r="P4" s="26"/>
      <c r="Q4" s="27"/>
    </row>
    <row r="5" spans="1:17" x14ac:dyDescent="0.25">
      <c r="A5" s="131">
        <v>20235</v>
      </c>
      <c r="B5" s="132">
        <v>45047</v>
      </c>
      <c r="C5" s="129">
        <v>2022</v>
      </c>
      <c r="D5" s="129">
        <v>5</v>
      </c>
      <c r="E5" s="130">
        <v>746319.44</v>
      </c>
      <c r="F5" s="130">
        <v>220497.27</v>
      </c>
      <c r="G5" s="130">
        <v>534982.94999999995</v>
      </c>
      <c r="H5" s="130">
        <v>207929.02</v>
      </c>
      <c r="I5" s="130">
        <v>129250.11</v>
      </c>
      <c r="J5" s="130">
        <v>5205.1000000000004</v>
      </c>
      <c r="K5" s="130">
        <v>63535.93</v>
      </c>
      <c r="L5" s="130">
        <v>98796.73</v>
      </c>
      <c r="M5" s="130">
        <v>206686.29</v>
      </c>
      <c r="N5" s="130">
        <v>9367.8907145391167</v>
      </c>
      <c r="O5" s="130">
        <v>2222570.7307145391</v>
      </c>
      <c r="P5" s="26"/>
      <c r="Q5" s="27"/>
    </row>
    <row r="6" spans="1:17" x14ac:dyDescent="0.25">
      <c r="A6" s="131">
        <v>20236</v>
      </c>
      <c r="B6" s="132">
        <v>45078</v>
      </c>
      <c r="C6" s="129">
        <v>2022</v>
      </c>
      <c r="D6" s="129">
        <v>6</v>
      </c>
      <c r="E6" s="130">
        <v>1093311.56</v>
      </c>
      <c r="F6" s="130">
        <v>257522.27</v>
      </c>
      <c r="G6" s="130">
        <v>561824.79</v>
      </c>
      <c r="H6" s="130">
        <v>214740.67</v>
      </c>
      <c r="I6" s="130">
        <v>129125.85</v>
      </c>
      <c r="J6" s="130">
        <v>6659.59</v>
      </c>
      <c r="K6" s="130">
        <v>65048.21</v>
      </c>
      <c r="L6" s="130">
        <v>96376.33</v>
      </c>
      <c r="M6" s="130">
        <v>199690.62</v>
      </c>
      <c r="N6" s="130">
        <v>8305.7176850790238</v>
      </c>
      <c r="O6" s="130">
        <v>2632605.6076850789</v>
      </c>
      <c r="P6" s="26"/>
      <c r="Q6" s="27"/>
    </row>
    <row r="7" spans="1:17" x14ac:dyDescent="0.25">
      <c r="A7" s="131">
        <v>20237</v>
      </c>
      <c r="B7" s="132">
        <v>45108</v>
      </c>
      <c r="C7" s="129">
        <v>2022</v>
      </c>
      <c r="D7" s="129">
        <v>7</v>
      </c>
      <c r="E7" s="130">
        <v>1350364.51</v>
      </c>
      <c r="F7" s="130">
        <v>286506.65999999997</v>
      </c>
      <c r="G7" s="130">
        <v>613152.68000000005</v>
      </c>
      <c r="H7" s="130">
        <v>231078.55</v>
      </c>
      <c r="I7" s="130">
        <v>139074.35999999999</v>
      </c>
      <c r="J7" s="130">
        <v>6855.52</v>
      </c>
      <c r="K7" s="130">
        <v>68820.45</v>
      </c>
      <c r="L7" s="130">
        <v>101648.89</v>
      </c>
      <c r="M7" s="130">
        <v>218841.15</v>
      </c>
      <c r="N7" s="130">
        <v>8990.7082023158164</v>
      </c>
      <c r="O7" s="130">
        <v>3025333.478202316</v>
      </c>
      <c r="P7" s="26"/>
      <c r="Q7" s="27"/>
    </row>
    <row r="8" spans="1:17" x14ac:dyDescent="0.25">
      <c r="A8" s="131">
        <v>20238</v>
      </c>
      <c r="B8" s="132">
        <v>45139</v>
      </c>
      <c r="C8" s="129">
        <v>2022</v>
      </c>
      <c r="D8" s="129">
        <v>8</v>
      </c>
      <c r="E8" s="130">
        <v>1272133.8600000001</v>
      </c>
      <c r="F8" s="130">
        <v>283172.71999999997</v>
      </c>
      <c r="G8" s="130">
        <v>627486.9</v>
      </c>
      <c r="H8" s="130">
        <v>234585.16</v>
      </c>
      <c r="I8" s="130">
        <v>141589.37</v>
      </c>
      <c r="J8" s="130">
        <v>6750.67</v>
      </c>
      <c r="K8" s="130">
        <v>70798.52</v>
      </c>
      <c r="L8" s="130">
        <v>105797.06</v>
      </c>
      <c r="M8" s="130">
        <v>218327.58</v>
      </c>
      <c r="N8" s="130">
        <v>9846.2825964326676</v>
      </c>
      <c r="O8" s="130">
        <v>2970488.1225964325</v>
      </c>
      <c r="P8" s="26"/>
      <c r="Q8" s="27"/>
    </row>
    <row r="9" spans="1:17" x14ac:dyDescent="0.25">
      <c r="A9" s="131">
        <v>20239</v>
      </c>
      <c r="B9" s="132">
        <v>45170</v>
      </c>
      <c r="C9" s="129">
        <v>2022</v>
      </c>
      <c r="D9" s="129">
        <v>9</v>
      </c>
      <c r="E9" s="130">
        <v>861121.64</v>
      </c>
      <c r="F9" s="130">
        <v>240432.05</v>
      </c>
      <c r="G9" s="130">
        <v>571454.39</v>
      </c>
      <c r="H9" s="130">
        <v>212484.14</v>
      </c>
      <c r="I9" s="130">
        <v>126564.99</v>
      </c>
      <c r="J9" s="130">
        <v>5788.23</v>
      </c>
      <c r="K9" s="130">
        <v>66325.89</v>
      </c>
      <c r="L9" s="130">
        <v>96376.75</v>
      </c>
      <c r="M9" s="130">
        <v>197366.53</v>
      </c>
      <c r="N9" s="130">
        <v>10322.159473312724</v>
      </c>
      <c r="O9" s="130">
        <v>2388236.7694733129</v>
      </c>
      <c r="P9" s="26"/>
      <c r="Q9" s="27"/>
    </row>
    <row r="10" spans="1:17" x14ac:dyDescent="0.25">
      <c r="A10" s="131">
        <v>202310</v>
      </c>
      <c r="B10" s="132">
        <v>45200</v>
      </c>
      <c r="C10" s="129">
        <v>2022</v>
      </c>
      <c r="D10" s="129">
        <v>10</v>
      </c>
      <c r="E10" s="130">
        <v>684373.01</v>
      </c>
      <c r="F10" s="130">
        <v>201528.05</v>
      </c>
      <c r="G10" s="130">
        <v>514268.06</v>
      </c>
      <c r="H10" s="130">
        <v>201411.94</v>
      </c>
      <c r="I10" s="130">
        <v>120637.8</v>
      </c>
      <c r="J10" s="130">
        <v>6305.08</v>
      </c>
      <c r="K10" s="130">
        <v>64181.73</v>
      </c>
      <c r="L10" s="130">
        <v>98040.38</v>
      </c>
      <c r="M10" s="130">
        <v>204928.67</v>
      </c>
      <c r="N10" s="130">
        <v>11826.292300944806</v>
      </c>
      <c r="O10" s="130">
        <v>2107501.0123009449</v>
      </c>
      <c r="P10" s="26"/>
      <c r="Q10" s="27"/>
    </row>
    <row r="11" spans="1:17" x14ac:dyDescent="0.25">
      <c r="A11" s="131">
        <v>202311</v>
      </c>
      <c r="B11" s="132">
        <v>45231</v>
      </c>
      <c r="C11" s="129">
        <v>2022</v>
      </c>
      <c r="D11" s="129">
        <v>11</v>
      </c>
      <c r="E11" s="130">
        <v>937421.16</v>
      </c>
      <c r="F11" s="130">
        <v>217666.6</v>
      </c>
      <c r="G11" s="130">
        <v>492382.38</v>
      </c>
      <c r="H11" s="130">
        <v>187574.95</v>
      </c>
      <c r="I11" s="130">
        <v>109217.19</v>
      </c>
      <c r="J11" s="130">
        <v>8251.44</v>
      </c>
      <c r="K11" s="130">
        <v>62773.79</v>
      </c>
      <c r="L11" s="130">
        <v>91907.41</v>
      </c>
      <c r="M11" s="130">
        <v>188282.92</v>
      </c>
      <c r="N11" s="130">
        <v>12169.254640888885</v>
      </c>
      <c r="O11" s="130">
        <v>2307647.0946408887</v>
      </c>
      <c r="P11" s="26"/>
      <c r="Q11" s="27"/>
    </row>
    <row r="12" spans="1:17" x14ac:dyDescent="0.25">
      <c r="A12" s="131">
        <v>202312</v>
      </c>
      <c r="B12" s="132">
        <v>45261</v>
      </c>
      <c r="C12" s="129">
        <v>2022</v>
      </c>
      <c r="D12" s="129">
        <v>12</v>
      </c>
      <c r="E12" s="130">
        <v>1328778.71</v>
      </c>
      <c r="F12" s="130">
        <v>268848.28999999998</v>
      </c>
      <c r="G12" s="130">
        <v>533922.48</v>
      </c>
      <c r="H12" s="130">
        <v>196785.03</v>
      </c>
      <c r="I12" s="130">
        <v>106561.94</v>
      </c>
      <c r="J12" s="130">
        <v>9321.4</v>
      </c>
      <c r="K12" s="130">
        <v>63744.39</v>
      </c>
      <c r="L12" s="130">
        <v>91672.63</v>
      </c>
      <c r="M12" s="130">
        <v>181008.23</v>
      </c>
      <c r="N12" s="130">
        <v>12801.49102023134</v>
      </c>
      <c r="O12" s="130">
        <v>2793444.5910202311</v>
      </c>
      <c r="P12" s="26"/>
      <c r="Q12" s="27"/>
    </row>
    <row r="13" spans="1:17" x14ac:dyDescent="0.25">
      <c r="A13" s="131">
        <v>20241</v>
      </c>
      <c r="B13" s="132">
        <v>45292</v>
      </c>
      <c r="C13" s="129">
        <v>2023</v>
      </c>
      <c r="D13" s="129">
        <v>1</v>
      </c>
      <c r="E13" s="130">
        <v>1453589.47</v>
      </c>
      <c r="F13" s="130">
        <v>300055.95</v>
      </c>
      <c r="G13" s="130">
        <v>569140.43999999994</v>
      </c>
      <c r="H13" s="130">
        <v>201374.27</v>
      </c>
      <c r="I13" s="130">
        <v>103606.27</v>
      </c>
      <c r="J13" s="130">
        <v>9204.82</v>
      </c>
      <c r="K13" s="130">
        <v>63496.58</v>
      </c>
      <c r="L13" s="130">
        <v>88621.68</v>
      </c>
      <c r="M13" s="130">
        <v>176286</v>
      </c>
      <c r="N13" s="130">
        <v>14096.527827391783</v>
      </c>
      <c r="O13" s="130">
        <v>2979472.0078273918</v>
      </c>
      <c r="P13" s="26"/>
      <c r="Q13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</vt:i4>
      </vt:variant>
    </vt:vector>
  </HeadingPairs>
  <TitlesOfParts>
    <vt:vector size="32" baseType="lpstr">
      <vt:lpstr>Monthly Cost Tracker 2</vt:lpstr>
      <vt:lpstr>Monthly Cost Tracker 3</vt:lpstr>
      <vt:lpstr>Monthly Cost Tracker 4</vt:lpstr>
      <vt:lpstr>True-Up</vt:lpstr>
      <vt:lpstr>Rate Schedule</vt:lpstr>
      <vt:lpstr>RRR</vt:lpstr>
      <vt:lpstr>ER-2021-0240</vt:lpstr>
      <vt:lpstr>RAC</vt:lpstr>
      <vt:lpstr>SRP</vt:lpstr>
      <vt:lpstr>Jan 19 int</vt:lpstr>
      <vt:lpstr>Feb 19 int</vt:lpstr>
      <vt:lpstr>Mar 19 int</vt:lpstr>
      <vt:lpstr>Apr 19 int</vt:lpstr>
      <vt:lpstr>May 19 int</vt:lpstr>
      <vt:lpstr>June 19 int</vt:lpstr>
      <vt:lpstr>July 19 int</vt:lpstr>
      <vt:lpstr>WACC_thru Feb 27</vt:lpstr>
      <vt:lpstr>WACC_beg Feb 28</vt:lpstr>
      <vt:lpstr>Rate Base</vt:lpstr>
      <vt:lpstr>Aug 21 Int</vt:lpstr>
      <vt:lpstr>Sept 21 Int</vt:lpstr>
      <vt:lpstr>Oct 21 Int</vt:lpstr>
      <vt:lpstr>Nov 21 Int</vt:lpstr>
      <vt:lpstr>Dec 21 Int</vt:lpstr>
      <vt:lpstr>Jan 22 Int</vt:lpstr>
      <vt:lpstr>Feb 22 Int</vt:lpstr>
      <vt:lpstr>Mar 22 Int</vt:lpstr>
      <vt:lpstr>Apr 22 Int</vt:lpstr>
      <vt:lpstr>May 22 Int</vt:lpstr>
      <vt:lpstr>Jun 22 Int</vt:lpstr>
      <vt:lpstr>Jul 22 Int</vt:lpstr>
      <vt:lpstr>'Rate Schedule'!Print_Area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</cp:lastModifiedBy>
  <cp:lastPrinted>2022-09-28T22:33:28Z</cp:lastPrinted>
  <dcterms:created xsi:type="dcterms:W3CDTF">2019-08-15T19:17:26Z</dcterms:created>
  <dcterms:modified xsi:type="dcterms:W3CDTF">2022-09-28T22:33:37Z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