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Disconnect Proposed Rule\"/>
    </mc:Choice>
  </mc:AlternateContent>
  <bookViews>
    <workbookView xWindow="0" yWindow="0" windowWidth="20496" windowHeight="7092" firstSheet="7" activeTab="12"/>
  </bookViews>
  <sheets>
    <sheet name="AR Electric" sheetId="1" r:id="rId1"/>
    <sheet name="AR Gas" sheetId="2" r:id="rId2"/>
    <sheet name="AR Water" sheetId="3" r:id="rId3"/>
    <sheet name="KCPL CWR" sheetId="4" r:id="rId4"/>
    <sheet name="GMO CWR" sheetId="5" r:id="rId5"/>
    <sheet name="Empire Electric CWR" sheetId="8" r:id="rId6"/>
    <sheet name="Ameren Electric CWR" sheetId="6" r:id="rId7"/>
    <sheet name="Ameren Gas CWR" sheetId="7" r:id="rId8"/>
    <sheet name="Empire Gas CWR" sheetId="9" r:id="rId9"/>
    <sheet name="Liberty Gas CWR" sheetId="10" r:id="rId10"/>
    <sheet name=" Summit CWR" sheetId="11" r:id="rId11"/>
    <sheet name="Spire CWR" sheetId="12" r:id="rId12"/>
    <sheet name="CWR summary" sheetId="13" r:id="rId13"/>
  </sheets>
  <externalReferences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3" l="1"/>
  <c r="L28" i="13"/>
  <c r="N28" i="13" s="1"/>
  <c r="H28" i="13"/>
  <c r="G28" i="13"/>
  <c r="I28" i="13" s="1"/>
  <c r="C28" i="13"/>
  <c r="B28" i="13"/>
  <c r="M27" i="13"/>
  <c r="L27" i="13"/>
  <c r="N27" i="13" s="1"/>
  <c r="H27" i="13"/>
  <c r="G27" i="13"/>
  <c r="C27" i="13"/>
  <c r="B27" i="13"/>
  <c r="D27" i="13" s="1"/>
  <c r="M26" i="13"/>
  <c r="L26" i="13"/>
  <c r="N26" i="13" s="1"/>
  <c r="H26" i="13"/>
  <c r="G26" i="13"/>
  <c r="I26" i="13" s="1"/>
  <c r="C26" i="13"/>
  <c r="B26" i="13"/>
  <c r="D26" i="13" s="1"/>
  <c r="M25" i="13"/>
  <c r="L25" i="13"/>
  <c r="N25" i="13" s="1"/>
  <c r="H25" i="13"/>
  <c r="G25" i="13"/>
  <c r="I25" i="13" s="1"/>
  <c r="C25" i="13"/>
  <c r="B25" i="13"/>
  <c r="M24" i="13"/>
  <c r="L24" i="13"/>
  <c r="N24" i="13" s="1"/>
  <c r="H24" i="13"/>
  <c r="G24" i="13"/>
  <c r="C24" i="13"/>
  <c r="B24" i="13"/>
  <c r="D24" i="13" s="1"/>
  <c r="M23" i="13"/>
  <c r="L23" i="13"/>
  <c r="H23" i="13"/>
  <c r="G23" i="13"/>
  <c r="I23" i="13" s="1"/>
  <c r="C23" i="13"/>
  <c r="B23" i="13"/>
  <c r="M22" i="13"/>
  <c r="L22" i="13"/>
  <c r="H22" i="13"/>
  <c r="G22" i="13"/>
  <c r="C22" i="13"/>
  <c r="B22" i="13"/>
  <c r="M21" i="13"/>
  <c r="L21" i="13"/>
  <c r="H21" i="13"/>
  <c r="G21" i="13"/>
  <c r="C21" i="13"/>
  <c r="B21" i="13"/>
  <c r="M20" i="13"/>
  <c r="L20" i="13"/>
  <c r="H20" i="13"/>
  <c r="G20" i="13"/>
  <c r="C20" i="13"/>
  <c r="B20" i="13"/>
  <c r="M19" i="13"/>
  <c r="L19" i="13"/>
  <c r="H19" i="13"/>
  <c r="G19" i="13"/>
  <c r="C19" i="13"/>
  <c r="B19" i="13"/>
  <c r="M14" i="13"/>
  <c r="L14" i="13"/>
  <c r="M13" i="13"/>
  <c r="L13" i="13"/>
  <c r="H13" i="13"/>
  <c r="G13" i="13"/>
  <c r="C13" i="13"/>
  <c r="B13" i="13"/>
  <c r="M12" i="13"/>
  <c r="L12" i="13"/>
  <c r="H12" i="13"/>
  <c r="G12" i="13"/>
  <c r="C12" i="13"/>
  <c r="B12" i="13"/>
  <c r="M11" i="13"/>
  <c r="L11" i="13"/>
  <c r="H11" i="13"/>
  <c r="G11" i="13"/>
  <c r="C11" i="13"/>
  <c r="B11" i="13"/>
  <c r="M10" i="13"/>
  <c r="L10" i="13"/>
  <c r="H10" i="13"/>
  <c r="G10" i="13"/>
  <c r="C10" i="13"/>
  <c r="B10" i="13"/>
  <c r="M9" i="13"/>
  <c r="L9" i="13"/>
  <c r="H9" i="13"/>
  <c r="G9" i="13"/>
  <c r="C9" i="13"/>
  <c r="B9" i="13"/>
  <c r="M8" i="13"/>
  <c r="L8" i="13"/>
  <c r="H8" i="13"/>
  <c r="G8" i="13"/>
  <c r="C8" i="13"/>
  <c r="B8" i="13"/>
  <c r="M7" i="13"/>
  <c r="L7" i="13"/>
  <c r="N7" i="13" s="1"/>
  <c r="H7" i="13"/>
  <c r="G7" i="13"/>
  <c r="C7" i="13"/>
  <c r="B7" i="13"/>
  <c r="M6" i="13"/>
  <c r="L6" i="13"/>
  <c r="H6" i="13"/>
  <c r="G6" i="13"/>
  <c r="C6" i="13"/>
  <c r="B6" i="13"/>
  <c r="M5" i="13"/>
  <c r="L5" i="13"/>
  <c r="H5" i="13"/>
  <c r="G5" i="13"/>
  <c r="C5" i="13"/>
  <c r="B5" i="13"/>
  <c r="D5" i="13" s="1"/>
  <c r="O43" i="12"/>
  <c r="N43" i="12"/>
  <c r="I43" i="12"/>
  <c r="J43" i="12" s="1"/>
  <c r="E43" i="12"/>
  <c r="D43" i="12"/>
  <c r="N42" i="12"/>
  <c r="I42" i="12"/>
  <c r="D42" i="12"/>
  <c r="M40" i="12"/>
  <c r="H40" i="12"/>
  <c r="L39" i="12"/>
  <c r="N39" i="12" s="1"/>
  <c r="G39" i="12"/>
  <c r="I39" i="12" s="1"/>
  <c r="C39" i="12"/>
  <c r="B39" i="12"/>
  <c r="D39" i="12" s="1"/>
  <c r="N38" i="12"/>
  <c r="L38" i="12"/>
  <c r="G38" i="12"/>
  <c r="I38" i="12" s="1"/>
  <c r="D38" i="12"/>
  <c r="C38" i="12"/>
  <c r="B38" i="12"/>
  <c r="L37" i="12"/>
  <c r="N37" i="12" s="1"/>
  <c r="G37" i="12"/>
  <c r="I37" i="12" s="1"/>
  <c r="C37" i="12"/>
  <c r="C40" i="12" s="1"/>
  <c r="B37" i="12"/>
  <c r="L36" i="12"/>
  <c r="N36" i="12" s="1"/>
  <c r="I36" i="12"/>
  <c r="G36" i="12"/>
  <c r="B36" i="12"/>
  <c r="D36" i="12" s="1"/>
  <c r="N35" i="12"/>
  <c r="G35" i="12"/>
  <c r="I35" i="12" s="1"/>
  <c r="B35" i="12"/>
  <c r="D35" i="12" s="1"/>
  <c r="N34" i="12"/>
  <c r="G34" i="12"/>
  <c r="I34" i="12" s="1"/>
  <c r="D34" i="12"/>
  <c r="B34" i="12"/>
  <c r="L33" i="12"/>
  <c r="N33" i="12" s="1"/>
  <c r="I33" i="12"/>
  <c r="G33" i="12"/>
  <c r="B33" i="12"/>
  <c r="D33" i="12" s="1"/>
  <c r="N32" i="12"/>
  <c r="L32" i="12"/>
  <c r="G32" i="12"/>
  <c r="I32" i="12" s="1"/>
  <c r="D32" i="12"/>
  <c r="B32" i="12"/>
  <c r="L31" i="12"/>
  <c r="N31" i="12" s="1"/>
  <c r="I31" i="12"/>
  <c r="G31" i="12"/>
  <c r="B31" i="12"/>
  <c r="D31" i="12" s="1"/>
  <c r="N30" i="12"/>
  <c r="L30" i="12"/>
  <c r="G30" i="12"/>
  <c r="I30" i="12" s="1"/>
  <c r="D30" i="12"/>
  <c r="B30" i="12"/>
  <c r="L29" i="12"/>
  <c r="N29" i="12" s="1"/>
  <c r="I29" i="12"/>
  <c r="G29" i="12"/>
  <c r="B29" i="12"/>
  <c r="D29" i="12" s="1"/>
  <c r="N28" i="12"/>
  <c r="L28" i="12"/>
  <c r="L40" i="12" s="1"/>
  <c r="G28" i="12"/>
  <c r="G40" i="12" s="1"/>
  <c r="D28" i="12"/>
  <c r="B28" i="12"/>
  <c r="O19" i="12"/>
  <c r="N19" i="12"/>
  <c r="N18" i="12"/>
  <c r="I18" i="12"/>
  <c r="D18" i="12"/>
  <c r="N15" i="12"/>
  <c r="M15" i="12"/>
  <c r="L15" i="12"/>
  <c r="H15" i="12"/>
  <c r="I15" i="12" s="1"/>
  <c r="G15" i="12"/>
  <c r="C15" i="12"/>
  <c r="B15" i="12"/>
  <c r="D15" i="12" s="1"/>
  <c r="M14" i="12"/>
  <c r="L14" i="12"/>
  <c r="N14" i="12" s="1"/>
  <c r="I14" i="12"/>
  <c r="H14" i="12"/>
  <c r="G14" i="12"/>
  <c r="C14" i="12"/>
  <c r="D14" i="12" s="1"/>
  <c r="B14" i="12"/>
  <c r="M13" i="12"/>
  <c r="L13" i="12"/>
  <c r="N13" i="12" s="1"/>
  <c r="H13" i="12"/>
  <c r="G13" i="12"/>
  <c r="I13" i="12" s="1"/>
  <c r="D13" i="12"/>
  <c r="C13" i="12"/>
  <c r="B13" i="12"/>
  <c r="M12" i="12"/>
  <c r="N12" i="12" s="1"/>
  <c r="L12" i="12"/>
  <c r="H12" i="12"/>
  <c r="G12" i="12"/>
  <c r="I12" i="12" s="1"/>
  <c r="C12" i="12"/>
  <c r="B12" i="12"/>
  <c r="D12" i="12" s="1"/>
  <c r="N11" i="12"/>
  <c r="M11" i="12"/>
  <c r="L11" i="12"/>
  <c r="H11" i="12"/>
  <c r="I11" i="12" s="1"/>
  <c r="G11" i="12"/>
  <c r="C11" i="12"/>
  <c r="B11" i="12"/>
  <c r="D11" i="12" s="1"/>
  <c r="M10" i="12"/>
  <c r="L10" i="12"/>
  <c r="N10" i="12" s="1"/>
  <c r="I10" i="12"/>
  <c r="G10" i="12"/>
  <c r="C10" i="12"/>
  <c r="B10" i="12"/>
  <c r="D10" i="12" s="1"/>
  <c r="N9" i="12"/>
  <c r="L9" i="12"/>
  <c r="G9" i="12"/>
  <c r="I9" i="12" s="1"/>
  <c r="C9" i="12"/>
  <c r="B9" i="12"/>
  <c r="D9" i="12" s="1"/>
  <c r="N8" i="12"/>
  <c r="M8" i="12"/>
  <c r="L8" i="12"/>
  <c r="H8" i="12"/>
  <c r="I8" i="12" s="1"/>
  <c r="G8" i="12"/>
  <c r="C8" i="12"/>
  <c r="B8" i="12"/>
  <c r="B16" i="12" s="1"/>
  <c r="M7" i="12"/>
  <c r="L7" i="12"/>
  <c r="N7" i="12" s="1"/>
  <c r="I7" i="12"/>
  <c r="H7" i="12"/>
  <c r="G7" i="12"/>
  <c r="C7" i="12"/>
  <c r="D7" i="12" s="1"/>
  <c r="B7" i="12"/>
  <c r="M6" i="12"/>
  <c r="L6" i="12"/>
  <c r="N6" i="12" s="1"/>
  <c r="H6" i="12"/>
  <c r="G6" i="12"/>
  <c r="I6" i="12" s="1"/>
  <c r="D6" i="12"/>
  <c r="C6" i="12"/>
  <c r="B6" i="12"/>
  <c r="M5" i="12"/>
  <c r="N5" i="12" s="1"/>
  <c r="L5" i="12"/>
  <c r="H5" i="12"/>
  <c r="G5" i="12"/>
  <c r="I5" i="12" s="1"/>
  <c r="C5" i="12"/>
  <c r="B5" i="12"/>
  <c r="D5" i="12" s="1"/>
  <c r="N4" i="12"/>
  <c r="L4" i="12"/>
  <c r="L16" i="12" s="1"/>
  <c r="H4" i="12"/>
  <c r="H16" i="12" s="1"/>
  <c r="G4" i="12"/>
  <c r="I4" i="12" s="1"/>
  <c r="C4" i="12"/>
  <c r="B4" i="12"/>
  <c r="D4" i="12" s="1"/>
  <c r="B42" i="11"/>
  <c r="H40" i="11"/>
  <c r="E40" i="11"/>
  <c r="B40" i="11"/>
  <c r="H38" i="11"/>
  <c r="H42" i="11" s="1"/>
  <c r="E38" i="11"/>
  <c r="E42" i="11" s="1"/>
  <c r="B38" i="11"/>
  <c r="B20" i="11"/>
  <c r="H18" i="11"/>
  <c r="E18" i="11"/>
  <c r="H16" i="11"/>
  <c r="H20" i="11" s="1"/>
  <c r="E16" i="11"/>
  <c r="E20" i="11" s="1"/>
  <c r="B16" i="11"/>
  <c r="B42" i="10"/>
  <c r="H40" i="10"/>
  <c r="E40" i="10"/>
  <c r="B40" i="10"/>
  <c r="E38" i="10"/>
  <c r="E42" i="10" s="1"/>
  <c r="B38" i="10"/>
  <c r="H32" i="10"/>
  <c r="H31" i="10"/>
  <c r="H30" i="10"/>
  <c r="H29" i="10"/>
  <c r="H28" i="10"/>
  <c r="H18" i="10"/>
  <c r="E18" i="10"/>
  <c r="E20" i="10" s="1"/>
  <c r="B18" i="10"/>
  <c r="H16" i="10"/>
  <c r="H20" i="10" s="1"/>
  <c r="E16" i="10"/>
  <c r="B16" i="10"/>
  <c r="B20" i="10" s="1"/>
  <c r="B42" i="9"/>
  <c r="H40" i="9"/>
  <c r="E40" i="9"/>
  <c r="B40" i="9"/>
  <c r="H38" i="9"/>
  <c r="H42" i="9" s="1"/>
  <c r="E38" i="9"/>
  <c r="E42" i="9" s="1"/>
  <c r="B38" i="9"/>
  <c r="E20" i="9"/>
  <c r="B20" i="9"/>
  <c r="H18" i="9"/>
  <c r="E18" i="9"/>
  <c r="B18" i="9"/>
  <c r="H16" i="9"/>
  <c r="H20" i="9" s="1"/>
  <c r="E16" i="9"/>
  <c r="B16" i="9"/>
  <c r="H40" i="8"/>
  <c r="E40" i="8"/>
  <c r="B40" i="8"/>
  <c r="H38" i="8"/>
  <c r="H42" i="8" s="1"/>
  <c r="E38" i="8"/>
  <c r="B38" i="8"/>
  <c r="B42" i="8" s="1"/>
  <c r="H18" i="8"/>
  <c r="E18" i="8"/>
  <c r="B18" i="8"/>
  <c r="H16" i="8"/>
  <c r="H20" i="8" s="1"/>
  <c r="E16" i="8"/>
  <c r="E20" i="8" s="1"/>
  <c r="B16" i="8"/>
  <c r="B20" i="8" s="1"/>
  <c r="B43" i="7"/>
  <c r="H41" i="7"/>
  <c r="E41" i="7"/>
  <c r="B41" i="7"/>
  <c r="H39" i="7"/>
  <c r="H43" i="7" s="1"/>
  <c r="E39" i="7"/>
  <c r="E43" i="7" s="1"/>
  <c r="B39" i="7"/>
  <c r="B29" i="7"/>
  <c r="H20" i="7"/>
  <c r="E20" i="7"/>
  <c r="H18" i="7"/>
  <c r="E18" i="7"/>
  <c r="B18" i="7"/>
  <c r="H16" i="7"/>
  <c r="E16" i="7"/>
  <c r="B16" i="7"/>
  <c r="B20" i="7" s="1"/>
  <c r="N41" i="6"/>
  <c r="I41" i="6"/>
  <c r="D41" i="6"/>
  <c r="M39" i="6"/>
  <c r="N39" i="6" s="1"/>
  <c r="N43" i="6" s="1"/>
  <c r="L39" i="6"/>
  <c r="H39" i="6"/>
  <c r="G39" i="6"/>
  <c r="I39" i="6" s="1"/>
  <c r="I43" i="6" s="1"/>
  <c r="C39" i="6"/>
  <c r="B39" i="6"/>
  <c r="D39" i="6" s="1"/>
  <c r="D43" i="6" s="1"/>
  <c r="N38" i="6"/>
  <c r="I38" i="6"/>
  <c r="D38" i="6"/>
  <c r="N37" i="6"/>
  <c r="I37" i="6"/>
  <c r="D37" i="6"/>
  <c r="N36" i="6"/>
  <c r="I36" i="6"/>
  <c r="D36" i="6"/>
  <c r="N35" i="6"/>
  <c r="I35" i="6"/>
  <c r="D35" i="6"/>
  <c r="N34" i="6"/>
  <c r="I34" i="6"/>
  <c r="D34" i="6"/>
  <c r="N33" i="6"/>
  <c r="I33" i="6"/>
  <c r="D33" i="6"/>
  <c r="N32" i="6"/>
  <c r="I32" i="6"/>
  <c r="D32" i="6"/>
  <c r="N31" i="6"/>
  <c r="I31" i="6"/>
  <c r="D31" i="6"/>
  <c r="N30" i="6"/>
  <c r="I30" i="6"/>
  <c r="D30" i="6"/>
  <c r="N29" i="6"/>
  <c r="I29" i="6"/>
  <c r="D29" i="6"/>
  <c r="N28" i="6"/>
  <c r="I28" i="6"/>
  <c r="D28" i="6"/>
  <c r="N27" i="6"/>
  <c r="I27" i="6"/>
  <c r="D27" i="6"/>
  <c r="N18" i="6"/>
  <c r="I18" i="6"/>
  <c r="D18" i="6"/>
  <c r="M16" i="6"/>
  <c r="L16" i="6"/>
  <c r="N16" i="6" s="1"/>
  <c r="N20" i="6" s="1"/>
  <c r="H16" i="6"/>
  <c r="G16" i="6"/>
  <c r="I16" i="6" s="1"/>
  <c r="I20" i="6" s="1"/>
  <c r="D16" i="6"/>
  <c r="D20" i="6" s="1"/>
  <c r="C16" i="6"/>
  <c r="B16" i="6"/>
  <c r="N15" i="6"/>
  <c r="I15" i="6"/>
  <c r="D15" i="6"/>
  <c r="N14" i="6"/>
  <c r="I14" i="6"/>
  <c r="D14" i="6"/>
  <c r="N13" i="6"/>
  <c r="I13" i="6"/>
  <c r="D13" i="6"/>
  <c r="N12" i="6"/>
  <c r="I12" i="6"/>
  <c r="D12" i="6"/>
  <c r="N11" i="6"/>
  <c r="I11" i="6"/>
  <c r="D11" i="6"/>
  <c r="N10" i="6"/>
  <c r="I10" i="6"/>
  <c r="D10" i="6"/>
  <c r="N9" i="6"/>
  <c r="I9" i="6"/>
  <c r="D9" i="6"/>
  <c r="N8" i="6"/>
  <c r="I8" i="6"/>
  <c r="D8" i="6"/>
  <c r="N7" i="6"/>
  <c r="I7" i="6"/>
  <c r="D7" i="6"/>
  <c r="N6" i="6"/>
  <c r="I6" i="6"/>
  <c r="D6" i="6"/>
  <c r="N5" i="6"/>
  <c r="I5" i="6"/>
  <c r="D5" i="6"/>
  <c r="N4" i="6"/>
  <c r="I4" i="6"/>
  <c r="D4" i="6"/>
  <c r="N38" i="5"/>
  <c r="N42" i="5" s="1"/>
  <c r="M38" i="5"/>
  <c r="L38" i="5"/>
  <c r="H38" i="5"/>
  <c r="I38" i="5" s="1"/>
  <c r="I42" i="5" s="1"/>
  <c r="G38" i="5"/>
  <c r="C38" i="5"/>
  <c r="B38" i="5"/>
  <c r="D38" i="5" s="1"/>
  <c r="D42" i="5" s="1"/>
  <c r="N37" i="5"/>
  <c r="I37" i="5"/>
  <c r="D37" i="5"/>
  <c r="N36" i="5"/>
  <c r="I36" i="5"/>
  <c r="D36" i="5"/>
  <c r="N35" i="5"/>
  <c r="I35" i="5"/>
  <c r="D35" i="5"/>
  <c r="N34" i="5"/>
  <c r="I34" i="5"/>
  <c r="D34" i="5"/>
  <c r="N33" i="5"/>
  <c r="I33" i="5"/>
  <c r="D33" i="5"/>
  <c r="N32" i="5"/>
  <c r="I32" i="5"/>
  <c r="D32" i="5"/>
  <c r="N31" i="5"/>
  <c r="I31" i="5"/>
  <c r="D31" i="5"/>
  <c r="N30" i="5"/>
  <c r="I30" i="5"/>
  <c r="D30" i="5"/>
  <c r="N29" i="5"/>
  <c r="I29" i="5"/>
  <c r="D29" i="5"/>
  <c r="N28" i="5"/>
  <c r="I28" i="5"/>
  <c r="D28" i="5"/>
  <c r="N27" i="5"/>
  <c r="I27" i="5"/>
  <c r="D27" i="5"/>
  <c r="N26" i="5"/>
  <c r="I26" i="5"/>
  <c r="D26" i="5"/>
  <c r="I18" i="5"/>
  <c r="D18" i="5"/>
  <c r="M16" i="5"/>
  <c r="L16" i="5"/>
  <c r="N16" i="5" s="1"/>
  <c r="N20" i="5" s="1"/>
  <c r="H16" i="5"/>
  <c r="G16" i="5"/>
  <c r="I16" i="5" s="1"/>
  <c r="I20" i="5" s="1"/>
  <c r="D16" i="5"/>
  <c r="D20" i="5" s="1"/>
  <c r="C16" i="5"/>
  <c r="B16" i="5"/>
  <c r="N15" i="5"/>
  <c r="I15" i="5"/>
  <c r="D15" i="5"/>
  <c r="N14" i="5"/>
  <c r="I14" i="5"/>
  <c r="D14" i="5"/>
  <c r="N13" i="5"/>
  <c r="I13" i="5"/>
  <c r="D13" i="5"/>
  <c r="N12" i="5"/>
  <c r="I12" i="5"/>
  <c r="D12" i="5"/>
  <c r="N11" i="5"/>
  <c r="I11" i="5"/>
  <c r="D11" i="5"/>
  <c r="N10" i="5"/>
  <c r="I10" i="5"/>
  <c r="D10" i="5"/>
  <c r="N9" i="5"/>
  <c r="I9" i="5"/>
  <c r="D9" i="5"/>
  <c r="N8" i="5"/>
  <c r="I8" i="5"/>
  <c r="D8" i="5"/>
  <c r="N7" i="5"/>
  <c r="I7" i="5"/>
  <c r="D7" i="5"/>
  <c r="N6" i="5"/>
  <c r="I6" i="5"/>
  <c r="D6" i="5"/>
  <c r="N5" i="5"/>
  <c r="I5" i="5"/>
  <c r="D5" i="5"/>
  <c r="N4" i="5"/>
  <c r="I4" i="5"/>
  <c r="D4" i="5"/>
  <c r="N40" i="4"/>
  <c r="I40" i="4"/>
  <c r="D40" i="4"/>
  <c r="M38" i="4"/>
  <c r="L38" i="4"/>
  <c r="N38" i="4" s="1"/>
  <c r="N42" i="4" s="1"/>
  <c r="H38" i="4"/>
  <c r="G38" i="4"/>
  <c r="I38" i="4" s="1"/>
  <c r="I42" i="4" s="1"/>
  <c r="C38" i="4"/>
  <c r="D38" i="4" s="1"/>
  <c r="D42" i="4" s="1"/>
  <c r="B38" i="4"/>
  <c r="N37" i="4"/>
  <c r="I37" i="4"/>
  <c r="D37" i="4"/>
  <c r="N36" i="4"/>
  <c r="I36" i="4"/>
  <c r="D36" i="4"/>
  <c r="N35" i="4"/>
  <c r="I35" i="4"/>
  <c r="D35" i="4"/>
  <c r="N34" i="4"/>
  <c r="I34" i="4"/>
  <c r="D34" i="4"/>
  <c r="N33" i="4"/>
  <c r="I33" i="4"/>
  <c r="D33" i="4"/>
  <c r="N32" i="4"/>
  <c r="I32" i="4"/>
  <c r="D32" i="4"/>
  <c r="N31" i="4"/>
  <c r="I31" i="4"/>
  <c r="D31" i="4"/>
  <c r="N30" i="4"/>
  <c r="I30" i="4"/>
  <c r="D30" i="4"/>
  <c r="N29" i="4"/>
  <c r="I29" i="4"/>
  <c r="D29" i="4"/>
  <c r="N28" i="4"/>
  <c r="I28" i="4"/>
  <c r="D28" i="4"/>
  <c r="N27" i="4"/>
  <c r="I27" i="4"/>
  <c r="D27" i="4"/>
  <c r="N26" i="4"/>
  <c r="I26" i="4"/>
  <c r="D26" i="4"/>
  <c r="N18" i="4"/>
  <c r="I18" i="4"/>
  <c r="D18" i="4"/>
  <c r="M16" i="4"/>
  <c r="L16" i="4"/>
  <c r="N16" i="4" s="1"/>
  <c r="N20" i="4" s="1"/>
  <c r="H16" i="4"/>
  <c r="G16" i="4"/>
  <c r="I16" i="4" s="1"/>
  <c r="I20" i="4" s="1"/>
  <c r="D16" i="4"/>
  <c r="D20" i="4" s="1"/>
  <c r="C16" i="4"/>
  <c r="B16" i="4"/>
  <c r="N15" i="4"/>
  <c r="I15" i="4"/>
  <c r="D15" i="4"/>
  <c r="N14" i="4"/>
  <c r="I14" i="4"/>
  <c r="D14" i="4"/>
  <c r="N13" i="4"/>
  <c r="D13" i="4"/>
  <c r="N12" i="4"/>
  <c r="I12" i="4"/>
  <c r="D12" i="4"/>
  <c r="N11" i="4"/>
  <c r="I11" i="4"/>
  <c r="D11" i="4"/>
  <c r="N10" i="4"/>
  <c r="I10" i="4"/>
  <c r="D10" i="4"/>
  <c r="N9" i="4"/>
  <c r="I9" i="4"/>
  <c r="D9" i="4"/>
  <c r="N8" i="4"/>
  <c r="I8" i="4"/>
  <c r="D8" i="4"/>
  <c r="N7" i="4"/>
  <c r="I7" i="4"/>
  <c r="D7" i="4"/>
  <c r="N6" i="4"/>
  <c r="I6" i="4"/>
  <c r="D6" i="4"/>
  <c r="N5" i="4"/>
  <c r="I5" i="4"/>
  <c r="D5" i="4"/>
  <c r="N4" i="4"/>
  <c r="I4" i="4"/>
  <c r="D4" i="4"/>
  <c r="D9" i="13" l="1"/>
  <c r="D23" i="13"/>
  <c r="H38" i="10"/>
  <c r="H42" i="10" s="1"/>
  <c r="E42" i="8"/>
  <c r="N6" i="13"/>
  <c r="D8" i="13"/>
  <c r="N8" i="13"/>
  <c r="I9" i="13"/>
  <c r="D10" i="13"/>
  <c r="I19" i="13"/>
  <c r="D20" i="13"/>
  <c r="I24" i="13"/>
  <c r="I6" i="13"/>
  <c r="D7" i="13"/>
  <c r="I10" i="13"/>
  <c r="D11" i="13"/>
  <c r="N11" i="13"/>
  <c r="I12" i="13"/>
  <c r="D13" i="13"/>
  <c r="D19" i="13"/>
  <c r="I20" i="13"/>
  <c r="D21" i="13"/>
  <c r="N21" i="13"/>
  <c r="I22" i="13"/>
  <c r="I5" i="13"/>
  <c r="D6" i="13"/>
  <c r="N10" i="13"/>
  <c r="I13" i="13"/>
  <c r="N14" i="13"/>
  <c r="I8" i="13"/>
  <c r="I11" i="13"/>
  <c r="N13" i="13"/>
  <c r="N20" i="13"/>
  <c r="I21" i="13"/>
  <c r="N23" i="13"/>
  <c r="N5" i="13"/>
  <c r="I7" i="13"/>
  <c r="N9" i="13"/>
  <c r="D12" i="13"/>
  <c r="N12" i="13"/>
  <c r="N19" i="13"/>
  <c r="D22" i="13"/>
  <c r="N22" i="13"/>
  <c r="D25" i="13"/>
  <c r="I27" i="13"/>
  <c r="D28" i="13"/>
  <c r="J42" i="12"/>
  <c r="I45" i="12" s="1"/>
  <c r="I40" i="12"/>
  <c r="O42" i="12"/>
  <c r="N45" i="12" s="1"/>
  <c r="N40" i="12"/>
  <c r="O18" i="12"/>
  <c r="N21" i="12" s="1"/>
  <c r="G16" i="12"/>
  <c r="I16" i="12" s="1"/>
  <c r="I21" i="12" s="1"/>
  <c r="B40" i="12"/>
  <c r="D37" i="12"/>
  <c r="D8" i="12"/>
  <c r="C16" i="12"/>
  <c r="D16" i="12" s="1"/>
  <c r="D21" i="12" s="1"/>
  <c r="I28" i="12"/>
  <c r="M16" i="12"/>
  <c r="N16" i="12" s="1"/>
  <c r="F14" i="2"/>
  <c r="I54" i="2"/>
  <c r="I56" i="2"/>
  <c r="I57" i="2"/>
  <c r="I59" i="2"/>
  <c r="I60" i="2"/>
  <c r="I62" i="2"/>
  <c r="I63" i="2"/>
  <c r="I65" i="2"/>
  <c r="I66" i="2"/>
  <c r="I68" i="2"/>
  <c r="I69" i="2"/>
  <c r="I71" i="2"/>
  <c r="I72" i="2"/>
  <c r="I74" i="2"/>
  <c r="I75" i="2"/>
  <c r="I77" i="2"/>
  <c r="I78" i="2"/>
  <c r="I80" i="2"/>
  <c r="I81" i="2"/>
  <c r="I53" i="2"/>
  <c r="I41" i="2"/>
  <c r="I42" i="2"/>
  <c r="I43" i="2"/>
  <c r="I44" i="2"/>
  <c r="I45" i="2"/>
  <c r="I46" i="2"/>
  <c r="I47" i="2"/>
  <c r="I48" i="2"/>
  <c r="I49" i="2"/>
  <c r="I40" i="2"/>
  <c r="I29" i="2"/>
  <c r="I30" i="2"/>
  <c r="I31" i="2"/>
  <c r="I32" i="2"/>
  <c r="I33" i="2"/>
  <c r="I34" i="2"/>
  <c r="I35" i="2"/>
  <c r="I36" i="2"/>
  <c r="I37" i="2"/>
  <c r="I28" i="2"/>
  <c r="I17" i="2"/>
  <c r="I18" i="2"/>
  <c r="I19" i="2"/>
  <c r="I20" i="2"/>
  <c r="I21" i="2"/>
  <c r="I22" i="2"/>
  <c r="I23" i="2"/>
  <c r="I24" i="2"/>
  <c r="I25" i="2"/>
  <c r="I16" i="2"/>
  <c r="I4" i="2"/>
  <c r="I5" i="2"/>
  <c r="I6" i="2"/>
  <c r="I7" i="2"/>
  <c r="I8" i="2"/>
  <c r="I9" i="2"/>
  <c r="I10" i="2"/>
  <c r="I11" i="2"/>
  <c r="I12" i="2"/>
  <c r="I3" i="2"/>
  <c r="E42" i="12" l="1"/>
  <c r="D45" i="12" s="1"/>
  <c r="D40" i="12"/>
  <c r="L33" i="2"/>
  <c r="L37" i="2"/>
  <c r="L36" i="2"/>
  <c r="L32" i="2"/>
  <c r="L31" i="2"/>
  <c r="L16" i="2"/>
  <c r="E16" i="2"/>
  <c r="K16" i="2" s="1"/>
  <c r="L3" i="2"/>
  <c r="E3" i="2"/>
  <c r="K3" i="2" s="1"/>
  <c r="K15" i="1"/>
  <c r="E15" i="1"/>
  <c r="J15" i="1" s="1"/>
  <c r="K3" i="1"/>
  <c r="E3" i="1"/>
  <c r="J3" i="1" s="1"/>
  <c r="K45" i="1"/>
  <c r="E45" i="1"/>
  <c r="J45" i="1" s="1"/>
  <c r="L54" i="2" l="1"/>
  <c r="L56" i="2"/>
  <c r="L57" i="2"/>
  <c r="L59" i="2"/>
  <c r="L60" i="2"/>
  <c r="L62" i="2"/>
  <c r="L63" i="2"/>
  <c r="L65" i="2"/>
  <c r="L66" i="2"/>
  <c r="L68" i="2"/>
  <c r="L69" i="2"/>
  <c r="L71" i="2"/>
  <c r="L72" i="2"/>
  <c r="L74" i="2"/>
  <c r="L75" i="2"/>
  <c r="L77" i="2"/>
  <c r="L78" i="2"/>
  <c r="L80" i="2"/>
  <c r="L81" i="2"/>
  <c r="L53" i="2"/>
  <c r="L41" i="2"/>
  <c r="L42" i="2"/>
  <c r="L43" i="2"/>
  <c r="L44" i="2"/>
  <c r="L45" i="2"/>
  <c r="L46" i="2"/>
  <c r="L47" i="2"/>
  <c r="L48" i="2"/>
  <c r="L49" i="2"/>
  <c r="L40" i="2"/>
  <c r="L18" i="2"/>
  <c r="L19" i="2"/>
  <c r="L20" i="2"/>
  <c r="L21" i="2"/>
  <c r="L23" i="2"/>
  <c r="L24" i="2"/>
  <c r="L25" i="2"/>
  <c r="L17" i="2"/>
  <c r="L5" i="2"/>
  <c r="L6" i="2"/>
  <c r="L7" i="2"/>
  <c r="L8" i="2"/>
  <c r="L9" i="2"/>
  <c r="L10" i="2"/>
  <c r="L11" i="2"/>
  <c r="L12" i="2"/>
  <c r="L4" i="2"/>
  <c r="K47" i="1"/>
  <c r="K48" i="1"/>
  <c r="K49" i="1"/>
  <c r="K50" i="1"/>
  <c r="K51" i="1"/>
  <c r="K52" i="1"/>
  <c r="K53" i="1"/>
  <c r="K54" i="1"/>
  <c r="K46" i="1"/>
  <c r="K38" i="1"/>
  <c r="K39" i="1"/>
  <c r="K40" i="1"/>
  <c r="K41" i="1"/>
  <c r="K42" i="1"/>
  <c r="K34" i="1"/>
  <c r="K35" i="1"/>
  <c r="K36" i="1"/>
  <c r="K37" i="1"/>
  <c r="K33" i="1"/>
  <c r="K22" i="1"/>
  <c r="K23" i="1"/>
  <c r="K25" i="1"/>
  <c r="K26" i="1"/>
  <c r="K28" i="1"/>
  <c r="K29" i="1"/>
  <c r="K17" i="1"/>
  <c r="K18" i="1"/>
  <c r="K19" i="1"/>
  <c r="K20" i="1"/>
  <c r="K21" i="1"/>
  <c r="K16" i="1"/>
  <c r="K5" i="1"/>
  <c r="K6" i="1"/>
  <c r="K7" i="1"/>
  <c r="K8" i="1"/>
  <c r="K9" i="1"/>
  <c r="K10" i="1"/>
  <c r="K11" i="1"/>
  <c r="K12" i="1"/>
  <c r="K4" i="1"/>
  <c r="L30" i="1"/>
  <c r="L27" i="1"/>
  <c r="G30" i="1"/>
  <c r="F30" i="1"/>
  <c r="G27" i="1"/>
  <c r="F27" i="1"/>
  <c r="L24" i="1"/>
  <c r="G24" i="1"/>
  <c r="F24" i="1"/>
  <c r="E56" i="2"/>
  <c r="K56" i="2" s="1"/>
  <c r="E57" i="2"/>
  <c r="K57" i="2" s="1"/>
  <c r="E59" i="2"/>
  <c r="E60" i="2"/>
  <c r="E62" i="2"/>
  <c r="E63" i="2"/>
  <c r="E65" i="2"/>
  <c r="E66" i="2"/>
  <c r="E68" i="2"/>
  <c r="E69" i="2"/>
  <c r="E71" i="2"/>
  <c r="E72" i="2"/>
  <c r="E74" i="2"/>
  <c r="E75" i="2"/>
  <c r="E77" i="2"/>
  <c r="K77" i="2" s="1"/>
  <c r="E78" i="2"/>
  <c r="K78" i="2" s="1"/>
  <c r="E80" i="2"/>
  <c r="K80" i="2" s="1"/>
  <c r="E81" i="2"/>
  <c r="K81" i="2" s="1"/>
  <c r="E54" i="2"/>
  <c r="K54" i="2" s="1"/>
  <c r="E53" i="2"/>
  <c r="K53" i="2" s="1"/>
  <c r="E49" i="2"/>
  <c r="K49" i="2" s="1"/>
  <c r="E41" i="2"/>
  <c r="K41" i="2" s="1"/>
  <c r="E42" i="2"/>
  <c r="E43" i="2"/>
  <c r="E44" i="2"/>
  <c r="E45" i="2"/>
  <c r="E46" i="2"/>
  <c r="E47" i="2"/>
  <c r="E48" i="2"/>
  <c r="E40" i="2"/>
  <c r="K40" i="2" s="1"/>
  <c r="E29" i="2"/>
  <c r="E30" i="2"/>
  <c r="E31" i="2"/>
  <c r="E32" i="2"/>
  <c r="E33" i="2"/>
  <c r="E34" i="2"/>
  <c r="E35" i="2"/>
  <c r="E36" i="2"/>
  <c r="E37" i="2"/>
  <c r="K37" i="2" s="1"/>
  <c r="E28" i="2"/>
  <c r="E18" i="2"/>
  <c r="E19" i="2"/>
  <c r="E20" i="2"/>
  <c r="E21" i="2"/>
  <c r="E22" i="2"/>
  <c r="E23" i="2"/>
  <c r="E24" i="2"/>
  <c r="E25" i="2"/>
  <c r="K25" i="2" s="1"/>
  <c r="E17" i="2"/>
  <c r="K17" i="2" s="1"/>
  <c r="E5" i="2" l="1"/>
  <c r="E6" i="2"/>
  <c r="E7" i="2"/>
  <c r="E8" i="2"/>
  <c r="E9" i="2"/>
  <c r="E10" i="2"/>
  <c r="E11" i="2"/>
  <c r="E12" i="2"/>
  <c r="E14" i="2" s="1"/>
  <c r="K12" i="2" s="1"/>
  <c r="E13" i="2"/>
  <c r="E4" i="2"/>
  <c r="K4" i="2" s="1"/>
  <c r="E33" i="1" l="1"/>
  <c r="J33" i="1" s="1"/>
  <c r="E31" i="1" l="1"/>
  <c r="E34" i="1"/>
  <c r="J34" i="1" s="1"/>
  <c r="E35" i="1"/>
  <c r="E36" i="1"/>
  <c r="E37" i="1"/>
  <c r="E38" i="1"/>
  <c r="E39" i="1"/>
  <c r="E40" i="1"/>
  <c r="E41" i="1"/>
  <c r="E42" i="1"/>
  <c r="J42" i="1" s="1"/>
  <c r="E46" i="1"/>
  <c r="J46" i="1" s="1"/>
  <c r="E47" i="1"/>
  <c r="E48" i="1"/>
  <c r="E49" i="1"/>
  <c r="E50" i="1"/>
  <c r="E51" i="1"/>
  <c r="E52" i="1"/>
  <c r="E53" i="1"/>
  <c r="E54" i="1"/>
  <c r="J54" i="1" s="1"/>
  <c r="E5" i="1"/>
  <c r="E6" i="1"/>
  <c r="E7" i="1"/>
  <c r="E8" i="1"/>
  <c r="E9" i="1"/>
  <c r="E10" i="1"/>
  <c r="E11" i="1"/>
  <c r="E12" i="1"/>
  <c r="J12" i="1" s="1"/>
  <c r="E16" i="1"/>
  <c r="J16" i="1" s="1"/>
  <c r="E17" i="1"/>
  <c r="E18" i="1"/>
  <c r="E19" i="1"/>
  <c r="E20" i="1"/>
  <c r="E21" i="1"/>
  <c r="E22" i="1"/>
  <c r="E23" i="1"/>
  <c r="E25" i="1"/>
  <c r="E26" i="1"/>
  <c r="E28" i="1"/>
  <c r="E29" i="1"/>
  <c r="E4" i="1"/>
  <c r="J4" i="1" s="1"/>
  <c r="O30" i="1"/>
  <c r="N30" i="1"/>
  <c r="I30" i="1"/>
  <c r="H30" i="1"/>
  <c r="D30" i="1"/>
  <c r="C30" i="1"/>
  <c r="M30" i="1" s="1"/>
  <c r="O27" i="1"/>
  <c r="N27" i="1"/>
  <c r="I27" i="1"/>
  <c r="H27" i="1"/>
  <c r="D27" i="1"/>
  <c r="C27" i="1"/>
  <c r="M27" i="1" s="1"/>
  <c r="O24" i="1"/>
  <c r="N24" i="1"/>
  <c r="I24" i="1"/>
  <c r="K24" i="1" s="1"/>
  <c r="H24" i="1"/>
  <c r="D24" i="1"/>
  <c r="C24" i="1"/>
  <c r="M24" i="1" s="1"/>
  <c r="K30" i="1" l="1"/>
  <c r="K27" i="1"/>
  <c r="E27" i="1"/>
  <c r="E24" i="1"/>
  <c r="E30" i="1"/>
  <c r="J30" i="1" s="1"/>
</calcChain>
</file>

<file path=xl/sharedStrings.xml><?xml version="1.0" encoding="utf-8"?>
<sst xmlns="http://schemas.openxmlformats.org/spreadsheetml/2006/main" count="1277" uniqueCount="143">
  <si>
    <t>KCPL</t>
  </si>
  <si>
    <t>LIHEAP</t>
  </si>
  <si>
    <t xml:space="preserve">Charitable </t>
  </si>
  <si>
    <t>GMO</t>
  </si>
  <si>
    <t>Empire</t>
  </si>
  <si>
    <t>Res</t>
  </si>
  <si>
    <t>Other</t>
  </si>
  <si>
    <t>V. Term</t>
  </si>
  <si>
    <t>I. Term</t>
  </si>
  <si>
    <t>GMO MPS</t>
  </si>
  <si>
    <t>GMO LP</t>
  </si>
  <si>
    <t>total accounts</t>
  </si>
  <si>
    <t>Empire Gas</t>
  </si>
  <si>
    <t>2009B</t>
  </si>
  <si>
    <t>North/South</t>
  </si>
  <si>
    <t xml:space="preserve">Northwest </t>
  </si>
  <si>
    <t>average write off</t>
  </si>
  <si>
    <t>Year</t>
  </si>
  <si>
    <t>Charitable $</t>
  </si>
  <si>
    <t>other revenues</t>
  </si>
  <si>
    <t>total Res write-off</t>
  </si>
  <si>
    <t>Tariffed Revenues</t>
  </si>
  <si>
    <t>Liberty</t>
  </si>
  <si>
    <t>Atmos</t>
  </si>
  <si>
    <t>Summit</t>
  </si>
  <si>
    <t>Spire</t>
  </si>
  <si>
    <t>Laclede</t>
  </si>
  <si>
    <t>MGE</t>
  </si>
  <si>
    <t xml:space="preserve">Spire East </t>
  </si>
  <si>
    <t>Spire West</t>
  </si>
  <si>
    <t>Spire East</t>
  </si>
  <si>
    <t>MAWC</t>
  </si>
  <si>
    <t>Revenues</t>
  </si>
  <si>
    <t>Non-Tariff</t>
  </si>
  <si>
    <t>Southern Missouri</t>
  </si>
  <si>
    <t>Other Revenues</t>
  </si>
  <si>
    <t>total res write-off</t>
  </si>
  <si>
    <t>average res write off</t>
  </si>
  <si>
    <t>%</t>
  </si>
  <si>
    <t>Ameren MO</t>
  </si>
  <si>
    <t>Ameren MO Gas</t>
  </si>
  <si>
    <t>2018 KCPL Disconnects</t>
  </si>
  <si>
    <t>2017 KCPL Disconnects</t>
  </si>
  <si>
    <t>2016 KCPL Disconnects</t>
  </si>
  <si>
    <t>Month</t>
  </si>
  <si>
    <t>Non-Energy Assist</t>
  </si>
  <si>
    <t>Energy Assist</t>
  </si>
  <si>
    <t>Total Disconnect</t>
  </si>
  <si>
    <t>Januaray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</si>
  <si>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</si>
  <si>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</si>
  <si>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</si>
  <si>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</si>
  <si>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</si>
  <si>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</si>
  <si>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</si>
  <si>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</si>
  <si>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</si>
  <si>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 Filing</t>
  </si>
  <si>
    <t>November</t>
  </si>
  <si>
    <t>December</t>
  </si>
  <si>
    <t>2018 Total</t>
  </si>
  <si>
    <t>2017 Total</t>
  </si>
  <si>
    <t>2016 Total</t>
  </si>
  <si>
    <t>Amount from 2018 Annual Report</t>
  </si>
  <si>
    <t>Amount from 2017 Annual Report</t>
  </si>
  <si>
    <t>Amount from 2016 Annual Report</t>
  </si>
  <si>
    <t>Discrepency for 2018</t>
  </si>
  <si>
    <t>Discrepency for 2017</t>
  </si>
  <si>
    <t>Discrepency for 2016</t>
  </si>
  <si>
    <t>2015 KCPL Disconnects</t>
  </si>
  <si>
    <t>2014 KCPL Disconnects</t>
  </si>
  <si>
    <t>2013 KCPL Disconnects</t>
  </si>
  <si>
    <t>2015 Total</t>
  </si>
  <si>
    <t>2014 Total</t>
  </si>
  <si>
    <t>2013 Total</t>
  </si>
  <si>
    <t>Amount from 2015 Annual Report</t>
  </si>
  <si>
    <t>Amount from 2014 Annual Report</t>
  </si>
  <si>
    <t>Amount from 2013 Annual Report</t>
  </si>
  <si>
    <t>Discrepency for 2015</t>
  </si>
  <si>
    <t>Discrepency for 2014</t>
  </si>
  <si>
    <t>Discrepency for 2013</t>
  </si>
  <si>
    <t>2018 GMO Disconnects</t>
  </si>
  <si>
    <t>2017 GMO Disconnects</t>
  </si>
  <si>
    <t>2016 GMO Disconnects</t>
  </si>
  <si>
    <t>2015 GMO Disconnects</t>
  </si>
  <si>
    <t>2014 GMO Disconnects</t>
  </si>
  <si>
    <t>2013 GMO Disconnects</t>
  </si>
  <si>
    <t>2018 UE Disconnects</t>
  </si>
  <si>
    <t>2017 UE Disconnects</t>
  </si>
  <si>
    <t>2016 UE Disconnects</t>
  </si>
  <si>
    <t>Electric</t>
  </si>
  <si>
    <t>Combination</t>
  </si>
  <si>
    <t>Total Disconnects</t>
  </si>
  <si>
    <t>2015 UE Disconnects</t>
  </si>
  <si>
    <t>2014 UE Disconnects</t>
  </si>
  <si>
    <t>2013 UE Disconnects</t>
  </si>
  <si>
    <t>.</t>
  </si>
  <si>
    <t>2018 Empire Disconnects</t>
  </si>
  <si>
    <t>2017 Empire Disconnects</t>
  </si>
  <si>
    <t>2016 Empire Disconnects</t>
  </si>
  <si>
    <t>2015 Empire Disconnects</t>
  </si>
  <si>
    <t>2014 Empire Disconnects</t>
  </si>
  <si>
    <t>2013 Empire Disconnects</t>
  </si>
  <si>
    <t>2018 Liberty Disconnects</t>
  </si>
  <si>
    <t>2017 Liberty Disconnects</t>
  </si>
  <si>
    <t>2016 Liberty Disconnects</t>
  </si>
  <si>
    <t>2015 Liberty Disconnects</t>
  </si>
  <si>
    <t>2014 Liberty Disconnects</t>
  </si>
  <si>
    <t>2013 Liberty Disconnects</t>
  </si>
  <si>
    <t>Had to Average because no data was provided.</t>
  </si>
  <si>
    <t>2018 Summet Disconnects</t>
  </si>
  <si>
    <t>2017 Summet Disconnects</t>
  </si>
  <si>
    <t>2016 Summet Disconnects</t>
  </si>
  <si>
    <t>2015 Summet Disconnects</t>
  </si>
  <si>
    <t>2014 Summet Disconnects</t>
  </si>
  <si>
    <t>2013 Summet Disconnects</t>
  </si>
  <si>
    <t>2018 Spire Disconnects</t>
  </si>
  <si>
    <t>2017 Spire Disconnects</t>
  </si>
  <si>
    <t>2016 Spire Disconnects</t>
  </si>
  <si>
    <t>Amount from 2016 Laclede Annual Report</t>
  </si>
  <si>
    <t>Amount from 2016 MGE Annual Report</t>
  </si>
  <si>
    <t>2015 Spire Disconnects</t>
  </si>
  <si>
    <t>2014 Spire Disconnects</t>
  </si>
  <si>
    <t>2013 Spire Disconnects</t>
  </si>
  <si>
    <t>Amount from 2015 Laclede Annual Report</t>
  </si>
  <si>
    <t>Amount from 2014 Laclede Annual Report</t>
  </si>
  <si>
    <t>Amount from 2013 Laclede Annual Report</t>
  </si>
  <si>
    <t>Amount from 2015 MGE Annual Report</t>
  </si>
  <si>
    <t>Amount from 2014 MGE Annual Report</t>
  </si>
  <si>
    <t>Amount from 2013 MGE Annual Report</t>
  </si>
  <si>
    <t>Five Year Analysis of Cold Weather Report Versus Annual Report for Disconnects</t>
  </si>
  <si>
    <t>CWR</t>
  </si>
  <si>
    <t>Annual Report</t>
  </si>
  <si>
    <t>Discrepency</t>
  </si>
  <si>
    <t>UE</t>
  </si>
  <si>
    <t>Ameren Gas</t>
  </si>
  <si>
    <t>Empire Elec</t>
  </si>
  <si>
    <t>Liberty Gas</t>
  </si>
  <si>
    <t>Summit Gas</t>
  </si>
  <si>
    <t>*Liberty Gas*</t>
  </si>
  <si>
    <t>Missing 5 months of CWR Data</t>
  </si>
  <si>
    <t>OPC-1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</si>
</sst>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1" applyNumberFormat="1" applyFont="1"/>
    <xf numFmtId="44" fontId="0" fillId="0" borderId="0" xfId="2" applyFont="1"/>
    <xf numFmtId="10" fontId="0" fillId="0" borderId="0" xfId="3" applyNumberFormat="1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3" fontId="0" fillId="0" borderId="0" xfId="0" applyNumberFormat="1"/>
    <xf numFmtId="0" fontId="2" fillId="0" borderId="0" xfId="0" applyFont="1"/>
    <xf numFmtId="0" fontId="0" fillId="0" borderId="0" xfId="0" applyFill="1"/>
    <xf numFmtId="0" fontId="0" fillId="0" borderId="0" xfId="0" applyFont="1" applyFill="1"/>
    <xf numFmtId="164" fontId="0" fillId="0" borderId="0" xfId="1" applyNumberFormat="1" applyFont="1" applyFill="1"/>
    <xf numFmtId="44" fontId="0" fillId="0" borderId="0" xfId="2" applyFont="1" applyFill="1"/>
    <xf numFmtId="165" fontId="0" fillId="0" borderId="0" xfId="2" applyNumberFormat="1" applyFont="1"/>
    <xf numFmtId="44" fontId="0" fillId="0" borderId="0" xfId="2" applyNumberFormat="1" applyFont="1"/>
    <xf numFmtId="0" fontId="2" fillId="0" borderId="0" xfId="0" applyFont="1" applyFill="1"/>
    <xf numFmtId="16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44" fontId="0" fillId="0" borderId="0" xfId="0" applyNumberFormat="1"/>
    <xf numFmtId="166" fontId="0" fillId="0" borderId="0" xfId="0" applyNumberFormat="1"/>
    <xf numFmtId="10" fontId="0" fillId="0" borderId="0" xfId="3" applyNumberFormat="1" applyFont="1" applyFill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38" fontId="5" fillId="0" borderId="0" xfId="0" applyNumberFormat="1" applyFont="1"/>
    <xf numFmtId="0" fontId="5" fillId="0" borderId="1" xfId="0" applyFont="1" applyBorder="1"/>
    <xf numFmtId="38" fontId="5" fillId="0" borderId="1" xfId="0" applyNumberFormat="1" applyFont="1" applyBorder="1"/>
    <xf numFmtId="0" fontId="6" fillId="0" borderId="0" xfId="0" applyFont="1"/>
    <xf numFmtId="38" fontId="6" fillId="0" borderId="0" xfId="0" applyNumberFormat="1" applyFont="1"/>
    <xf numFmtId="0" fontId="5" fillId="0" borderId="0" xfId="0" applyFont="1" applyBorder="1"/>
    <xf numFmtId="38" fontId="5" fillId="0" borderId="0" xfId="0" applyNumberFormat="1" applyFont="1" applyAlignment="1">
      <alignment horizontal="center"/>
    </xf>
    <xf numFmtId="38" fontId="5" fillId="0" borderId="1" xfId="0" applyNumberFormat="1" applyFont="1" applyBorder="1" applyAlignment="1">
      <alignment horizontal="center"/>
    </xf>
    <xf numFmtId="38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5" fillId="0" borderId="0" xfId="0" applyFont="1" applyFill="1" applyAlignment="1">
      <alignment wrapText="1"/>
    </xf>
    <xf numFmtId="38" fontId="5" fillId="0" borderId="0" xfId="0" applyNumberFormat="1" applyFont="1" applyFill="1" applyAlignment="1">
      <alignment wrapText="1"/>
    </xf>
    <xf numFmtId="38" fontId="5" fillId="0" borderId="0" xfId="0" applyNumberFormat="1" applyFont="1" applyFill="1"/>
    <xf numFmtId="0" fontId="5" fillId="0" borderId="0" xfId="0" applyFont="1" applyFill="1" applyAlignment="1"/>
    <xf numFmtId="0" fontId="5" fillId="0" borderId="1" xfId="0" applyFont="1" applyFill="1" applyBorder="1" applyAlignment="1"/>
    <xf numFmtId="38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/>
    <xf numFmtId="38" fontId="5" fillId="0" borderId="1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/>
    <xf numFmtId="38" fontId="6" fillId="0" borderId="0" xfId="0" applyNumberFormat="1" applyFont="1" applyFill="1"/>
    <xf numFmtId="0" fontId="6" fillId="0" borderId="1" xfId="0" applyFont="1" applyBorder="1" applyAlignment="1">
      <alignment horizontal="center" wrapText="1"/>
    </xf>
    <xf numFmtId="0" fontId="5" fillId="2" borderId="0" xfId="0" applyFont="1" applyFill="1"/>
    <xf numFmtId="38" fontId="5" fillId="2" borderId="0" xfId="0" applyNumberFormat="1" applyFont="1" applyFill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keg\Desktop\Copy%20of%20All%20CWR%20Disconnec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PL CWR"/>
      <sheetName val="GMO CWR"/>
      <sheetName val="Ameren Electric CWR"/>
      <sheetName val="Ameren Gas CWR"/>
      <sheetName val="Empire Electric CWR"/>
      <sheetName val="Empire Gas CWR"/>
      <sheetName val="Summary"/>
      <sheetName val="Liberty Gas CWR"/>
      <sheetName val="Summit CWR"/>
      <sheetName val="Spire CWR"/>
    </sheetNames>
    <sheetDataSet>
      <sheetData sheetId="0">
        <row r="16">
          <cell r="D16">
            <v>1645</v>
          </cell>
          <cell r="N16">
            <v>6259</v>
          </cell>
        </row>
        <row r="18">
          <cell r="D18">
            <v>123435</v>
          </cell>
          <cell r="N18">
            <v>111603</v>
          </cell>
        </row>
        <row r="38">
          <cell r="D38">
            <v>5019</v>
          </cell>
          <cell r="I38">
            <v>5983</v>
          </cell>
          <cell r="N38">
            <v>6044</v>
          </cell>
        </row>
        <row r="40">
          <cell r="D40">
            <v>102578</v>
          </cell>
          <cell r="I40">
            <v>121616</v>
          </cell>
          <cell r="N40">
            <v>124194</v>
          </cell>
        </row>
      </sheetData>
      <sheetData sheetId="1">
        <row r="16">
          <cell r="D16">
            <v>21586</v>
          </cell>
          <cell r="I16">
            <v>68923</v>
          </cell>
          <cell r="N16">
            <v>70659</v>
          </cell>
        </row>
        <row r="18">
          <cell r="D18">
            <v>66269</v>
          </cell>
          <cell r="I18">
            <v>96154</v>
          </cell>
          <cell r="N18">
            <v>98401</v>
          </cell>
        </row>
        <row r="38">
          <cell r="D38">
            <v>75615</v>
          </cell>
          <cell r="I38">
            <v>77311</v>
          </cell>
          <cell r="N38">
            <v>77093</v>
          </cell>
        </row>
        <row r="40">
          <cell r="D40">
            <v>142501</v>
          </cell>
          <cell r="I40">
            <v>100494</v>
          </cell>
          <cell r="N40">
            <v>103940</v>
          </cell>
        </row>
      </sheetData>
      <sheetData sheetId="2">
        <row r="16">
          <cell r="D16">
            <v>220977</v>
          </cell>
          <cell r="I16">
            <v>292019</v>
          </cell>
          <cell r="N16">
            <v>299694</v>
          </cell>
        </row>
        <row r="18">
          <cell r="D18">
            <v>323993</v>
          </cell>
          <cell r="I18">
            <v>280059</v>
          </cell>
          <cell r="N18">
            <v>353683</v>
          </cell>
        </row>
        <row r="39">
          <cell r="D39">
            <v>296452</v>
          </cell>
          <cell r="I39">
            <v>289153</v>
          </cell>
          <cell r="N39">
            <v>290513</v>
          </cell>
        </row>
        <row r="41">
          <cell r="D41">
            <v>324560</v>
          </cell>
          <cell r="I41">
            <v>325631</v>
          </cell>
          <cell r="N41">
            <v>323709</v>
          </cell>
        </row>
      </sheetData>
      <sheetData sheetId="3">
        <row r="16">
          <cell r="B16">
            <v>14219</v>
          </cell>
          <cell r="E16">
            <v>13962</v>
          </cell>
          <cell r="H16">
            <v>15953</v>
          </cell>
        </row>
        <row r="18">
          <cell r="B18">
            <v>38547</v>
          </cell>
          <cell r="E18">
            <v>31752</v>
          </cell>
          <cell r="H18">
            <v>43441</v>
          </cell>
        </row>
        <row r="39">
          <cell r="B39">
            <v>14772</v>
          </cell>
          <cell r="E39">
            <v>14490</v>
          </cell>
          <cell r="H39">
            <v>14663</v>
          </cell>
        </row>
        <row r="41">
          <cell r="B41">
            <v>40205</v>
          </cell>
          <cell r="E41">
            <v>61295</v>
          </cell>
          <cell r="H41">
            <v>40281</v>
          </cell>
        </row>
      </sheetData>
      <sheetData sheetId="4">
        <row r="16">
          <cell r="B16">
            <v>31035</v>
          </cell>
          <cell r="E16">
            <v>31705</v>
          </cell>
          <cell r="H16">
            <v>31463</v>
          </cell>
        </row>
        <row r="18">
          <cell r="B18">
            <v>43630</v>
          </cell>
          <cell r="E18">
            <v>44180</v>
          </cell>
          <cell r="H18">
            <v>16651</v>
          </cell>
        </row>
        <row r="38">
          <cell r="B38">
            <v>32347</v>
          </cell>
          <cell r="E38">
            <v>32938</v>
          </cell>
          <cell r="H38">
            <v>34121</v>
          </cell>
        </row>
        <row r="40">
          <cell r="B40">
            <v>45538</v>
          </cell>
          <cell r="E40">
            <v>45397</v>
          </cell>
          <cell r="H40">
            <v>45151</v>
          </cell>
        </row>
      </sheetData>
      <sheetData sheetId="5">
        <row r="16">
          <cell r="B16">
            <v>7963</v>
          </cell>
          <cell r="E16">
            <v>7904</v>
          </cell>
          <cell r="H16">
            <v>8000</v>
          </cell>
        </row>
        <row r="18">
          <cell r="B18">
            <v>11205</v>
          </cell>
          <cell r="E18">
            <v>11687</v>
          </cell>
          <cell r="H18">
            <v>4826</v>
          </cell>
        </row>
        <row r="38">
          <cell r="B38">
            <v>8211</v>
          </cell>
          <cell r="E38">
            <v>8550</v>
          </cell>
          <cell r="H38">
            <v>8472</v>
          </cell>
        </row>
        <row r="40">
          <cell r="B40">
            <v>11665</v>
          </cell>
          <cell r="E40">
            <v>11992</v>
          </cell>
          <cell r="H40">
            <v>12007</v>
          </cell>
        </row>
      </sheetData>
      <sheetData sheetId="6"/>
      <sheetData sheetId="7">
        <row r="16">
          <cell r="B16">
            <v>4158</v>
          </cell>
          <cell r="E16">
            <v>3792</v>
          </cell>
          <cell r="H16">
            <v>3624</v>
          </cell>
        </row>
        <row r="18">
          <cell r="B18">
            <v>8149</v>
          </cell>
          <cell r="E18">
            <v>2213</v>
          </cell>
          <cell r="H18">
            <v>8196</v>
          </cell>
        </row>
        <row r="38">
          <cell r="B38">
            <v>5432</v>
          </cell>
          <cell r="E38">
            <v>6364</v>
          </cell>
          <cell r="H38">
            <v>6570.4000000000005</v>
          </cell>
        </row>
        <row r="40">
          <cell r="B40">
            <v>11333</v>
          </cell>
          <cell r="E40">
            <v>4348</v>
          </cell>
          <cell r="H40">
            <v>7294</v>
          </cell>
        </row>
      </sheetData>
      <sheetData sheetId="8">
        <row r="16">
          <cell r="B16">
            <v>1118</v>
          </cell>
          <cell r="E16">
            <v>1138</v>
          </cell>
          <cell r="H16">
            <v>1117</v>
          </cell>
        </row>
        <row r="18">
          <cell r="B18">
            <v>2796</v>
          </cell>
          <cell r="E18">
            <v>2977</v>
          </cell>
          <cell r="H18">
            <v>3241</v>
          </cell>
        </row>
        <row r="38">
          <cell r="B38">
            <v>1557</v>
          </cell>
          <cell r="E38">
            <v>1194</v>
          </cell>
          <cell r="H38">
            <v>1028</v>
          </cell>
        </row>
        <row r="40">
          <cell r="B40">
            <v>2987</v>
          </cell>
          <cell r="E40">
            <v>2423</v>
          </cell>
          <cell r="H40">
            <v>976</v>
          </cell>
        </row>
      </sheetData>
      <sheetData sheetId="9">
        <row r="16">
          <cell r="D16">
            <v>63837</v>
          </cell>
          <cell r="I16">
            <v>71124</v>
          </cell>
          <cell r="L16">
            <v>48214</v>
          </cell>
          <cell r="M16">
            <v>31492</v>
          </cell>
        </row>
        <row r="18">
          <cell r="D18">
            <v>159468</v>
          </cell>
          <cell r="I18">
            <v>291491</v>
          </cell>
          <cell r="N18">
            <v>75322</v>
          </cell>
        </row>
        <row r="19">
          <cell r="N19">
            <v>37623</v>
          </cell>
        </row>
        <row r="40">
          <cell r="B40">
            <v>47267</v>
          </cell>
          <cell r="C40">
            <v>35913</v>
          </cell>
          <cell r="G40">
            <v>48059</v>
          </cell>
          <cell r="H40">
            <v>44911</v>
          </cell>
          <cell r="L40">
            <v>101121</v>
          </cell>
          <cell r="M40">
            <v>45662</v>
          </cell>
        </row>
        <row r="42">
          <cell r="D42">
            <v>75160</v>
          </cell>
          <cell r="I42">
            <v>70480</v>
          </cell>
          <cell r="N42">
            <v>59706</v>
          </cell>
        </row>
        <row r="43">
          <cell r="D43">
            <v>60572</v>
          </cell>
          <cell r="I43">
            <v>73997</v>
          </cell>
          <cell r="N43">
            <v>63602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6"/>
  <sheetViews>
    <sheetView topLeftCell="E52" workbookViewId="0">
      <selection activeCell="O56" sqref="O56"/>
    </sheetView>
  </sheetViews>
  <sheetFormatPr defaultRowHeight="14.4" x14ac:dyDescent="0.3"/>
  <cols>
    <col min="1" max="1" width="16.33203125" customWidth="1"/>
    <col min="3" max="3" width="14.33203125" bestFit="1" customWidth="1"/>
    <col min="4" max="4" width="12.5546875" bestFit="1" customWidth="1"/>
    <col min="5" max="5" width="15.88671875" customWidth="1"/>
    <col min="6" max="6" width="18" customWidth="1"/>
    <col min="7" max="7" width="17.33203125" customWidth="1"/>
    <col min="8" max="8" width="11.5546875" bestFit="1" customWidth="1"/>
    <col min="9" max="9" width="10.5546875" bestFit="1" customWidth="1"/>
    <col min="10" max="11" width="10.5546875" customWidth="1"/>
    <col min="12" max="12" width="16.88671875" bestFit="1" customWidth="1"/>
    <col min="13" max="13" width="19.5546875" bestFit="1" customWidth="1"/>
    <col min="14" max="15" width="15.33203125" bestFit="1" customWidth="1"/>
    <col min="16" max="16" width="16.5546875" customWidth="1"/>
  </cols>
  <sheetData>
    <row r="2" spans="1:17" ht="18" x14ac:dyDescent="0.35">
      <c r="B2" s="4"/>
      <c r="C2" s="16" t="s">
        <v>5</v>
      </c>
      <c r="D2" s="16" t="s">
        <v>6</v>
      </c>
      <c r="E2" s="16" t="s">
        <v>11</v>
      </c>
      <c r="F2" s="16" t="s">
        <v>21</v>
      </c>
      <c r="G2" s="16" t="s">
        <v>35</v>
      </c>
      <c r="H2" s="16" t="s">
        <v>7</v>
      </c>
      <c r="I2" s="16" t="s">
        <v>8</v>
      </c>
      <c r="J2" s="16" t="s">
        <v>38</v>
      </c>
      <c r="K2" s="16" t="s">
        <v>38</v>
      </c>
      <c r="L2" s="16" t="s">
        <v>36</v>
      </c>
      <c r="M2" s="16" t="s">
        <v>37</v>
      </c>
      <c r="N2" s="16" t="s">
        <v>1</v>
      </c>
      <c r="O2" s="16" t="s">
        <v>2</v>
      </c>
      <c r="P2" s="4"/>
      <c r="Q2" s="4"/>
    </row>
    <row r="3" spans="1:17" ht="18" x14ac:dyDescent="0.35">
      <c r="A3" s="4" t="s">
        <v>0</v>
      </c>
      <c r="B3" s="17">
        <v>2018</v>
      </c>
      <c r="C3" s="1">
        <v>255709</v>
      </c>
      <c r="D3" s="1">
        <v>33590</v>
      </c>
      <c r="E3" s="1">
        <f>C3+D3</f>
        <v>289299</v>
      </c>
      <c r="F3" s="2">
        <v>931128044</v>
      </c>
      <c r="G3" s="2">
        <v>6514416</v>
      </c>
      <c r="H3" s="1">
        <v>112781</v>
      </c>
      <c r="I3" s="1">
        <v>10654</v>
      </c>
      <c r="J3" s="3">
        <f>I3/E3</f>
        <v>3.6826950663500391E-2</v>
      </c>
      <c r="K3" s="3">
        <f t="shared" ref="K3:K12" si="0">I3/C3</f>
        <v>4.1664548373346266E-2</v>
      </c>
      <c r="L3" s="2">
        <v>8080956</v>
      </c>
      <c r="M3" s="2">
        <v>31.6</v>
      </c>
      <c r="N3" s="2">
        <v>571487</v>
      </c>
      <c r="O3" s="2">
        <v>2586796</v>
      </c>
      <c r="P3" s="4"/>
      <c r="Q3" s="4"/>
    </row>
    <row r="4" spans="1:17" x14ac:dyDescent="0.3">
      <c r="B4">
        <v>2017</v>
      </c>
      <c r="C4" s="1">
        <v>251503</v>
      </c>
      <c r="D4" s="1">
        <v>32992</v>
      </c>
      <c r="E4" s="1">
        <f>C4+D4</f>
        <v>284495</v>
      </c>
      <c r="F4" s="2">
        <v>929442472</v>
      </c>
      <c r="G4" s="2">
        <v>5555085</v>
      </c>
      <c r="H4" s="1">
        <v>85634</v>
      </c>
      <c r="I4" s="1">
        <v>15672</v>
      </c>
      <c r="J4" s="3">
        <f>I4/E4</f>
        <v>5.5087084131531308E-2</v>
      </c>
      <c r="K4" s="3">
        <f t="shared" si="0"/>
        <v>6.2313372007490965E-2</v>
      </c>
      <c r="L4" s="2">
        <v>4928337</v>
      </c>
      <c r="M4" s="2">
        <v>19.600000000000001</v>
      </c>
      <c r="N4" s="2">
        <v>463478</v>
      </c>
      <c r="O4" s="2">
        <v>3173943</v>
      </c>
      <c r="P4" s="2"/>
    </row>
    <row r="5" spans="1:17" ht="18" x14ac:dyDescent="0.35">
      <c r="A5" s="4"/>
      <c r="B5">
        <v>2016</v>
      </c>
      <c r="C5" s="1">
        <v>247181</v>
      </c>
      <c r="D5" s="1">
        <v>32605</v>
      </c>
      <c r="E5" s="1">
        <f t="shared" ref="E5:E54" si="1">C5+D5</f>
        <v>279786</v>
      </c>
      <c r="F5" s="2">
        <v>905153034</v>
      </c>
      <c r="G5" s="2">
        <v>6397814</v>
      </c>
      <c r="H5" s="1">
        <v>94081</v>
      </c>
      <c r="I5" s="1">
        <v>17522</v>
      </c>
      <c r="J5" s="1"/>
      <c r="K5" s="3">
        <f t="shared" si="0"/>
        <v>7.0887325482136568E-2</v>
      </c>
      <c r="L5" s="2">
        <v>4055600</v>
      </c>
      <c r="M5" s="2">
        <v>16.41</v>
      </c>
      <c r="N5" s="2">
        <v>505244</v>
      </c>
      <c r="O5" s="2">
        <v>3080633</v>
      </c>
      <c r="P5" s="2"/>
    </row>
    <row r="6" spans="1:17" ht="18" x14ac:dyDescent="0.35">
      <c r="A6" s="4"/>
      <c r="B6">
        <v>2015</v>
      </c>
      <c r="C6" s="1">
        <v>243292</v>
      </c>
      <c r="D6" s="1">
        <v>32513</v>
      </c>
      <c r="E6" s="1">
        <f t="shared" si="1"/>
        <v>275805</v>
      </c>
      <c r="F6" s="2">
        <v>804450314</v>
      </c>
      <c r="G6" s="2">
        <v>5364835</v>
      </c>
      <c r="H6" s="1">
        <v>87659</v>
      </c>
      <c r="I6" s="1">
        <v>14919</v>
      </c>
      <c r="J6" s="1"/>
      <c r="K6" s="3">
        <f t="shared" si="0"/>
        <v>6.1321375137694624E-2</v>
      </c>
      <c r="L6" s="2">
        <v>3998051</v>
      </c>
      <c r="M6" s="2">
        <v>16.43</v>
      </c>
      <c r="N6" s="2">
        <v>3158287</v>
      </c>
      <c r="O6" s="2">
        <v>899607</v>
      </c>
      <c r="P6" s="2"/>
    </row>
    <row r="7" spans="1:17" ht="18" x14ac:dyDescent="0.35">
      <c r="A7" s="4"/>
      <c r="B7">
        <v>2014</v>
      </c>
      <c r="C7" s="1">
        <v>240422</v>
      </c>
      <c r="D7" s="1">
        <v>32377</v>
      </c>
      <c r="E7" s="1">
        <f t="shared" si="1"/>
        <v>272799</v>
      </c>
      <c r="F7" s="2">
        <v>764449783</v>
      </c>
      <c r="G7" s="2">
        <v>4952447</v>
      </c>
      <c r="H7" s="1">
        <v>102943</v>
      </c>
      <c r="I7" s="1">
        <v>18673</v>
      </c>
      <c r="J7" s="1"/>
      <c r="K7" s="3">
        <f t="shared" si="0"/>
        <v>7.7667601134671541E-2</v>
      </c>
      <c r="L7" s="2">
        <v>4896747</v>
      </c>
      <c r="M7" s="2">
        <v>20.37</v>
      </c>
      <c r="N7" s="2">
        <v>2179383</v>
      </c>
      <c r="O7" s="2">
        <v>1925395</v>
      </c>
      <c r="P7" s="2"/>
    </row>
    <row r="8" spans="1:17" ht="18" x14ac:dyDescent="0.35">
      <c r="A8" s="4"/>
      <c r="B8">
        <v>2013</v>
      </c>
      <c r="C8" s="1">
        <v>239108</v>
      </c>
      <c r="D8" s="1">
        <v>32206</v>
      </c>
      <c r="E8" s="1">
        <f t="shared" si="1"/>
        <v>271314</v>
      </c>
      <c r="F8" s="2">
        <v>753809911</v>
      </c>
      <c r="G8" s="2">
        <v>4433676</v>
      </c>
      <c r="H8" s="1">
        <v>106708</v>
      </c>
      <c r="I8" s="1">
        <v>17486</v>
      </c>
      <c r="J8" s="1"/>
      <c r="K8" s="3">
        <f t="shared" si="0"/>
        <v>7.3130133663449157E-2</v>
      </c>
      <c r="L8" s="2">
        <v>5944504</v>
      </c>
      <c r="M8" s="2">
        <v>24.86</v>
      </c>
      <c r="N8" s="2">
        <v>1272042</v>
      </c>
      <c r="O8" s="2">
        <v>2382881</v>
      </c>
      <c r="P8" s="2"/>
    </row>
    <row r="9" spans="1:17" ht="18" x14ac:dyDescent="0.35">
      <c r="A9" s="4"/>
      <c r="B9">
        <v>2012</v>
      </c>
      <c r="C9" s="1">
        <v>238776</v>
      </c>
      <c r="D9" s="1">
        <v>32214</v>
      </c>
      <c r="E9" s="1">
        <f t="shared" si="1"/>
        <v>270990</v>
      </c>
      <c r="F9" s="2">
        <v>707561090</v>
      </c>
      <c r="G9" s="2">
        <v>4481752</v>
      </c>
      <c r="H9" s="1">
        <v>95004</v>
      </c>
      <c r="I9" s="1">
        <v>25738</v>
      </c>
      <c r="J9" s="1"/>
      <c r="K9" s="3">
        <f t="shared" si="0"/>
        <v>0.10779140282105404</v>
      </c>
      <c r="L9" s="2">
        <v>4826573</v>
      </c>
      <c r="M9" s="2">
        <v>20.21</v>
      </c>
      <c r="N9" s="2">
        <v>1893909</v>
      </c>
      <c r="O9" s="2">
        <v>4368128</v>
      </c>
      <c r="P9" s="2"/>
    </row>
    <row r="10" spans="1:17" ht="18" x14ac:dyDescent="0.35">
      <c r="A10" s="4"/>
      <c r="B10">
        <v>2011</v>
      </c>
      <c r="C10" s="1">
        <v>238181</v>
      </c>
      <c r="D10" s="1">
        <v>32268</v>
      </c>
      <c r="E10" s="1">
        <f t="shared" si="1"/>
        <v>270449</v>
      </c>
      <c r="F10" s="2">
        <v>703161936</v>
      </c>
      <c r="G10" s="2">
        <v>4176532</v>
      </c>
      <c r="H10" s="1">
        <v>94987</v>
      </c>
      <c r="I10" s="1">
        <v>14113</v>
      </c>
      <c r="J10" s="1"/>
      <c r="K10" s="3">
        <f t="shared" si="0"/>
        <v>5.9253256976836942E-2</v>
      </c>
      <c r="L10" s="2">
        <v>6022664</v>
      </c>
      <c r="M10" s="2">
        <v>25.29</v>
      </c>
      <c r="N10" s="2">
        <v>1742431</v>
      </c>
      <c r="O10" s="2">
        <v>3467325</v>
      </c>
      <c r="P10" s="2"/>
    </row>
    <row r="11" spans="1:17" ht="18" x14ac:dyDescent="0.35">
      <c r="A11" s="4"/>
      <c r="B11">
        <v>2010</v>
      </c>
      <c r="C11" s="1">
        <v>238290</v>
      </c>
      <c r="D11" s="1">
        <v>32312</v>
      </c>
      <c r="E11" s="1">
        <f t="shared" si="1"/>
        <v>270602</v>
      </c>
      <c r="F11" s="2">
        <v>679380663</v>
      </c>
      <c r="G11" s="2">
        <v>4296542</v>
      </c>
      <c r="H11" s="1">
        <v>106477</v>
      </c>
      <c r="I11" s="1">
        <v>17231</v>
      </c>
      <c r="J11" s="1"/>
      <c r="K11" s="3">
        <f t="shared" si="0"/>
        <v>7.2311049561458729E-2</v>
      </c>
      <c r="L11" s="2">
        <v>3772622</v>
      </c>
      <c r="M11" s="2">
        <v>15.83</v>
      </c>
      <c r="N11" s="2">
        <v>1136158</v>
      </c>
      <c r="O11" s="2">
        <v>4467708</v>
      </c>
      <c r="P11" s="2"/>
    </row>
    <row r="12" spans="1:17" ht="18" x14ac:dyDescent="0.35">
      <c r="A12" s="4"/>
      <c r="B12">
        <v>2009</v>
      </c>
      <c r="C12" s="1">
        <v>238705</v>
      </c>
      <c r="D12" s="1">
        <v>31645</v>
      </c>
      <c r="E12" s="1">
        <f t="shared" si="1"/>
        <v>270350</v>
      </c>
      <c r="F12" s="2">
        <v>586038778</v>
      </c>
      <c r="G12" s="2">
        <v>4077450</v>
      </c>
      <c r="H12" s="1">
        <v>183618</v>
      </c>
      <c r="I12" s="1">
        <v>24993</v>
      </c>
      <c r="J12" s="3">
        <f>I12/E12</f>
        <v>9.2446828185685226E-2</v>
      </c>
      <c r="K12" s="3">
        <f t="shared" si="0"/>
        <v>0.10470245700760353</v>
      </c>
      <c r="L12" s="2">
        <v>2885173</v>
      </c>
      <c r="M12" s="2">
        <v>12.09</v>
      </c>
      <c r="N12" s="2">
        <v>1374256</v>
      </c>
      <c r="O12" s="2">
        <v>3662847</v>
      </c>
      <c r="P12" s="2"/>
    </row>
    <row r="13" spans="1:17" ht="18" x14ac:dyDescent="0.35">
      <c r="A13" s="4"/>
      <c r="C13" s="1"/>
      <c r="D13" s="1"/>
      <c r="E13" s="1"/>
      <c r="F13" s="2"/>
      <c r="G13" s="2"/>
      <c r="H13" s="1"/>
      <c r="I13" s="1"/>
      <c r="J13" s="1"/>
      <c r="K13" s="1"/>
      <c r="L13" s="2"/>
      <c r="M13" s="2"/>
      <c r="N13" s="2"/>
      <c r="O13" s="2"/>
      <c r="P13" s="2"/>
    </row>
    <row r="14" spans="1:17" ht="18" x14ac:dyDescent="0.35">
      <c r="A14" s="4"/>
      <c r="C14" s="16" t="s">
        <v>5</v>
      </c>
      <c r="D14" s="16" t="s">
        <v>6</v>
      </c>
      <c r="E14" s="16" t="s">
        <v>11</v>
      </c>
      <c r="F14" s="16" t="s">
        <v>21</v>
      </c>
      <c r="G14" s="16" t="s">
        <v>35</v>
      </c>
      <c r="H14" s="16" t="s">
        <v>7</v>
      </c>
      <c r="I14" s="16" t="s">
        <v>8</v>
      </c>
      <c r="J14" s="16"/>
      <c r="K14" s="16" t="s">
        <v>38</v>
      </c>
      <c r="L14" s="16" t="s">
        <v>36</v>
      </c>
      <c r="M14" s="16" t="s">
        <v>37</v>
      </c>
      <c r="N14" s="16" t="s">
        <v>1</v>
      </c>
      <c r="O14" s="16" t="s">
        <v>2</v>
      </c>
      <c r="P14" s="2"/>
    </row>
    <row r="15" spans="1:17" ht="18" x14ac:dyDescent="0.35">
      <c r="A15" s="4" t="s">
        <v>3</v>
      </c>
      <c r="B15" s="8">
        <v>2018</v>
      </c>
      <c r="C15" s="1">
        <v>286741</v>
      </c>
      <c r="D15" s="1">
        <v>39886</v>
      </c>
      <c r="E15" s="1">
        <f>C15+D15</f>
        <v>326627</v>
      </c>
      <c r="F15" s="2">
        <v>777917585</v>
      </c>
      <c r="G15" s="2">
        <v>19556313</v>
      </c>
      <c r="H15" s="1">
        <v>60926</v>
      </c>
      <c r="I15" s="1">
        <v>5343</v>
      </c>
      <c r="J15" s="3">
        <f>I15/E15</f>
        <v>1.6358108790761328E-2</v>
      </c>
      <c r="K15" s="3">
        <f t="shared" ref="K15:K30" si="2">I15/C15</f>
        <v>1.8633540372670808E-2</v>
      </c>
      <c r="L15" s="2">
        <v>3577205</v>
      </c>
      <c r="M15" s="2">
        <v>12.48</v>
      </c>
      <c r="N15" s="2">
        <v>876223</v>
      </c>
      <c r="O15" s="2">
        <v>1922167</v>
      </c>
      <c r="P15" s="2"/>
    </row>
    <row r="16" spans="1:17" x14ac:dyDescent="0.3">
      <c r="B16">
        <v>2017</v>
      </c>
      <c r="C16" s="1">
        <v>283563</v>
      </c>
      <c r="D16" s="1">
        <v>39907</v>
      </c>
      <c r="E16" s="1">
        <f>C16+D16</f>
        <v>323470</v>
      </c>
      <c r="F16" s="2">
        <v>773336558</v>
      </c>
      <c r="G16" s="2">
        <v>18119979</v>
      </c>
      <c r="H16" s="1">
        <v>84448</v>
      </c>
      <c r="I16" s="1">
        <v>11706</v>
      </c>
      <c r="J16" s="3">
        <f>I16/E16</f>
        <v>3.6188827402850343E-2</v>
      </c>
      <c r="K16" s="3">
        <f t="shared" si="2"/>
        <v>4.1281831550660703E-2</v>
      </c>
      <c r="L16" s="2">
        <v>2307779</v>
      </c>
      <c r="M16" s="2">
        <v>8.14</v>
      </c>
      <c r="N16" s="2">
        <v>722375</v>
      </c>
      <c r="O16" s="2">
        <v>2432296</v>
      </c>
      <c r="P16" s="2"/>
    </row>
    <row r="17" spans="1:16" ht="18" x14ac:dyDescent="0.35">
      <c r="A17" s="4"/>
      <c r="B17">
        <v>2016</v>
      </c>
      <c r="C17" s="1">
        <v>223251</v>
      </c>
      <c r="D17" s="1">
        <v>31795</v>
      </c>
      <c r="E17" s="1">
        <f t="shared" si="1"/>
        <v>255046</v>
      </c>
      <c r="F17" s="2">
        <v>574055390</v>
      </c>
      <c r="G17" s="2">
        <v>2406456</v>
      </c>
      <c r="H17" s="1">
        <v>65124</v>
      </c>
      <c r="I17" s="1">
        <v>10833</v>
      </c>
      <c r="J17" s="1"/>
      <c r="K17" s="3">
        <f t="shared" si="2"/>
        <v>4.8523858795705282E-2</v>
      </c>
      <c r="L17" s="2">
        <v>1538661</v>
      </c>
      <c r="M17" s="2">
        <v>6.89</v>
      </c>
      <c r="N17" s="2">
        <v>519314</v>
      </c>
      <c r="O17" s="2">
        <v>1561601</v>
      </c>
      <c r="P17" s="2"/>
    </row>
    <row r="18" spans="1:16" ht="18" x14ac:dyDescent="0.35">
      <c r="A18" s="4"/>
      <c r="B18">
        <v>2015</v>
      </c>
      <c r="C18" s="1">
        <v>221056</v>
      </c>
      <c r="D18" s="1">
        <v>31608</v>
      </c>
      <c r="E18" s="1">
        <f t="shared" si="1"/>
        <v>252664</v>
      </c>
      <c r="F18" s="2">
        <v>560394445</v>
      </c>
      <c r="G18" s="2">
        <v>2571586</v>
      </c>
      <c r="H18" s="1">
        <v>63998</v>
      </c>
      <c r="I18" s="1">
        <v>13017</v>
      </c>
      <c r="J18" s="1"/>
      <c r="K18" s="3">
        <f t="shared" si="2"/>
        <v>5.8885531268094961E-2</v>
      </c>
      <c r="L18" s="2">
        <v>1916369</v>
      </c>
      <c r="M18" s="2">
        <v>8.67</v>
      </c>
      <c r="N18" s="2">
        <v>2281782</v>
      </c>
      <c r="O18" s="2">
        <v>547276</v>
      </c>
      <c r="P18" s="2"/>
    </row>
    <row r="19" spans="1:16" ht="18" x14ac:dyDescent="0.35">
      <c r="A19" s="4"/>
      <c r="B19">
        <v>2014</v>
      </c>
      <c r="C19" s="1">
        <v>219504</v>
      </c>
      <c r="D19" s="1">
        <v>31503</v>
      </c>
      <c r="E19" s="1">
        <f t="shared" si="1"/>
        <v>251007</v>
      </c>
      <c r="F19" s="2">
        <v>603164629</v>
      </c>
      <c r="G19" s="2">
        <v>2698280</v>
      </c>
      <c r="H19" s="1">
        <v>56885</v>
      </c>
      <c r="I19" s="1">
        <v>14699</v>
      </c>
      <c r="J19" s="1"/>
      <c r="K19" s="3">
        <f t="shared" si="2"/>
        <v>6.6964611123259715E-2</v>
      </c>
      <c r="L19" s="2">
        <v>2407321</v>
      </c>
      <c r="M19" s="2">
        <v>10.97</v>
      </c>
      <c r="N19" s="2">
        <v>779704</v>
      </c>
      <c r="O19" s="2">
        <v>1625498</v>
      </c>
      <c r="P19" s="2"/>
    </row>
    <row r="20" spans="1:16" ht="18" x14ac:dyDescent="0.35">
      <c r="A20" s="4"/>
      <c r="B20">
        <v>2013</v>
      </c>
      <c r="C20" s="1">
        <v>218036</v>
      </c>
      <c r="D20" s="1">
        <v>31214</v>
      </c>
      <c r="E20" s="1">
        <f t="shared" si="1"/>
        <v>249250</v>
      </c>
      <c r="F20" s="2">
        <v>566959241</v>
      </c>
      <c r="G20" s="2">
        <v>2634363</v>
      </c>
      <c r="H20" s="1">
        <v>67243</v>
      </c>
      <c r="I20" s="1">
        <v>13477</v>
      </c>
      <c r="J20" s="1"/>
      <c r="K20" s="3">
        <f t="shared" si="2"/>
        <v>6.1810893613898625E-2</v>
      </c>
      <c r="L20" s="2">
        <v>2611786</v>
      </c>
      <c r="M20" s="2">
        <v>11.98</v>
      </c>
      <c r="N20" s="2">
        <v>822528</v>
      </c>
      <c r="O20" s="2">
        <v>1331679</v>
      </c>
      <c r="P20" s="2"/>
    </row>
    <row r="21" spans="1:16" ht="18" x14ac:dyDescent="0.35">
      <c r="A21" s="4"/>
      <c r="B21">
        <v>2012</v>
      </c>
      <c r="C21" s="1">
        <v>216602</v>
      </c>
      <c r="D21" s="1">
        <v>31031</v>
      </c>
      <c r="E21" s="1">
        <f t="shared" si="1"/>
        <v>247633</v>
      </c>
      <c r="F21" s="2">
        <v>552734055</v>
      </c>
      <c r="G21" s="2">
        <v>2623940</v>
      </c>
      <c r="H21" s="1">
        <v>64098</v>
      </c>
      <c r="I21" s="1">
        <v>14297</v>
      </c>
      <c r="J21" s="1"/>
      <c r="K21" s="3">
        <f t="shared" si="2"/>
        <v>6.6005854054902544E-2</v>
      </c>
      <c r="L21" s="2">
        <v>2828539</v>
      </c>
      <c r="M21" s="2">
        <v>13.06</v>
      </c>
      <c r="N21" s="2">
        <v>1046707</v>
      </c>
      <c r="O21" s="2">
        <v>2075695</v>
      </c>
      <c r="P21" s="2"/>
    </row>
    <row r="22" spans="1:16" ht="18" x14ac:dyDescent="0.35">
      <c r="A22" s="4" t="s">
        <v>9</v>
      </c>
      <c r="B22">
        <v>2011</v>
      </c>
      <c r="C22" s="1">
        <v>215946</v>
      </c>
      <c r="D22" s="1">
        <v>30899</v>
      </c>
      <c r="E22" s="1">
        <f t="shared" si="1"/>
        <v>246845</v>
      </c>
      <c r="F22" s="2">
        <v>555584148</v>
      </c>
      <c r="G22" s="2">
        <v>2595132</v>
      </c>
      <c r="H22" s="1">
        <v>61923</v>
      </c>
      <c r="I22" s="1">
        <v>16386</v>
      </c>
      <c r="J22" s="1"/>
      <c r="K22" s="3">
        <f t="shared" si="2"/>
        <v>7.5880081131393953E-2</v>
      </c>
      <c r="L22" s="2">
        <v>3380522</v>
      </c>
      <c r="M22" s="2">
        <v>15.65</v>
      </c>
      <c r="N22" s="2">
        <v>1108553</v>
      </c>
      <c r="O22" s="2">
        <v>1695342</v>
      </c>
      <c r="P22" s="2"/>
    </row>
    <row r="23" spans="1:16" ht="18" x14ac:dyDescent="0.35">
      <c r="A23" s="4" t="s">
        <v>10</v>
      </c>
      <c r="B23">
        <v>2011</v>
      </c>
      <c r="C23" s="1">
        <v>57750</v>
      </c>
      <c r="D23" s="1">
        <v>7804</v>
      </c>
      <c r="E23" s="1">
        <f t="shared" si="1"/>
        <v>65554</v>
      </c>
      <c r="F23" s="2">
        <v>166078546</v>
      </c>
      <c r="G23" s="2">
        <v>16608297</v>
      </c>
      <c r="H23" s="1">
        <v>18585</v>
      </c>
      <c r="I23" s="1">
        <v>4116</v>
      </c>
      <c r="J23" s="1"/>
      <c r="K23" s="3">
        <f t="shared" si="2"/>
        <v>7.1272727272727279E-2</v>
      </c>
      <c r="L23" s="2">
        <v>847544</v>
      </c>
      <c r="M23" s="2">
        <v>14.68</v>
      </c>
      <c r="N23" s="2">
        <v>311926</v>
      </c>
      <c r="O23" s="2">
        <v>603549</v>
      </c>
      <c r="P23" s="2"/>
    </row>
    <row r="24" spans="1:16" ht="18" x14ac:dyDescent="0.35">
      <c r="A24" s="4" t="s">
        <v>3</v>
      </c>
      <c r="B24">
        <v>2011</v>
      </c>
      <c r="C24" s="1">
        <f>C22+C23</f>
        <v>273696</v>
      </c>
      <c r="D24" s="1">
        <f>D22+D23</f>
        <v>38703</v>
      </c>
      <c r="E24" s="1">
        <f t="shared" si="1"/>
        <v>312399</v>
      </c>
      <c r="F24" s="2">
        <f>F22+F23</f>
        <v>721662694</v>
      </c>
      <c r="G24" s="2">
        <f>G22+G23</f>
        <v>19203429</v>
      </c>
      <c r="H24" s="1">
        <f>H22+H23</f>
        <v>80508</v>
      </c>
      <c r="I24" s="1">
        <f>I22+I23</f>
        <v>20502</v>
      </c>
      <c r="J24" s="1"/>
      <c r="K24" s="3">
        <f t="shared" si="2"/>
        <v>7.4907927043142752E-2</v>
      </c>
      <c r="L24" s="2">
        <f>L22+L23</f>
        <v>4228066</v>
      </c>
      <c r="M24" s="2">
        <f>L24/C24</f>
        <v>15.448037238395884</v>
      </c>
      <c r="N24" s="2">
        <f>N22+N23</f>
        <v>1420479</v>
      </c>
      <c r="O24" s="2">
        <f>O22+O23</f>
        <v>2298891</v>
      </c>
      <c r="P24" s="2"/>
    </row>
    <row r="25" spans="1:16" ht="18" x14ac:dyDescent="0.35">
      <c r="A25" s="4" t="s">
        <v>9</v>
      </c>
      <c r="B25">
        <v>2010</v>
      </c>
      <c r="C25" s="1">
        <v>215743</v>
      </c>
      <c r="D25" s="1">
        <v>31078</v>
      </c>
      <c r="E25" s="1">
        <f t="shared" si="1"/>
        <v>246821</v>
      </c>
      <c r="F25" s="2">
        <v>547434707</v>
      </c>
      <c r="G25" s="2">
        <v>2527236</v>
      </c>
      <c r="H25" s="1">
        <v>68609</v>
      </c>
      <c r="I25" s="1">
        <v>12210</v>
      </c>
      <c r="J25" s="1"/>
      <c r="K25" s="3">
        <f t="shared" si="2"/>
        <v>5.6595115484627541E-2</v>
      </c>
      <c r="L25" s="2">
        <v>2425004</v>
      </c>
      <c r="M25" s="2">
        <v>11.24</v>
      </c>
      <c r="N25" s="2">
        <v>930507</v>
      </c>
      <c r="O25" s="2">
        <v>2444750</v>
      </c>
      <c r="P25" s="2"/>
    </row>
    <row r="26" spans="1:16" ht="18" x14ac:dyDescent="0.35">
      <c r="A26" s="4" t="s">
        <v>10</v>
      </c>
      <c r="B26">
        <v>2010</v>
      </c>
      <c r="C26" s="1">
        <v>58197</v>
      </c>
      <c r="D26" s="1">
        <v>7851</v>
      </c>
      <c r="E26" s="1">
        <f t="shared" si="1"/>
        <v>66048</v>
      </c>
      <c r="F26" s="2">
        <v>148211855</v>
      </c>
      <c r="G26" s="2">
        <v>17314435</v>
      </c>
      <c r="H26" s="1">
        <v>19270</v>
      </c>
      <c r="I26" s="1">
        <v>3285</v>
      </c>
      <c r="J26" s="1"/>
      <c r="K26" s="3">
        <f t="shared" si="2"/>
        <v>5.644620856745193E-2</v>
      </c>
      <c r="L26" s="2">
        <v>542406</v>
      </c>
      <c r="M26" s="2">
        <v>9.32</v>
      </c>
      <c r="N26" s="2">
        <v>309189</v>
      </c>
      <c r="O26" s="2">
        <v>798106</v>
      </c>
      <c r="P26" s="2"/>
    </row>
    <row r="27" spans="1:16" ht="18" x14ac:dyDescent="0.35">
      <c r="A27" s="4" t="s">
        <v>3</v>
      </c>
      <c r="B27">
        <v>2010</v>
      </c>
      <c r="C27" s="1">
        <f>C25+C26</f>
        <v>273940</v>
      </c>
      <c r="D27" s="1">
        <f>D25+D26</f>
        <v>38929</v>
      </c>
      <c r="E27" s="1">
        <f t="shared" si="1"/>
        <v>312869</v>
      </c>
      <c r="F27" s="2">
        <f>F25+F26</f>
        <v>695646562</v>
      </c>
      <c r="G27" s="2">
        <f>G25+G26</f>
        <v>19841671</v>
      </c>
      <c r="H27" s="1">
        <f>H25+H26</f>
        <v>87879</v>
      </c>
      <c r="I27" s="1">
        <f>I25+I26</f>
        <v>15495</v>
      </c>
      <c r="J27" s="1"/>
      <c r="K27" s="3">
        <f t="shared" si="2"/>
        <v>5.6563481054245454E-2</v>
      </c>
      <c r="L27" s="2">
        <f>L25+L26</f>
        <v>2967410</v>
      </c>
      <c r="M27" s="2">
        <f>L27/C27</f>
        <v>10.832335547930203</v>
      </c>
      <c r="N27" s="2">
        <f>N25+N26</f>
        <v>1239696</v>
      </c>
      <c r="O27" s="2">
        <f>O25+O26</f>
        <v>3242856</v>
      </c>
      <c r="P27" s="2"/>
    </row>
    <row r="28" spans="1:16" ht="18" x14ac:dyDescent="0.35">
      <c r="A28" s="4" t="s">
        <v>9</v>
      </c>
      <c r="B28">
        <v>2009</v>
      </c>
      <c r="C28" s="1">
        <v>215857</v>
      </c>
      <c r="D28" s="1">
        <v>30965</v>
      </c>
      <c r="E28" s="1">
        <f t="shared" si="1"/>
        <v>246822</v>
      </c>
      <c r="F28" s="2">
        <v>486176531</v>
      </c>
      <c r="G28" s="2">
        <v>3381016</v>
      </c>
      <c r="H28" s="1">
        <v>71427</v>
      </c>
      <c r="I28" s="1">
        <v>13526</v>
      </c>
      <c r="J28" s="1"/>
      <c r="K28" s="3">
        <f t="shared" si="2"/>
        <v>6.2661854839083278E-2</v>
      </c>
      <c r="L28" s="2">
        <v>2304522</v>
      </c>
      <c r="M28" s="2">
        <v>10.68</v>
      </c>
      <c r="N28" s="2">
        <v>1251093</v>
      </c>
      <c r="O28" s="2">
        <v>1975367</v>
      </c>
      <c r="P28" s="2"/>
    </row>
    <row r="29" spans="1:16" ht="18" x14ac:dyDescent="0.35">
      <c r="A29" s="4" t="s">
        <v>10</v>
      </c>
      <c r="B29">
        <v>2009</v>
      </c>
      <c r="C29" s="1">
        <v>58310</v>
      </c>
      <c r="D29" s="1">
        <v>7780</v>
      </c>
      <c r="E29" s="1">
        <f t="shared" si="1"/>
        <v>66090</v>
      </c>
      <c r="F29" s="2">
        <v>126978949</v>
      </c>
      <c r="G29" s="2">
        <v>17231528</v>
      </c>
      <c r="H29" s="1">
        <v>19919</v>
      </c>
      <c r="I29" s="1">
        <v>3744</v>
      </c>
      <c r="J29" s="1"/>
      <c r="K29" s="3">
        <f t="shared" si="2"/>
        <v>6.4208540559080776E-2</v>
      </c>
      <c r="L29" s="2">
        <v>637470</v>
      </c>
      <c r="M29" s="2">
        <v>10.93</v>
      </c>
      <c r="N29" s="2">
        <v>485721</v>
      </c>
      <c r="O29" s="2">
        <v>602580</v>
      </c>
      <c r="P29" s="2"/>
    </row>
    <row r="30" spans="1:16" ht="18" x14ac:dyDescent="0.35">
      <c r="A30" s="4" t="s">
        <v>3</v>
      </c>
      <c r="B30">
        <v>2009</v>
      </c>
      <c r="C30" s="1">
        <f>C28+C29</f>
        <v>274167</v>
      </c>
      <c r="D30" s="1">
        <f>D28+D29</f>
        <v>38745</v>
      </c>
      <c r="E30" s="1">
        <f t="shared" si="1"/>
        <v>312912</v>
      </c>
      <c r="F30" s="2">
        <f>F28+F29</f>
        <v>613155480</v>
      </c>
      <c r="G30" s="2">
        <f>G28+G29</f>
        <v>20612544</v>
      </c>
      <c r="H30" s="1">
        <f>H28+H29</f>
        <v>91346</v>
      </c>
      <c r="I30" s="1">
        <f>I28+I29</f>
        <v>17270</v>
      </c>
      <c r="J30" s="3">
        <f>I30/E30</f>
        <v>5.51912358746229E-2</v>
      </c>
      <c r="K30" s="3">
        <f t="shared" si="2"/>
        <v>6.2990804874401368E-2</v>
      </c>
      <c r="L30" s="2">
        <f>L28+L29</f>
        <v>2941992</v>
      </c>
      <c r="M30" s="2">
        <f>L30/C30</f>
        <v>10.730656862423267</v>
      </c>
      <c r="N30" s="2">
        <f>N28+N29</f>
        <v>1736814</v>
      </c>
      <c r="O30" s="2">
        <f>O28+O29</f>
        <v>2577947</v>
      </c>
      <c r="P30" s="2"/>
    </row>
    <row r="31" spans="1:16" ht="18" x14ac:dyDescent="0.35">
      <c r="A31" s="4"/>
      <c r="E31" s="1">
        <f>C31+D31</f>
        <v>0</v>
      </c>
      <c r="P31" s="2"/>
    </row>
    <row r="32" spans="1:16" x14ac:dyDescent="0.3">
      <c r="C32" s="16" t="s">
        <v>5</v>
      </c>
      <c r="D32" s="16" t="s">
        <v>6</v>
      </c>
      <c r="E32" s="16" t="s">
        <v>11</v>
      </c>
      <c r="F32" s="16" t="s">
        <v>21</v>
      </c>
      <c r="G32" s="16" t="s">
        <v>35</v>
      </c>
      <c r="H32" s="16" t="s">
        <v>7</v>
      </c>
      <c r="I32" s="16" t="s">
        <v>8</v>
      </c>
      <c r="J32" s="16"/>
      <c r="K32" s="16" t="s">
        <v>38</v>
      </c>
      <c r="L32" s="16" t="s">
        <v>36</v>
      </c>
      <c r="M32" s="16" t="s">
        <v>37</v>
      </c>
      <c r="N32" s="16" t="s">
        <v>1</v>
      </c>
      <c r="O32" s="16" t="s">
        <v>2</v>
      </c>
      <c r="P32" s="2"/>
    </row>
    <row r="33" spans="1:16" ht="18" x14ac:dyDescent="0.35">
      <c r="A33" s="4" t="s">
        <v>39</v>
      </c>
      <c r="B33">
        <v>2018</v>
      </c>
      <c r="C33" s="1">
        <v>1063438</v>
      </c>
      <c r="D33" s="1">
        <v>163879</v>
      </c>
      <c r="E33" s="1">
        <f>C33+D33</f>
        <v>1227317</v>
      </c>
      <c r="F33" s="2">
        <v>3001630980</v>
      </c>
      <c r="G33" s="2">
        <v>-32086465</v>
      </c>
      <c r="H33" s="6">
        <v>313842</v>
      </c>
      <c r="I33" s="6">
        <v>10151</v>
      </c>
      <c r="J33" s="3">
        <f>I33/E33</f>
        <v>8.270886820601361E-3</v>
      </c>
      <c r="K33" s="3">
        <f t="shared" ref="K33:K42" si="3">I33/C33</f>
        <v>9.5454554003148277E-3</v>
      </c>
      <c r="L33" s="2">
        <v>10255692</v>
      </c>
      <c r="M33" s="2">
        <v>10</v>
      </c>
      <c r="N33" s="2">
        <v>14740021</v>
      </c>
      <c r="O33" s="2">
        <v>7761257</v>
      </c>
      <c r="P33" s="2"/>
    </row>
    <row r="34" spans="1:16" ht="18" x14ac:dyDescent="0.35">
      <c r="A34" s="4"/>
      <c r="B34">
        <v>2017</v>
      </c>
      <c r="C34" s="1">
        <v>1056451</v>
      </c>
      <c r="D34" s="1">
        <v>162882</v>
      </c>
      <c r="E34" s="1">
        <f t="shared" si="1"/>
        <v>1219333</v>
      </c>
      <c r="F34" s="2">
        <v>2798750844</v>
      </c>
      <c r="G34" s="2">
        <v>45040490</v>
      </c>
      <c r="H34" s="1">
        <v>270044</v>
      </c>
      <c r="I34" s="1">
        <v>10015</v>
      </c>
      <c r="J34" s="3">
        <f>I34/E34</f>
        <v>8.2135068927028133E-3</v>
      </c>
      <c r="K34" s="3">
        <f t="shared" si="3"/>
        <v>9.4798528280062213E-3</v>
      </c>
      <c r="L34" s="2">
        <v>8985590</v>
      </c>
      <c r="M34" s="2">
        <v>9</v>
      </c>
      <c r="N34" s="2">
        <v>12739134</v>
      </c>
      <c r="O34" s="2">
        <v>7703020</v>
      </c>
      <c r="P34" s="2"/>
    </row>
    <row r="35" spans="1:16" ht="18" x14ac:dyDescent="0.35">
      <c r="A35" s="4"/>
      <c r="B35">
        <v>2016</v>
      </c>
      <c r="C35" s="1">
        <v>1052326</v>
      </c>
      <c r="D35" s="1">
        <v>161421</v>
      </c>
      <c r="E35" s="1">
        <f t="shared" si="1"/>
        <v>1213747</v>
      </c>
      <c r="F35" s="2">
        <v>2832241396</v>
      </c>
      <c r="G35" s="2">
        <v>53584177</v>
      </c>
      <c r="H35" s="1">
        <v>342020</v>
      </c>
      <c r="I35" s="1">
        <v>11663</v>
      </c>
      <c r="J35" s="1"/>
      <c r="K35" s="3">
        <f t="shared" si="3"/>
        <v>1.108306741447042E-2</v>
      </c>
      <c r="L35" s="2">
        <v>10217578</v>
      </c>
      <c r="M35" s="2">
        <v>10</v>
      </c>
      <c r="N35" s="2">
        <v>10979786</v>
      </c>
      <c r="O35" s="2">
        <v>7749358</v>
      </c>
      <c r="P35" s="2"/>
    </row>
    <row r="36" spans="1:16" ht="18" x14ac:dyDescent="0.35">
      <c r="A36" s="4"/>
      <c r="B36">
        <v>2015</v>
      </c>
      <c r="C36" s="1">
        <v>1046546</v>
      </c>
      <c r="D36" s="1">
        <v>160268</v>
      </c>
      <c r="E36" s="1">
        <f t="shared" si="1"/>
        <v>1206814</v>
      </c>
      <c r="F36" s="2">
        <v>3060853820</v>
      </c>
      <c r="G36" s="2">
        <v>38444622</v>
      </c>
      <c r="H36" s="1">
        <v>313703</v>
      </c>
      <c r="I36" s="1">
        <v>10857</v>
      </c>
      <c r="J36" s="1"/>
      <c r="K36" s="3">
        <f t="shared" si="3"/>
        <v>1.037412593426376E-2</v>
      </c>
      <c r="L36" s="2">
        <v>11957522</v>
      </c>
      <c r="M36" s="2">
        <v>11</v>
      </c>
      <c r="N36" s="2">
        <v>14536545</v>
      </c>
      <c r="O36" s="2">
        <v>6631186</v>
      </c>
      <c r="P36" s="2"/>
    </row>
    <row r="37" spans="1:16" ht="18" x14ac:dyDescent="0.35">
      <c r="A37" s="4"/>
      <c r="B37">
        <v>2014</v>
      </c>
      <c r="C37" s="1">
        <v>1043038</v>
      </c>
      <c r="D37" s="1">
        <v>159245</v>
      </c>
      <c r="E37" s="1">
        <f t="shared" si="1"/>
        <v>1202283</v>
      </c>
      <c r="F37" s="2">
        <v>2968554614</v>
      </c>
      <c r="G37" s="2">
        <v>73277294</v>
      </c>
      <c r="H37" s="1">
        <v>318795</v>
      </c>
      <c r="I37" s="1">
        <v>6836</v>
      </c>
      <c r="J37" s="1"/>
      <c r="K37" s="3">
        <f t="shared" si="3"/>
        <v>6.5539318797589348E-3</v>
      </c>
      <c r="L37" s="2">
        <v>14181562</v>
      </c>
      <c r="M37" s="2">
        <v>13.6</v>
      </c>
      <c r="N37" s="2">
        <v>14109902</v>
      </c>
      <c r="O37" s="2">
        <v>8460681</v>
      </c>
      <c r="P37" s="2"/>
    </row>
    <row r="38" spans="1:16" ht="18" x14ac:dyDescent="0.35">
      <c r="A38" s="4"/>
      <c r="B38">
        <v>2013</v>
      </c>
      <c r="C38" s="1">
        <v>1041385</v>
      </c>
      <c r="D38" s="1">
        <v>158787</v>
      </c>
      <c r="E38" s="1">
        <f t="shared" si="1"/>
        <v>1200172</v>
      </c>
      <c r="F38" s="2">
        <v>3007508595</v>
      </c>
      <c r="G38" s="2">
        <v>18547428</v>
      </c>
      <c r="H38" s="1">
        <v>314426</v>
      </c>
      <c r="I38" s="1">
        <v>9283</v>
      </c>
      <c r="J38" s="1"/>
      <c r="K38" s="3">
        <f t="shared" si="3"/>
        <v>8.9140903700360586E-3</v>
      </c>
      <c r="L38" s="2">
        <v>16084970</v>
      </c>
      <c r="M38" s="2">
        <v>15.45</v>
      </c>
      <c r="N38" s="2">
        <v>12193370</v>
      </c>
      <c r="O38" s="2">
        <v>5913861</v>
      </c>
      <c r="P38" s="2"/>
    </row>
    <row r="39" spans="1:16" ht="18" x14ac:dyDescent="0.35">
      <c r="A39" s="4"/>
      <c r="B39">
        <v>2012</v>
      </c>
      <c r="C39" s="1">
        <v>1037111</v>
      </c>
      <c r="D39" s="1">
        <v>158067</v>
      </c>
      <c r="E39" s="1">
        <f t="shared" si="1"/>
        <v>1195178</v>
      </c>
      <c r="F39" s="2">
        <v>2836180604</v>
      </c>
      <c r="G39" s="2">
        <v>292340938</v>
      </c>
      <c r="H39" s="1">
        <v>269708</v>
      </c>
      <c r="I39" s="1">
        <v>10656</v>
      </c>
      <c r="J39" s="1"/>
      <c r="K39" s="3">
        <f t="shared" si="3"/>
        <v>1.0274695765448443E-2</v>
      </c>
      <c r="L39" s="2">
        <v>22075632</v>
      </c>
      <c r="M39" s="2">
        <v>21.29</v>
      </c>
      <c r="N39" s="2">
        <v>19187735</v>
      </c>
      <c r="O39" s="2">
        <v>7714144</v>
      </c>
      <c r="P39" s="2"/>
    </row>
    <row r="40" spans="1:16" ht="18" x14ac:dyDescent="0.35">
      <c r="A40" s="4"/>
      <c r="B40">
        <v>2011</v>
      </c>
      <c r="C40" s="1">
        <v>1068203</v>
      </c>
      <c r="D40" s="1">
        <v>173727</v>
      </c>
      <c r="E40" s="1">
        <f t="shared" si="1"/>
        <v>1241930</v>
      </c>
      <c r="F40" s="2">
        <v>2809322426</v>
      </c>
      <c r="G40" s="2">
        <v>417289139</v>
      </c>
      <c r="H40" s="1">
        <v>256816</v>
      </c>
      <c r="I40" s="1">
        <v>15271</v>
      </c>
      <c r="J40" s="1"/>
      <c r="K40" s="3">
        <f t="shared" si="3"/>
        <v>1.4295971833069182E-2</v>
      </c>
      <c r="L40" s="2">
        <v>24418566</v>
      </c>
      <c r="M40" s="2">
        <v>22.86</v>
      </c>
      <c r="N40" s="2">
        <v>6336860</v>
      </c>
      <c r="O40" s="2">
        <v>7456755</v>
      </c>
      <c r="P40" s="2"/>
    </row>
    <row r="41" spans="1:16" ht="18" x14ac:dyDescent="0.35">
      <c r="A41" s="4"/>
      <c r="B41">
        <v>2010</v>
      </c>
      <c r="C41" s="1">
        <v>1132727</v>
      </c>
      <c r="D41" s="1">
        <v>180274</v>
      </c>
      <c r="E41" s="1">
        <f t="shared" si="1"/>
        <v>1313001</v>
      </c>
      <c r="F41" s="2">
        <v>2610547084</v>
      </c>
      <c r="G41" s="2">
        <v>351882670</v>
      </c>
      <c r="H41" s="1">
        <v>244074</v>
      </c>
      <c r="I41" s="1">
        <v>46631</v>
      </c>
      <c r="J41" s="1"/>
      <c r="K41" s="3">
        <f t="shared" si="3"/>
        <v>4.1167024358031545E-2</v>
      </c>
      <c r="L41" s="2">
        <v>9164230</v>
      </c>
      <c r="M41" s="2">
        <v>8.09</v>
      </c>
      <c r="N41" s="2">
        <v>16255480</v>
      </c>
      <c r="O41" s="2">
        <v>4856467</v>
      </c>
      <c r="P41" s="2"/>
    </row>
    <row r="42" spans="1:16" ht="18" x14ac:dyDescent="0.35">
      <c r="A42" s="4"/>
      <c r="B42">
        <v>2009</v>
      </c>
      <c r="C42" s="1">
        <v>1031008</v>
      </c>
      <c r="D42" s="1">
        <v>153750</v>
      </c>
      <c r="E42" s="1">
        <f t="shared" si="1"/>
        <v>1184758</v>
      </c>
      <c r="F42" s="2">
        <v>2191456766</v>
      </c>
      <c r="G42" s="2">
        <v>438905344</v>
      </c>
      <c r="H42" s="1">
        <v>248145</v>
      </c>
      <c r="I42" s="1">
        <v>48189</v>
      </c>
      <c r="J42" s="3">
        <f>I42/E42</f>
        <v>4.0674129231454866E-2</v>
      </c>
      <c r="K42" s="3">
        <f t="shared" si="3"/>
        <v>4.6739695521276263E-2</v>
      </c>
      <c r="L42" s="2">
        <v>12969663</v>
      </c>
      <c r="M42" s="2">
        <v>12.58</v>
      </c>
      <c r="N42" s="2">
        <v>6061064</v>
      </c>
      <c r="O42" s="2">
        <v>10473129</v>
      </c>
      <c r="P42" s="2"/>
    </row>
    <row r="43" spans="1:16" ht="18" x14ac:dyDescent="0.35">
      <c r="A43" s="4"/>
      <c r="C43" s="1"/>
      <c r="D43" s="1"/>
      <c r="E43" s="1"/>
      <c r="H43" s="1"/>
      <c r="I43" s="1"/>
      <c r="J43" s="1"/>
      <c r="K43" s="1"/>
      <c r="L43" s="2"/>
      <c r="M43" s="2"/>
      <c r="N43" s="2"/>
      <c r="O43" s="2"/>
      <c r="P43" s="2"/>
    </row>
    <row r="44" spans="1:16" x14ac:dyDescent="0.3">
      <c r="C44" s="16" t="s">
        <v>5</v>
      </c>
      <c r="D44" s="16" t="s">
        <v>6</v>
      </c>
      <c r="E44" s="16" t="s">
        <v>11</v>
      </c>
      <c r="F44" s="16" t="s">
        <v>21</v>
      </c>
      <c r="G44" s="16" t="s">
        <v>35</v>
      </c>
      <c r="H44" s="16" t="s">
        <v>7</v>
      </c>
      <c r="I44" s="16" t="s">
        <v>8</v>
      </c>
      <c r="J44" s="16"/>
      <c r="K44" s="16" t="s">
        <v>38</v>
      </c>
      <c r="L44" s="16" t="s">
        <v>36</v>
      </c>
      <c r="M44" s="16" t="s">
        <v>37</v>
      </c>
      <c r="N44" s="16" t="s">
        <v>1</v>
      </c>
      <c r="O44" s="16" t="s">
        <v>2</v>
      </c>
      <c r="P44" s="2"/>
    </row>
    <row r="45" spans="1:16" ht="18" x14ac:dyDescent="0.35">
      <c r="A45" s="4" t="s">
        <v>4</v>
      </c>
      <c r="B45" s="8">
        <v>2018</v>
      </c>
      <c r="C45" s="1">
        <v>146660</v>
      </c>
      <c r="D45" s="1">
        <v>27321</v>
      </c>
      <c r="E45" s="1">
        <f>C45+D45</f>
        <v>173981</v>
      </c>
      <c r="F45" s="2">
        <v>514892468</v>
      </c>
      <c r="G45" s="2">
        <v>32587704</v>
      </c>
      <c r="H45" s="1">
        <v>37352</v>
      </c>
      <c r="I45" s="1">
        <v>6278</v>
      </c>
      <c r="J45" s="3">
        <f>I45/E45</f>
        <v>3.6084400020691916E-2</v>
      </c>
      <c r="K45" s="3">
        <f t="shared" ref="K45:K54" si="4">I45/C45</f>
        <v>4.280649120414564E-2</v>
      </c>
      <c r="L45" s="2">
        <v>2295883</v>
      </c>
      <c r="M45" s="2">
        <v>16</v>
      </c>
      <c r="N45" s="2">
        <v>904160</v>
      </c>
      <c r="O45" s="2">
        <v>2100167</v>
      </c>
      <c r="P45" s="2"/>
    </row>
    <row r="46" spans="1:16" ht="18" x14ac:dyDescent="0.35">
      <c r="A46" s="4"/>
      <c r="B46">
        <v>2017</v>
      </c>
      <c r="C46" s="1">
        <v>145609</v>
      </c>
      <c r="D46" s="1">
        <v>27165</v>
      </c>
      <c r="E46" s="1">
        <f t="shared" si="1"/>
        <v>172774</v>
      </c>
      <c r="F46" s="2">
        <v>469744209</v>
      </c>
      <c r="G46" s="2">
        <v>28121464</v>
      </c>
      <c r="H46" s="1">
        <v>38352</v>
      </c>
      <c r="I46" s="1">
        <v>5828</v>
      </c>
      <c r="J46" s="3">
        <f>I46/E46</f>
        <v>3.3731927257573478E-2</v>
      </c>
      <c r="K46" s="3">
        <f t="shared" si="4"/>
        <v>4.0024998454765842E-2</v>
      </c>
      <c r="L46" s="2">
        <v>1532328</v>
      </c>
      <c r="M46" s="2">
        <v>11</v>
      </c>
      <c r="N46" s="2">
        <v>759675</v>
      </c>
      <c r="O46" s="2">
        <v>1905895</v>
      </c>
      <c r="P46" s="2"/>
    </row>
    <row r="47" spans="1:16" ht="18" x14ac:dyDescent="0.35">
      <c r="A47" s="4"/>
      <c r="B47">
        <v>2016</v>
      </c>
      <c r="C47" s="1">
        <v>144343</v>
      </c>
      <c r="D47" s="1">
        <v>27049</v>
      </c>
      <c r="E47" s="1">
        <f t="shared" si="1"/>
        <v>171392</v>
      </c>
      <c r="F47" s="2">
        <v>462823960</v>
      </c>
      <c r="G47" s="2">
        <v>28696201</v>
      </c>
      <c r="H47" s="1">
        <v>10932</v>
      </c>
      <c r="I47" s="1">
        <v>5719</v>
      </c>
      <c r="J47" s="1"/>
      <c r="K47" s="3">
        <f t="shared" si="4"/>
        <v>3.9620902988021588E-2</v>
      </c>
      <c r="L47" s="2">
        <v>1492270</v>
      </c>
      <c r="M47" s="2">
        <v>10</v>
      </c>
      <c r="N47" s="2">
        <v>830708</v>
      </c>
      <c r="O47" s="2">
        <v>1746692</v>
      </c>
      <c r="P47" s="2"/>
    </row>
    <row r="48" spans="1:16" ht="18" x14ac:dyDescent="0.35">
      <c r="A48" s="4"/>
      <c r="B48">
        <v>2015</v>
      </c>
      <c r="C48" s="1">
        <v>143271</v>
      </c>
      <c r="D48" s="1">
        <v>26885</v>
      </c>
      <c r="E48" s="1">
        <f t="shared" si="1"/>
        <v>170156</v>
      </c>
      <c r="F48" s="2">
        <v>453820897</v>
      </c>
      <c r="G48" s="2">
        <v>28072023</v>
      </c>
      <c r="H48" s="1">
        <v>38714</v>
      </c>
      <c r="I48" s="1">
        <v>6824</v>
      </c>
      <c r="J48" s="1"/>
      <c r="K48" s="3">
        <f t="shared" si="4"/>
        <v>4.7630015844099642E-2</v>
      </c>
      <c r="L48" s="2">
        <v>1957641</v>
      </c>
      <c r="M48" s="2">
        <v>14</v>
      </c>
      <c r="N48" s="2">
        <v>859687</v>
      </c>
      <c r="O48" s="2">
        <v>2037307</v>
      </c>
      <c r="P48" s="2"/>
    </row>
    <row r="49" spans="1:16" ht="18" x14ac:dyDescent="0.35">
      <c r="A49" s="4"/>
      <c r="B49">
        <v>2014</v>
      </c>
      <c r="C49" s="1">
        <v>142616</v>
      </c>
      <c r="D49" s="1">
        <v>26714</v>
      </c>
      <c r="E49" s="1">
        <f t="shared" si="1"/>
        <v>169330</v>
      </c>
      <c r="F49" s="2">
        <v>460114043</v>
      </c>
      <c r="G49" s="2">
        <v>35562715</v>
      </c>
      <c r="H49" s="1">
        <v>39948</v>
      </c>
      <c r="I49" s="1">
        <v>5449</v>
      </c>
      <c r="J49" s="1"/>
      <c r="K49" s="3">
        <f t="shared" si="4"/>
        <v>3.8207494250294495E-2</v>
      </c>
      <c r="L49" s="2">
        <v>2804963</v>
      </c>
      <c r="M49" s="2">
        <v>20</v>
      </c>
      <c r="N49" s="2">
        <v>1140514</v>
      </c>
      <c r="O49" s="2">
        <v>3068610</v>
      </c>
      <c r="P49" s="2"/>
    </row>
    <row r="50" spans="1:16" ht="18" x14ac:dyDescent="0.35">
      <c r="A50" s="4"/>
      <c r="B50">
        <v>2013</v>
      </c>
      <c r="C50" s="1">
        <v>141097</v>
      </c>
      <c r="D50" s="1">
        <v>26780</v>
      </c>
      <c r="E50" s="1">
        <f t="shared" si="1"/>
        <v>167877</v>
      </c>
      <c r="F50" s="2">
        <v>439595534</v>
      </c>
      <c r="G50" s="2">
        <v>44656958</v>
      </c>
      <c r="H50" s="1">
        <v>40439</v>
      </c>
      <c r="I50" s="1">
        <v>4712</v>
      </c>
      <c r="J50" s="1"/>
      <c r="K50" s="3">
        <f t="shared" si="4"/>
        <v>3.3395465530805052E-2</v>
      </c>
      <c r="L50" s="2">
        <v>2174158</v>
      </c>
      <c r="M50" s="2">
        <v>15.41</v>
      </c>
      <c r="N50" s="2">
        <v>1115297</v>
      </c>
      <c r="O50" s="2">
        <v>2455551</v>
      </c>
      <c r="P50" s="2"/>
    </row>
    <row r="51" spans="1:16" x14ac:dyDescent="0.3">
      <c r="B51">
        <v>2012</v>
      </c>
      <c r="C51" s="1">
        <v>141248</v>
      </c>
      <c r="D51" s="1">
        <v>26663</v>
      </c>
      <c r="E51" s="1">
        <f t="shared" si="1"/>
        <v>167911</v>
      </c>
      <c r="F51" s="2">
        <v>419686848</v>
      </c>
      <c r="G51" s="2">
        <v>38736295</v>
      </c>
      <c r="H51" s="1">
        <v>41999</v>
      </c>
      <c r="I51" s="1">
        <v>4022</v>
      </c>
      <c r="J51" s="1"/>
      <c r="K51" s="3">
        <f t="shared" si="4"/>
        <v>2.8474739465337563E-2</v>
      </c>
      <c r="L51" s="2">
        <v>2167531</v>
      </c>
      <c r="M51" s="2">
        <v>15.35</v>
      </c>
      <c r="N51" s="2">
        <v>1168738</v>
      </c>
      <c r="O51" s="2">
        <v>3731230</v>
      </c>
      <c r="P51" s="2"/>
    </row>
    <row r="52" spans="1:16" x14ac:dyDescent="0.3">
      <c r="B52">
        <v>2011</v>
      </c>
      <c r="C52" s="1">
        <v>140008</v>
      </c>
      <c r="D52" s="1">
        <v>26486</v>
      </c>
      <c r="E52" s="1">
        <f t="shared" si="1"/>
        <v>166494</v>
      </c>
      <c r="F52" s="2">
        <v>423028472</v>
      </c>
      <c r="G52" s="2">
        <v>46063928</v>
      </c>
      <c r="H52" s="1">
        <v>45116</v>
      </c>
      <c r="I52" s="1">
        <v>4111</v>
      </c>
      <c r="J52" s="1"/>
      <c r="K52" s="3">
        <f t="shared" si="4"/>
        <v>2.9362607850979945E-2</v>
      </c>
      <c r="L52" s="2">
        <v>2793349</v>
      </c>
      <c r="M52" s="2">
        <v>19.95</v>
      </c>
      <c r="N52" s="2">
        <v>1185067</v>
      </c>
      <c r="O52" s="2">
        <v>3599946</v>
      </c>
      <c r="P52" s="2"/>
    </row>
    <row r="53" spans="1:16" x14ac:dyDescent="0.3">
      <c r="B53">
        <v>2010</v>
      </c>
      <c r="C53" s="1">
        <v>141534</v>
      </c>
      <c r="D53" s="1">
        <v>27025</v>
      </c>
      <c r="E53" s="1">
        <f t="shared" si="1"/>
        <v>168559</v>
      </c>
      <c r="F53" s="2">
        <v>389567051</v>
      </c>
      <c r="G53" s="2">
        <v>44101461</v>
      </c>
      <c r="H53" s="1">
        <v>41558</v>
      </c>
      <c r="I53" s="1">
        <v>3911</v>
      </c>
      <c r="J53" s="1"/>
      <c r="K53" s="3">
        <f t="shared" si="4"/>
        <v>2.7632936255599361E-2</v>
      </c>
      <c r="L53" s="2">
        <v>1904852</v>
      </c>
      <c r="M53" s="2">
        <v>13.46</v>
      </c>
      <c r="N53" s="2">
        <v>1011656</v>
      </c>
      <c r="O53" s="2">
        <v>747540</v>
      </c>
      <c r="P53" s="2"/>
    </row>
    <row r="54" spans="1:16" x14ac:dyDescent="0.3">
      <c r="B54">
        <v>2009</v>
      </c>
      <c r="C54" s="1">
        <v>141907</v>
      </c>
      <c r="D54" s="1">
        <v>26821</v>
      </c>
      <c r="E54" s="1">
        <f t="shared" si="1"/>
        <v>168728</v>
      </c>
      <c r="F54" s="2">
        <v>355242054</v>
      </c>
      <c r="G54" s="2">
        <v>34520639</v>
      </c>
      <c r="H54" s="1">
        <v>18199</v>
      </c>
      <c r="I54" s="1">
        <v>569</v>
      </c>
      <c r="J54" s="3">
        <f>I54/E54</f>
        <v>3.3722914987435399E-3</v>
      </c>
      <c r="K54" s="3">
        <f t="shared" si="4"/>
        <v>4.0096683038891665E-3</v>
      </c>
      <c r="L54" s="2">
        <v>1812725</v>
      </c>
      <c r="M54" s="2">
        <v>12.77</v>
      </c>
      <c r="N54" s="2">
        <v>1436605</v>
      </c>
      <c r="O54" s="2">
        <v>15708</v>
      </c>
      <c r="P54" s="2"/>
    </row>
    <row r="55" spans="1:16" x14ac:dyDescent="0.3">
      <c r="L55" s="2"/>
      <c r="M55" s="2"/>
    </row>
    <row r="56" spans="1:16" ht="15.6" x14ac:dyDescent="0.3">
      <c r="O56" s="53" t="s">
        <v>142</v>
      </c>
    </row>
  </sheetData>
  <pageMargins left="0.7" right="0.7" top="0.75" bottom="0.75" header="0.3" footer="0.3"/>
  <pageSetup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opLeftCell="D55" workbookViewId="0">
      <selection activeCell="J74" sqref="J74"/>
    </sheetView>
  </sheetViews>
  <sheetFormatPr defaultRowHeight="14.4" x14ac:dyDescent="0.3"/>
  <cols>
    <col min="1" max="1" width="30.6640625" customWidth="1"/>
    <col min="2" max="2" width="16.88671875" customWidth="1"/>
    <col min="4" max="4" width="26.109375" customWidth="1"/>
    <col min="5" max="5" width="17.109375" customWidth="1"/>
    <col min="7" max="7" width="24.5546875" customWidth="1"/>
    <col min="8" max="8" width="19.44140625" customWidth="1"/>
  </cols>
  <sheetData>
    <row r="1" spans="1:11" ht="21" x14ac:dyDescent="0.4">
      <c r="A1" s="54" t="s">
        <v>104</v>
      </c>
      <c r="B1" s="54"/>
      <c r="C1" s="21"/>
      <c r="D1" s="54" t="s">
        <v>105</v>
      </c>
      <c r="E1" s="54"/>
      <c r="F1" s="21"/>
      <c r="G1" s="54" t="s">
        <v>106</v>
      </c>
      <c r="H1" s="54"/>
      <c r="I1" s="21"/>
      <c r="J1" s="21"/>
      <c r="K1" s="21"/>
    </row>
    <row r="2" spans="1:11" x14ac:dyDescent="0.3">
      <c r="A2" s="21"/>
      <c r="B2" s="33"/>
      <c r="C2" s="21"/>
      <c r="D2" s="21"/>
      <c r="E2" s="33"/>
      <c r="F2" s="21"/>
      <c r="G2" s="21"/>
      <c r="H2" s="33"/>
      <c r="I2" s="21"/>
      <c r="J2" s="21"/>
      <c r="K2" s="21"/>
    </row>
    <row r="3" spans="1:11" x14ac:dyDescent="0.3">
      <c r="A3" s="22" t="s">
        <v>44</v>
      </c>
      <c r="B3" s="49" t="s">
        <v>47</v>
      </c>
      <c r="C3" s="21"/>
      <c r="D3" s="22" t="s">
        <v>44</v>
      </c>
      <c r="E3" s="49" t="s">
        <v>47</v>
      </c>
      <c r="F3" s="21"/>
      <c r="G3" s="22" t="s">
        <v>44</v>
      </c>
      <c r="H3" s="49" t="s">
        <v>47</v>
      </c>
      <c r="I3" s="21"/>
      <c r="J3" s="21"/>
      <c r="K3" s="21"/>
    </row>
    <row r="4" spans="1:11" x14ac:dyDescent="0.3">
      <c r="A4" s="21" t="s">
        <v>48</v>
      </c>
      <c r="B4" s="30">
        <v>273</v>
      </c>
      <c r="C4" s="21"/>
      <c r="D4" s="21" t="s">
        <v>48</v>
      </c>
      <c r="E4" s="30">
        <v>267</v>
      </c>
      <c r="F4" s="21"/>
      <c r="G4" s="21" t="s">
        <v>48</v>
      </c>
      <c r="H4" s="30">
        <v>73</v>
      </c>
      <c r="I4" s="21"/>
      <c r="J4" s="21"/>
      <c r="K4" s="21"/>
    </row>
    <row r="5" spans="1:11" x14ac:dyDescent="0.3">
      <c r="A5" s="21" t="s">
        <v>49</v>
      </c>
      <c r="B5" s="30">
        <v>314</v>
      </c>
      <c r="C5" s="21"/>
      <c r="D5" s="21" t="s">
        <v>49</v>
      </c>
      <c r="E5" s="30">
        <v>671</v>
      </c>
      <c r="F5" s="21"/>
      <c r="G5" s="21" t="s">
        <v>49</v>
      </c>
      <c r="H5" s="30">
        <v>216</v>
      </c>
      <c r="I5" s="21"/>
      <c r="J5" s="21"/>
      <c r="K5" s="21"/>
    </row>
    <row r="6" spans="1:11" x14ac:dyDescent="0.3">
      <c r="A6" s="21" t="s">
        <v>50</v>
      </c>
      <c r="B6" s="30">
        <v>376</v>
      </c>
      <c r="C6" s="21"/>
      <c r="D6" s="21" t="s">
        <v>50</v>
      </c>
      <c r="E6" s="30">
        <v>429</v>
      </c>
      <c r="F6" s="21"/>
      <c r="G6" s="21" t="s">
        <v>50</v>
      </c>
      <c r="H6" s="33">
        <v>260</v>
      </c>
      <c r="I6" s="21"/>
      <c r="J6" s="21"/>
      <c r="K6" s="21"/>
    </row>
    <row r="7" spans="1:11" x14ac:dyDescent="0.3">
      <c r="A7" s="21" t="s">
        <v>51</v>
      </c>
      <c r="B7" s="30">
        <v>564</v>
      </c>
      <c r="C7" s="21"/>
      <c r="D7" s="21" t="s">
        <v>51</v>
      </c>
      <c r="E7" s="30">
        <v>424</v>
      </c>
      <c r="F7" s="21"/>
      <c r="G7" s="21" t="s">
        <v>51</v>
      </c>
      <c r="H7" s="30">
        <v>397</v>
      </c>
      <c r="I7" s="21"/>
      <c r="J7" s="21"/>
      <c r="K7" s="21"/>
    </row>
    <row r="8" spans="1:11" x14ac:dyDescent="0.3">
      <c r="A8" s="21" t="s">
        <v>52</v>
      </c>
      <c r="B8" s="30">
        <v>780</v>
      </c>
      <c r="C8" s="21"/>
      <c r="D8" s="21" t="s">
        <v>52</v>
      </c>
      <c r="E8" s="30">
        <v>541</v>
      </c>
      <c r="F8" s="21"/>
      <c r="G8" s="21" t="s">
        <v>52</v>
      </c>
      <c r="H8" s="30">
        <v>313</v>
      </c>
      <c r="I8" s="21"/>
      <c r="J8" s="21"/>
      <c r="K8" s="21"/>
    </row>
    <row r="9" spans="1:11" x14ac:dyDescent="0.3">
      <c r="A9" s="21" t="s">
        <v>53</v>
      </c>
      <c r="B9" s="30">
        <v>508</v>
      </c>
      <c r="C9" s="21"/>
      <c r="D9" s="21" t="s">
        <v>53</v>
      </c>
      <c r="E9" s="30">
        <v>456</v>
      </c>
      <c r="F9" s="21"/>
      <c r="G9" s="21" t="s">
        <v>53</v>
      </c>
      <c r="H9" s="30">
        <v>868</v>
      </c>
      <c r="I9" s="21"/>
      <c r="J9" s="21"/>
      <c r="K9" s="21"/>
    </row>
    <row r="10" spans="1:11" x14ac:dyDescent="0.3">
      <c r="A10" s="21" t="s">
        <v>54</v>
      </c>
      <c r="B10" s="30">
        <v>353</v>
      </c>
      <c r="C10" s="21"/>
      <c r="D10" s="21" t="s">
        <v>54</v>
      </c>
      <c r="E10" s="30">
        <v>371</v>
      </c>
      <c r="F10" s="21"/>
      <c r="G10" s="21" t="s">
        <v>54</v>
      </c>
      <c r="H10" s="30">
        <v>420</v>
      </c>
      <c r="I10" s="21"/>
      <c r="J10" s="21"/>
      <c r="K10" s="21"/>
    </row>
    <row r="11" spans="1:11" x14ac:dyDescent="0.3">
      <c r="A11" s="21" t="s">
        <v>55</v>
      </c>
      <c r="B11" s="30">
        <v>230</v>
      </c>
      <c r="C11" s="21"/>
      <c r="D11" s="21" t="s">
        <v>55</v>
      </c>
      <c r="E11" s="30">
        <v>260</v>
      </c>
      <c r="F11" s="21"/>
      <c r="G11" s="21" t="s">
        <v>55</v>
      </c>
      <c r="H11" s="30">
        <v>378</v>
      </c>
      <c r="I11" s="21"/>
      <c r="J11" s="21"/>
      <c r="K11" s="21"/>
    </row>
    <row r="12" spans="1:11" x14ac:dyDescent="0.3">
      <c r="A12" s="21" t="s">
        <v>56</v>
      </c>
      <c r="B12" s="30">
        <v>348</v>
      </c>
      <c r="C12" s="21"/>
      <c r="D12" s="21" t="s">
        <v>56</v>
      </c>
      <c r="E12" s="30">
        <v>155</v>
      </c>
      <c r="F12" s="21"/>
      <c r="G12" s="21" t="s">
        <v>56</v>
      </c>
      <c r="H12" s="30">
        <v>235</v>
      </c>
      <c r="I12" s="21"/>
      <c r="J12" s="21"/>
      <c r="K12" s="21"/>
    </row>
    <row r="13" spans="1:11" x14ac:dyDescent="0.3">
      <c r="A13" s="21" t="s">
        <v>57</v>
      </c>
      <c r="B13" s="30">
        <v>224</v>
      </c>
      <c r="C13" s="21"/>
      <c r="D13" s="21" t="s">
        <v>57</v>
      </c>
      <c r="E13" s="30">
        <v>113</v>
      </c>
      <c r="F13" s="21"/>
      <c r="G13" s="21" t="s">
        <v>57</v>
      </c>
      <c r="H13" s="30">
        <v>274</v>
      </c>
      <c r="I13" s="21"/>
      <c r="J13" s="21"/>
      <c r="K13" s="21"/>
    </row>
    <row r="14" spans="1:11" x14ac:dyDescent="0.3">
      <c r="A14" s="21" t="s">
        <v>59</v>
      </c>
      <c r="B14" s="30">
        <v>109</v>
      </c>
      <c r="C14" s="21"/>
      <c r="D14" s="21" t="s">
        <v>59</v>
      </c>
      <c r="E14" s="30">
        <v>52</v>
      </c>
      <c r="F14" s="21"/>
      <c r="G14" s="21" t="s">
        <v>59</v>
      </c>
      <c r="H14" s="30">
        <v>152</v>
      </c>
      <c r="I14" s="21"/>
      <c r="J14" s="21"/>
      <c r="K14" s="21"/>
    </row>
    <row r="15" spans="1:11" x14ac:dyDescent="0.3">
      <c r="A15" s="25" t="s">
        <v>60</v>
      </c>
      <c r="B15" s="31">
        <v>79</v>
      </c>
      <c r="C15" s="21"/>
      <c r="D15" s="25" t="s">
        <v>60</v>
      </c>
      <c r="E15" s="31">
        <v>53</v>
      </c>
      <c r="F15" s="21"/>
      <c r="G15" s="25" t="s">
        <v>60</v>
      </c>
      <c r="H15" s="31">
        <v>38</v>
      </c>
      <c r="I15" s="21"/>
      <c r="J15" s="21"/>
      <c r="K15" s="21"/>
    </row>
    <row r="16" spans="1:11" x14ac:dyDescent="0.3">
      <c r="A16" s="27" t="s">
        <v>61</v>
      </c>
      <c r="B16" s="32">
        <f>SUM(B4:B15)</f>
        <v>4158</v>
      </c>
      <c r="C16" s="21"/>
      <c r="D16" s="27" t="s">
        <v>62</v>
      </c>
      <c r="E16" s="32">
        <f>SUM(E4:E15)</f>
        <v>3792</v>
      </c>
      <c r="F16" s="21"/>
      <c r="G16" s="27" t="s">
        <v>63</v>
      </c>
      <c r="H16" s="32">
        <f>SUM(H4:H15)</f>
        <v>3624</v>
      </c>
      <c r="I16" s="21"/>
      <c r="J16" s="21"/>
      <c r="K16" s="21"/>
    </row>
    <row r="17" spans="1:11" x14ac:dyDescent="0.3">
      <c r="A17" s="21"/>
      <c r="B17" s="33"/>
      <c r="C17" s="21"/>
      <c r="D17" s="21"/>
      <c r="E17" s="33"/>
      <c r="F17" s="21"/>
      <c r="G17" s="21"/>
      <c r="H17" s="33"/>
      <c r="I17" s="21"/>
      <c r="J17" s="21"/>
      <c r="K17" s="21"/>
    </row>
    <row r="18" spans="1:11" x14ac:dyDescent="0.3">
      <c r="A18" s="29" t="s">
        <v>64</v>
      </c>
      <c r="B18" s="30">
        <f>4456+3693</f>
        <v>8149</v>
      </c>
      <c r="C18" s="21"/>
      <c r="D18" s="29" t="s">
        <v>65</v>
      </c>
      <c r="E18" s="30">
        <f>696+1517</f>
        <v>2213</v>
      </c>
      <c r="F18" s="21"/>
      <c r="G18" s="29" t="s">
        <v>66</v>
      </c>
      <c r="H18" s="30">
        <f>4588+3608</f>
        <v>8196</v>
      </c>
      <c r="I18" s="21"/>
      <c r="J18" s="21"/>
      <c r="K18" s="21"/>
    </row>
    <row r="19" spans="1:11" x14ac:dyDescent="0.3">
      <c r="A19" s="21"/>
      <c r="B19" s="33"/>
      <c r="C19" s="21"/>
      <c r="D19" s="21"/>
      <c r="E19" s="33"/>
      <c r="F19" s="21"/>
      <c r="G19" s="21"/>
      <c r="H19" s="33"/>
      <c r="I19" s="21"/>
      <c r="J19" s="21"/>
      <c r="K19" s="21"/>
    </row>
    <row r="20" spans="1:11" x14ac:dyDescent="0.3">
      <c r="A20" s="27" t="s">
        <v>67</v>
      </c>
      <c r="B20" s="32">
        <f>B16-B18</f>
        <v>-3991</v>
      </c>
      <c r="C20" s="21"/>
      <c r="D20" s="27" t="s">
        <v>68</v>
      </c>
      <c r="E20" s="32">
        <f>E16-E18</f>
        <v>1579</v>
      </c>
      <c r="F20" s="21"/>
      <c r="G20" s="27" t="s">
        <v>69</v>
      </c>
      <c r="H20" s="32">
        <f>H16-H18</f>
        <v>-4572</v>
      </c>
      <c r="I20" s="21"/>
      <c r="J20" s="21"/>
      <c r="K20" s="21"/>
    </row>
    <row r="21" spans="1:11" x14ac:dyDescent="0.3">
      <c r="A21" s="21"/>
      <c r="B21" s="33"/>
      <c r="C21" s="21"/>
      <c r="D21" s="21"/>
      <c r="E21" s="33"/>
      <c r="F21" s="21"/>
      <c r="G21" s="21"/>
      <c r="H21" s="33"/>
      <c r="I21" s="21"/>
      <c r="J21" s="21"/>
      <c r="K21" s="21"/>
    </row>
    <row r="22" spans="1:11" x14ac:dyDescent="0.3">
      <c r="A22" s="21"/>
      <c r="B22" s="33"/>
      <c r="C22" s="21"/>
      <c r="D22" s="21"/>
      <c r="E22" s="33"/>
      <c r="F22" s="21"/>
      <c r="G22" s="21"/>
      <c r="H22" s="33"/>
      <c r="I22" s="21"/>
      <c r="J22" s="21"/>
      <c r="K22" s="21"/>
    </row>
    <row r="23" spans="1:11" ht="21" x14ac:dyDescent="0.4">
      <c r="A23" s="54" t="s">
        <v>107</v>
      </c>
      <c r="B23" s="54"/>
      <c r="C23" s="21"/>
      <c r="D23" s="54" t="s">
        <v>108</v>
      </c>
      <c r="E23" s="54"/>
      <c r="F23" s="21"/>
      <c r="G23" s="54" t="s">
        <v>109</v>
      </c>
      <c r="H23" s="54"/>
      <c r="I23" s="21"/>
      <c r="J23" s="21"/>
      <c r="K23" s="21"/>
    </row>
    <row r="24" spans="1:11" x14ac:dyDescent="0.3">
      <c r="A24" s="21"/>
      <c r="B24" s="33"/>
      <c r="C24" s="21"/>
      <c r="D24" s="21"/>
      <c r="E24" s="33"/>
      <c r="F24" s="21"/>
      <c r="G24" s="21"/>
      <c r="H24" s="33"/>
      <c r="I24" s="21"/>
      <c r="J24" s="21"/>
      <c r="K24" s="21"/>
    </row>
    <row r="25" spans="1:11" x14ac:dyDescent="0.3">
      <c r="A25" s="22" t="s">
        <v>44</v>
      </c>
      <c r="B25" s="49" t="s">
        <v>47</v>
      </c>
      <c r="C25" s="21"/>
      <c r="D25" s="22" t="s">
        <v>44</v>
      </c>
      <c r="E25" s="49" t="s">
        <v>47</v>
      </c>
      <c r="F25" s="21"/>
      <c r="G25" s="22" t="s">
        <v>44</v>
      </c>
      <c r="H25" s="49" t="s">
        <v>47</v>
      </c>
      <c r="I25" s="21"/>
      <c r="J25" s="21"/>
      <c r="K25" s="21"/>
    </row>
    <row r="26" spans="1:11" x14ac:dyDescent="0.3">
      <c r="A26" s="21" t="s">
        <v>48</v>
      </c>
      <c r="B26" s="30">
        <v>273</v>
      </c>
      <c r="C26" s="21"/>
      <c r="D26" s="21" t="s">
        <v>48</v>
      </c>
      <c r="E26" s="30">
        <v>178</v>
      </c>
      <c r="F26" s="21"/>
      <c r="G26" s="21" t="s">
        <v>48</v>
      </c>
      <c r="H26" s="33">
        <v>549</v>
      </c>
      <c r="I26" s="21"/>
      <c r="J26" s="21"/>
      <c r="K26" s="21"/>
    </row>
    <row r="27" spans="1:11" x14ac:dyDescent="0.3">
      <c r="A27" s="21" t="s">
        <v>49</v>
      </c>
      <c r="B27" s="30">
        <v>35</v>
      </c>
      <c r="C27" s="21"/>
      <c r="D27" s="21" t="s">
        <v>49</v>
      </c>
      <c r="E27" s="30">
        <v>214</v>
      </c>
      <c r="F27" s="21"/>
      <c r="G27" s="21" t="s">
        <v>49</v>
      </c>
      <c r="H27" s="30">
        <v>427</v>
      </c>
      <c r="I27" s="21"/>
      <c r="J27" s="21"/>
      <c r="K27" s="21"/>
    </row>
    <row r="28" spans="1:11" x14ac:dyDescent="0.3">
      <c r="A28" s="21" t="s">
        <v>50</v>
      </c>
      <c r="B28" s="30">
        <v>1229</v>
      </c>
      <c r="C28" s="21"/>
      <c r="D28" s="21" t="s">
        <v>50</v>
      </c>
      <c r="E28" s="30">
        <v>191</v>
      </c>
      <c r="F28" s="21"/>
      <c r="G28" s="50" t="s">
        <v>50</v>
      </c>
      <c r="H28" s="51">
        <f>AVERAGE(E28,B28,H6,E6,B6)</f>
        <v>497</v>
      </c>
      <c r="I28" s="56" t="s">
        <v>110</v>
      </c>
      <c r="J28" s="56"/>
      <c r="K28" s="56"/>
    </row>
    <row r="29" spans="1:11" x14ac:dyDescent="0.3">
      <c r="A29" s="21" t="s">
        <v>51</v>
      </c>
      <c r="B29" s="30">
        <v>661</v>
      </c>
      <c r="C29" s="21"/>
      <c r="D29" s="21" t="s">
        <v>51</v>
      </c>
      <c r="E29" s="33">
        <v>502</v>
      </c>
      <c r="F29" s="21"/>
      <c r="G29" s="50" t="s">
        <v>51</v>
      </c>
      <c r="H29" s="51">
        <f t="shared" ref="H29:H32" si="0">AVERAGE(E29,B29,H7,E7,B7)</f>
        <v>509.6</v>
      </c>
      <c r="I29" s="56"/>
      <c r="J29" s="56"/>
      <c r="K29" s="56"/>
    </row>
    <row r="30" spans="1:11" x14ac:dyDescent="0.3">
      <c r="A30" s="21" t="s">
        <v>52</v>
      </c>
      <c r="B30" s="30">
        <v>854</v>
      </c>
      <c r="C30" s="21"/>
      <c r="D30" s="21" t="s">
        <v>52</v>
      </c>
      <c r="E30" s="30">
        <v>823</v>
      </c>
      <c r="F30" s="21"/>
      <c r="G30" s="50" t="s">
        <v>52</v>
      </c>
      <c r="H30" s="51">
        <f t="shared" si="0"/>
        <v>662.2</v>
      </c>
      <c r="I30" s="56"/>
      <c r="J30" s="56"/>
      <c r="K30" s="56"/>
    </row>
    <row r="31" spans="1:11" x14ac:dyDescent="0.3">
      <c r="A31" s="21" t="s">
        <v>53</v>
      </c>
      <c r="B31" s="30">
        <v>536</v>
      </c>
      <c r="C31" s="21"/>
      <c r="D31" s="21" t="s">
        <v>53</v>
      </c>
      <c r="E31" s="30">
        <v>779</v>
      </c>
      <c r="F31" s="21"/>
      <c r="G31" s="50" t="s">
        <v>53</v>
      </c>
      <c r="H31" s="51">
        <f t="shared" si="0"/>
        <v>629.4</v>
      </c>
      <c r="I31" s="56"/>
      <c r="J31" s="56"/>
      <c r="K31" s="56"/>
    </row>
    <row r="32" spans="1:11" x14ac:dyDescent="0.3">
      <c r="A32" s="21" t="s">
        <v>54</v>
      </c>
      <c r="B32" s="30">
        <v>518</v>
      </c>
      <c r="C32" s="21"/>
      <c r="D32" s="21" t="s">
        <v>54</v>
      </c>
      <c r="E32" s="30">
        <v>1064</v>
      </c>
      <c r="F32" s="21"/>
      <c r="G32" s="50" t="s">
        <v>54</v>
      </c>
      <c r="H32" s="51">
        <f t="shared" si="0"/>
        <v>545.20000000000005</v>
      </c>
      <c r="I32" s="56"/>
      <c r="J32" s="56"/>
      <c r="K32" s="56"/>
    </row>
    <row r="33" spans="1:11" x14ac:dyDescent="0.3">
      <c r="A33" s="21" t="s">
        <v>55</v>
      </c>
      <c r="B33" s="30">
        <v>593</v>
      </c>
      <c r="C33" s="21"/>
      <c r="D33" s="21" t="s">
        <v>55</v>
      </c>
      <c r="E33" s="30">
        <v>964</v>
      </c>
      <c r="F33" s="21"/>
      <c r="G33" s="21" t="s">
        <v>55</v>
      </c>
      <c r="H33" s="30">
        <v>614</v>
      </c>
      <c r="I33" s="21"/>
      <c r="J33" s="21"/>
      <c r="K33" s="21"/>
    </row>
    <row r="34" spans="1:11" x14ac:dyDescent="0.3">
      <c r="A34" s="21" t="s">
        <v>56</v>
      </c>
      <c r="B34" s="30">
        <v>350</v>
      </c>
      <c r="C34" s="21"/>
      <c r="D34" s="21" t="s">
        <v>56</v>
      </c>
      <c r="E34" s="30">
        <v>975</v>
      </c>
      <c r="F34" s="21"/>
      <c r="G34" s="21" t="s">
        <v>56</v>
      </c>
      <c r="H34" s="30">
        <v>792</v>
      </c>
      <c r="I34" s="21"/>
      <c r="J34" s="21"/>
      <c r="K34" s="21"/>
    </row>
    <row r="35" spans="1:11" x14ac:dyDescent="0.3">
      <c r="A35" s="21" t="s">
        <v>57</v>
      </c>
      <c r="B35" s="30">
        <v>199</v>
      </c>
      <c r="C35" s="21"/>
      <c r="D35" s="21" t="s">
        <v>57</v>
      </c>
      <c r="E35" s="30">
        <v>483</v>
      </c>
      <c r="F35" s="21"/>
      <c r="G35" s="21" t="s">
        <v>57</v>
      </c>
      <c r="H35" s="30">
        <v>866</v>
      </c>
      <c r="I35" s="21"/>
      <c r="J35" s="21"/>
      <c r="K35" s="21"/>
    </row>
    <row r="36" spans="1:11" x14ac:dyDescent="0.3">
      <c r="A36" s="21" t="s">
        <v>59</v>
      </c>
      <c r="B36" s="30">
        <v>92</v>
      </c>
      <c r="C36" s="21"/>
      <c r="D36" s="21" t="s">
        <v>59</v>
      </c>
      <c r="E36" s="30">
        <v>71</v>
      </c>
      <c r="F36" s="21"/>
      <c r="G36" s="21" t="s">
        <v>59</v>
      </c>
      <c r="H36" s="30">
        <v>323</v>
      </c>
      <c r="I36" s="21"/>
      <c r="J36" s="21"/>
      <c r="K36" s="21"/>
    </row>
    <row r="37" spans="1:11" x14ac:dyDescent="0.3">
      <c r="A37" s="25" t="s">
        <v>60</v>
      </c>
      <c r="B37" s="31">
        <v>92</v>
      </c>
      <c r="C37" s="21"/>
      <c r="D37" s="25" t="s">
        <v>60</v>
      </c>
      <c r="E37" s="31">
        <v>120</v>
      </c>
      <c r="F37" s="21"/>
      <c r="G37" s="25" t="s">
        <v>60</v>
      </c>
      <c r="H37" s="31">
        <v>156</v>
      </c>
      <c r="I37" s="21"/>
      <c r="J37" s="21"/>
      <c r="K37" s="21"/>
    </row>
    <row r="38" spans="1:11" x14ac:dyDescent="0.3">
      <c r="A38" s="27" t="s">
        <v>73</v>
      </c>
      <c r="B38" s="32">
        <f>SUM(B26:B37)</f>
        <v>5432</v>
      </c>
      <c r="C38" s="21"/>
      <c r="D38" s="27" t="s">
        <v>74</v>
      </c>
      <c r="E38" s="32">
        <f>SUM(E26:E37)</f>
        <v>6364</v>
      </c>
      <c r="F38" s="21"/>
      <c r="G38" s="27" t="s">
        <v>75</v>
      </c>
      <c r="H38" s="32">
        <f>SUM(H26:H37)</f>
        <v>6570.4000000000005</v>
      </c>
      <c r="I38" s="21"/>
      <c r="J38" s="21"/>
      <c r="K38" s="21"/>
    </row>
    <row r="39" spans="1:11" x14ac:dyDescent="0.3">
      <c r="A39" s="21"/>
      <c r="B39" s="33"/>
      <c r="C39" s="21"/>
      <c r="D39" s="21"/>
      <c r="E39" s="33"/>
      <c r="F39" s="21"/>
      <c r="G39" s="21"/>
      <c r="H39" s="33"/>
      <c r="I39" s="21"/>
      <c r="J39" s="21"/>
      <c r="K39" s="21"/>
    </row>
    <row r="40" spans="1:11" x14ac:dyDescent="0.3">
      <c r="A40" s="29" t="s">
        <v>76</v>
      </c>
      <c r="B40" s="30">
        <f>5063+6270</f>
        <v>11333</v>
      </c>
      <c r="C40" s="21"/>
      <c r="D40" s="29" t="s">
        <v>77</v>
      </c>
      <c r="E40" s="30">
        <f>2363+1985</f>
        <v>4348</v>
      </c>
      <c r="F40" s="21"/>
      <c r="G40" s="29" t="s">
        <v>78</v>
      </c>
      <c r="H40" s="30">
        <f>4349+2945</f>
        <v>7294</v>
      </c>
      <c r="I40" s="21"/>
      <c r="J40" s="21"/>
      <c r="K40" s="21"/>
    </row>
    <row r="41" spans="1:11" x14ac:dyDescent="0.3">
      <c r="A41" s="21"/>
      <c r="B41" s="33"/>
      <c r="C41" s="21"/>
      <c r="D41" s="21"/>
      <c r="E41" s="33"/>
      <c r="F41" s="21"/>
      <c r="G41" s="21"/>
      <c r="H41" s="33"/>
      <c r="I41" s="21"/>
      <c r="J41" s="21"/>
      <c r="K41" s="21"/>
    </row>
    <row r="42" spans="1:11" x14ac:dyDescent="0.3">
      <c r="A42" s="27" t="s">
        <v>79</v>
      </c>
      <c r="B42" s="32">
        <f>B38-B40</f>
        <v>-5901</v>
      </c>
      <c r="C42" s="21"/>
      <c r="D42" s="27" t="s">
        <v>80</v>
      </c>
      <c r="E42" s="32">
        <f>E38-E40</f>
        <v>2016</v>
      </c>
      <c r="F42" s="21"/>
      <c r="G42" s="27" t="s">
        <v>81</v>
      </c>
      <c r="H42" s="32">
        <f>H38-H40</f>
        <v>-723.59999999999945</v>
      </c>
      <c r="I42" s="21"/>
      <c r="J42" s="21"/>
      <c r="K42" s="21"/>
    </row>
    <row r="74" spans="10:10" ht="15.6" x14ac:dyDescent="0.3">
      <c r="J74" s="53" t="s">
        <v>142</v>
      </c>
    </row>
  </sheetData>
  <mergeCells count="7">
    <mergeCell ref="I28:K32"/>
    <mergeCell ref="A1:B1"/>
    <mergeCell ref="D1:E1"/>
    <mergeCell ref="G1:H1"/>
    <mergeCell ref="A23:B23"/>
    <mergeCell ref="D23:E23"/>
    <mergeCell ref="G23:H23"/>
  </mergeCells>
  <pageMargins left="0.7" right="0.7" top="0.75" bottom="0.75" header="0.3" footer="0.3"/>
  <pageSetup paperSize="5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46" workbookViewId="0">
      <selection activeCell="H64" sqref="H64"/>
    </sheetView>
  </sheetViews>
  <sheetFormatPr defaultRowHeight="14.4" x14ac:dyDescent="0.3"/>
  <cols>
    <col min="1" max="1" width="29.88671875" customWidth="1"/>
    <col min="2" max="2" width="19.33203125" customWidth="1"/>
    <col min="4" max="4" width="26.5546875" customWidth="1"/>
    <col min="5" max="5" width="17" customWidth="1"/>
    <col min="7" max="7" width="24.5546875" customWidth="1"/>
    <col min="8" max="8" width="16.33203125" customWidth="1"/>
  </cols>
  <sheetData>
    <row r="1" spans="1:8" ht="21" x14ac:dyDescent="0.4">
      <c r="A1" s="54" t="s">
        <v>111</v>
      </c>
      <c r="B1" s="54"/>
      <c r="C1" s="21"/>
      <c r="D1" s="54" t="s">
        <v>112</v>
      </c>
      <c r="E1" s="54"/>
      <c r="F1" s="21"/>
      <c r="G1" s="54" t="s">
        <v>113</v>
      </c>
      <c r="H1" s="54"/>
    </row>
    <row r="2" spans="1:8" x14ac:dyDescent="0.3">
      <c r="A2" s="21"/>
      <c r="B2" s="33"/>
      <c r="C2" s="21"/>
      <c r="D2" s="21"/>
      <c r="E2" s="33"/>
      <c r="F2" s="21"/>
      <c r="G2" s="21"/>
      <c r="H2" s="33"/>
    </row>
    <row r="3" spans="1:8" x14ac:dyDescent="0.3">
      <c r="A3" s="22" t="s">
        <v>44</v>
      </c>
      <c r="B3" s="49" t="s">
        <v>47</v>
      </c>
      <c r="C3" s="21"/>
      <c r="D3" s="22" t="s">
        <v>44</v>
      </c>
      <c r="E3" s="49" t="s">
        <v>47</v>
      </c>
      <c r="F3" s="21"/>
      <c r="G3" s="22" t="s">
        <v>44</v>
      </c>
      <c r="H3" s="49" t="s">
        <v>47</v>
      </c>
    </row>
    <row r="4" spans="1:8" x14ac:dyDescent="0.3">
      <c r="A4" s="21" t="s">
        <v>48</v>
      </c>
      <c r="B4" s="30">
        <v>19</v>
      </c>
      <c r="C4" s="21"/>
      <c r="D4" s="21" t="s">
        <v>48</v>
      </c>
      <c r="E4" s="30">
        <v>46</v>
      </c>
      <c r="F4" s="21"/>
      <c r="G4" s="21" t="s">
        <v>48</v>
      </c>
      <c r="H4" s="30">
        <v>0</v>
      </c>
    </row>
    <row r="5" spans="1:8" x14ac:dyDescent="0.3">
      <c r="A5" s="21" t="s">
        <v>49</v>
      </c>
      <c r="B5" s="30">
        <v>60</v>
      </c>
      <c r="C5" s="21"/>
      <c r="D5" s="21" t="s">
        <v>49</v>
      </c>
      <c r="E5" s="30">
        <v>73</v>
      </c>
      <c r="F5" s="21"/>
      <c r="G5" s="21" t="s">
        <v>49</v>
      </c>
      <c r="H5" s="30">
        <v>23</v>
      </c>
    </row>
    <row r="6" spans="1:8" x14ac:dyDescent="0.3">
      <c r="A6" s="21" t="s">
        <v>50</v>
      </c>
      <c r="B6" s="30">
        <v>103</v>
      </c>
      <c r="C6" s="21"/>
      <c r="D6" s="21" t="s">
        <v>50</v>
      </c>
      <c r="E6" s="30">
        <v>151</v>
      </c>
      <c r="F6" s="21"/>
      <c r="G6" s="21" t="s">
        <v>50</v>
      </c>
      <c r="H6" s="30">
        <v>121</v>
      </c>
    </row>
    <row r="7" spans="1:8" x14ac:dyDescent="0.3">
      <c r="A7" s="21" t="s">
        <v>51</v>
      </c>
      <c r="B7" s="30">
        <v>183</v>
      </c>
      <c r="C7" s="21"/>
      <c r="D7" s="21" t="s">
        <v>51</v>
      </c>
      <c r="E7" s="30">
        <v>126</v>
      </c>
      <c r="F7" s="21"/>
      <c r="G7" s="21" t="s">
        <v>51</v>
      </c>
      <c r="H7" s="30">
        <v>228</v>
      </c>
    </row>
    <row r="8" spans="1:8" x14ac:dyDescent="0.3">
      <c r="A8" s="21" t="s">
        <v>52</v>
      </c>
      <c r="B8" s="30">
        <v>246</v>
      </c>
      <c r="C8" s="21"/>
      <c r="D8" s="21" t="s">
        <v>52</v>
      </c>
      <c r="E8" s="30">
        <v>241</v>
      </c>
      <c r="F8" s="21"/>
      <c r="G8" s="21" t="s">
        <v>52</v>
      </c>
      <c r="H8" s="30">
        <v>185</v>
      </c>
    </row>
    <row r="9" spans="1:8" x14ac:dyDescent="0.3">
      <c r="A9" s="21" t="s">
        <v>53</v>
      </c>
      <c r="B9" s="30">
        <v>194</v>
      </c>
      <c r="C9" s="21"/>
      <c r="D9" s="21" t="s">
        <v>53</v>
      </c>
      <c r="E9" s="30">
        <v>151</v>
      </c>
      <c r="F9" s="21"/>
      <c r="G9" s="21" t="s">
        <v>53</v>
      </c>
      <c r="H9" s="30">
        <v>184</v>
      </c>
    </row>
    <row r="10" spans="1:8" x14ac:dyDescent="0.3">
      <c r="A10" s="21" t="s">
        <v>54</v>
      </c>
      <c r="B10" s="30">
        <v>133</v>
      </c>
      <c r="C10" s="21"/>
      <c r="D10" s="21" t="s">
        <v>54</v>
      </c>
      <c r="E10" s="30">
        <v>134</v>
      </c>
      <c r="F10" s="21"/>
      <c r="G10" s="21" t="s">
        <v>54</v>
      </c>
      <c r="H10" s="30">
        <v>93</v>
      </c>
    </row>
    <row r="11" spans="1:8" x14ac:dyDescent="0.3">
      <c r="A11" s="21" t="s">
        <v>55</v>
      </c>
      <c r="B11" s="30">
        <v>54</v>
      </c>
      <c r="C11" s="21"/>
      <c r="D11" s="21" t="s">
        <v>55</v>
      </c>
      <c r="E11" s="30">
        <v>70</v>
      </c>
      <c r="F11" s="21"/>
      <c r="G11" s="21" t="s">
        <v>55</v>
      </c>
      <c r="H11" s="30">
        <v>101</v>
      </c>
    </row>
    <row r="12" spans="1:8" x14ac:dyDescent="0.3">
      <c r="A12" s="21" t="s">
        <v>56</v>
      </c>
      <c r="B12" s="30">
        <v>54</v>
      </c>
      <c r="C12" s="21"/>
      <c r="D12" s="21" t="s">
        <v>56</v>
      </c>
      <c r="E12" s="30">
        <v>61</v>
      </c>
      <c r="F12" s="21"/>
      <c r="G12" s="21" t="s">
        <v>56</v>
      </c>
      <c r="H12" s="30">
        <v>67</v>
      </c>
    </row>
    <row r="13" spans="1:8" x14ac:dyDescent="0.3">
      <c r="A13" s="21" t="s">
        <v>57</v>
      </c>
      <c r="B13" s="30">
        <v>36</v>
      </c>
      <c r="C13" s="21"/>
      <c r="D13" s="21" t="s">
        <v>57</v>
      </c>
      <c r="E13" s="30">
        <v>50</v>
      </c>
      <c r="F13" s="21"/>
      <c r="G13" s="21" t="s">
        <v>57</v>
      </c>
      <c r="H13" s="30">
        <v>59</v>
      </c>
    </row>
    <row r="14" spans="1:8" x14ac:dyDescent="0.3">
      <c r="A14" s="21" t="s">
        <v>59</v>
      </c>
      <c r="B14" s="30">
        <v>14</v>
      </c>
      <c r="C14" s="21"/>
      <c r="D14" s="21" t="s">
        <v>59</v>
      </c>
      <c r="E14" s="30">
        <v>28</v>
      </c>
      <c r="F14" s="21"/>
      <c r="G14" s="21" t="s">
        <v>59</v>
      </c>
      <c r="H14" s="30">
        <v>35</v>
      </c>
    </row>
    <row r="15" spans="1:8" x14ac:dyDescent="0.3">
      <c r="A15" s="25" t="s">
        <v>60</v>
      </c>
      <c r="B15" s="31">
        <v>22</v>
      </c>
      <c r="C15" s="21"/>
      <c r="D15" s="25" t="s">
        <v>60</v>
      </c>
      <c r="E15" s="31">
        <v>7</v>
      </c>
      <c r="F15" s="21"/>
      <c r="G15" s="25" t="s">
        <v>60</v>
      </c>
      <c r="H15" s="31">
        <v>21</v>
      </c>
    </row>
    <row r="16" spans="1:8" x14ac:dyDescent="0.3">
      <c r="A16" s="27" t="s">
        <v>61</v>
      </c>
      <c r="B16" s="32">
        <f>SUM(B4:B15)</f>
        <v>1118</v>
      </c>
      <c r="C16" s="21"/>
      <c r="D16" s="27" t="s">
        <v>62</v>
      </c>
      <c r="E16" s="32">
        <f>SUM(E4:E15)</f>
        <v>1138</v>
      </c>
      <c r="F16" s="21"/>
      <c r="G16" s="27" t="s">
        <v>63</v>
      </c>
      <c r="H16" s="32">
        <f>SUM(H4:H15)</f>
        <v>1117</v>
      </c>
    </row>
    <row r="17" spans="1:8" x14ac:dyDescent="0.3">
      <c r="A17" s="21"/>
      <c r="B17" s="33"/>
      <c r="C17" s="21"/>
      <c r="D17" s="21"/>
      <c r="E17" s="33"/>
      <c r="F17" s="21"/>
      <c r="G17" s="21"/>
      <c r="H17" s="33"/>
    </row>
    <row r="18" spans="1:8" x14ac:dyDescent="0.3">
      <c r="A18" s="29" t="s">
        <v>64</v>
      </c>
      <c r="B18" s="30">
        <v>2796</v>
      </c>
      <c r="C18" s="21"/>
      <c r="D18" s="29" t="s">
        <v>65</v>
      </c>
      <c r="E18" s="30">
        <f>2977</f>
        <v>2977</v>
      </c>
      <c r="F18" s="21"/>
      <c r="G18" s="29" t="s">
        <v>66</v>
      </c>
      <c r="H18" s="30">
        <f>3241</f>
        <v>3241</v>
      </c>
    </row>
    <row r="19" spans="1:8" x14ac:dyDescent="0.3">
      <c r="A19" s="21"/>
      <c r="B19" s="33"/>
      <c r="C19" s="21"/>
      <c r="D19" s="21"/>
      <c r="E19" s="33"/>
      <c r="F19" s="21"/>
      <c r="G19" s="21"/>
      <c r="H19" s="33"/>
    </row>
    <row r="20" spans="1:8" x14ac:dyDescent="0.3">
      <c r="A20" s="27" t="s">
        <v>67</v>
      </c>
      <c r="B20" s="32">
        <f>B16-B18</f>
        <v>-1678</v>
      </c>
      <c r="C20" s="21"/>
      <c r="D20" s="27" t="s">
        <v>68</v>
      </c>
      <c r="E20" s="32">
        <f>E16-E18</f>
        <v>-1839</v>
      </c>
      <c r="F20" s="21"/>
      <c r="G20" s="27" t="s">
        <v>69</v>
      </c>
      <c r="H20" s="32">
        <f>H16-H18</f>
        <v>-2124</v>
      </c>
    </row>
    <row r="21" spans="1:8" x14ac:dyDescent="0.3">
      <c r="A21" s="21"/>
      <c r="B21" s="33"/>
      <c r="C21" s="21"/>
      <c r="D21" s="21"/>
      <c r="E21" s="33"/>
      <c r="F21" s="21"/>
      <c r="G21" s="21"/>
      <c r="H21" s="33"/>
    </row>
    <row r="22" spans="1:8" x14ac:dyDescent="0.3">
      <c r="A22" s="21"/>
      <c r="B22" s="33"/>
      <c r="C22" s="21"/>
      <c r="D22" s="21"/>
      <c r="E22" s="33"/>
      <c r="F22" s="21"/>
      <c r="G22" s="21"/>
      <c r="H22" s="33"/>
    </row>
    <row r="23" spans="1:8" ht="21" x14ac:dyDescent="0.4">
      <c r="A23" s="54" t="s">
        <v>114</v>
      </c>
      <c r="B23" s="54"/>
      <c r="C23" s="21"/>
      <c r="D23" s="54" t="s">
        <v>115</v>
      </c>
      <c r="E23" s="54"/>
      <c r="F23" s="21"/>
      <c r="G23" s="54" t="s">
        <v>116</v>
      </c>
      <c r="H23" s="54"/>
    </row>
    <row r="24" spans="1:8" x14ac:dyDescent="0.3">
      <c r="A24" s="21"/>
      <c r="B24" s="33"/>
      <c r="C24" s="21"/>
      <c r="D24" s="21"/>
      <c r="E24" s="33"/>
      <c r="F24" s="21"/>
      <c r="G24" s="21"/>
      <c r="H24" s="33"/>
    </row>
    <row r="25" spans="1:8" x14ac:dyDescent="0.3">
      <c r="A25" s="22" t="s">
        <v>44</v>
      </c>
      <c r="B25" s="49" t="s">
        <v>47</v>
      </c>
      <c r="C25" s="21"/>
      <c r="D25" s="22" t="s">
        <v>44</v>
      </c>
      <c r="E25" s="49" t="s">
        <v>47</v>
      </c>
      <c r="F25" s="21"/>
      <c r="G25" s="22" t="s">
        <v>44</v>
      </c>
      <c r="H25" s="49" t="s">
        <v>47</v>
      </c>
    </row>
    <row r="26" spans="1:8" x14ac:dyDescent="0.3">
      <c r="A26" s="21" t="s">
        <v>48</v>
      </c>
      <c r="B26" s="30">
        <v>36</v>
      </c>
      <c r="C26" s="21"/>
      <c r="D26" s="21" t="s">
        <v>48</v>
      </c>
      <c r="E26" s="30">
        <v>0</v>
      </c>
      <c r="F26" s="21"/>
      <c r="G26" s="21" t="s">
        <v>48</v>
      </c>
      <c r="H26" s="33">
        <v>39</v>
      </c>
    </row>
    <row r="27" spans="1:8" x14ac:dyDescent="0.3">
      <c r="A27" s="21" t="s">
        <v>49</v>
      </c>
      <c r="B27" s="30">
        <v>56</v>
      </c>
      <c r="C27" s="21"/>
      <c r="D27" s="21" t="s">
        <v>49</v>
      </c>
      <c r="E27" s="30">
        <v>28</v>
      </c>
      <c r="F27" s="21"/>
      <c r="G27" s="21" t="s">
        <v>49</v>
      </c>
      <c r="H27" s="30">
        <v>41</v>
      </c>
    </row>
    <row r="28" spans="1:8" x14ac:dyDescent="0.3">
      <c r="A28" s="21" t="s">
        <v>50</v>
      </c>
      <c r="B28" s="30">
        <v>176</v>
      </c>
      <c r="C28" s="21"/>
      <c r="D28" s="21" t="s">
        <v>50</v>
      </c>
      <c r="E28" s="30">
        <v>184</v>
      </c>
      <c r="F28" s="21"/>
      <c r="G28" s="21" t="s">
        <v>50</v>
      </c>
      <c r="H28" s="30">
        <v>33</v>
      </c>
    </row>
    <row r="29" spans="1:8" x14ac:dyDescent="0.3">
      <c r="A29" s="21" t="s">
        <v>51</v>
      </c>
      <c r="B29" s="30">
        <v>234</v>
      </c>
      <c r="C29" s="21"/>
      <c r="D29" s="21" t="s">
        <v>51</v>
      </c>
      <c r="E29" s="30">
        <v>213</v>
      </c>
      <c r="F29" s="21"/>
      <c r="G29" s="21" t="s">
        <v>51</v>
      </c>
      <c r="H29" s="30">
        <v>132</v>
      </c>
    </row>
    <row r="30" spans="1:8" x14ac:dyDescent="0.3">
      <c r="A30" s="21" t="s">
        <v>52</v>
      </c>
      <c r="B30" s="30">
        <v>295</v>
      </c>
      <c r="C30" s="21"/>
      <c r="D30" s="21" t="s">
        <v>52</v>
      </c>
      <c r="E30" s="30">
        <v>226</v>
      </c>
      <c r="F30" s="21"/>
      <c r="G30" s="21" t="s">
        <v>52</v>
      </c>
      <c r="H30" s="30">
        <v>259</v>
      </c>
    </row>
    <row r="31" spans="1:8" x14ac:dyDescent="0.3">
      <c r="A31" s="21" t="s">
        <v>53</v>
      </c>
      <c r="B31" s="30">
        <v>272</v>
      </c>
      <c r="C31" s="21"/>
      <c r="D31" s="21" t="s">
        <v>53</v>
      </c>
      <c r="E31" s="30">
        <v>173</v>
      </c>
      <c r="F31" s="21"/>
      <c r="G31" s="21" t="s">
        <v>53</v>
      </c>
      <c r="H31" s="30">
        <v>275</v>
      </c>
    </row>
    <row r="32" spans="1:8" x14ac:dyDescent="0.3">
      <c r="A32" s="21" t="s">
        <v>54</v>
      </c>
      <c r="B32" s="30">
        <v>159</v>
      </c>
      <c r="C32" s="21"/>
      <c r="D32" s="21" t="s">
        <v>54</v>
      </c>
      <c r="E32" s="30">
        <v>123</v>
      </c>
      <c r="F32" s="21"/>
      <c r="G32" s="21" t="s">
        <v>54</v>
      </c>
      <c r="H32" s="30">
        <v>90</v>
      </c>
    </row>
    <row r="33" spans="1:8" x14ac:dyDescent="0.3">
      <c r="A33" s="21" t="s">
        <v>55</v>
      </c>
      <c r="B33" s="30">
        <v>87</v>
      </c>
      <c r="C33" s="21"/>
      <c r="D33" s="21" t="s">
        <v>55</v>
      </c>
      <c r="E33" s="30">
        <v>93</v>
      </c>
      <c r="F33" s="21"/>
      <c r="G33" s="21" t="s">
        <v>55</v>
      </c>
      <c r="H33" s="30">
        <v>51</v>
      </c>
    </row>
    <row r="34" spans="1:8" x14ac:dyDescent="0.3">
      <c r="A34" s="21" t="s">
        <v>56</v>
      </c>
      <c r="B34" s="30">
        <v>86</v>
      </c>
      <c r="C34" s="21"/>
      <c r="D34" s="21" t="s">
        <v>56</v>
      </c>
      <c r="E34" s="30">
        <v>74</v>
      </c>
      <c r="F34" s="21"/>
      <c r="G34" s="21" t="s">
        <v>56</v>
      </c>
      <c r="H34" s="30">
        <v>34</v>
      </c>
    </row>
    <row r="35" spans="1:8" x14ac:dyDescent="0.3">
      <c r="A35" s="21" t="s">
        <v>57</v>
      </c>
      <c r="B35" s="30">
        <v>71</v>
      </c>
      <c r="C35" s="21"/>
      <c r="D35" s="21" t="s">
        <v>57</v>
      </c>
      <c r="E35" s="30">
        <v>74</v>
      </c>
      <c r="F35" s="21"/>
      <c r="G35" s="21" t="s">
        <v>57</v>
      </c>
      <c r="H35" s="30">
        <v>34</v>
      </c>
    </row>
    <row r="36" spans="1:8" x14ac:dyDescent="0.3">
      <c r="A36" s="21" t="s">
        <v>59</v>
      </c>
      <c r="B36" s="30">
        <v>31</v>
      </c>
      <c r="C36" s="21"/>
      <c r="D36" s="21" t="s">
        <v>59</v>
      </c>
      <c r="E36" s="30">
        <v>0</v>
      </c>
      <c r="F36" s="21"/>
      <c r="G36" s="21" t="s">
        <v>59</v>
      </c>
      <c r="H36" s="30">
        <v>27</v>
      </c>
    </row>
    <row r="37" spans="1:8" x14ac:dyDescent="0.3">
      <c r="A37" s="25" t="s">
        <v>60</v>
      </c>
      <c r="B37" s="31">
        <v>54</v>
      </c>
      <c r="C37" s="21"/>
      <c r="D37" s="25" t="s">
        <v>60</v>
      </c>
      <c r="E37" s="31">
        <v>6</v>
      </c>
      <c r="F37" s="21"/>
      <c r="G37" s="25" t="s">
        <v>60</v>
      </c>
      <c r="H37" s="31">
        <v>13</v>
      </c>
    </row>
    <row r="38" spans="1:8" x14ac:dyDescent="0.3">
      <c r="A38" s="27" t="s">
        <v>73</v>
      </c>
      <c r="B38" s="32">
        <f>SUM(B26:B37)</f>
        <v>1557</v>
      </c>
      <c r="C38" s="21"/>
      <c r="D38" s="27" t="s">
        <v>74</v>
      </c>
      <c r="E38" s="32">
        <f>SUM(E26:E37)</f>
        <v>1194</v>
      </c>
      <c r="F38" s="21"/>
      <c r="G38" s="27" t="s">
        <v>75</v>
      </c>
      <c r="H38" s="32">
        <f>SUM(H26:H37)</f>
        <v>1028</v>
      </c>
    </row>
    <row r="39" spans="1:8" x14ac:dyDescent="0.3">
      <c r="A39" s="21"/>
      <c r="B39" s="33"/>
      <c r="C39" s="21"/>
      <c r="D39" s="21"/>
      <c r="E39" s="33"/>
      <c r="F39" s="21"/>
      <c r="G39" s="21"/>
      <c r="H39" s="33"/>
    </row>
    <row r="40" spans="1:8" x14ac:dyDescent="0.3">
      <c r="A40" s="29" t="s">
        <v>76</v>
      </c>
      <c r="B40" s="30">
        <f>1517+1470</f>
        <v>2987</v>
      </c>
      <c r="C40" s="21"/>
      <c r="D40" s="29" t="s">
        <v>77</v>
      </c>
      <c r="E40" s="30">
        <f>1305+1118</f>
        <v>2423</v>
      </c>
      <c r="F40" s="21"/>
      <c r="G40" s="29" t="s">
        <v>78</v>
      </c>
      <c r="H40" s="30">
        <f>109+867</f>
        <v>976</v>
      </c>
    </row>
    <row r="41" spans="1:8" x14ac:dyDescent="0.3">
      <c r="A41" s="21"/>
      <c r="B41" s="33"/>
      <c r="C41" s="21"/>
      <c r="D41" s="21"/>
      <c r="E41" s="33"/>
      <c r="F41" s="21"/>
      <c r="G41" s="21"/>
      <c r="H41" s="33"/>
    </row>
    <row r="42" spans="1:8" x14ac:dyDescent="0.3">
      <c r="A42" s="27" t="s">
        <v>79</v>
      </c>
      <c r="B42" s="32">
        <f>B38-B40</f>
        <v>-1430</v>
      </c>
      <c r="C42" s="21"/>
      <c r="D42" s="27" t="s">
        <v>80</v>
      </c>
      <c r="E42" s="32">
        <f>E38-E40</f>
        <v>-1229</v>
      </c>
      <c r="F42" s="21"/>
      <c r="G42" s="27" t="s">
        <v>81</v>
      </c>
      <c r="H42" s="32">
        <f>H38-H40</f>
        <v>52</v>
      </c>
    </row>
    <row r="43" spans="1:8" x14ac:dyDescent="0.3">
      <c r="A43" s="21"/>
      <c r="B43" s="33"/>
      <c r="C43" s="21"/>
      <c r="D43" s="21"/>
      <c r="E43" s="33"/>
      <c r="F43" s="21"/>
      <c r="G43" s="21"/>
      <c r="H43" s="33"/>
    </row>
    <row r="44" spans="1:8" x14ac:dyDescent="0.3">
      <c r="A44" s="21"/>
      <c r="B44" s="33"/>
      <c r="C44" s="21"/>
      <c r="D44" s="21"/>
      <c r="E44" s="33"/>
      <c r="F44" s="21"/>
      <c r="G44" s="21"/>
    </row>
    <row r="45" spans="1:8" x14ac:dyDescent="0.3">
      <c r="A45" s="21"/>
      <c r="B45" s="33"/>
      <c r="C45" s="21"/>
      <c r="D45" s="21"/>
      <c r="E45" s="33"/>
      <c r="F45" s="21"/>
      <c r="G45" s="21"/>
      <c r="H45" s="33"/>
    </row>
    <row r="46" spans="1:8" x14ac:dyDescent="0.3">
      <c r="A46" s="21"/>
      <c r="B46" s="21"/>
      <c r="C46" s="33"/>
      <c r="D46" s="21"/>
      <c r="E46" s="21"/>
      <c r="F46" s="33"/>
      <c r="G46" s="21"/>
      <c r="H46" s="33"/>
    </row>
    <row r="47" spans="1:8" x14ac:dyDescent="0.3">
      <c r="A47" s="21"/>
      <c r="B47" s="33"/>
      <c r="C47" s="21"/>
      <c r="D47" s="21"/>
      <c r="E47" s="33"/>
      <c r="F47" s="21"/>
      <c r="G47" s="21"/>
      <c r="H47" s="33"/>
    </row>
    <row r="48" spans="1:8" x14ac:dyDescent="0.3">
      <c r="A48" s="21"/>
      <c r="B48" s="21"/>
      <c r="C48" s="33"/>
      <c r="D48" s="21"/>
      <c r="E48" s="21"/>
      <c r="F48" s="33"/>
      <c r="G48" s="21"/>
      <c r="H48" s="33"/>
    </row>
    <row r="49" spans="1:8" x14ac:dyDescent="0.3">
      <c r="A49" s="21"/>
      <c r="B49" s="21"/>
      <c r="C49" s="33"/>
      <c r="D49" s="21"/>
      <c r="E49" s="21"/>
      <c r="F49" s="33"/>
      <c r="G49" s="21"/>
      <c r="H49" s="33"/>
    </row>
    <row r="50" spans="1:8" x14ac:dyDescent="0.3">
      <c r="A50" s="21"/>
      <c r="B50" s="21"/>
      <c r="C50" s="33"/>
      <c r="D50" s="21"/>
      <c r="E50" s="21"/>
      <c r="F50" s="33"/>
      <c r="G50" s="21"/>
      <c r="H50" s="33"/>
    </row>
    <row r="51" spans="1:8" x14ac:dyDescent="0.3">
      <c r="A51" s="21"/>
      <c r="B51" s="21"/>
      <c r="C51" s="33"/>
      <c r="D51" s="21"/>
      <c r="E51" s="21"/>
      <c r="F51" s="33"/>
      <c r="G51" s="21"/>
      <c r="H51" s="33"/>
    </row>
    <row r="52" spans="1:8" x14ac:dyDescent="0.3">
      <c r="A52" s="21"/>
      <c r="B52" s="21"/>
      <c r="C52" s="33"/>
      <c r="D52" s="21"/>
      <c r="E52" s="21"/>
      <c r="F52" s="33"/>
      <c r="G52" s="21"/>
      <c r="H52" s="33"/>
    </row>
    <row r="53" spans="1:8" x14ac:dyDescent="0.3">
      <c r="A53" s="21"/>
      <c r="B53" s="21"/>
      <c r="C53" s="33"/>
      <c r="D53" s="21"/>
      <c r="E53" s="21"/>
      <c r="F53" s="33"/>
      <c r="G53" s="21"/>
      <c r="H53" s="33"/>
    </row>
    <row r="54" spans="1:8" x14ac:dyDescent="0.3">
      <c r="A54" s="21"/>
      <c r="B54" s="21"/>
      <c r="C54" s="33"/>
      <c r="D54" s="21"/>
      <c r="E54" s="21"/>
      <c r="F54" s="33"/>
      <c r="G54" s="21"/>
      <c r="H54" s="33"/>
    </row>
    <row r="55" spans="1:8" x14ac:dyDescent="0.3">
      <c r="A55" s="21"/>
      <c r="B55" s="21"/>
      <c r="C55" s="33"/>
      <c r="D55" s="21"/>
      <c r="E55" s="21"/>
      <c r="F55" s="33"/>
      <c r="G55" s="21"/>
      <c r="H55" s="33"/>
    </row>
    <row r="56" spans="1:8" x14ac:dyDescent="0.3">
      <c r="A56" s="21"/>
      <c r="B56" s="21"/>
      <c r="C56" s="33"/>
      <c r="D56" s="21"/>
      <c r="E56" s="21"/>
      <c r="F56" s="33"/>
      <c r="G56" s="21"/>
      <c r="H56" s="33"/>
    </row>
    <row r="57" spans="1:8" x14ac:dyDescent="0.3">
      <c r="A57" s="21"/>
      <c r="B57" s="21"/>
      <c r="C57" s="33"/>
      <c r="D57" s="21"/>
      <c r="E57" s="21"/>
      <c r="F57" s="33"/>
      <c r="G57" s="21"/>
      <c r="H57" s="33"/>
    </row>
    <row r="58" spans="1:8" x14ac:dyDescent="0.3">
      <c r="A58" s="21"/>
      <c r="B58" s="21"/>
      <c r="C58" s="33"/>
      <c r="D58" s="21"/>
      <c r="E58" s="21"/>
      <c r="F58" s="33"/>
      <c r="G58" s="21"/>
      <c r="H58" s="33"/>
    </row>
    <row r="59" spans="1:8" x14ac:dyDescent="0.3">
      <c r="A59" s="21"/>
      <c r="B59" s="21"/>
      <c r="C59" s="33"/>
      <c r="D59" s="21"/>
      <c r="E59" s="21"/>
      <c r="F59" s="33"/>
      <c r="G59" s="21"/>
      <c r="H59" s="33"/>
    </row>
    <row r="60" spans="1:8" x14ac:dyDescent="0.3">
      <c r="A60" s="21"/>
      <c r="B60" s="21"/>
      <c r="C60" s="33"/>
      <c r="D60" s="21"/>
      <c r="E60" s="21"/>
      <c r="F60" s="33"/>
      <c r="G60" s="21"/>
      <c r="H60" s="33"/>
    </row>
    <row r="61" spans="1:8" x14ac:dyDescent="0.3">
      <c r="A61" s="21"/>
      <c r="B61" s="21"/>
      <c r="C61" s="33"/>
      <c r="D61" s="21"/>
      <c r="E61" s="21"/>
      <c r="F61" s="33"/>
      <c r="G61" s="21"/>
      <c r="H61" s="33"/>
    </row>
    <row r="62" spans="1:8" x14ac:dyDescent="0.3">
      <c r="A62" s="21"/>
      <c r="B62" s="21"/>
      <c r="C62" s="33"/>
      <c r="D62" s="21"/>
      <c r="E62" s="21"/>
      <c r="F62" s="33"/>
      <c r="G62" s="21"/>
      <c r="H62" s="33"/>
    </row>
    <row r="63" spans="1:8" x14ac:dyDescent="0.3">
      <c r="A63" s="21"/>
      <c r="B63" s="21"/>
      <c r="C63" s="33"/>
      <c r="D63" s="21"/>
      <c r="E63" s="21"/>
      <c r="F63" s="33"/>
      <c r="G63" s="21"/>
      <c r="H63" s="33"/>
    </row>
    <row r="64" spans="1:8" ht="15.6" x14ac:dyDescent="0.3">
      <c r="A64" s="21"/>
      <c r="B64" s="21"/>
      <c r="C64" s="33"/>
      <c r="D64" s="21"/>
      <c r="E64" s="21"/>
      <c r="F64" s="33"/>
      <c r="G64" s="21"/>
      <c r="H64" s="53" t="s">
        <v>142</v>
      </c>
    </row>
  </sheetData>
  <mergeCells count="6">
    <mergeCell ref="A1:B1"/>
    <mergeCell ref="D1:E1"/>
    <mergeCell ref="G1:H1"/>
    <mergeCell ref="A23:B23"/>
    <mergeCell ref="D23:E23"/>
    <mergeCell ref="G23:H23"/>
  </mergeCells>
  <pageMargins left="0.7" right="0.7" top="0.75" bottom="0.75" header="0.3" footer="0.3"/>
  <pageSetup paperSize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opLeftCell="A52" workbookViewId="0">
      <selection activeCell="N71" sqref="N71"/>
    </sheetView>
  </sheetViews>
  <sheetFormatPr defaultRowHeight="14.4" x14ac:dyDescent="0.3"/>
  <cols>
    <col min="4" max="4" width="20.88671875" customWidth="1"/>
    <col min="9" max="9" width="21.44140625" customWidth="1"/>
    <col min="14" max="14" width="17.88671875" customWidth="1"/>
  </cols>
  <sheetData>
    <row r="1" spans="1:16" ht="21" x14ac:dyDescent="0.4">
      <c r="A1" s="55" t="s">
        <v>117</v>
      </c>
      <c r="B1" s="55"/>
      <c r="C1" s="55"/>
      <c r="D1" s="55"/>
      <c r="E1" s="35"/>
      <c r="F1" s="55" t="s">
        <v>118</v>
      </c>
      <c r="G1" s="55"/>
      <c r="H1" s="55"/>
      <c r="I1" s="55"/>
      <c r="J1" s="35"/>
      <c r="K1" s="55" t="s">
        <v>119</v>
      </c>
      <c r="L1" s="55"/>
      <c r="M1" s="55"/>
      <c r="N1" s="55"/>
      <c r="O1" s="35"/>
      <c r="P1" s="35"/>
    </row>
    <row r="2" spans="1:16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x14ac:dyDescent="0.3">
      <c r="A3" s="36" t="s">
        <v>44</v>
      </c>
      <c r="B3" s="36" t="s">
        <v>26</v>
      </c>
      <c r="C3" s="36" t="s">
        <v>27</v>
      </c>
      <c r="D3" s="36" t="s">
        <v>93</v>
      </c>
      <c r="E3" s="35"/>
      <c r="F3" s="37" t="s">
        <v>44</v>
      </c>
      <c r="G3" s="37" t="s">
        <v>26</v>
      </c>
      <c r="H3" s="37" t="s">
        <v>27</v>
      </c>
      <c r="I3" s="36" t="s">
        <v>93</v>
      </c>
      <c r="J3" s="35"/>
      <c r="K3" s="37" t="s">
        <v>44</v>
      </c>
      <c r="L3" s="37" t="s">
        <v>26</v>
      </c>
      <c r="M3" s="37" t="s">
        <v>27</v>
      </c>
      <c r="N3" s="36" t="s">
        <v>93</v>
      </c>
      <c r="O3" s="35"/>
      <c r="P3" s="35"/>
    </row>
    <row r="4" spans="1:16" x14ac:dyDescent="0.3">
      <c r="A4" s="38" t="s">
        <v>48</v>
      </c>
      <c r="B4" s="39">
        <f>2+552</f>
        <v>554</v>
      </c>
      <c r="C4" s="39">
        <f>2+78</f>
        <v>80</v>
      </c>
      <c r="D4" s="39">
        <f>B4+C4</f>
        <v>634</v>
      </c>
      <c r="E4" s="35"/>
      <c r="F4" s="35" t="s">
        <v>48</v>
      </c>
      <c r="G4" s="40">
        <f>62+2544</f>
        <v>2606</v>
      </c>
      <c r="H4" s="40">
        <f>14+306</f>
        <v>320</v>
      </c>
      <c r="I4" s="40">
        <f>G4+H4</f>
        <v>2926</v>
      </c>
      <c r="J4" s="35"/>
      <c r="K4" s="35" t="s">
        <v>48</v>
      </c>
      <c r="L4" s="40">
        <f>69+1506</f>
        <v>1575</v>
      </c>
      <c r="M4" s="40">
        <v>337</v>
      </c>
      <c r="N4" s="40">
        <f>L4+M4</f>
        <v>1912</v>
      </c>
      <c r="O4" s="35"/>
      <c r="P4" s="35"/>
    </row>
    <row r="5" spans="1:16" x14ac:dyDescent="0.3">
      <c r="A5" s="38" t="s">
        <v>49</v>
      </c>
      <c r="B5" s="39">
        <f>101+1947</f>
        <v>2048</v>
      </c>
      <c r="C5" s="39">
        <f>30+720</f>
        <v>750</v>
      </c>
      <c r="D5" s="39">
        <f t="shared" ref="D5:D16" si="0">B5+C5</f>
        <v>2798</v>
      </c>
      <c r="E5" s="35"/>
      <c r="F5" s="35" t="s">
        <v>49</v>
      </c>
      <c r="G5" s="40">
        <f>87+3499</f>
        <v>3586</v>
      </c>
      <c r="H5" s="40">
        <f>12+847</f>
        <v>859</v>
      </c>
      <c r="I5" s="40">
        <f t="shared" ref="I5:I15" si="1">G5+H5</f>
        <v>4445</v>
      </c>
      <c r="J5" s="35"/>
      <c r="K5" s="35" t="s">
        <v>49</v>
      </c>
      <c r="L5" s="40">
        <f>97+2626</f>
        <v>2723</v>
      </c>
      <c r="M5" s="40">
        <f>6+1110</f>
        <v>1116</v>
      </c>
      <c r="N5" s="40">
        <f t="shared" ref="N5:N15" si="2">L5+M5</f>
        <v>3839</v>
      </c>
      <c r="O5" s="35"/>
      <c r="P5" s="35"/>
    </row>
    <row r="6" spans="1:16" x14ac:dyDescent="0.3">
      <c r="A6" s="38" t="s">
        <v>50</v>
      </c>
      <c r="B6" s="39">
        <f>125+3615</f>
        <v>3740</v>
      </c>
      <c r="C6" s="39">
        <f>53+1746</f>
        <v>1799</v>
      </c>
      <c r="D6" s="39">
        <f t="shared" si="0"/>
        <v>5539</v>
      </c>
      <c r="E6" s="35"/>
      <c r="F6" s="35" t="s">
        <v>50</v>
      </c>
      <c r="G6" s="40">
        <f>101+5056</f>
        <v>5157</v>
      </c>
      <c r="H6" s="40">
        <f>31+1535</f>
        <v>1566</v>
      </c>
      <c r="I6" s="40">
        <f t="shared" si="1"/>
        <v>6723</v>
      </c>
      <c r="J6" s="35"/>
      <c r="K6" s="35" t="s">
        <v>50</v>
      </c>
      <c r="L6" s="40">
        <f>192+5325</f>
        <v>5517</v>
      </c>
      <c r="M6" s="40">
        <f>20+3402</f>
        <v>3422</v>
      </c>
      <c r="N6" s="40">
        <f t="shared" si="2"/>
        <v>8939</v>
      </c>
      <c r="O6" s="35"/>
      <c r="P6" s="35"/>
    </row>
    <row r="7" spans="1:16" x14ac:dyDescent="0.3">
      <c r="A7" s="38" t="s">
        <v>51</v>
      </c>
      <c r="B7" s="39">
        <f>124+5146</f>
        <v>5270</v>
      </c>
      <c r="C7" s="39">
        <f>75+2866</f>
        <v>2941</v>
      </c>
      <c r="D7" s="39">
        <f t="shared" si="0"/>
        <v>8211</v>
      </c>
      <c r="E7" s="35"/>
      <c r="F7" s="35" t="s">
        <v>51</v>
      </c>
      <c r="G7" s="40">
        <f>126+4749</f>
        <v>4875</v>
      </c>
      <c r="H7" s="40">
        <f>48+2798</f>
        <v>2846</v>
      </c>
      <c r="I7" s="40">
        <f t="shared" si="1"/>
        <v>7721</v>
      </c>
      <c r="J7" s="35"/>
      <c r="K7" s="35" t="s">
        <v>51</v>
      </c>
      <c r="L7" s="40">
        <f>176+5808</f>
        <v>5984</v>
      </c>
      <c r="M7" s="40">
        <f>43+5106</f>
        <v>5149</v>
      </c>
      <c r="N7" s="40">
        <f t="shared" si="2"/>
        <v>11133</v>
      </c>
      <c r="O7" s="35"/>
      <c r="P7" s="35"/>
    </row>
    <row r="8" spans="1:16" x14ac:dyDescent="0.3">
      <c r="A8" s="38" t="s">
        <v>52</v>
      </c>
      <c r="B8" s="39">
        <f>125+3615</f>
        <v>3740</v>
      </c>
      <c r="C8" s="39">
        <f>192+7902</f>
        <v>8094</v>
      </c>
      <c r="D8" s="39">
        <f t="shared" si="0"/>
        <v>11834</v>
      </c>
      <c r="E8" s="35"/>
      <c r="F8" s="35" t="s">
        <v>52</v>
      </c>
      <c r="G8" s="40">
        <f>122+5550</f>
        <v>5672</v>
      </c>
      <c r="H8" s="40">
        <f>80+3187</f>
        <v>3267</v>
      </c>
      <c r="I8" s="40">
        <f t="shared" si="1"/>
        <v>8939</v>
      </c>
      <c r="J8" s="35"/>
      <c r="K8" s="35" t="s">
        <v>52</v>
      </c>
      <c r="L8" s="40">
        <f>236+5789</f>
        <v>6025</v>
      </c>
      <c r="M8" s="40">
        <f>88+4914</f>
        <v>5002</v>
      </c>
      <c r="N8" s="40">
        <f t="shared" si="2"/>
        <v>11027</v>
      </c>
      <c r="O8" s="35"/>
      <c r="P8" s="35"/>
    </row>
    <row r="9" spans="1:16" x14ac:dyDescent="0.3">
      <c r="A9" s="38" t="s">
        <v>53</v>
      </c>
      <c r="B9" s="39">
        <f>209+5911</f>
        <v>6120</v>
      </c>
      <c r="C9" s="39">
        <f>158+5923</f>
        <v>6081</v>
      </c>
      <c r="D9" s="39">
        <f t="shared" si="0"/>
        <v>12201</v>
      </c>
      <c r="E9" s="35"/>
      <c r="F9" s="35" t="s">
        <v>53</v>
      </c>
      <c r="G9" s="40">
        <f>204+6196</f>
        <v>6400</v>
      </c>
      <c r="H9" s="40">
        <v>3243</v>
      </c>
      <c r="I9" s="40">
        <f t="shared" si="1"/>
        <v>9643</v>
      </c>
      <c r="J9" s="35"/>
      <c r="K9" s="35" t="s">
        <v>53</v>
      </c>
      <c r="L9" s="40">
        <f>252+6653</f>
        <v>6905</v>
      </c>
      <c r="M9" s="40">
        <v>4952</v>
      </c>
      <c r="N9" s="40">
        <f t="shared" si="2"/>
        <v>11857</v>
      </c>
      <c r="O9" s="35"/>
      <c r="P9" s="35"/>
    </row>
    <row r="10" spans="1:16" x14ac:dyDescent="0.3">
      <c r="A10" s="38" t="s">
        <v>54</v>
      </c>
      <c r="B10" s="39">
        <f>241+4844</f>
        <v>5085</v>
      </c>
      <c r="C10" s="39">
        <f>174+4711</f>
        <v>4885</v>
      </c>
      <c r="D10" s="39">
        <f t="shared" si="0"/>
        <v>9970</v>
      </c>
      <c r="E10" s="35"/>
      <c r="F10" s="35" t="s">
        <v>54</v>
      </c>
      <c r="G10" s="40">
        <f>216+4485</f>
        <v>4701</v>
      </c>
      <c r="H10" s="40">
        <v>2956</v>
      </c>
      <c r="I10" s="40">
        <f t="shared" si="1"/>
        <v>7657</v>
      </c>
      <c r="J10" s="35"/>
      <c r="K10" s="35" t="s">
        <v>54</v>
      </c>
      <c r="L10" s="40">
        <f>174+4774</f>
        <v>4948</v>
      </c>
      <c r="M10" s="40">
        <f>102+3759</f>
        <v>3861</v>
      </c>
      <c r="N10" s="40">
        <f t="shared" si="2"/>
        <v>8809</v>
      </c>
      <c r="O10" s="35"/>
      <c r="P10" s="35"/>
    </row>
    <row r="11" spans="1:16" x14ac:dyDescent="0.3">
      <c r="A11" s="38" t="s">
        <v>55</v>
      </c>
      <c r="B11" s="39">
        <f>183+3421</f>
        <v>3604</v>
      </c>
      <c r="C11" s="39">
        <f>130+2623</f>
        <v>2753</v>
      </c>
      <c r="D11" s="39">
        <f t="shared" si="0"/>
        <v>6357</v>
      </c>
      <c r="E11" s="35"/>
      <c r="F11" s="35" t="s">
        <v>55</v>
      </c>
      <c r="G11" s="40">
        <f>188+4429</f>
        <v>4617</v>
      </c>
      <c r="H11" s="40">
        <f>135+3268</f>
        <v>3403</v>
      </c>
      <c r="I11" s="40">
        <f t="shared" si="1"/>
        <v>8020</v>
      </c>
      <c r="J11" s="35"/>
      <c r="K11" s="35" t="s">
        <v>55</v>
      </c>
      <c r="L11" s="40">
        <f>158+4252</f>
        <v>4410</v>
      </c>
      <c r="M11" s="40">
        <f>59+1548</f>
        <v>1607</v>
      </c>
      <c r="N11" s="40">
        <f t="shared" si="2"/>
        <v>6017</v>
      </c>
      <c r="O11" s="35"/>
      <c r="P11" s="35"/>
    </row>
    <row r="12" spans="1:16" x14ac:dyDescent="0.3">
      <c r="A12" s="41" t="s">
        <v>56</v>
      </c>
      <c r="B12" s="39">
        <f>116+2298</f>
        <v>2414</v>
      </c>
      <c r="C12" s="39">
        <f>125+2048</f>
        <v>2173</v>
      </c>
      <c r="D12" s="39">
        <f t="shared" si="0"/>
        <v>4587</v>
      </c>
      <c r="E12" s="35"/>
      <c r="F12" s="35" t="s">
        <v>56</v>
      </c>
      <c r="G12" s="40">
        <f>188+4429</f>
        <v>4617</v>
      </c>
      <c r="H12" s="40">
        <f>108+2279</f>
        <v>2387</v>
      </c>
      <c r="I12" s="40">
        <f t="shared" si="1"/>
        <v>7004</v>
      </c>
      <c r="J12" s="35"/>
      <c r="K12" s="35" t="s">
        <v>56</v>
      </c>
      <c r="L12" s="40">
        <f>80+3147</f>
        <v>3227</v>
      </c>
      <c r="M12" s="40">
        <f>82+2716</f>
        <v>2798</v>
      </c>
      <c r="N12" s="40">
        <f t="shared" si="2"/>
        <v>6025</v>
      </c>
      <c r="O12" s="35"/>
      <c r="P12" s="35"/>
    </row>
    <row r="13" spans="1:16" x14ac:dyDescent="0.3">
      <c r="A13" s="41" t="s">
        <v>57</v>
      </c>
      <c r="B13" s="39">
        <f>237+3375</f>
        <v>3612</v>
      </c>
      <c r="C13" s="39">
        <f>100+2416</f>
        <v>2516</v>
      </c>
      <c r="D13" s="39">
        <f t="shared" si="0"/>
        <v>6128</v>
      </c>
      <c r="E13" s="35"/>
      <c r="F13" s="35" t="s">
        <v>57</v>
      </c>
      <c r="G13" s="40">
        <f>166+2772</f>
        <v>2938</v>
      </c>
      <c r="H13" s="40">
        <f>49+1256</f>
        <v>1305</v>
      </c>
      <c r="I13" s="40">
        <f t="shared" si="1"/>
        <v>4243</v>
      </c>
      <c r="J13" s="35"/>
      <c r="K13" s="35" t="s">
        <v>57</v>
      </c>
      <c r="L13" s="40">
        <f>86+2864</f>
        <v>2950</v>
      </c>
      <c r="M13" s="40">
        <f>53+2377</f>
        <v>2430</v>
      </c>
      <c r="N13" s="40">
        <f t="shared" si="2"/>
        <v>5380</v>
      </c>
      <c r="O13" s="35"/>
      <c r="P13" s="35"/>
    </row>
    <row r="14" spans="1:16" x14ac:dyDescent="0.3">
      <c r="A14" s="41" t="s">
        <v>59</v>
      </c>
      <c r="B14" s="39">
        <f>88+1561</f>
        <v>1649</v>
      </c>
      <c r="C14" s="39">
        <f>24+553</f>
        <v>577</v>
      </c>
      <c r="D14" s="39">
        <f t="shared" si="0"/>
        <v>2226</v>
      </c>
      <c r="E14" s="35"/>
      <c r="F14" s="35" t="s">
        <v>59</v>
      </c>
      <c r="G14" s="40">
        <f>92+1797</f>
        <v>1889</v>
      </c>
      <c r="H14" s="40">
        <f>29+377</f>
        <v>406</v>
      </c>
      <c r="I14" s="40">
        <f t="shared" si="1"/>
        <v>2295</v>
      </c>
      <c r="J14" s="35"/>
      <c r="K14" s="35" t="s">
        <v>59</v>
      </c>
      <c r="L14" s="40">
        <f>82+2492</f>
        <v>2574</v>
      </c>
      <c r="M14" s="40">
        <f>22+764</f>
        <v>786</v>
      </c>
      <c r="N14" s="40">
        <f t="shared" si="2"/>
        <v>3360</v>
      </c>
      <c r="O14" s="35"/>
      <c r="P14" s="35"/>
    </row>
    <row r="15" spans="1:16" x14ac:dyDescent="0.3">
      <c r="A15" s="42" t="s">
        <v>60</v>
      </c>
      <c r="B15" s="43">
        <f>99+1684</f>
        <v>1783</v>
      </c>
      <c r="C15" s="43">
        <f>32+508</f>
        <v>540</v>
      </c>
      <c r="D15" s="43">
        <f t="shared" si="0"/>
        <v>2323</v>
      </c>
      <c r="E15" s="35"/>
      <c r="F15" s="44" t="s">
        <v>60</v>
      </c>
      <c r="G15" s="45">
        <f>57+1271</f>
        <v>1328</v>
      </c>
      <c r="H15" s="45">
        <f>7+173</f>
        <v>180</v>
      </c>
      <c r="I15" s="45">
        <f t="shared" si="1"/>
        <v>1508</v>
      </c>
      <c r="J15" s="35"/>
      <c r="K15" s="44" t="s">
        <v>60</v>
      </c>
      <c r="L15" s="45">
        <f>42+1334</f>
        <v>1376</v>
      </c>
      <c r="M15" s="45">
        <f>1+31</f>
        <v>32</v>
      </c>
      <c r="N15" s="45">
        <f t="shared" si="2"/>
        <v>1408</v>
      </c>
      <c r="O15" s="35"/>
      <c r="P15" s="35"/>
    </row>
    <row r="16" spans="1:16" x14ac:dyDescent="0.3">
      <c r="A16" s="41" t="s">
        <v>61</v>
      </c>
      <c r="B16" s="39">
        <f>SUM(B7:B15)</f>
        <v>33277</v>
      </c>
      <c r="C16" s="39">
        <f>SUM(C7:C15)</f>
        <v>30560</v>
      </c>
      <c r="D16" s="39">
        <f t="shared" si="0"/>
        <v>63837</v>
      </c>
      <c r="E16" s="35"/>
      <c r="F16" s="35" t="s">
        <v>62</v>
      </c>
      <c r="G16" s="40">
        <f>SUM(G4:G15)</f>
        <v>48386</v>
      </c>
      <c r="H16" s="40">
        <f>SUM(H4:H15)</f>
        <v>22738</v>
      </c>
      <c r="I16" s="40">
        <f>G16+H16</f>
        <v>71124</v>
      </c>
      <c r="J16" s="35"/>
      <c r="K16" s="35" t="s">
        <v>62</v>
      </c>
      <c r="L16" s="40">
        <f>SUM(L4:L15)</f>
        <v>48214</v>
      </c>
      <c r="M16" s="40">
        <f>SUM(M4:M15)</f>
        <v>31492</v>
      </c>
      <c r="N16" s="40">
        <f>L16+M16</f>
        <v>79706</v>
      </c>
      <c r="O16" s="35"/>
      <c r="P16" s="35"/>
    </row>
    <row r="17" spans="1:16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x14ac:dyDescent="0.3">
      <c r="A18" s="46" t="s">
        <v>64</v>
      </c>
      <c r="B18" s="35"/>
      <c r="C18" s="35"/>
      <c r="D18" s="40">
        <f>46475+31092+47555+34346</f>
        <v>159468</v>
      </c>
      <c r="E18" s="35"/>
      <c r="F18" s="46" t="s">
        <v>65</v>
      </c>
      <c r="G18" s="35"/>
      <c r="H18" s="35"/>
      <c r="I18" s="40">
        <f>100573+37569+112523+40826</f>
        <v>291491</v>
      </c>
      <c r="J18" s="40"/>
      <c r="K18" s="46" t="s">
        <v>120</v>
      </c>
      <c r="L18" s="35"/>
      <c r="M18" s="35"/>
      <c r="N18" s="40">
        <f>29949+45373</f>
        <v>75322</v>
      </c>
      <c r="O18" s="40">
        <f>L16-N18</f>
        <v>-27108</v>
      </c>
      <c r="P18" s="35"/>
    </row>
    <row r="19" spans="1:16" x14ac:dyDescent="0.3">
      <c r="A19" s="46"/>
      <c r="B19" s="35"/>
      <c r="C19" s="35"/>
      <c r="D19" s="40"/>
      <c r="E19" s="35"/>
      <c r="F19" s="46"/>
      <c r="G19" s="35"/>
      <c r="H19" s="35"/>
      <c r="I19" s="40"/>
      <c r="J19" s="40"/>
      <c r="K19" s="46" t="s">
        <v>121</v>
      </c>
      <c r="L19" s="35"/>
      <c r="M19" s="35"/>
      <c r="N19" s="40">
        <f>4494+33129</f>
        <v>37623</v>
      </c>
      <c r="O19" s="40">
        <f>L17-N19</f>
        <v>-37623</v>
      </c>
      <c r="P19" s="35"/>
    </row>
    <row r="20" spans="1:16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3">
      <c r="A21" s="47" t="s">
        <v>67</v>
      </c>
      <c r="B21" s="47"/>
      <c r="C21" s="47"/>
      <c r="D21" s="48">
        <f>D16-D18</f>
        <v>-95631</v>
      </c>
      <c r="E21" s="35"/>
      <c r="F21" s="47" t="s">
        <v>68</v>
      </c>
      <c r="G21" s="47"/>
      <c r="H21" s="47"/>
      <c r="I21" s="48">
        <f>I16-I18</f>
        <v>-220367</v>
      </c>
      <c r="J21" s="35"/>
      <c r="K21" s="47" t="s">
        <v>69</v>
      </c>
      <c r="L21" s="47"/>
      <c r="M21" s="47"/>
      <c r="N21" s="48">
        <f>O18+O19</f>
        <v>-64731</v>
      </c>
      <c r="O21" s="35"/>
      <c r="P21" s="35"/>
    </row>
    <row r="22" spans="1:16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ht="21" x14ac:dyDescent="0.4">
      <c r="A25" s="55" t="s">
        <v>122</v>
      </c>
      <c r="B25" s="55"/>
      <c r="C25" s="55"/>
      <c r="D25" s="55"/>
      <c r="E25" s="35"/>
      <c r="F25" s="55" t="s">
        <v>123</v>
      </c>
      <c r="G25" s="55"/>
      <c r="H25" s="55"/>
      <c r="I25" s="55"/>
      <c r="J25" s="35"/>
      <c r="K25" s="55" t="s">
        <v>124</v>
      </c>
      <c r="L25" s="55"/>
      <c r="M25" s="55"/>
      <c r="N25" s="55"/>
      <c r="O25" s="35"/>
      <c r="P25" s="35"/>
    </row>
    <row r="26" spans="1:16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x14ac:dyDescent="0.3">
      <c r="A27" s="37" t="s">
        <v>44</v>
      </c>
      <c r="B27" s="37" t="s">
        <v>26</v>
      </c>
      <c r="C27" s="37" t="s">
        <v>27</v>
      </c>
      <c r="D27" s="36" t="s">
        <v>93</v>
      </c>
      <c r="E27" s="35"/>
      <c r="F27" s="37" t="s">
        <v>44</v>
      </c>
      <c r="G27" s="37" t="s">
        <v>26</v>
      </c>
      <c r="H27" s="37" t="s">
        <v>27</v>
      </c>
      <c r="I27" s="36" t="s">
        <v>93</v>
      </c>
      <c r="J27" s="35"/>
      <c r="K27" s="37" t="s">
        <v>44</v>
      </c>
      <c r="L27" s="37" t="s">
        <v>26</v>
      </c>
      <c r="M27" s="37" t="s">
        <v>27</v>
      </c>
      <c r="N27" s="36" t="s">
        <v>93</v>
      </c>
      <c r="O27" s="35"/>
      <c r="P27" s="35"/>
    </row>
    <row r="28" spans="1:16" x14ac:dyDescent="0.3">
      <c r="A28" s="35" t="s">
        <v>48</v>
      </c>
      <c r="B28" s="40">
        <f>37+1943</f>
        <v>1980</v>
      </c>
      <c r="C28" s="40">
        <v>1584</v>
      </c>
      <c r="D28" s="40">
        <f>B28+C28</f>
        <v>3564</v>
      </c>
      <c r="E28" s="35"/>
      <c r="F28" s="35" t="s">
        <v>48</v>
      </c>
      <c r="G28" s="40">
        <f>14+1288</f>
        <v>1302</v>
      </c>
      <c r="H28" s="40">
        <v>476</v>
      </c>
      <c r="I28" s="40">
        <f>G28+H28</f>
        <v>1778</v>
      </c>
      <c r="J28" s="35"/>
      <c r="K28" s="35" t="s">
        <v>48</v>
      </c>
      <c r="L28" s="40">
        <f>429+8117</f>
        <v>8546</v>
      </c>
      <c r="M28" s="40">
        <v>1483</v>
      </c>
      <c r="N28" s="40">
        <f>L28+M28</f>
        <v>10029</v>
      </c>
      <c r="O28" s="35"/>
      <c r="P28" s="35"/>
    </row>
    <row r="29" spans="1:16" x14ac:dyDescent="0.3">
      <c r="A29" s="35" t="s">
        <v>49</v>
      </c>
      <c r="B29" s="40">
        <f>9+552</f>
        <v>561</v>
      </c>
      <c r="C29" s="40">
        <v>609</v>
      </c>
      <c r="D29" s="40">
        <f t="shared" ref="D29:D39" si="3">B29+C29</f>
        <v>1170</v>
      </c>
      <c r="E29" s="35"/>
      <c r="F29" s="35" t="s">
        <v>49</v>
      </c>
      <c r="G29" s="40">
        <f>11+1245</f>
        <v>1256</v>
      </c>
      <c r="H29" s="40">
        <v>686</v>
      </c>
      <c r="I29" s="40">
        <f t="shared" ref="I29:I39" si="4">G29+H29</f>
        <v>1942</v>
      </c>
      <c r="J29" s="35"/>
      <c r="K29" s="35" t="s">
        <v>49</v>
      </c>
      <c r="L29" s="40">
        <f>377+7755</f>
        <v>8132</v>
      </c>
      <c r="M29" s="40">
        <v>926</v>
      </c>
      <c r="N29" s="40">
        <f t="shared" ref="N29:N39" si="5">L29+M29</f>
        <v>9058</v>
      </c>
      <c r="O29" s="35"/>
      <c r="P29" s="35"/>
    </row>
    <row r="30" spans="1:16" x14ac:dyDescent="0.3">
      <c r="A30" s="35" t="s">
        <v>50</v>
      </c>
      <c r="B30" s="40">
        <f>71+5572</f>
        <v>5643</v>
      </c>
      <c r="C30" s="40">
        <v>4376</v>
      </c>
      <c r="D30" s="40">
        <f t="shared" si="3"/>
        <v>10019</v>
      </c>
      <c r="E30" s="35"/>
      <c r="F30" s="35" t="s">
        <v>50</v>
      </c>
      <c r="G30" s="40">
        <f>14+4421</f>
        <v>4435</v>
      </c>
      <c r="H30" s="40">
        <v>3023</v>
      </c>
      <c r="I30" s="40">
        <f t="shared" si="4"/>
        <v>7458</v>
      </c>
      <c r="J30" s="35"/>
      <c r="K30" s="35" t="s">
        <v>50</v>
      </c>
      <c r="L30" s="40">
        <f>466+8790</f>
        <v>9256</v>
      </c>
      <c r="M30" s="40">
        <v>1949</v>
      </c>
      <c r="N30" s="40">
        <f t="shared" si="5"/>
        <v>11205</v>
      </c>
      <c r="O30" s="35"/>
      <c r="P30" s="35"/>
    </row>
    <row r="31" spans="1:16" x14ac:dyDescent="0.3">
      <c r="A31" s="35" t="s">
        <v>51</v>
      </c>
      <c r="B31" s="40">
        <f>111+5828</f>
        <v>5939</v>
      </c>
      <c r="C31" s="40">
        <v>7848</v>
      </c>
      <c r="D31" s="40">
        <f t="shared" si="3"/>
        <v>13787</v>
      </c>
      <c r="E31" s="35"/>
      <c r="F31" s="35" t="s">
        <v>51</v>
      </c>
      <c r="G31" s="35">
        <f>14+4176</f>
        <v>4190</v>
      </c>
      <c r="H31" s="40">
        <v>1472</v>
      </c>
      <c r="I31" s="40">
        <f t="shared" si="4"/>
        <v>5662</v>
      </c>
      <c r="J31" s="35"/>
      <c r="K31" s="35" t="s">
        <v>51</v>
      </c>
      <c r="L31" s="40">
        <f>1715+19049</f>
        <v>20764</v>
      </c>
      <c r="M31" s="40">
        <v>8093</v>
      </c>
      <c r="N31" s="40">
        <f t="shared" si="5"/>
        <v>28857</v>
      </c>
      <c r="O31" s="35"/>
      <c r="P31" s="35"/>
    </row>
    <row r="32" spans="1:16" x14ac:dyDescent="0.3">
      <c r="A32" s="35" t="s">
        <v>52</v>
      </c>
      <c r="B32" s="40">
        <f>80+4670</f>
        <v>4750</v>
      </c>
      <c r="C32" s="40">
        <v>6845</v>
      </c>
      <c r="D32" s="40">
        <f t="shared" si="3"/>
        <v>11595</v>
      </c>
      <c r="E32" s="35"/>
      <c r="F32" s="35" t="s">
        <v>52</v>
      </c>
      <c r="G32" s="35">
        <f>80+6953</f>
        <v>7033</v>
      </c>
      <c r="H32" s="40">
        <v>7640</v>
      </c>
      <c r="I32" s="40">
        <f t="shared" si="4"/>
        <v>14673</v>
      </c>
      <c r="J32" s="35"/>
      <c r="K32" s="35" t="s">
        <v>52</v>
      </c>
      <c r="L32" s="40">
        <f>2278+19917</f>
        <v>22195</v>
      </c>
      <c r="M32" s="40">
        <v>8831</v>
      </c>
      <c r="N32" s="40">
        <f t="shared" si="5"/>
        <v>31026</v>
      </c>
      <c r="O32" s="35"/>
      <c r="P32" s="35"/>
    </row>
    <row r="33" spans="1:16" x14ac:dyDescent="0.3">
      <c r="A33" s="35" t="s">
        <v>53</v>
      </c>
      <c r="B33" s="40">
        <f>193+7911</f>
        <v>8104</v>
      </c>
      <c r="C33" s="40">
        <v>5367</v>
      </c>
      <c r="D33" s="40">
        <f t="shared" si="3"/>
        <v>13471</v>
      </c>
      <c r="E33" s="35"/>
      <c r="F33" s="35" t="s">
        <v>53</v>
      </c>
      <c r="G33" s="40">
        <f>159+7415</f>
        <v>7574</v>
      </c>
      <c r="H33" s="40">
        <v>8093</v>
      </c>
      <c r="I33" s="40">
        <f t="shared" si="4"/>
        <v>15667</v>
      </c>
      <c r="J33" s="35"/>
      <c r="K33" s="35" t="s">
        <v>53</v>
      </c>
      <c r="L33" s="40">
        <f>1916+15962</f>
        <v>17878</v>
      </c>
      <c r="M33" s="40">
        <v>6275</v>
      </c>
      <c r="N33" s="40">
        <f t="shared" si="5"/>
        <v>24153</v>
      </c>
      <c r="O33" s="35"/>
      <c r="P33" s="35"/>
    </row>
    <row r="34" spans="1:16" x14ac:dyDescent="0.3">
      <c r="A34" s="35" t="s">
        <v>54</v>
      </c>
      <c r="B34" s="40">
        <f>83+3320</f>
        <v>3403</v>
      </c>
      <c r="C34" s="40">
        <v>3055</v>
      </c>
      <c r="D34" s="40">
        <f t="shared" si="3"/>
        <v>6458</v>
      </c>
      <c r="E34" s="35"/>
      <c r="F34" s="35" t="s">
        <v>54</v>
      </c>
      <c r="G34" s="40">
        <f>168+5706</f>
        <v>5874</v>
      </c>
      <c r="H34" s="40">
        <v>8831</v>
      </c>
      <c r="I34" s="40">
        <f t="shared" si="4"/>
        <v>14705</v>
      </c>
      <c r="J34" s="35"/>
      <c r="K34" s="35" t="s">
        <v>54</v>
      </c>
      <c r="L34" s="40">
        <v>1514</v>
      </c>
      <c r="M34" s="40">
        <v>5257</v>
      </c>
      <c r="N34" s="40">
        <f t="shared" si="5"/>
        <v>6771</v>
      </c>
      <c r="O34" s="35"/>
      <c r="P34" s="35"/>
    </row>
    <row r="35" spans="1:16" x14ac:dyDescent="0.3">
      <c r="A35" s="35" t="s">
        <v>55</v>
      </c>
      <c r="B35" s="40">
        <f>226+5777</f>
        <v>6003</v>
      </c>
      <c r="C35" s="40">
        <v>1881</v>
      </c>
      <c r="D35" s="40">
        <f t="shared" si="3"/>
        <v>7884</v>
      </c>
      <c r="E35" s="35"/>
      <c r="F35" s="35" t="s">
        <v>55</v>
      </c>
      <c r="G35" s="40">
        <f>126+5229</f>
        <v>5355</v>
      </c>
      <c r="H35" s="40">
        <v>6275</v>
      </c>
      <c r="I35" s="40">
        <f t="shared" si="4"/>
        <v>11630</v>
      </c>
      <c r="J35" s="35"/>
      <c r="K35" s="35" t="s">
        <v>55</v>
      </c>
      <c r="L35" s="40">
        <v>2007</v>
      </c>
      <c r="M35" s="40">
        <v>5439</v>
      </c>
      <c r="N35" s="40">
        <f t="shared" si="5"/>
        <v>7446</v>
      </c>
      <c r="O35" s="35"/>
      <c r="P35" s="35"/>
    </row>
    <row r="36" spans="1:16" x14ac:dyDescent="0.3">
      <c r="A36" s="35" t="s">
        <v>56</v>
      </c>
      <c r="B36" s="40">
        <f>63+2251</f>
        <v>2314</v>
      </c>
      <c r="C36" s="40">
        <v>1386</v>
      </c>
      <c r="D36" s="40">
        <f t="shared" si="3"/>
        <v>3700</v>
      </c>
      <c r="E36" s="35"/>
      <c r="F36" s="35" t="s">
        <v>56</v>
      </c>
      <c r="G36" s="40">
        <f>87+3696</f>
        <v>3783</v>
      </c>
      <c r="H36" s="40">
        <v>5257</v>
      </c>
      <c r="I36" s="40">
        <f t="shared" si="4"/>
        <v>9040</v>
      </c>
      <c r="J36" s="35"/>
      <c r="K36" s="35" t="s">
        <v>56</v>
      </c>
      <c r="L36" s="40">
        <f>1+1723</f>
        <v>1724</v>
      </c>
      <c r="M36" s="40">
        <v>3637</v>
      </c>
      <c r="N36" s="40">
        <f t="shared" si="5"/>
        <v>5361</v>
      </c>
      <c r="O36" s="35"/>
      <c r="P36" s="35"/>
    </row>
    <row r="37" spans="1:16" x14ac:dyDescent="0.3">
      <c r="A37" s="35" t="s">
        <v>57</v>
      </c>
      <c r="B37" s="40">
        <f>185+3370</f>
        <v>3555</v>
      </c>
      <c r="C37" s="40">
        <f>1+1363</f>
        <v>1364</v>
      </c>
      <c r="D37" s="40">
        <f t="shared" si="3"/>
        <v>4919</v>
      </c>
      <c r="E37" s="35"/>
      <c r="F37" s="35" t="s">
        <v>57</v>
      </c>
      <c r="G37" s="40">
        <f>79+3523</f>
        <v>3602</v>
      </c>
      <c r="H37" s="40">
        <v>2134</v>
      </c>
      <c r="I37" s="40">
        <f t="shared" si="4"/>
        <v>5736</v>
      </c>
      <c r="J37" s="35"/>
      <c r="K37" s="35" t="s">
        <v>57</v>
      </c>
      <c r="L37" s="40">
        <f>50+4826</f>
        <v>4876</v>
      </c>
      <c r="M37" s="40">
        <v>2025</v>
      </c>
      <c r="N37" s="40">
        <f t="shared" si="5"/>
        <v>6901</v>
      </c>
      <c r="O37" s="35"/>
      <c r="P37" s="35"/>
    </row>
    <row r="38" spans="1:16" x14ac:dyDescent="0.3">
      <c r="A38" s="35" t="s">
        <v>59</v>
      </c>
      <c r="B38" s="40">
        <f>113+2633</f>
        <v>2746</v>
      </c>
      <c r="C38" s="40">
        <f>5+839</f>
        <v>844</v>
      </c>
      <c r="D38" s="40">
        <f t="shared" si="3"/>
        <v>3590</v>
      </c>
      <c r="E38" s="35"/>
      <c r="F38" s="35" t="s">
        <v>59</v>
      </c>
      <c r="G38" s="40">
        <f>58+1185</f>
        <v>1243</v>
      </c>
      <c r="H38" s="40">
        <v>438</v>
      </c>
      <c r="I38" s="40">
        <f t="shared" si="4"/>
        <v>1681</v>
      </c>
      <c r="J38" s="35"/>
      <c r="K38" s="35" t="s">
        <v>59</v>
      </c>
      <c r="L38" s="40">
        <f>44+2497</f>
        <v>2541</v>
      </c>
      <c r="M38" s="40">
        <v>1032</v>
      </c>
      <c r="N38" s="40">
        <f t="shared" si="5"/>
        <v>3573</v>
      </c>
      <c r="O38" s="35"/>
      <c r="P38" s="35"/>
    </row>
    <row r="39" spans="1:16" x14ac:dyDescent="0.3">
      <c r="A39" s="44" t="s">
        <v>60</v>
      </c>
      <c r="B39" s="45">
        <f>76+2193</f>
        <v>2269</v>
      </c>
      <c r="C39" s="45">
        <f>1+753</f>
        <v>754</v>
      </c>
      <c r="D39" s="45">
        <f t="shared" si="3"/>
        <v>3023</v>
      </c>
      <c r="E39" s="35"/>
      <c r="F39" s="44" t="s">
        <v>60</v>
      </c>
      <c r="G39" s="45">
        <f>108+2304</f>
        <v>2412</v>
      </c>
      <c r="H39" s="45">
        <v>586</v>
      </c>
      <c r="I39" s="45">
        <f t="shared" si="4"/>
        <v>2998</v>
      </c>
      <c r="J39" s="35"/>
      <c r="K39" s="44" t="s">
        <v>60</v>
      </c>
      <c r="L39" s="45">
        <f>53+1635</f>
        <v>1688</v>
      </c>
      <c r="M39" s="45">
        <v>715</v>
      </c>
      <c r="N39" s="45">
        <f t="shared" si="5"/>
        <v>2403</v>
      </c>
      <c r="O39" s="35"/>
      <c r="P39" s="35"/>
    </row>
    <row r="40" spans="1:16" x14ac:dyDescent="0.3">
      <c r="A40" s="35" t="s">
        <v>73</v>
      </c>
      <c r="B40" s="40">
        <f>SUM(B28:B39)</f>
        <v>47267</v>
      </c>
      <c r="C40" s="40">
        <f>SUM(C28:C39)</f>
        <v>35913</v>
      </c>
      <c r="D40" s="40">
        <f>B40+C40</f>
        <v>83180</v>
      </c>
      <c r="E40" s="35"/>
      <c r="F40" s="35" t="s">
        <v>74</v>
      </c>
      <c r="G40" s="40">
        <f>SUM(G28:G39)</f>
        <v>48059</v>
      </c>
      <c r="H40" s="40">
        <f>SUM(H28:H39)</f>
        <v>44911</v>
      </c>
      <c r="I40" s="40">
        <f>G40+H40</f>
        <v>92970</v>
      </c>
      <c r="J40" s="35"/>
      <c r="K40" s="35" t="s">
        <v>75</v>
      </c>
      <c r="L40" s="40">
        <f>SUM(L28:L39)</f>
        <v>101121</v>
      </c>
      <c r="M40" s="40">
        <f>SUM(M28:M39)</f>
        <v>45662</v>
      </c>
      <c r="N40" s="40">
        <f>L40+M40</f>
        <v>146783</v>
      </c>
      <c r="O40" s="35"/>
      <c r="P40" s="35"/>
    </row>
    <row r="41" spans="1:16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6" x14ac:dyDescent="0.3">
      <c r="A42" s="46" t="s">
        <v>125</v>
      </c>
      <c r="B42" s="35"/>
      <c r="C42" s="35"/>
      <c r="D42" s="40">
        <f>29853+45307</f>
        <v>75160</v>
      </c>
      <c r="E42" s="40">
        <f>B40-D42</f>
        <v>-27893</v>
      </c>
      <c r="F42" s="46" t="s">
        <v>126</v>
      </c>
      <c r="G42" s="35"/>
      <c r="H42" s="35"/>
      <c r="I42" s="40">
        <f>26063+44417</f>
        <v>70480</v>
      </c>
      <c r="J42" s="40">
        <f>G40-I42</f>
        <v>-22421</v>
      </c>
      <c r="K42" s="46" t="s">
        <v>127</v>
      </c>
      <c r="L42" s="35"/>
      <c r="M42" s="35"/>
      <c r="N42" s="40">
        <f>29042+30664</f>
        <v>59706</v>
      </c>
      <c r="O42" s="40">
        <f>L40-N42</f>
        <v>41415</v>
      </c>
      <c r="P42" s="35"/>
    </row>
    <row r="43" spans="1:16" x14ac:dyDescent="0.3">
      <c r="A43" s="46" t="s">
        <v>128</v>
      </c>
      <c r="B43" s="35"/>
      <c r="C43" s="35"/>
      <c r="D43" s="40">
        <f>30356+30216</f>
        <v>60572</v>
      </c>
      <c r="E43" s="40">
        <f>B41-D43</f>
        <v>-60572</v>
      </c>
      <c r="F43" s="46" t="s">
        <v>129</v>
      </c>
      <c r="G43" s="35"/>
      <c r="H43" s="35"/>
      <c r="I43" s="40">
        <f>32343+41654</f>
        <v>73997</v>
      </c>
      <c r="J43" s="40">
        <f>G41-I43</f>
        <v>-73997</v>
      </c>
      <c r="K43" s="46" t="s">
        <v>130</v>
      </c>
      <c r="L43" s="35"/>
      <c r="M43" s="35"/>
      <c r="N43" s="40">
        <f>25826+37776</f>
        <v>63602</v>
      </c>
      <c r="O43" s="40">
        <f>L41-N43</f>
        <v>-63602</v>
      </c>
      <c r="P43" s="35"/>
    </row>
    <row r="44" spans="1:16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 x14ac:dyDescent="0.3">
      <c r="A45" s="47" t="s">
        <v>79</v>
      </c>
      <c r="B45" s="47"/>
      <c r="C45" s="47"/>
      <c r="D45" s="48">
        <f>E42+E43</f>
        <v>-88465</v>
      </c>
      <c r="E45" s="35"/>
      <c r="F45" s="47" t="s">
        <v>80</v>
      </c>
      <c r="G45" s="47"/>
      <c r="H45" s="47"/>
      <c r="I45" s="48">
        <f>J42+J43</f>
        <v>-96418</v>
      </c>
      <c r="J45" s="35"/>
      <c r="K45" s="47" t="s">
        <v>81</v>
      </c>
      <c r="L45" s="47"/>
      <c r="M45" s="47"/>
      <c r="N45" s="48">
        <f>O42+O43</f>
        <v>-22187</v>
      </c>
      <c r="O45" s="35"/>
      <c r="P45" s="35"/>
    </row>
    <row r="46" spans="1:16" x14ac:dyDescent="0.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71" spans="14:14" ht="15.6" x14ac:dyDescent="0.3">
      <c r="N71" s="53" t="s">
        <v>142</v>
      </c>
    </row>
  </sheetData>
  <mergeCells count="6">
    <mergeCell ref="A1:D1"/>
    <mergeCell ref="F1:I1"/>
    <mergeCell ref="K1:N1"/>
    <mergeCell ref="A25:D25"/>
    <mergeCell ref="F25:I25"/>
    <mergeCell ref="K25:N25"/>
  </mergeCells>
  <pageMargins left="0.7" right="0.7" top="0.75" bottom="0.75" header="0.3" footer="0.3"/>
  <pageSetup paperSize="5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workbookViewId="0">
      <selection activeCell="N53" sqref="N53"/>
    </sheetView>
  </sheetViews>
  <sheetFormatPr defaultRowHeight="14.4" x14ac:dyDescent="0.3"/>
  <cols>
    <col min="1" max="1" width="12.44140625" customWidth="1"/>
    <col min="6" max="6" width="12.6640625" customWidth="1"/>
    <col min="11" max="11" width="12.88671875" customWidth="1"/>
  </cols>
  <sheetData>
    <row r="1" spans="1:18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1" x14ac:dyDescent="0.4">
      <c r="A2" s="52" t="s">
        <v>131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28.2" x14ac:dyDescent="0.3">
      <c r="A4" s="22">
        <v>2018</v>
      </c>
      <c r="B4" s="22" t="s">
        <v>132</v>
      </c>
      <c r="C4" s="23" t="s">
        <v>133</v>
      </c>
      <c r="D4" s="22" t="s">
        <v>134</v>
      </c>
      <c r="E4" s="21"/>
      <c r="F4" s="22">
        <v>2017</v>
      </c>
      <c r="G4" s="22" t="s">
        <v>132</v>
      </c>
      <c r="H4" s="23" t="s">
        <v>133</v>
      </c>
      <c r="I4" s="22" t="s">
        <v>134</v>
      </c>
      <c r="J4" s="21"/>
      <c r="K4" s="22">
        <v>2016</v>
      </c>
      <c r="L4" s="22" t="s">
        <v>132</v>
      </c>
      <c r="M4" s="23" t="s">
        <v>133</v>
      </c>
      <c r="N4" s="22" t="s">
        <v>134</v>
      </c>
      <c r="O4" s="21"/>
      <c r="P4" s="21"/>
      <c r="Q4" s="21"/>
      <c r="R4" s="21"/>
    </row>
    <row r="5" spans="1:18" x14ac:dyDescent="0.3">
      <c r="A5" s="21" t="s">
        <v>0</v>
      </c>
      <c r="B5" s="24">
        <f>'[1]KCPL CWR'!D16</f>
        <v>1645</v>
      </c>
      <c r="C5" s="24">
        <f>'[1]KCPL CWR'!D18</f>
        <v>123435</v>
      </c>
      <c r="D5" s="24">
        <f t="shared" ref="D5:D13" si="0">B5-C5</f>
        <v>-121790</v>
      </c>
      <c r="E5" s="21"/>
      <c r="F5" s="21" t="s">
        <v>0</v>
      </c>
      <c r="G5" s="24">
        <f>'[1]KCPL CWR'!N16</f>
        <v>6259</v>
      </c>
      <c r="H5" s="24">
        <f>'[1]KCPL CWR'!N18</f>
        <v>111603</v>
      </c>
      <c r="I5" s="24">
        <f t="shared" ref="I5:I13" si="1">G5-H5</f>
        <v>-105344</v>
      </c>
      <c r="J5" s="21"/>
      <c r="K5" s="21" t="s">
        <v>0</v>
      </c>
      <c r="L5" s="24">
        <f>'[1]KCPL CWR'!N16</f>
        <v>6259</v>
      </c>
      <c r="M5" s="24">
        <f>'[1]KCPL CWR'!N18</f>
        <v>111603</v>
      </c>
      <c r="N5" s="24">
        <f t="shared" ref="N5:N14" si="2">L5-M5</f>
        <v>-105344</v>
      </c>
      <c r="O5" s="21"/>
      <c r="P5" s="21"/>
      <c r="Q5" s="21"/>
      <c r="R5" s="21"/>
    </row>
    <row r="6" spans="1:18" x14ac:dyDescent="0.3">
      <c r="A6" s="21" t="s">
        <v>3</v>
      </c>
      <c r="B6" s="24">
        <f>'[1]GMO CWR'!D16</f>
        <v>21586</v>
      </c>
      <c r="C6" s="24">
        <f>'[1]GMO CWR'!D18</f>
        <v>66269</v>
      </c>
      <c r="D6" s="24">
        <f t="shared" si="0"/>
        <v>-44683</v>
      </c>
      <c r="E6" s="21"/>
      <c r="F6" s="21" t="s">
        <v>3</v>
      </c>
      <c r="G6" s="24">
        <f>'[1]GMO CWR'!I16</f>
        <v>68923</v>
      </c>
      <c r="H6" s="24">
        <f>'[1]GMO CWR'!I18</f>
        <v>96154</v>
      </c>
      <c r="I6" s="24">
        <f t="shared" si="1"/>
        <v>-27231</v>
      </c>
      <c r="J6" s="21"/>
      <c r="K6" s="21" t="s">
        <v>3</v>
      </c>
      <c r="L6" s="24">
        <f>'[1]GMO CWR'!N16</f>
        <v>70659</v>
      </c>
      <c r="M6" s="24">
        <f>'[1]GMO CWR'!N18</f>
        <v>98401</v>
      </c>
      <c r="N6" s="24">
        <f t="shared" si="2"/>
        <v>-27742</v>
      </c>
      <c r="O6" s="21"/>
      <c r="P6" s="21"/>
      <c r="Q6" s="21"/>
      <c r="R6" s="21"/>
    </row>
    <row r="7" spans="1:18" x14ac:dyDescent="0.3">
      <c r="A7" s="21" t="s">
        <v>135</v>
      </c>
      <c r="B7" s="24">
        <f>'[1]Ameren Electric CWR'!D16</f>
        <v>220977</v>
      </c>
      <c r="C7" s="24">
        <f>'[1]Ameren Electric CWR'!D18</f>
        <v>323993</v>
      </c>
      <c r="D7" s="24">
        <f t="shared" si="0"/>
        <v>-103016</v>
      </c>
      <c r="E7" s="21"/>
      <c r="F7" s="21" t="s">
        <v>135</v>
      </c>
      <c r="G7" s="24">
        <f>'[1]Ameren Electric CWR'!I16</f>
        <v>292019</v>
      </c>
      <c r="H7" s="24">
        <f>'[1]Ameren Electric CWR'!I18</f>
        <v>280059</v>
      </c>
      <c r="I7" s="24">
        <f t="shared" si="1"/>
        <v>11960</v>
      </c>
      <c r="J7" s="21"/>
      <c r="K7" s="21" t="s">
        <v>135</v>
      </c>
      <c r="L7" s="24">
        <f>'[1]Ameren Electric CWR'!N16</f>
        <v>299694</v>
      </c>
      <c r="M7" s="24">
        <f>'[1]Ameren Electric CWR'!N18</f>
        <v>353683</v>
      </c>
      <c r="N7" s="24">
        <f t="shared" si="2"/>
        <v>-53989</v>
      </c>
      <c r="O7" s="21"/>
      <c r="P7" s="21"/>
      <c r="Q7" s="21"/>
      <c r="R7" s="21"/>
    </row>
    <row r="8" spans="1:18" x14ac:dyDescent="0.3">
      <c r="A8" s="21" t="s">
        <v>136</v>
      </c>
      <c r="B8" s="24">
        <f>'[1]Ameren Gas CWR'!B16</f>
        <v>14219</v>
      </c>
      <c r="C8" s="24">
        <f>'[1]Ameren Gas CWR'!B18</f>
        <v>38547</v>
      </c>
      <c r="D8" s="24">
        <f t="shared" si="0"/>
        <v>-24328</v>
      </c>
      <c r="E8" s="21"/>
      <c r="F8" s="21" t="s">
        <v>136</v>
      </c>
      <c r="G8" s="24">
        <f>'[1]Ameren Gas CWR'!E16</f>
        <v>13962</v>
      </c>
      <c r="H8" s="24">
        <f>'[1]Ameren Gas CWR'!E18</f>
        <v>31752</v>
      </c>
      <c r="I8" s="24">
        <f t="shared" si="1"/>
        <v>-17790</v>
      </c>
      <c r="J8" s="21"/>
      <c r="K8" s="21" t="s">
        <v>136</v>
      </c>
      <c r="L8" s="24">
        <f>'[1]Ameren Gas CWR'!H16</f>
        <v>15953</v>
      </c>
      <c r="M8" s="24">
        <f>'[1]Ameren Gas CWR'!H18</f>
        <v>43441</v>
      </c>
      <c r="N8" s="24">
        <f t="shared" si="2"/>
        <v>-27488</v>
      </c>
      <c r="O8" s="21"/>
      <c r="P8" s="21"/>
      <c r="Q8" s="21"/>
      <c r="R8" s="21"/>
    </row>
    <row r="9" spans="1:18" x14ac:dyDescent="0.3">
      <c r="A9" s="21" t="s">
        <v>137</v>
      </c>
      <c r="B9" s="24">
        <f>'[1]Empire Electric CWR'!B16</f>
        <v>31035</v>
      </c>
      <c r="C9" s="24">
        <f>'[1]Empire Electric CWR'!B18</f>
        <v>43630</v>
      </c>
      <c r="D9" s="24">
        <f t="shared" si="0"/>
        <v>-12595</v>
      </c>
      <c r="E9" s="21"/>
      <c r="F9" s="21" t="s">
        <v>137</v>
      </c>
      <c r="G9" s="24">
        <f>'[1]Empire Electric CWR'!E16</f>
        <v>31705</v>
      </c>
      <c r="H9" s="24">
        <f>'[1]Empire Electric CWR'!E18</f>
        <v>44180</v>
      </c>
      <c r="I9" s="24">
        <f t="shared" si="1"/>
        <v>-12475</v>
      </c>
      <c r="J9" s="21"/>
      <c r="K9" s="21" t="s">
        <v>137</v>
      </c>
      <c r="L9" s="24">
        <f>'[1]Empire Electric CWR'!H16</f>
        <v>31463</v>
      </c>
      <c r="M9" s="24">
        <f>'[1]Empire Electric CWR'!H18</f>
        <v>16651</v>
      </c>
      <c r="N9" s="24">
        <f t="shared" si="2"/>
        <v>14812</v>
      </c>
      <c r="O9" s="21"/>
      <c r="P9" s="21"/>
      <c r="Q9" s="21"/>
      <c r="R9" s="21"/>
    </row>
    <row r="10" spans="1:18" x14ac:dyDescent="0.3">
      <c r="A10" s="21" t="s">
        <v>12</v>
      </c>
      <c r="B10" s="24">
        <f>'[1]Empire Gas CWR'!B16</f>
        <v>7963</v>
      </c>
      <c r="C10" s="24">
        <f>'[1]Empire Gas CWR'!B18</f>
        <v>11205</v>
      </c>
      <c r="D10" s="24">
        <f t="shared" si="0"/>
        <v>-3242</v>
      </c>
      <c r="E10" s="21"/>
      <c r="F10" s="21" t="s">
        <v>12</v>
      </c>
      <c r="G10" s="24">
        <f>'[1]Empire Gas CWR'!E16</f>
        <v>7904</v>
      </c>
      <c r="H10" s="24">
        <f>'[1]Empire Gas CWR'!E18</f>
        <v>11687</v>
      </c>
      <c r="I10" s="24">
        <f t="shared" si="1"/>
        <v>-3783</v>
      </c>
      <c r="J10" s="21"/>
      <c r="K10" s="21" t="s">
        <v>12</v>
      </c>
      <c r="L10" s="24">
        <f>'[1]Empire Gas CWR'!H16</f>
        <v>8000</v>
      </c>
      <c r="M10" s="24">
        <f>'[1]Empire Gas CWR'!H18</f>
        <v>4826</v>
      </c>
      <c r="N10" s="24">
        <f t="shared" si="2"/>
        <v>3174</v>
      </c>
      <c r="O10" s="21"/>
      <c r="P10" s="21"/>
      <c r="Q10" s="21"/>
      <c r="R10" s="21"/>
    </row>
    <row r="11" spans="1:18" x14ac:dyDescent="0.3">
      <c r="A11" s="21" t="s">
        <v>138</v>
      </c>
      <c r="B11" s="24">
        <f>'[1]Liberty Gas CWR'!B16</f>
        <v>4158</v>
      </c>
      <c r="C11" s="24">
        <f>'[1]Liberty Gas CWR'!B18</f>
        <v>8149</v>
      </c>
      <c r="D11" s="24">
        <f t="shared" si="0"/>
        <v>-3991</v>
      </c>
      <c r="E11" s="21"/>
      <c r="F11" s="21" t="s">
        <v>138</v>
      </c>
      <c r="G11" s="24">
        <f>'[1]Liberty Gas CWR'!E16</f>
        <v>3792</v>
      </c>
      <c r="H11" s="24">
        <f>'[1]Liberty Gas CWR'!E18</f>
        <v>2213</v>
      </c>
      <c r="I11" s="24">
        <f t="shared" si="1"/>
        <v>1579</v>
      </c>
      <c r="J11" s="21"/>
      <c r="K11" s="21" t="s">
        <v>138</v>
      </c>
      <c r="L11" s="24">
        <f>'[1]Liberty Gas CWR'!H16</f>
        <v>3624</v>
      </c>
      <c r="M11" s="24">
        <f>'[1]Liberty Gas CWR'!H18</f>
        <v>8196</v>
      </c>
      <c r="N11" s="24">
        <f t="shared" si="2"/>
        <v>-4572</v>
      </c>
      <c r="O11" s="21"/>
      <c r="P11" s="21"/>
      <c r="Q11" s="21"/>
      <c r="R11" s="21"/>
    </row>
    <row r="12" spans="1:18" x14ac:dyDescent="0.3">
      <c r="A12" s="21" t="s">
        <v>139</v>
      </c>
      <c r="B12" s="24">
        <f>'[1]Summit CWR'!B16</f>
        <v>1118</v>
      </c>
      <c r="C12" s="24">
        <f>'[1]Summit CWR'!B18</f>
        <v>2796</v>
      </c>
      <c r="D12" s="24">
        <f t="shared" si="0"/>
        <v>-1678</v>
      </c>
      <c r="E12" s="21"/>
      <c r="F12" s="21" t="s">
        <v>139</v>
      </c>
      <c r="G12" s="24">
        <f>'[1]Summit CWR'!E16</f>
        <v>1138</v>
      </c>
      <c r="H12" s="24">
        <f>'[1]Summit CWR'!E18</f>
        <v>2977</v>
      </c>
      <c r="I12" s="24">
        <f t="shared" si="1"/>
        <v>-1839</v>
      </c>
      <c r="J12" s="21"/>
      <c r="K12" s="21" t="s">
        <v>139</v>
      </c>
      <c r="L12" s="24">
        <f>'[1]Summit CWR'!H16</f>
        <v>1117</v>
      </c>
      <c r="M12" s="24">
        <f>'[1]Summit CWR'!H18</f>
        <v>3241</v>
      </c>
      <c r="N12" s="24">
        <f t="shared" si="2"/>
        <v>-2124</v>
      </c>
      <c r="O12" s="21"/>
      <c r="P12" s="21"/>
      <c r="Q12" s="21"/>
      <c r="R12" s="21"/>
    </row>
    <row r="13" spans="1:18" x14ac:dyDescent="0.3">
      <c r="A13" s="21" t="s">
        <v>25</v>
      </c>
      <c r="B13" s="24">
        <f>'[1]Spire CWR'!D16</f>
        <v>63837</v>
      </c>
      <c r="C13" s="24">
        <f>'[1]Spire CWR'!D18</f>
        <v>159468</v>
      </c>
      <c r="D13" s="24">
        <f t="shared" si="0"/>
        <v>-95631</v>
      </c>
      <c r="E13" s="21"/>
      <c r="F13" s="21" t="s">
        <v>25</v>
      </c>
      <c r="G13" s="24">
        <f>'[1]Spire CWR'!I16</f>
        <v>71124</v>
      </c>
      <c r="H13" s="24">
        <f>'[1]Spire CWR'!I18</f>
        <v>291491</v>
      </c>
      <c r="I13" s="24">
        <f t="shared" si="1"/>
        <v>-220367</v>
      </c>
      <c r="J13" s="21"/>
      <c r="K13" s="21" t="s">
        <v>26</v>
      </c>
      <c r="L13" s="24">
        <f>'[1]Spire CWR'!L16</f>
        <v>48214</v>
      </c>
      <c r="M13" s="24">
        <f>'[1]Spire CWR'!N18</f>
        <v>75322</v>
      </c>
      <c r="N13" s="24">
        <f t="shared" si="2"/>
        <v>-27108</v>
      </c>
      <c r="O13" s="21"/>
      <c r="P13" s="21"/>
      <c r="Q13" s="21"/>
      <c r="R13" s="21"/>
    </row>
    <row r="14" spans="1:18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 t="s">
        <v>27</v>
      </c>
      <c r="L14" s="24">
        <f>'[1]Spire CWR'!M16</f>
        <v>31492</v>
      </c>
      <c r="M14" s="24">
        <f>'[1]Spire CWR'!N19</f>
        <v>37623</v>
      </c>
      <c r="N14" s="24">
        <f t="shared" si="2"/>
        <v>-6131</v>
      </c>
      <c r="O14" s="21"/>
      <c r="P14" s="21"/>
      <c r="Q14" s="21"/>
      <c r="R14" s="21"/>
    </row>
    <row r="15" spans="1:18" x14ac:dyDescent="0.3">
      <c r="A15" s="21"/>
      <c r="B15" s="21"/>
      <c r="C15" s="21"/>
      <c r="D15" s="24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28.2" x14ac:dyDescent="0.3">
      <c r="A18" s="22">
        <v>2015</v>
      </c>
      <c r="B18" s="22" t="s">
        <v>132</v>
      </c>
      <c r="C18" s="23" t="s">
        <v>133</v>
      </c>
      <c r="D18" s="22" t="s">
        <v>134</v>
      </c>
      <c r="E18" s="21"/>
      <c r="F18" s="22">
        <v>2014</v>
      </c>
      <c r="G18" s="22" t="s">
        <v>132</v>
      </c>
      <c r="H18" s="23" t="s">
        <v>133</v>
      </c>
      <c r="I18" s="22" t="s">
        <v>134</v>
      </c>
      <c r="J18" s="21"/>
      <c r="K18" s="22">
        <v>2013</v>
      </c>
      <c r="L18" s="22" t="s">
        <v>132</v>
      </c>
      <c r="M18" s="23" t="s">
        <v>133</v>
      </c>
      <c r="N18" s="22" t="s">
        <v>134</v>
      </c>
      <c r="O18" s="21"/>
      <c r="P18" s="21"/>
      <c r="Q18" s="21"/>
      <c r="R18" s="21"/>
    </row>
    <row r="19" spans="1:18" x14ac:dyDescent="0.3">
      <c r="A19" s="21" t="s">
        <v>0</v>
      </c>
      <c r="B19" s="24">
        <f>'[1]KCPL CWR'!D38</f>
        <v>5019</v>
      </c>
      <c r="C19" s="24">
        <f>'[1]KCPL CWR'!D40</f>
        <v>102578</v>
      </c>
      <c r="D19" s="24">
        <f t="shared" ref="D19:D28" si="3">B19-C19</f>
        <v>-97559</v>
      </c>
      <c r="E19" s="21"/>
      <c r="F19" s="21" t="s">
        <v>0</v>
      </c>
      <c r="G19" s="24">
        <f>'[1]KCPL CWR'!I38</f>
        <v>5983</v>
      </c>
      <c r="H19" s="24">
        <f>'[1]KCPL CWR'!I40</f>
        <v>121616</v>
      </c>
      <c r="I19" s="24">
        <f t="shared" ref="I19:I28" si="4">G19-H19</f>
        <v>-115633</v>
      </c>
      <c r="J19" s="21"/>
      <c r="K19" s="21" t="s">
        <v>0</v>
      </c>
      <c r="L19" s="24">
        <f>'[1]KCPL CWR'!N38</f>
        <v>6044</v>
      </c>
      <c r="M19" s="24">
        <f>'[1]KCPL CWR'!N40</f>
        <v>124194</v>
      </c>
      <c r="N19" s="24">
        <f t="shared" ref="N19:N28" si="5">L19-M19</f>
        <v>-118150</v>
      </c>
      <c r="O19" s="21"/>
      <c r="P19" s="21"/>
      <c r="Q19" s="21"/>
      <c r="R19" s="21"/>
    </row>
    <row r="20" spans="1:18" x14ac:dyDescent="0.3">
      <c r="A20" s="21" t="s">
        <v>3</v>
      </c>
      <c r="B20" s="24">
        <f>'[1]GMO CWR'!D38</f>
        <v>75615</v>
      </c>
      <c r="C20" s="24">
        <f>'[1]GMO CWR'!D40</f>
        <v>142501</v>
      </c>
      <c r="D20" s="24">
        <f t="shared" si="3"/>
        <v>-66886</v>
      </c>
      <c r="E20" s="21"/>
      <c r="F20" s="21" t="s">
        <v>3</v>
      </c>
      <c r="G20" s="24">
        <f>'[1]GMO CWR'!I38</f>
        <v>77311</v>
      </c>
      <c r="H20" s="24">
        <f>'[1]GMO CWR'!I40</f>
        <v>100494</v>
      </c>
      <c r="I20" s="24">
        <f t="shared" si="4"/>
        <v>-23183</v>
      </c>
      <c r="J20" s="21"/>
      <c r="K20" s="21" t="s">
        <v>3</v>
      </c>
      <c r="L20" s="24">
        <f>'[1]GMO CWR'!N38</f>
        <v>77093</v>
      </c>
      <c r="M20" s="24">
        <f>'[1]GMO CWR'!N40</f>
        <v>103940</v>
      </c>
      <c r="N20" s="24">
        <f t="shared" si="5"/>
        <v>-26847</v>
      </c>
      <c r="O20" s="21"/>
      <c r="P20" s="21"/>
      <c r="Q20" s="21"/>
      <c r="R20" s="21"/>
    </row>
    <row r="21" spans="1:18" x14ac:dyDescent="0.3">
      <c r="A21" s="21" t="s">
        <v>135</v>
      </c>
      <c r="B21" s="24">
        <f>'[1]Ameren Electric CWR'!D39</f>
        <v>296452</v>
      </c>
      <c r="C21" s="24">
        <f>'[1]Ameren Electric CWR'!D41</f>
        <v>324560</v>
      </c>
      <c r="D21" s="24">
        <f t="shared" si="3"/>
        <v>-28108</v>
      </c>
      <c r="E21" s="21"/>
      <c r="F21" s="21" t="s">
        <v>135</v>
      </c>
      <c r="G21" s="24">
        <f>'[1]Ameren Electric CWR'!I39</f>
        <v>289153</v>
      </c>
      <c r="H21" s="24">
        <f>'[1]Ameren Electric CWR'!I41</f>
        <v>325631</v>
      </c>
      <c r="I21" s="24">
        <f t="shared" si="4"/>
        <v>-36478</v>
      </c>
      <c r="J21" s="21"/>
      <c r="K21" s="21" t="s">
        <v>135</v>
      </c>
      <c r="L21" s="24">
        <f>'[1]Ameren Electric CWR'!N39</f>
        <v>290513</v>
      </c>
      <c r="M21" s="24">
        <f>'[1]Ameren Electric CWR'!N41</f>
        <v>323709</v>
      </c>
      <c r="N21" s="24">
        <f t="shared" si="5"/>
        <v>-33196</v>
      </c>
      <c r="O21" s="21"/>
      <c r="P21" s="21"/>
      <c r="Q21" s="21"/>
      <c r="R21" s="21"/>
    </row>
    <row r="22" spans="1:18" x14ac:dyDescent="0.3">
      <c r="A22" s="21" t="s">
        <v>136</v>
      </c>
      <c r="B22" s="24">
        <f>'[1]Ameren Gas CWR'!B39</f>
        <v>14772</v>
      </c>
      <c r="C22" s="24">
        <f>'[1]Ameren Gas CWR'!B41</f>
        <v>40205</v>
      </c>
      <c r="D22" s="24">
        <f t="shared" si="3"/>
        <v>-25433</v>
      </c>
      <c r="E22" s="21"/>
      <c r="F22" s="21" t="s">
        <v>136</v>
      </c>
      <c r="G22" s="24">
        <f>'[1]Ameren Gas CWR'!E39</f>
        <v>14490</v>
      </c>
      <c r="H22" s="24">
        <f>'[1]Ameren Gas CWR'!E41</f>
        <v>61295</v>
      </c>
      <c r="I22" s="24">
        <f t="shared" si="4"/>
        <v>-46805</v>
      </c>
      <c r="J22" s="21"/>
      <c r="K22" s="21" t="s">
        <v>136</v>
      </c>
      <c r="L22" s="24">
        <f>'[1]Ameren Gas CWR'!H39</f>
        <v>14663</v>
      </c>
      <c r="M22" s="24">
        <f>'[1]Ameren Gas CWR'!H41</f>
        <v>40281</v>
      </c>
      <c r="N22" s="24">
        <f t="shared" si="5"/>
        <v>-25618</v>
      </c>
      <c r="O22" s="21"/>
      <c r="P22" s="21"/>
      <c r="Q22" s="21"/>
      <c r="R22" s="21"/>
    </row>
    <row r="23" spans="1:18" x14ac:dyDescent="0.3">
      <c r="A23" s="21" t="s">
        <v>137</v>
      </c>
      <c r="B23" s="24">
        <f>'[1]Empire Electric CWR'!B38</f>
        <v>32347</v>
      </c>
      <c r="C23" s="24">
        <f>'[1]Empire Electric CWR'!B40</f>
        <v>45538</v>
      </c>
      <c r="D23" s="24">
        <f t="shared" si="3"/>
        <v>-13191</v>
      </c>
      <c r="E23" s="21"/>
      <c r="F23" s="21" t="s">
        <v>137</v>
      </c>
      <c r="G23" s="24">
        <f>'[1]Empire Electric CWR'!E38</f>
        <v>32938</v>
      </c>
      <c r="H23" s="24">
        <f>'[1]Empire Electric CWR'!E40</f>
        <v>45397</v>
      </c>
      <c r="I23" s="24">
        <f t="shared" si="4"/>
        <v>-12459</v>
      </c>
      <c r="J23" s="21"/>
      <c r="K23" s="21" t="s">
        <v>137</v>
      </c>
      <c r="L23" s="24">
        <f>'[1]Empire Electric CWR'!H38</f>
        <v>34121</v>
      </c>
      <c r="M23" s="24">
        <f>'[1]Empire Electric CWR'!H40</f>
        <v>45151</v>
      </c>
      <c r="N23" s="24">
        <f t="shared" si="5"/>
        <v>-11030</v>
      </c>
      <c r="O23" s="21"/>
      <c r="P23" s="21"/>
      <c r="Q23" s="21"/>
      <c r="R23" s="21"/>
    </row>
    <row r="24" spans="1:18" x14ac:dyDescent="0.3">
      <c r="A24" s="21" t="s">
        <v>12</v>
      </c>
      <c r="B24" s="24">
        <f>'[1]Empire Gas CWR'!B38</f>
        <v>8211</v>
      </c>
      <c r="C24" s="24">
        <f>'[1]Empire Gas CWR'!B40</f>
        <v>11665</v>
      </c>
      <c r="D24" s="24">
        <f t="shared" si="3"/>
        <v>-3454</v>
      </c>
      <c r="E24" s="21"/>
      <c r="F24" s="21" t="s">
        <v>12</v>
      </c>
      <c r="G24" s="24">
        <f>'[1]Empire Gas CWR'!E38</f>
        <v>8550</v>
      </c>
      <c r="H24" s="24">
        <f>'[1]Empire Gas CWR'!E40</f>
        <v>11992</v>
      </c>
      <c r="I24" s="24">
        <f t="shared" si="4"/>
        <v>-3442</v>
      </c>
      <c r="J24" s="21"/>
      <c r="K24" s="21" t="s">
        <v>12</v>
      </c>
      <c r="L24" s="24">
        <f>'[1]Empire Gas CWR'!H38</f>
        <v>8472</v>
      </c>
      <c r="M24" s="24">
        <f>'[1]Empire Gas CWR'!H40</f>
        <v>12007</v>
      </c>
      <c r="N24" s="24">
        <f t="shared" si="5"/>
        <v>-3535</v>
      </c>
      <c r="O24" s="21"/>
      <c r="P24" s="21"/>
      <c r="Q24" s="21"/>
      <c r="R24" s="21"/>
    </row>
    <row r="25" spans="1:18" x14ac:dyDescent="0.3">
      <c r="A25" s="21" t="s">
        <v>138</v>
      </c>
      <c r="B25" s="24">
        <f>'[1]Liberty Gas CWR'!B38</f>
        <v>5432</v>
      </c>
      <c r="C25" s="24">
        <f>'[1]Liberty Gas CWR'!B40</f>
        <v>11333</v>
      </c>
      <c r="D25" s="24">
        <f t="shared" si="3"/>
        <v>-5901</v>
      </c>
      <c r="E25" s="21"/>
      <c r="F25" s="21" t="s">
        <v>138</v>
      </c>
      <c r="G25" s="24">
        <f>'[1]Liberty Gas CWR'!E38</f>
        <v>6364</v>
      </c>
      <c r="H25" s="24">
        <f>'[1]Liberty Gas CWR'!E40</f>
        <v>4348</v>
      </c>
      <c r="I25" s="24">
        <f t="shared" si="4"/>
        <v>2016</v>
      </c>
      <c r="J25" s="21"/>
      <c r="K25" s="21" t="s">
        <v>140</v>
      </c>
      <c r="L25" s="24">
        <f>'[1]Liberty Gas CWR'!H38</f>
        <v>6570.4000000000005</v>
      </c>
      <c r="M25" s="24">
        <f>'[1]Liberty Gas CWR'!H40</f>
        <v>7294</v>
      </c>
      <c r="N25" s="24">
        <f t="shared" si="5"/>
        <v>-723.59999999999945</v>
      </c>
      <c r="O25" s="21" t="s">
        <v>141</v>
      </c>
      <c r="P25" s="21"/>
      <c r="Q25" s="21"/>
      <c r="R25" s="21"/>
    </row>
    <row r="26" spans="1:18" x14ac:dyDescent="0.3">
      <c r="A26" s="21" t="s">
        <v>139</v>
      </c>
      <c r="B26" s="24">
        <f>'[1]Summit CWR'!B38</f>
        <v>1557</v>
      </c>
      <c r="C26" s="24">
        <f>'[1]Summit CWR'!B40</f>
        <v>2987</v>
      </c>
      <c r="D26" s="24">
        <f t="shared" si="3"/>
        <v>-1430</v>
      </c>
      <c r="E26" s="21"/>
      <c r="F26" s="21" t="s">
        <v>139</v>
      </c>
      <c r="G26" s="24">
        <f>'[1]Summit CWR'!E38</f>
        <v>1194</v>
      </c>
      <c r="H26" s="24">
        <f>'[1]Summit CWR'!E40</f>
        <v>2423</v>
      </c>
      <c r="I26" s="24">
        <f t="shared" si="4"/>
        <v>-1229</v>
      </c>
      <c r="J26" s="21"/>
      <c r="K26" s="21" t="s">
        <v>139</v>
      </c>
      <c r="L26" s="24">
        <f>'[1]Summit CWR'!H38</f>
        <v>1028</v>
      </c>
      <c r="M26" s="24">
        <f>'[1]Summit CWR'!H40</f>
        <v>976</v>
      </c>
      <c r="N26" s="24">
        <f t="shared" si="5"/>
        <v>52</v>
      </c>
      <c r="O26" s="21"/>
      <c r="P26" s="21"/>
      <c r="Q26" s="21"/>
      <c r="R26" s="21"/>
    </row>
    <row r="27" spans="1:18" x14ac:dyDescent="0.3">
      <c r="A27" s="21" t="s">
        <v>26</v>
      </c>
      <c r="B27" s="24">
        <f>'[1]Spire CWR'!B40</f>
        <v>47267</v>
      </c>
      <c r="C27" s="24">
        <f>'[1]Spire CWR'!D42</f>
        <v>75160</v>
      </c>
      <c r="D27" s="24">
        <f t="shared" si="3"/>
        <v>-27893</v>
      </c>
      <c r="E27" s="21"/>
      <c r="F27" s="21" t="s">
        <v>26</v>
      </c>
      <c r="G27" s="24">
        <f>'[1]Spire CWR'!G40</f>
        <v>48059</v>
      </c>
      <c r="H27" s="24">
        <f>'[1]Spire CWR'!I42</f>
        <v>70480</v>
      </c>
      <c r="I27" s="24">
        <f t="shared" si="4"/>
        <v>-22421</v>
      </c>
      <c r="J27" s="21"/>
      <c r="K27" s="21" t="s">
        <v>26</v>
      </c>
      <c r="L27" s="24">
        <f>'[1]Spire CWR'!L40</f>
        <v>101121</v>
      </c>
      <c r="M27" s="24">
        <f>'[1]Spire CWR'!N42</f>
        <v>59706</v>
      </c>
      <c r="N27" s="24">
        <f t="shared" si="5"/>
        <v>41415</v>
      </c>
      <c r="O27" s="21"/>
      <c r="P27" s="21"/>
      <c r="Q27" s="21"/>
      <c r="R27" s="21"/>
    </row>
    <row r="28" spans="1:18" x14ac:dyDescent="0.3">
      <c r="A28" s="21" t="s">
        <v>27</v>
      </c>
      <c r="B28" s="24">
        <f>'[1]Spire CWR'!C40</f>
        <v>35913</v>
      </c>
      <c r="C28" s="24">
        <f>'[1]Spire CWR'!D43</f>
        <v>60572</v>
      </c>
      <c r="D28" s="24">
        <f t="shared" si="3"/>
        <v>-24659</v>
      </c>
      <c r="E28" s="21"/>
      <c r="F28" s="21" t="s">
        <v>27</v>
      </c>
      <c r="G28" s="24">
        <f>'[1]Spire CWR'!H40</f>
        <v>44911</v>
      </c>
      <c r="H28" s="24">
        <f>'[1]Spire CWR'!I43</f>
        <v>73997</v>
      </c>
      <c r="I28" s="24">
        <f t="shared" si="4"/>
        <v>-29086</v>
      </c>
      <c r="J28" s="21"/>
      <c r="K28" s="21" t="s">
        <v>27</v>
      </c>
      <c r="L28" s="24">
        <f>'[1]Spire CWR'!M40</f>
        <v>45662</v>
      </c>
      <c r="M28" s="24">
        <f>'[1]Spire CWR'!N43</f>
        <v>63602</v>
      </c>
      <c r="N28" s="24">
        <f t="shared" si="5"/>
        <v>-17940</v>
      </c>
      <c r="O28" s="21"/>
      <c r="P28" s="21"/>
      <c r="Q28" s="21"/>
      <c r="R28" s="21"/>
    </row>
    <row r="53" spans="14:14" ht="15.6" x14ac:dyDescent="0.3">
      <c r="N53" s="53" t="s">
        <v>142</v>
      </c>
    </row>
  </sheetData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3"/>
  <sheetViews>
    <sheetView topLeftCell="C61" zoomScale="85" zoomScaleNormal="85" workbookViewId="0">
      <selection activeCell="P83" sqref="P83"/>
    </sheetView>
  </sheetViews>
  <sheetFormatPr defaultRowHeight="14.4" x14ac:dyDescent="0.3"/>
  <cols>
    <col min="1" max="1" width="23" customWidth="1"/>
    <col min="3" max="3" width="11.5546875" bestFit="1" customWidth="1"/>
    <col min="4" max="4" width="13.5546875" customWidth="1"/>
    <col min="5" max="5" width="17" customWidth="1"/>
    <col min="6" max="6" width="20.88671875" customWidth="1"/>
    <col min="7" max="7" width="22.5546875" customWidth="1"/>
    <col min="8" max="9" width="12.5546875" customWidth="1"/>
    <col min="10" max="12" width="11.6640625" customWidth="1"/>
    <col min="13" max="13" width="22.5546875" bestFit="1" customWidth="1"/>
    <col min="14" max="14" width="21.109375" bestFit="1" customWidth="1"/>
    <col min="15" max="15" width="15.33203125" customWidth="1"/>
    <col min="16" max="16" width="17.33203125" customWidth="1"/>
  </cols>
  <sheetData>
    <row r="2" spans="1:16" ht="18" x14ac:dyDescent="0.35">
      <c r="B2" s="4" t="s">
        <v>17</v>
      </c>
      <c r="C2" s="4" t="s">
        <v>5</v>
      </c>
      <c r="D2" s="4" t="s">
        <v>6</v>
      </c>
      <c r="E2" s="4" t="s">
        <v>11</v>
      </c>
      <c r="F2" s="4" t="s">
        <v>21</v>
      </c>
      <c r="G2" s="4" t="s">
        <v>19</v>
      </c>
      <c r="H2" s="4" t="s">
        <v>7</v>
      </c>
      <c r="I2" s="4"/>
      <c r="J2" s="4" t="s">
        <v>8</v>
      </c>
      <c r="K2" s="4"/>
      <c r="L2" s="4" t="s">
        <v>38</v>
      </c>
      <c r="M2" s="4" t="s">
        <v>20</v>
      </c>
      <c r="N2" s="4" t="s">
        <v>16</v>
      </c>
      <c r="O2" s="4" t="s">
        <v>1</v>
      </c>
      <c r="P2" s="4" t="s">
        <v>18</v>
      </c>
    </row>
    <row r="3" spans="1:16" ht="18" x14ac:dyDescent="0.35">
      <c r="A3" s="7" t="s">
        <v>12</v>
      </c>
      <c r="B3" s="17">
        <v>2018</v>
      </c>
      <c r="C3" s="1">
        <v>38060</v>
      </c>
      <c r="D3" s="1">
        <v>5531</v>
      </c>
      <c r="E3" s="1">
        <f>C3+D3</f>
        <v>43591</v>
      </c>
      <c r="F3" s="2">
        <v>43672558</v>
      </c>
      <c r="G3" s="2">
        <v>373565</v>
      </c>
      <c r="H3" s="1">
        <v>8957</v>
      </c>
      <c r="I3" s="3">
        <f>H3/C3</f>
        <v>0.23533893851812926</v>
      </c>
      <c r="J3" s="1">
        <v>2248</v>
      </c>
      <c r="K3" s="3">
        <f>J3/E3</f>
        <v>5.1570278268449912E-2</v>
      </c>
      <c r="L3" s="3">
        <f t="shared" ref="L3:L12" si="0">J3/C3</f>
        <v>5.906463478717814E-2</v>
      </c>
      <c r="M3" s="2">
        <v>206818</v>
      </c>
      <c r="N3" s="2">
        <v>5</v>
      </c>
      <c r="O3" s="2">
        <v>505305</v>
      </c>
      <c r="P3" s="2">
        <v>107027</v>
      </c>
    </row>
    <row r="4" spans="1:16" x14ac:dyDescent="0.3">
      <c r="B4" s="8">
        <v>2017</v>
      </c>
      <c r="C4" s="1">
        <v>38282</v>
      </c>
      <c r="D4" s="1">
        <v>5514</v>
      </c>
      <c r="E4" s="1">
        <f>C4+D4</f>
        <v>43796</v>
      </c>
      <c r="F4" s="2">
        <v>35652054</v>
      </c>
      <c r="G4" s="2">
        <v>346064</v>
      </c>
      <c r="H4" s="1">
        <v>9013</v>
      </c>
      <c r="I4" s="3">
        <f t="shared" ref="I4:I12" si="1">H4/C4</f>
        <v>0.23543702000940389</v>
      </c>
      <c r="J4" s="1">
        <v>2674</v>
      </c>
      <c r="K4" s="3">
        <f>J4/E4</f>
        <v>6.1055804183030415E-2</v>
      </c>
      <c r="L4" s="3">
        <f t="shared" si="0"/>
        <v>6.9850060080455564E-2</v>
      </c>
      <c r="M4" s="2">
        <v>147578</v>
      </c>
      <c r="N4" s="2">
        <v>4</v>
      </c>
      <c r="O4" s="2">
        <v>429898</v>
      </c>
      <c r="P4" s="2">
        <v>96838</v>
      </c>
    </row>
    <row r="5" spans="1:16" x14ac:dyDescent="0.3">
      <c r="B5" s="8">
        <v>2016</v>
      </c>
      <c r="C5" s="1">
        <v>38365</v>
      </c>
      <c r="D5" s="1">
        <v>5527</v>
      </c>
      <c r="E5" s="1">
        <f t="shared" ref="E5:E13" si="2">C5+D5</f>
        <v>43892</v>
      </c>
      <c r="F5" s="2">
        <v>36395860</v>
      </c>
      <c r="G5" s="2">
        <v>346716</v>
      </c>
      <c r="H5" s="1">
        <v>2873</v>
      </c>
      <c r="I5" s="3">
        <f t="shared" si="1"/>
        <v>7.4885963769060343E-2</v>
      </c>
      <c r="J5" s="1">
        <v>1953</v>
      </c>
      <c r="K5" s="1"/>
      <c r="L5" s="3">
        <f t="shared" si="0"/>
        <v>5.0905773491463573E-2</v>
      </c>
      <c r="M5" s="2">
        <v>272874</v>
      </c>
      <c r="N5" s="2">
        <v>7</v>
      </c>
      <c r="O5" s="2">
        <v>625252</v>
      </c>
      <c r="P5" s="2">
        <v>489134</v>
      </c>
    </row>
    <row r="6" spans="1:16" x14ac:dyDescent="0.3">
      <c r="B6" s="8">
        <v>2015</v>
      </c>
      <c r="C6" s="1">
        <v>38133</v>
      </c>
      <c r="D6" s="1">
        <v>5072</v>
      </c>
      <c r="E6" s="1">
        <f t="shared" si="2"/>
        <v>43205</v>
      </c>
      <c r="F6" s="2">
        <v>41297141</v>
      </c>
      <c r="G6" s="2">
        <v>405358</v>
      </c>
      <c r="H6" s="1">
        <v>9301</v>
      </c>
      <c r="I6" s="3">
        <f t="shared" si="1"/>
        <v>0.24390947473317073</v>
      </c>
      <c r="J6" s="1">
        <v>2364</v>
      </c>
      <c r="K6" s="1"/>
      <c r="L6" s="3">
        <f t="shared" si="0"/>
        <v>6.1993548894658169E-2</v>
      </c>
      <c r="M6" s="2">
        <v>492790</v>
      </c>
      <c r="N6" s="2">
        <v>13</v>
      </c>
      <c r="O6" s="2">
        <v>515885</v>
      </c>
      <c r="P6" s="2">
        <v>132370</v>
      </c>
    </row>
    <row r="7" spans="1:16" x14ac:dyDescent="0.3">
      <c r="B7" s="8">
        <v>2014</v>
      </c>
      <c r="C7" s="1">
        <v>38376</v>
      </c>
      <c r="D7" s="1">
        <v>5067</v>
      </c>
      <c r="E7" s="1">
        <f t="shared" si="2"/>
        <v>43443</v>
      </c>
      <c r="F7" s="2">
        <v>51406371</v>
      </c>
      <c r="G7" s="2">
        <v>435937</v>
      </c>
      <c r="H7" s="1">
        <v>9488</v>
      </c>
      <c r="I7" s="3">
        <f t="shared" si="1"/>
        <v>0.24723785699395456</v>
      </c>
      <c r="J7" s="1">
        <v>2504</v>
      </c>
      <c r="K7" s="1"/>
      <c r="L7" s="3">
        <f t="shared" si="0"/>
        <v>6.5249114029601832E-2</v>
      </c>
      <c r="M7" s="2">
        <v>464951</v>
      </c>
      <c r="N7" s="2">
        <v>12</v>
      </c>
      <c r="O7" s="2">
        <v>660527</v>
      </c>
      <c r="P7" s="2">
        <v>137971</v>
      </c>
    </row>
    <row r="8" spans="1:16" x14ac:dyDescent="0.3">
      <c r="B8" s="8">
        <v>2013</v>
      </c>
      <c r="C8" s="1">
        <v>38460</v>
      </c>
      <c r="D8" s="1">
        <v>5496</v>
      </c>
      <c r="E8" s="1">
        <f t="shared" si="2"/>
        <v>43956</v>
      </c>
      <c r="F8" s="2">
        <v>49625530</v>
      </c>
      <c r="G8" s="2">
        <v>415254</v>
      </c>
      <c r="H8" s="1">
        <v>9686</v>
      </c>
      <c r="I8" s="3">
        <f t="shared" si="1"/>
        <v>0.25184607384295371</v>
      </c>
      <c r="J8" s="1">
        <v>2321</v>
      </c>
      <c r="K8" s="1"/>
      <c r="L8" s="3">
        <f t="shared" si="0"/>
        <v>6.034841393655746E-2</v>
      </c>
      <c r="M8" s="2">
        <v>239378</v>
      </c>
      <c r="N8" s="2">
        <v>6</v>
      </c>
      <c r="O8" s="2">
        <v>455972</v>
      </c>
      <c r="P8" s="2">
        <v>94355</v>
      </c>
    </row>
    <row r="9" spans="1:16" x14ac:dyDescent="0.3">
      <c r="B9" s="8">
        <v>2012</v>
      </c>
      <c r="C9" s="1">
        <v>38512</v>
      </c>
      <c r="D9" s="1">
        <v>5479</v>
      </c>
      <c r="E9" s="1">
        <f t="shared" si="2"/>
        <v>43991</v>
      </c>
      <c r="F9" s="2">
        <v>39462552</v>
      </c>
      <c r="G9" s="2">
        <v>386300</v>
      </c>
      <c r="H9" s="1">
        <v>9595</v>
      </c>
      <c r="I9" s="3">
        <f t="shared" si="1"/>
        <v>0.24914312422102203</v>
      </c>
      <c r="J9" s="1">
        <v>1755</v>
      </c>
      <c r="K9" s="1"/>
      <c r="L9" s="3">
        <f t="shared" si="0"/>
        <v>4.5570211882010804E-2</v>
      </c>
      <c r="M9" s="2">
        <v>437627</v>
      </c>
      <c r="N9" s="2">
        <v>11.36</v>
      </c>
      <c r="O9" s="2">
        <v>484336</v>
      </c>
      <c r="P9" s="2">
        <v>149484</v>
      </c>
    </row>
    <row r="10" spans="1:16" x14ac:dyDescent="0.3">
      <c r="B10" s="8">
        <v>2011</v>
      </c>
      <c r="C10" s="1">
        <v>38596</v>
      </c>
      <c r="D10" s="1">
        <v>5486</v>
      </c>
      <c r="E10" s="1">
        <f t="shared" si="2"/>
        <v>44082</v>
      </c>
      <c r="F10" s="2">
        <v>45984065</v>
      </c>
      <c r="G10" s="2">
        <v>445883</v>
      </c>
      <c r="H10" s="1">
        <v>9510</v>
      </c>
      <c r="I10" s="3">
        <f t="shared" si="1"/>
        <v>0.24639859052751581</v>
      </c>
      <c r="J10" s="1">
        <v>2149</v>
      </c>
      <c r="K10" s="1"/>
      <c r="L10" s="3">
        <f t="shared" si="0"/>
        <v>5.5679345009845581E-2</v>
      </c>
      <c r="M10" s="2">
        <v>375616</v>
      </c>
      <c r="N10" s="2">
        <v>9.73</v>
      </c>
      <c r="O10" s="2">
        <v>778241</v>
      </c>
      <c r="P10" s="2">
        <v>112711</v>
      </c>
    </row>
    <row r="11" spans="1:16" x14ac:dyDescent="0.3">
      <c r="B11" s="8">
        <v>2010</v>
      </c>
      <c r="C11" s="1">
        <v>38979</v>
      </c>
      <c r="D11" s="1">
        <v>5508</v>
      </c>
      <c r="E11" s="1">
        <f t="shared" si="2"/>
        <v>44487</v>
      </c>
      <c r="F11" s="2">
        <v>50469561</v>
      </c>
      <c r="G11" s="2">
        <v>415528</v>
      </c>
      <c r="H11" s="1">
        <v>9654</v>
      </c>
      <c r="I11" s="3">
        <f t="shared" si="1"/>
        <v>0.24767182328946355</v>
      </c>
      <c r="J11" s="1">
        <v>2060</v>
      </c>
      <c r="K11" s="1"/>
      <c r="L11" s="3">
        <f t="shared" si="0"/>
        <v>5.2848969958182612E-2</v>
      </c>
      <c r="M11" s="2">
        <v>904832</v>
      </c>
      <c r="N11" s="2">
        <v>23.21</v>
      </c>
      <c r="O11" s="2">
        <v>694783</v>
      </c>
      <c r="P11" s="2">
        <v>50845</v>
      </c>
    </row>
    <row r="12" spans="1:16" x14ac:dyDescent="0.3">
      <c r="A12" t="s">
        <v>14</v>
      </c>
      <c r="B12" s="8">
        <v>2009</v>
      </c>
      <c r="C12" s="1">
        <v>34536</v>
      </c>
      <c r="D12" s="1">
        <v>4768</v>
      </c>
      <c r="E12" s="1">
        <f t="shared" si="2"/>
        <v>39304</v>
      </c>
      <c r="F12" s="2">
        <v>47781731</v>
      </c>
      <c r="G12" s="2">
        <v>2472513</v>
      </c>
      <c r="H12" s="1">
        <v>4999</v>
      </c>
      <c r="I12" s="3">
        <f t="shared" si="1"/>
        <v>0.14474750984479962</v>
      </c>
      <c r="J12" s="1">
        <v>994</v>
      </c>
      <c r="K12" s="3">
        <f>J12/E14</f>
        <v>2.2138577696607941E-2</v>
      </c>
      <c r="L12" s="3">
        <f t="shared" si="0"/>
        <v>2.8781561269400048E-2</v>
      </c>
      <c r="M12" s="2">
        <v>1228122</v>
      </c>
      <c r="N12" s="2">
        <v>35.56</v>
      </c>
      <c r="O12" s="2">
        <v>1248852</v>
      </c>
      <c r="P12" s="2">
        <v>0</v>
      </c>
    </row>
    <row r="13" spans="1:16" x14ac:dyDescent="0.3">
      <c r="A13" t="s">
        <v>15</v>
      </c>
      <c r="B13" s="8" t="s">
        <v>13</v>
      </c>
      <c r="C13">
        <v>4815</v>
      </c>
      <c r="D13">
        <v>780</v>
      </c>
      <c r="E13" s="1">
        <f t="shared" si="2"/>
        <v>5595</v>
      </c>
      <c r="F13" s="2">
        <v>6396924</v>
      </c>
      <c r="G13" s="2">
        <v>461962</v>
      </c>
      <c r="M13" s="2">
        <v>0</v>
      </c>
      <c r="N13" s="2">
        <v>0</v>
      </c>
      <c r="O13" s="2">
        <v>0</v>
      </c>
      <c r="P13" s="2">
        <v>0</v>
      </c>
    </row>
    <row r="14" spans="1:16" x14ac:dyDescent="0.3">
      <c r="E14" s="15">
        <f>E12+E13</f>
        <v>44899</v>
      </c>
      <c r="F14" s="18">
        <f>F13+F12</f>
        <v>54178655</v>
      </c>
    </row>
    <row r="15" spans="1:16" ht="18" x14ac:dyDescent="0.35">
      <c r="B15" s="4" t="s">
        <v>17</v>
      </c>
      <c r="C15" s="4" t="s">
        <v>5</v>
      </c>
      <c r="D15" s="4" t="s">
        <v>6</v>
      </c>
      <c r="E15" s="4" t="s">
        <v>11</v>
      </c>
      <c r="F15" s="4" t="s">
        <v>21</v>
      </c>
      <c r="G15" s="4" t="s">
        <v>19</v>
      </c>
      <c r="H15" s="4" t="s">
        <v>7</v>
      </c>
      <c r="I15" s="4"/>
      <c r="J15" s="4" t="s">
        <v>8</v>
      </c>
      <c r="K15" s="4"/>
      <c r="L15" s="4"/>
      <c r="M15" s="4" t="s">
        <v>20</v>
      </c>
      <c r="N15" s="4" t="s">
        <v>16</v>
      </c>
      <c r="O15" s="4" t="s">
        <v>1</v>
      </c>
      <c r="P15" s="4" t="s">
        <v>18</v>
      </c>
    </row>
    <row r="16" spans="1:16" ht="18" x14ac:dyDescent="0.35">
      <c r="A16" s="7" t="s">
        <v>22</v>
      </c>
      <c r="B16" s="17">
        <v>2018</v>
      </c>
      <c r="C16" s="1">
        <v>46204</v>
      </c>
      <c r="D16" s="1">
        <v>6934</v>
      </c>
      <c r="E16" s="15">
        <f>C16+D16</f>
        <v>53138</v>
      </c>
      <c r="F16" s="2">
        <v>59452400</v>
      </c>
      <c r="G16" s="2">
        <v>300</v>
      </c>
      <c r="H16" s="1">
        <v>4456</v>
      </c>
      <c r="I16" s="3">
        <f>H16/C16</f>
        <v>9.6441866505064491E-2</v>
      </c>
      <c r="J16" s="1">
        <v>3693</v>
      </c>
      <c r="K16" s="3">
        <f>J16/E16</f>
        <v>6.9498287477887763E-2</v>
      </c>
      <c r="L16" s="3">
        <f t="shared" ref="L16:L21" si="3">J16/C16</f>
        <v>7.9928144749372348E-2</v>
      </c>
      <c r="M16" s="2">
        <v>726685</v>
      </c>
      <c r="N16" s="2">
        <v>16</v>
      </c>
      <c r="O16" s="2">
        <v>1093319</v>
      </c>
      <c r="P16" s="2">
        <v>155370</v>
      </c>
    </row>
    <row r="17" spans="1:16" x14ac:dyDescent="0.3">
      <c r="B17" s="8">
        <v>2017</v>
      </c>
      <c r="C17" s="1">
        <v>46376</v>
      </c>
      <c r="D17" s="1">
        <v>6917</v>
      </c>
      <c r="E17" s="15">
        <f>C17+D17</f>
        <v>53293</v>
      </c>
      <c r="F17" s="2">
        <v>44316836</v>
      </c>
      <c r="G17" s="2">
        <v>550</v>
      </c>
      <c r="H17" s="1">
        <v>696</v>
      </c>
      <c r="I17" s="3">
        <f t="shared" ref="I17:I25" si="4">H17/C17</f>
        <v>1.5007762635846127E-2</v>
      </c>
      <c r="J17" s="1">
        <v>1517</v>
      </c>
      <c r="K17" s="3">
        <f>J17/E17</f>
        <v>2.8465276865629632E-2</v>
      </c>
      <c r="L17" s="3">
        <f t="shared" si="3"/>
        <v>3.2710884940486455E-2</v>
      </c>
      <c r="M17" s="2">
        <v>422740</v>
      </c>
      <c r="N17" s="2">
        <v>9</v>
      </c>
      <c r="O17" s="2">
        <v>1161087</v>
      </c>
      <c r="P17" s="2">
        <v>22405</v>
      </c>
    </row>
    <row r="18" spans="1:16" x14ac:dyDescent="0.3">
      <c r="B18" s="8">
        <v>2016</v>
      </c>
      <c r="C18" s="1">
        <v>46451</v>
      </c>
      <c r="D18" s="1">
        <v>6910</v>
      </c>
      <c r="E18" s="15">
        <f t="shared" ref="E18:E25" si="5">C18+D18</f>
        <v>53361</v>
      </c>
      <c r="F18" s="2">
        <v>43120415</v>
      </c>
      <c r="G18" s="2">
        <v>859</v>
      </c>
      <c r="H18" s="1">
        <v>4588</v>
      </c>
      <c r="I18" s="3">
        <f t="shared" si="4"/>
        <v>9.8770747669587308E-2</v>
      </c>
      <c r="J18" s="1">
        <v>3608</v>
      </c>
      <c r="K18" s="1"/>
      <c r="L18" s="3">
        <f t="shared" si="3"/>
        <v>7.7673247077565608E-2</v>
      </c>
      <c r="M18" s="2">
        <v>735555</v>
      </c>
      <c r="N18" s="2">
        <v>16</v>
      </c>
      <c r="O18" s="2">
        <v>1316692</v>
      </c>
      <c r="P18" s="2">
        <v>60348</v>
      </c>
    </row>
    <row r="19" spans="1:16" x14ac:dyDescent="0.3">
      <c r="B19" s="8">
        <v>2015</v>
      </c>
      <c r="C19" s="1">
        <v>46231</v>
      </c>
      <c r="D19" s="1">
        <v>6878</v>
      </c>
      <c r="E19" s="15">
        <f t="shared" si="5"/>
        <v>53109</v>
      </c>
      <c r="F19" s="2">
        <v>52852305</v>
      </c>
      <c r="G19" s="2">
        <v>1454</v>
      </c>
      <c r="H19" s="1">
        <v>5063</v>
      </c>
      <c r="I19" s="3">
        <f t="shared" si="4"/>
        <v>0.10951526032315978</v>
      </c>
      <c r="J19" s="1">
        <v>6270</v>
      </c>
      <c r="K19" s="1"/>
      <c r="L19" s="3">
        <f t="shared" si="3"/>
        <v>0.13562328307845384</v>
      </c>
      <c r="M19" s="2">
        <v>932078</v>
      </c>
      <c r="N19" s="2">
        <v>20</v>
      </c>
      <c r="O19" s="2">
        <v>1383623</v>
      </c>
      <c r="P19" s="2">
        <v>175773</v>
      </c>
    </row>
    <row r="20" spans="1:16" x14ac:dyDescent="0.3">
      <c r="B20" s="8">
        <v>2014</v>
      </c>
      <c r="C20" s="1">
        <v>46786</v>
      </c>
      <c r="D20" s="1">
        <v>6921</v>
      </c>
      <c r="E20" s="15">
        <f t="shared" si="5"/>
        <v>53707</v>
      </c>
      <c r="F20" s="2">
        <v>59313971</v>
      </c>
      <c r="G20" s="2">
        <v>550</v>
      </c>
      <c r="H20" s="1">
        <v>2363</v>
      </c>
      <c r="I20" s="3">
        <f t="shared" si="4"/>
        <v>5.0506561791989056E-2</v>
      </c>
      <c r="J20" s="1">
        <v>1985</v>
      </c>
      <c r="K20" s="1"/>
      <c r="L20" s="3">
        <f t="shared" si="3"/>
        <v>4.2427221818492712E-2</v>
      </c>
      <c r="M20" s="2">
        <v>809019</v>
      </c>
      <c r="N20" s="2">
        <v>17.29</v>
      </c>
      <c r="O20" s="2">
        <v>1334196</v>
      </c>
      <c r="P20" s="2">
        <v>245915</v>
      </c>
    </row>
    <row r="21" spans="1:16" x14ac:dyDescent="0.3">
      <c r="B21" s="8">
        <v>2013</v>
      </c>
      <c r="C21" s="1">
        <v>47679</v>
      </c>
      <c r="D21" s="1">
        <v>6926</v>
      </c>
      <c r="E21" s="15">
        <f t="shared" si="5"/>
        <v>54605</v>
      </c>
      <c r="F21" s="2">
        <v>51494755</v>
      </c>
      <c r="G21" s="2">
        <v>100</v>
      </c>
      <c r="H21" s="1">
        <v>4349</v>
      </c>
      <c r="I21" s="3">
        <f t="shared" si="4"/>
        <v>9.1214161370834115E-2</v>
      </c>
      <c r="J21" s="1">
        <v>2945</v>
      </c>
      <c r="K21" s="1"/>
      <c r="L21" s="3">
        <f t="shared" si="3"/>
        <v>6.17672350510707E-2</v>
      </c>
      <c r="M21" s="2">
        <v>188855</v>
      </c>
      <c r="N21" s="2">
        <v>3.96</v>
      </c>
      <c r="O21" s="2">
        <v>3208684</v>
      </c>
      <c r="P21" s="2">
        <v>34339</v>
      </c>
    </row>
    <row r="22" spans="1:16" x14ac:dyDescent="0.3">
      <c r="B22" s="8">
        <v>2012</v>
      </c>
      <c r="C22" s="10">
        <v>0</v>
      </c>
      <c r="D22" s="10">
        <v>0</v>
      </c>
      <c r="E22" s="15">
        <f t="shared" si="5"/>
        <v>0</v>
      </c>
      <c r="F22" s="2">
        <v>41474802</v>
      </c>
      <c r="G22" s="2">
        <v>0</v>
      </c>
      <c r="H22" s="1">
        <v>5966</v>
      </c>
      <c r="I22" s="3" t="e">
        <f t="shared" si="4"/>
        <v>#DIV/0!</v>
      </c>
      <c r="J22" s="1">
        <v>842</v>
      </c>
      <c r="K22" s="1"/>
      <c r="L22" s="3">
        <v>0</v>
      </c>
      <c r="M22" s="2">
        <v>114408</v>
      </c>
      <c r="N22" s="2">
        <v>0</v>
      </c>
      <c r="O22" s="2">
        <v>500437</v>
      </c>
      <c r="P22" s="2">
        <v>10228</v>
      </c>
    </row>
    <row r="23" spans="1:16" ht="18" x14ac:dyDescent="0.35">
      <c r="A23" s="7" t="s">
        <v>23</v>
      </c>
      <c r="B23" s="8">
        <v>2011</v>
      </c>
      <c r="C23" s="1">
        <v>48881</v>
      </c>
      <c r="D23" s="1">
        <v>6827</v>
      </c>
      <c r="E23" s="15">
        <f t="shared" si="5"/>
        <v>55708</v>
      </c>
      <c r="F23" s="2">
        <v>51197244</v>
      </c>
      <c r="G23" s="2">
        <v>2340512</v>
      </c>
      <c r="H23" s="1">
        <v>6148</v>
      </c>
      <c r="I23" s="3">
        <f t="shared" si="4"/>
        <v>0.12577484094024263</v>
      </c>
      <c r="J23" s="1">
        <v>3336</v>
      </c>
      <c r="K23" s="1"/>
      <c r="L23" s="3">
        <f>J23/C23</f>
        <v>6.8247376281172639E-2</v>
      </c>
      <c r="M23" s="2">
        <v>689764</v>
      </c>
      <c r="N23" s="2">
        <v>14.11</v>
      </c>
      <c r="O23" s="2">
        <v>1612548</v>
      </c>
      <c r="P23" s="2">
        <v>368067</v>
      </c>
    </row>
    <row r="24" spans="1:16" x14ac:dyDescent="0.3">
      <c r="B24" s="8">
        <v>2010</v>
      </c>
      <c r="C24" s="1">
        <v>49726</v>
      </c>
      <c r="D24" s="1">
        <v>6832</v>
      </c>
      <c r="E24" s="15">
        <f t="shared" si="5"/>
        <v>56558</v>
      </c>
      <c r="F24" s="2">
        <v>44346804</v>
      </c>
      <c r="G24" s="2">
        <v>1934707</v>
      </c>
      <c r="H24" s="1">
        <v>11094</v>
      </c>
      <c r="I24" s="3">
        <f t="shared" si="4"/>
        <v>0.22310260226038692</v>
      </c>
      <c r="J24" s="1">
        <v>2517</v>
      </c>
      <c r="K24" s="1"/>
      <c r="L24" s="3">
        <f>J24/C24</f>
        <v>5.0617383260266262E-2</v>
      </c>
      <c r="M24" s="2">
        <v>410771</v>
      </c>
      <c r="N24" s="2">
        <v>8.26</v>
      </c>
      <c r="O24" s="2">
        <v>1491100</v>
      </c>
      <c r="P24" s="2">
        <v>8495</v>
      </c>
    </row>
    <row r="25" spans="1:16" x14ac:dyDescent="0.3">
      <c r="B25" s="8">
        <v>2009</v>
      </c>
      <c r="C25" s="1">
        <v>49582</v>
      </c>
      <c r="D25" s="1">
        <v>6845</v>
      </c>
      <c r="E25" s="15">
        <f t="shared" si="5"/>
        <v>56427</v>
      </c>
      <c r="F25" s="2">
        <v>54153889</v>
      </c>
      <c r="G25" s="2">
        <v>1969037</v>
      </c>
      <c r="H25" s="1">
        <v>11199</v>
      </c>
      <c r="I25" s="3">
        <f t="shared" si="4"/>
        <v>0.22586825864224921</v>
      </c>
      <c r="J25" s="1">
        <v>3488</v>
      </c>
      <c r="K25" s="3">
        <f>J25/E25</f>
        <v>6.1814379640952023E-2</v>
      </c>
      <c r="L25" s="3">
        <f>J25/C25</f>
        <v>7.0348110201282718E-2</v>
      </c>
      <c r="M25" s="2">
        <v>901079</v>
      </c>
      <c r="N25" s="2">
        <v>18.170000000000002</v>
      </c>
      <c r="O25" s="2">
        <v>2703940</v>
      </c>
      <c r="P25" s="2">
        <v>5461</v>
      </c>
    </row>
    <row r="26" spans="1:16" x14ac:dyDescent="0.3">
      <c r="C26" s="1"/>
    </row>
    <row r="27" spans="1:16" ht="18" x14ac:dyDescent="0.35">
      <c r="B27" s="4" t="s">
        <v>17</v>
      </c>
      <c r="C27" s="4" t="s">
        <v>5</v>
      </c>
      <c r="D27" s="4" t="s">
        <v>6</v>
      </c>
      <c r="E27" s="4" t="s">
        <v>11</v>
      </c>
      <c r="F27" s="4" t="s">
        <v>21</v>
      </c>
      <c r="G27" s="4" t="s">
        <v>19</v>
      </c>
      <c r="H27" s="4" t="s">
        <v>7</v>
      </c>
      <c r="I27" s="4"/>
      <c r="J27" s="4" t="s">
        <v>8</v>
      </c>
      <c r="K27" s="4"/>
      <c r="L27" s="4"/>
      <c r="M27" s="4" t="s">
        <v>20</v>
      </c>
      <c r="N27" s="4" t="s">
        <v>16</v>
      </c>
      <c r="O27" s="4" t="s">
        <v>1</v>
      </c>
      <c r="P27" s="4" t="s">
        <v>18</v>
      </c>
    </row>
    <row r="28" spans="1:16" ht="18" x14ac:dyDescent="0.35">
      <c r="A28" s="7" t="s">
        <v>24</v>
      </c>
      <c r="B28" s="5">
        <v>2018</v>
      </c>
      <c r="C28" s="1">
        <v>15495</v>
      </c>
      <c r="D28" s="1">
        <v>3363</v>
      </c>
      <c r="E28" s="15">
        <f>C28+D28</f>
        <v>18858</v>
      </c>
      <c r="F28" s="2">
        <v>34797873</v>
      </c>
      <c r="H28" s="1">
        <v>2796</v>
      </c>
      <c r="I28" s="3">
        <f>H28/C28</f>
        <v>0.18044530493707647</v>
      </c>
      <c r="J28" s="1">
        <v>0</v>
      </c>
      <c r="K28" s="1"/>
      <c r="L28" s="1"/>
      <c r="M28" s="2">
        <v>342960</v>
      </c>
      <c r="N28" s="2">
        <v>22</v>
      </c>
      <c r="O28" s="2">
        <v>383544</v>
      </c>
      <c r="P28" s="2">
        <v>0</v>
      </c>
    </row>
    <row r="29" spans="1:16" x14ac:dyDescent="0.3">
      <c r="B29" s="8">
        <v>2017</v>
      </c>
      <c r="C29" s="1">
        <v>15104</v>
      </c>
      <c r="D29" s="1">
        <v>3268</v>
      </c>
      <c r="E29" s="15">
        <f t="shared" ref="E29:E37" si="6">C29+D29</f>
        <v>18372</v>
      </c>
      <c r="F29" s="2">
        <v>28429649</v>
      </c>
      <c r="H29" s="1">
        <v>2977</v>
      </c>
      <c r="I29" s="3">
        <f t="shared" ref="I29:I37" si="7">H29/C29</f>
        <v>0.1971001059322034</v>
      </c>
      <c r="J29" s="1">
        <v>0</v>
      </c>
      <c r="K29" s="1"/>
      <c r="L29" s="3"/>
      <c r="M29" s="2">
        <v>249275</v>
      </c>
      <c r="N29" s="2">
        <v>17</v>
      </c>
      <c r="O29" s="2">
        <v>198878</v>
      </c>
      <c r="P29" s="2">
        <v>0</v>
      </c>
    </row>
    <row r="30" spans="1:16" x14ac:dyDescent="0.3">
      <c r="B30" s="8">
        <v>2016</v>
      </c>
      <c r="C30" s="1">
        <v>15518</v>
      </c>
      <c r="D30" s="1">
        <v>3302</v>
      </c>
      <c r="E30" s="15">
        <f t="shared" si="6"/>
        <v>18820</v>
      </c>
      <c r="F30" s="2">
        <v>28650967</v>
      </c>
      <c r="G30" s="15">
        <v>0</v>
      </c>
      <c r="H30" s="1">
        <v>3241</v>
      </c>
      <c r="I30" s="3">
        <f t="shared" si="7"/>
        <v>0.20885423379301457</v>
      </c>
      <c r="J30" s="1">
        <v>0</v>
      </c>
      <c r="K30" s="1"/>
      <c r="L30" s="3"/>
      <c r="M30" s="2">
        <v>286292</v>
      </c>
      <c r="N30" s="2">
        <v>18</v>
      </c>
      <c r="O30" s="2">
        <v>209234</v>
      </c>
      <c r="P30" s="2">
        <v>0</v>
      </c>
    </row>
    <row r="31" spans="1:16" x14ac:dyDescent="0.3">
      <c r="B31" s="8">
        <v>2015</v>
      </c>
      <c r="C31" s="1">
        <v>15447</v>
      </c>
      <c r="D31" s="1">
        <v>3313</v>
      </c>
      <c r="E31" s="15">
        <f t="shared" si="6"/>
        <v>18760</v>
      </c>
      <c r="F31" s="2">
        <v>32959358</v>
      </c>
      <c r="G31" s="15">
        <v>0</v>
      </c>
      <c r="H31" s="1">
        <v>1517</v>
      </c>
      <c r="I31" s="3">
        <f t="shared" si="7"/>
        <v>9.8206771541399618E-2</v>
      </c>
      <c r="J31" s="1">
        <v>1470</v>
      </c>
      <c r="K31" s="1"/>
      <c r="L31" s="3">
        <f>J31/C31</f>
        <v>9.5164109535832195E-2</v>
      </c>
      <c r="M31" s="2">
        <v>970426</v>
      </c>
      <c r="N31" s="2">
        <v>63</v>
      </c>
      <c r="O31" s="2">
        <v>253519</v>
      </c>
      <c r="P31" s="2">
        <v>0</v>
      </c>
    </row>
    <row r="32" spans="1:16" x14ac:dyDescent="0.3">
      <c r="B32" s="8">
        <v>2014</v>
      </c>
      <c r="C32" s="1">
        <v>16530</v>
      </c>
      <c r="D32" s="1">
        <v>3448</v>
      </c>
      <c r="E32" s="15">
        <f t="shared" si="6"/>
        <v>19978</v>
      </c>
      <c r="F32" s="2">
        <v>30420671</v>
      </c>
      <c r="G32" s="15">
        <v>0</v>
      </c>
      <c r="H32" s="1">
        <v>1305</v>
      </c>
      <c r="I32" s="3">
        <f t="shared" si="7"/>
        <v>7.8947368421052627E-2</v>
      </c>
      <c r="J32" s="1">
        <v>1118</v>
      </c>
      <c r="K32" s="1"/>
      <c r="L32" s="3">
        <f>J32/C32</f>
        <v>6.7634603750756195E-2</v>
      </c>
      <c r="M32" s="2">
        <v>403339</v>
      </c>
      <c r="N32" s="2">
        <v>24</v>
      </c>
      <c r="O32" s="2">
        <v>255756</v>
      </c>
      <c r="P32" s="2">
        <v>0</v>
      </c>
    </row>
    <row r="33" spans="1:16" x14ac:dyDescent="0.3">
      <c r="B33" s="8">
        <v>2013</v>
      </c>
      <c r="C33" s="1">
        <v>9643</v>
      </c>
      <c r="D33" s="1">
        <v>7637</v>
      </c>
      <c r="E33" s="15">
        <f t="shared" si="6"/>
        <v>17280</v>
      </c>
      <c r="F33" s="2">
        <v>24719536</v>
      </c>
      <c r="G33" s="15">
        <v>0</v>
      </c>
      <c r="H33" s="1">
        <v>109</v>
      </c>
      <c r="I33" s="3">
        <f t="shared" si="7"/>
        <v>1.1303536243907498E-2</v>
      </c>
      <c r="J33" s="1">
        <v>867</v>
      </c>
      <c r="K33" s="1"/>
      <c r="L33" s="3">
        <f>J33/C33</f>
        <v>8.9909779114383484E-2</v>
      </c>
      <c r="M33" s="2">
        <v>265882</v>
      </c>
      <c r="N33" s="2">
        <v>28</v>
      </c>
      <c r="O33" s="2">
        <v>236406</v>
      </c>
      <c r="P33" s="2">
        <v>0</v>
      </c>
    </row>
    <row r="34" spans="1:16" x14ac:dyDescent="0.3">
      <c r="B34" s="8">
        <v>2012</v>
      </c>
      <c r="C34" s="1">
        <v>7268</v>
      </c>
      <c r="D34" s="1">
        <v>6658</v>
      </c>
      <c r="E34" s="15">
        <f t="shared" si="6"/>
        <v>13926</v>
      </c>
      <c r="F34" s="2">
        <v>19183011</v>
      </c>
      <c r="G34" s="15">
        <v>0</v>
      </c>
      <c r="H34" s="1">
        <v>914</v>
      </c>
      <c r="I34" s="3">
        <f t="shared" si="7"/>
        <v>0.12575674188222344</v>
      </c>
      <c r="J34" s="1">
        <v>0</v>
      </c>
      <c r="K34" s="1"/>
      <c r="L34" s="1"/>
      <c r="M34" s="2">
        <v>217347</v>
      </c>
      <c r="N34" s="2">
        <v>29.9</v>
      </c>
      <c r="O34" s="2">
        <v>224234</v>
      </c>
      <c r="P34" s="2">
        <v>0</v>
      </c>
    </row>
    <row r="35" spans="1:16" ht="18" x14ac:dyDescent="0.35">
      <c r="A35" s="14" t="s">
        <v>34</v>
      </c>
      <c r="B35" s="8">
        <v>2011</v>
      </c>
      <c r="C35" s="1">
        <v>6280</v>
      </c>
      <c r="D35" s="1">
        <v>4482</v>
      </c>
      <c r="E35" s="15">
        <f t="shared" si="6"/>
        <v>10762</v>
      </c>
      <c r="F35" s="2">
        <v>14479661</v>
      </c>
      <c r="G35" s="15">
        <v>0</v>
      </c>
      <c r="H35" s="1">
        <v>0</v>
      </c>
      <c r="I35" s="3">
        <f t="shared" si="7"/>
        <v>0</v>
      </c>
      <c r="J35" s="1">
        <v>0</v>
      </c>
      <c r="K35" s="1"/>
      <c r="L35" s="1"/>
      <c r="M35" s="2">
        <v>138246</v>
      </c>
      <c r="N35" s="2">
        <v>22.01</v>
      </c>
      <c r="O35" s="2">
        <v>232406</v>
      </c>
      <c r="P35" s="2">
        <v>0</v>
      </c>
    </row>
    <row r="36" spans="1:16" x14ac:dyDescent="0.3">
      <c r="B36" s="8">
        <v>2010</v>
      </c>
      <c r="C36" s="1">
        <v>7883</v>
      </c>
      <c r="D36" s="1">
        <v>1013</v>
      </c>
      <c r="E36" s="15">
        <f t="shared" si="6"/>
        <v>8896</v>
      </c>
      <c r="F36" s="2">
        <v>10378223</v>
      </c>
      <c r="G36" s="2">
        <v>941110</v>
      </c>
      <c r="H36" s="1">
        <v>198</v>
      </c>
      <c r="I36" s="3">
        <f t="shared" si="7"/>
        <v>2.5117341113789167E-2</v>
      </c>
      <c r="J36" s="1">
        <v>665</v>
      </c>
      <c r="K36" s="1"/>
      <c r="L36" s="3">
        <f>J36/C36</f>
        <v>8.4358746670049473E-2</v>
      </c>
      <c r="M36" s="2">
        <v>93635</v>
      </c>
      <c r="N36" s="2">
        <v>11.88</v>
      </c>
      <c r="O36" s="2">
        <v>191613</v>
      </c>
      <c r="P36" s="2">
        <v>0</v>
      </c>
    </row>
    <row r="37" spans="1:16" x14ac:dyDescent="0.3">
      <c r="B37" s="8">
        <v>2009</v>
      </c>
      <c r="C37" s="1">
        <v>6990</v>
      </c>
      <c r="D37" s="1">
        <v>899</v>
      </c>
      <c r="E37" s="15">
        <f t="shared" si="6"/>
        <v>7889</v>
      </c>
      <c r="F37" s="2">
        <v>9039114</v>
      </c>
      <c r="G37" s="2">
        <v>332945</v>
      </c>
      <c r="H37" s="1">
        <v>693</v>
      </c>
      <c r="I37" s="3">
        <f t="shared" si="7"/>
        <v>9.9141630901287553E-2</v>
      </c>
      <c r="J37">
        <v>21</v>
      </c>
      <c r="K37" s="19">
        <f>J37/E37</f>
        <v>2.6619343389529724E-3</v>
      </c>
      <c r="L37" s="3">
        <f>J37/C37</f>
        <v>3.0042918454935624E-3</v>
      </c>
      <c r="M37" s="2">
        <v>115874</v>
      </c>
      <c r="N37" s="2">
        <v>0</v>
      </c>
      <c r="O37" s="2">
        <v>204103</v>
      </c>
      <c r="P37" s="2">
        <v>0</v>
      </c>
    </row>
    <row r="39" spans="1:16" ht="18" x14ac:dyDescent="0.35">
      <c r="B39" s="4" t="s">
        <v>17</v>
      </c>
      <c r="C39" s="4" t="s">
        <v>5</v>
      </c>
      <c r="D39" s="4" t="s">
        <v>6</v>
      </c>
      <c r="E39" s="4" t="s">
        <v>11</v>
      </c>
      <c r="F39" s="4" t="s">
        <v>21</v>
      </c>
      <c r="G39" s="4" t="s">
        <v>19</v>
      </c>
      <c r="H39" s="4" t="s">
        <v>7</v>
      </c>
      <c r="I39" s="4"/>
      <c r="J39" s="4" t="s">
        <v>8</v>
      </c>
      <c r="K39" s="4"/>
      <c r="L39" s="4"/>
      <c r="M39" s="4" t="s">
        <v>20</v>
      </c>
      <c r="N39" s="4" t="s">
        <v>16</v>
      </c>
      <c r="O39" s="4" t="s">
        <v>1</v>
      </c>
      <c r="P39" s="4" t="s">
        <v>18</v>
      </c>
    </row>
    <row r="40" spans="1:16" ht="18" x14ac:dyDescent="0.35">
      <c r="A40" s="7" t="s">
        <v>40</v>
      </c>
      <c r="B40" s="5">
        <v>2018</v>
      </c>
      <c r="C40" s="1">
        <v>118734</v>
      </c>
      <c r="D40" s="1">
        <v>13719</v>
      </c>
      <c r="E40" s="15">
        <f>C40+D40</f>
        <v>132453</v>
      </c>
      <c r="F40" s="2">
        <v>124163580</v>
      </c>
      <c r="G40" s="2">
        <v>6856682</v>
      </c>
      <c r="H40" s="1">
        <v>37991</v>
      </c>
      <c r="I40" s="3">
        <f>H40/C40</f>
        <v>0.31996732191284721</v>
      </c>
      <c r="J40" s="1">
        <v>556</v>
      </c>
      <c r="K40" s="3">
        <f>J40/E40</f>
        <v>4.197715416034367E-3</v>
      </c>
      <c r="L40" s="3">
        <f t="shared" ref="L40:L49" si="8">J40/C40</f>
        <v>4.6827362002459282E-3</v>
      </c>
      <c r="M40" s="2">
        <v>775405</v>
      </c>
      <c r="N40" s="2">
        <v>7</v>
      </c>
      <c r="O40" s="2">
        <v>676960</v>
      </c>
      <c r="P40" s="2">
        <v>91010</v>
      </c>
    </row>
    <row r="41" spans="1:16" x14ac:dyDescent="0.3">
      <c r="B41" s="8">
        <v>2017</v>
      </c>
      <c r="C41" s="1">
        <v>117969</v>
      </c>
      <c r="D41" s="1">
        <v>13588</v>
      </c>
      <c r="E41" s="15">
        <f t="shared" ref="E41:E48" si="9">C41+D41</f>
        <v>131557</v>
      </c>
      <c r="F41" s="2">
        <v>106095857</v>
      </c>
      <c r="G41" s="2">
        <v>13889570</v>
      </c>
      <c r="H41" s="1">
        <v>31212</v>
      </c>
      <c r="I41" s="3">
        <f t="shared" ref="I41:I49" si="10">H41/C41</f>
        <v>0.2645779823512957</v>
      </c>
      <c r="J41" s="1">
        <v>540</v>
      </c>
      <c r="K41" s="3">
        <f>J41/E41</f>
        <v>4.104684661401522E-3</v>
      </c>
      <c r="L41" s="3">
        <f t="shared" si="8"/>
        <v>4.5774737431020012E-3</v>
      </c>
      <c r="M41" s="2">
        <v>570677</v>
      </c>
      <c r="N41" s="2">
        <v>5</v>
      </c>
      <c r="O41" s="2">
        <v>550688</v>
      </c>
      <c r="P41" s="2">
        <v>95413</v>
      </c>
    </row>
    <row r="42" spans="1:16" x14ac:dyDescent="0.3">
      <c r="B42" s="8">
        <v>2016</v>
      </c>
      <c r="C42" s="1">
        <v>116993</v>
      </c>
      <c r="D42" s="1">
        <v>13479</v>
      </c>
      <c r="E42" s="15">
        <f t="shared" si="9"/>
        <v>130472</v>
      </c>
      <c r="F42" s="2">
        <v>105355070</v>
      </c>
      <c r="G42" s="2">
        <v>16656419</v>
      </c>
      <c r="H42" s="1">
        <v>42576</v>
      </c>
      <c r="I42" s="3">
        <f t="shared" si="10"/>
        <v>0.3639192088415546</v>
      </c>
      <c r="J42" s="1">
        <v>865</v>
      </c>
      <c r="K42" s="1"/>
      <c r="L42" s="3">
        <f t="shared" si="8"/>
        <v>7.393604745583069E-3</v>
      </c>
      <c r="M42" s="2">
        <v>585580</v>
      </c>
      <c r="N42" s="2">
        <v>5</v>
      </c>
      <c r="O42" s="2">
        <v>1941647</v>
      </c>
      <c r="P42" s="2">
        <v>779942</v>
      </c>
    </row>
    <row r="43" spans="1:16" x14ac:dyDescent="0.3">
      <c r="B43" s="8">
        <v>2015</v>
      </c>
      <c r="C43" s="1">
        <v>116006</v>
      </c>
      <c r="D43" s="1">
        <v>13411</v>
      </c>
      <c r="E43" s="15">
        <f t="shared" si="9"/>
        <v>129417</v>
      </c>
      <c r="F43" s="2">
        <v>116430832</v>
      </c>
      <c r="G43" s="2">
        <v>13434716</v>
      </c>
      <c r="H43" s="1">
        <v>39516</v>
      </c>
      <c r="I43" s="3">
        <f t="shared" si="10"/>
        <v>0.34063755323000533</v>
      </c>
      <c r="J43" s="1">
        <v>689</v>
      </c>
      <c r="K43" s="1"/>
      <c r="L43" s="3">
        <f t="shared" si="8"/>
        <v>5.9393479647604436E-3</v>
      </c>
      <c r="M43" s="2">
        <v>1055854</v>
      </c>
      <c r="N43" s="2">
        <v>9</v>
      </c>
      <c r="O43" s="2">
        <v>2511610</v>
      </c>
      <c r="P43" s="2">
        <v>500389</v>
      </c>
    </row>
    <row r="44" spans="1:16" x14ac:dyDescent="0.3">
      <c r="B44" s="8">
        <v>2014</v>
      </c>
      <c r="C44" s="1">
        <v>115583</v>
      </c>
      <c r="D44" s="1">
        <v>13452</v>
      </c>
      <c r="E44" s="15">
        <f t="shared" si="9"/>
        <v>129035</v>
      </c>
      <c r="F44" s="2">
        <v>148628280</v>
      </c>
      <c r="G44" s="2">
        <v>15408866</v>
      </c>
      <c r="H44" s="1">
        <v>60800</v>
      </c>
      <c r="I44" s="3">
        <f t="shared" si="10"/>
        <v>0.52602891428670306</v>
      </c>
      <c r="J44" s="1">
        <v>495</v>
      </c>
      <c r="K44" s="1"/>
      <c r="L44" s="3">
        <f t="shared" si="8"/>
        <v>4.2826367199328618E-3</v>
      </c>
      <c r="M44" s="2">
        <v>1573426</v>
      </c>
      <c r="N44" s="2">
        <v>14</v>
      </c>
      <c r="O44" s="2">
        <v>2340219</v>
      </c>
      <c r="P44" s="2">
        <v>536706</v>
      </c>
    </row>
    <row r="45" spans="1:16" x14ac:dyDescent="0.3">
      <c r="B45" s="8">
        <v>2013</v>
      </c>
      <c r="C45" s="1">
        <v>115185</v>
      </c>
      <c r="D45" s="1">
        <v>13401</v>
      </c>
      <c r="E45" s="15">
        <f t="shared" si="9"/>
        <v>128586</v>
      </c>
      <c r="F45" s="2">
        <v>152130954</v>
      </c>
      <c r="G45" s="2">
        <v>8495585</v>
      </c>
      <c r="H45" s="1">
        <v>39304</v>
      </c>
      <c r="I45" s="3">
        <f t="shared" si="10"/>
        <v>0.3412249858922603</v>
      </c>
      <c r="J45" s="1">
        <v>977</v>
      </c>
      <c r="K45" s="1"/>
      <c r="L45" s="3">
        <f t="shared" si="8"/>
        <v>8.4820072057993669E-3</v>
      </c>
      <c r="M45" s="2">
        <v>1630178</v>
      </c>
      <c r="N45" s="2">
        <v>14</v>
      </c>
      <c r="O45" s="2">
        <v>2266369</v>
      </c>
      <c r="P45" s="2">
        <v>322056</v>
      </c>
    </row>
    <row r="46" spans="1:16" x14ac:dyDescent="0.3">
      <c r="B46" s="8">
        <v>2012</v>
      </c>
      <c r="C46" s="1">
        <v>114332</v>
      </c>
      <c r="D46" s="1">
        <v>13366</v>
      </c>
      <c r="E46" s="15">
        <f t="shared" si="9"/>
        <v>127698</v>
      </c>
      <c r="F46" s="2">
        <v>128962518</v>
      </c>
      <c r="G46" s="2">
        <v>10398419</v>
      </c>
      <c r="H46" s="1">
        <v>32052</v>
      </c>
      <c r="I46" s="3">
        <f t="shared" si="10"/>
        <v>0.28034146170800828</v>
      </c>
      <c r="J46" s="1">
        <v>775</v>
      </c>
      <c r="K46" s="1"/>
      <c r="L46" s="3">
        <f t="shared" si="8"/>
        <v>6.7785047055942344E-3</v>
      </c>
      <c r="M46" s="2">
        <v>3209443</v>
      </c>
      <c r="N46" s="2">
        <v>28.07</v>
      </c>
      <c r="O46" s="2">
        <v>2780383</v>
      </c>
      <c r="P46" s="2">
        <v>514102</v>
      </c>
    </row>
    <row r="47" spans="1:16" x14ac:dyDescent="0.3">
      <c r="B47" s="8">
        <v>2011</v>
      </c>
      <c r="C47" s="1">
        <v>114201</v>
      </c>
      <c r="D47" s="1">
        <v>13275</v>
      </c>
      <c r="E47" s="15">
        <f t="shared" si="9"/>
        <v>127476</v>
      </c>
      <c r="F47" s="2">
        <v>145816518</v>
      </c>
      <c r="G47" s="2">
        <v>10645789</v>
      </c>
      <c r="H47" s="1">
        <v>30766</v>
      </c>
      <c r="I47" s="3">
        <f t="shared" si="10"/>
        <v>0.26940219437658164</v>
      </c>
      <c r="J47" s="1">
        <v>1442</v>
      </c>
      <c r="K47" s="1"/>
      <c r="L47" s="3">
        <f t="shared" si="8"/>
        <v>1.262685965972277E-2</v>
      </c>
      <c r="M47" s="2">
        <v>3870153</v>
      </c>
      <c r="N47" s="2">
        <v>33.89</v>
      </c>
      <c r="O47" s="2">
        <v>5189843</v>
      </c>
      <c r="P47" s="2">
        <v>1861451</v>
      </c>
    </row>
    <row r="48" spans="1:16" x14ac:dyDescent="0.3">
      <c r="B48" s="8">
        <v>2010</v>
      </c>
      <c r="C48" s="1">
        <v>114218</v>
      </c>
      <c r="D48" s="1">
        <v>13253</v>
      </c>
      <c r="E48" s="15">
        <f t="shared" si="9"/>
        <v>127471</v>
      </c>
      <c r="F48" s="2">
        <v>152570212</v>
      </c>
      <c r="G48" s="2">
        <v>12974216</v>
      </c>
      <c r="H48" s="10">
        <v>70600</v>
      </c>
      <c r="I48" s="20">
        <f t="shared" si="10"/>
        <v>0.61811623386856718</v>
      </c>
      <c r="J48" s="10">
        <v>23254</v>
      </c>
      <c r="K48" s="10"/>
      <c r="L48" s="20">
        <f t="shared" si="8"/>
        <v>0.20359312892889037</v>
      </c>
      <c r="M48" s="2">
        <v>1826660</v>
      </c>
      <c r="N48" s="2">
        <v>15.99</v>
      </c>
      <c r="O48" s="2">
        <v>5618574</v>
      </c>
      <c r="P48" s="2">
        <v>1012608</v>
      </c>
    </row>
    <row r="49" spans="1:16" x14ac:dyDescent="0.3">
      <c r="B49" s="8">
        <v>2009</v>
      </c>
      <c r="C49" s="1">
        <v>113732</v>
      </c>
      <c r="D49" s="1">
        <v>13300</v>
      </c>
      <c r="E49" s="15">
        <f>C49+D49</f>
        <v>127032</v>
      </c>
      <c r="F49" s="2">
        <v>163105731</v>
      </c>
      <c r="G49" s="2">
        <v>72235222</v>
      </c>
      <c r="H49" s="1">
        <v>12871</v>
      </c>
      <c r="I49" s="3">
        <f t="shared" si="10"/>
        <v>0.11316955650124855</v>
      </c>
      <c r="J49" s="1">
        <v>2061</v>
      </c>
      <c r="K49" s="3">
        <f>J49/E49</f>
        <v>1.6224258454562629E-2</v>
      </c>
      <c r="L49" s="3">
        <f t="shared" si="8"/>
        <v>1.8121548904442022E-2</v>
      </c>
      <c r="M49" s="2">
        <v>2218090</v>
      </c>
      <c r="N49" s="2">
        <v>19.5</v>
      </c>
      <c r="O49" s="2">
        <v>1997010</v>
      </c>
      <c r="P49" s="2">
        <v>1228202</v>
      </c>
    </row>
    <row r="51" spans="1:16" ht="18" x14ac:dyDescent="0.35">
      <c r="B51" s="4" t="s">
        <v>17</v>
      </c>
      <c r="C51" s="4" t="s">
        <v>5</v>
      </c>
      <c r="D51" s="4" t="s">
        <v>6</v>
      </c>
      <c r="E51" s="4" t="s">
        <v>11</v>
      </c>
      <c r="F51" s="4" t="s">
        <v>21</v>
      </c>
      <c r="G51" s="4" t="s">
        <v>19</v>
      </c>
      <c r="H51" s="4" t="s">
        <v>7</v>
      </c>
      <c r="I51" s="4"/>
      <c r="J51" s="4" t="s">
        <v>8</v>
      </c>
      <c r="K51" s="4"/>
      <c r="L51" s="4"/>
      <c r="M51" s="4" t="s">
        <v>20</v>
      </c>
      <c r="N51" s="4" t="s">
        <v>16</v>
      </c>
      <c r="O51" s="4" t="s">
        <v>1</v>
      </c>
      <c r="P51" s="4" t="s">
        <v>18</v>
      </c>
    </row>
    <row r="52" spans="1:16" ht="18" x14ac:dyDescent="0.35">
      <c r="A52" s="7" t="s">
        <v>25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3">
      <c r="A53" t="s">
        <v>30</v>
      </c>
      <c r="B53" s="5">
        <v>2018</v>
      </c>
      <c r="C53" s="1">
        <v>616547</v>
      </c>
      <c r="D53" s="1">
        <v>41630</v>
      </c>
      <c r="E53" s="15">
        <f>D53+C53</f>
        <v>658177</v>
      </c>
      <c r="F53" s="2">
        <v>742738584</v>
      </c>
      <c r="G53" s="2">
        <v>3519308</v>
      </c>
      <c r="H53" s="1">
        <v>47555</v>
      </c>
      <c r="I53" s="3">
        <f>H53/C53</f>
        <v>7.7131183835133413E-2</v>
      </c>
      <c r="J53" s="1">
        <v>34346</v>
      </c>
      <c r="K53" s="3">
        <f>J53/E53</f>
        <v>5.2183531177783481E-2</v>
      </c>
      <c r="L53" s="3">
        <f>J53/C53</f>
        <v>5.5707026390526597E-2</v>
      </c>
      <c r="M53" s="12">
        <v>4851869</v>
      </c>
      <c r="N53" s="13">
        <v>8</v>
      </c>
      <c r="O53" s="13">
        <v>5218375</v>
      </c>
      <c r="P53" s="13">
        <v>2408849</v>
      </c>
    </row>
    <row r="54" spans="1:16" x14ac:dyDescent="0.3">
      <c r="A54" t="s">
        <v>29</v>
      </c>
      <c r="B54" s="5">
        <v>2018</v>
      </c>
      <c r="C54" s="1">
        <v>488345</v>
      </c>
      <c r="D54" s="1">
        <v>34409</v>
      </c>
      <c r="E54" s="15">
        <f>D54+C54</f>
        <v>522754</v>
      </c>
      <c r="F54" s="2">
        <v>517415552</v>
      </c>
      <c r="G54" s="2">
        <v>202339</v>
      </c>
      <c r="H54" s="1">
        <v>46475</v>
      </c>
      <c r="I54" s="3">
        <f t="shared" ref="I54:I81" si="11">H54/C54</f>
        <v>9.5168374816983897E-2</v>
      </c>
      <c r="J54" s="1">
        <v>31092</v>
      </c>
      <c r="K54" s="3">
        <f>J54/E54</f>
        <v>5.9477306725534383E-2</v>
      </c>
      <c r="L54" s="3">
        <f>J54/C54</f>
        <v>6.3668103492408035E-2</v>
      </c>
      <c r="M54" s="2">
        <v>4005786</v>
      </c>
      <c r="N54" s="2">
        <v>8</v>
      </c>
      <c r="O54" s="2">
        <v>3757200</v>
      </c>
      <c r="P54" s="2">
        <v>738841</v>
      </c>
    </row>
    <row r="55" spans="1:16" x14ac:dyDescent="0.3">
      <c r="B55" s="5"/>
      <c r="C55" s="1"/>
      <c r="D55" s="1"/>
      <c r="E55" s="15"/>
      <c r="F55" s="2"/>
      <c r="G55" s="2"/>
      <c r="H55" s="1"/>
      <c r="I55" s="3"/>
      <c r="J55" s="1"/>
      <c r="K55" s="1"/>
      <c r="L55" s="3"/>
      <c r="M55" s="2"/>
      <c r="N55" s="2"/>
      <c r="O55" s="2"/>
      <c r="P55" s="2"/>
    </row>
    <row r="56" spans="1:16" x14ac:dyDescent="0.3">
      <c r="A56" t="s">
        <v>28</v>
      </c>
      <c r="B56" s="8">
        <v>2017</v>
      </c>
      <c r="C56" s="1">
        <v>613747</v>
      </c>
      <c r="D56" s="1">
        <v>41288</v>
      </c>
      <c r="E56" s="15">
        <f t="shared" ref="E56:E81" si="12">D56+C56</f>
        <v>655035</v>
      </c>
      <c r="F56" s="2">
        <v>686849066</v>
      </c>
      <c r="G56" s="2">
        <v>3301279</v>
      </c>
      <c r="H56" s="1">
        <v>112523</v>
      </c>
      <c r="I56" s="3">
        <f t="shared" si="11"/>
        <v>0.1833377596957704</v>
      </c>
      <c r="J56" s="1">
        <v>40826</v>
      </c>
      <c r="K56" s="3">
        <f>J56/E56</f>
        <v>6.2326440571877841E-2</v>
      </c>
      <c r="L56" s="3">
        <f>J56/C56</f>
        <v>6.6519266081952341E-2</v>
      </c>
      <c r="M56" s="2">
        <v>7012321</v>
      </c>
      <c r="N56" s="2">
        <v>11</v>
      </c>
      <c r="O56" s="2">
        <v>5229275</v>
      </c>
      <c r="P56" s="2">
        <v>2023731</v>
      </c>
    </row>
    <row r="57" spans="1:16" x14ac:dyDescent="0.3">
      <c r="A57" t="s">
        <v>29</v>
      </c>
      <c r="B57" s="8">
        <v>2017</v>
      </c>
      <c r="C57" s="1">
        <v>461248</v>
      </c>
      <c r="D57" s="1">
        <v>54434</v>
      </c>
      <c r="E57" s="15">
        <f t="shared" si="12"/>
        <v>515682</v>
      </c>
      <c r="F57" s="2">
        <v>458584250</v>
      </c>
      <c r="G57" s="2">
        <v>176028</v>
      </c>
      <c r="H57" s="1">
        <v>100573</v>
      </c>
      <c r="I57" s="3">
        <f t="shared" si="11"/>
        <v>0.21804538989870959</v>
      </c>
      <c r="J57" s="1">
        <v>37569</v>
      </c>
      <c r="K57" s="3">
        <f>J57/E57</f>
        <v>7.285303733696348E-2</v>
      </c>
      <c r="L57" s="3">
        <f>J57/C57</f>
        <v>8.1450759678090748E-2</v>
      </c>
      <c r="M57" s="2">
        <v>3777845</v>
      </c>
      <c r="N57" s="2">
        <v>8</v>
      </c>
      <c r="O57" s="2">
        <v>3555153</v>
      </c>
      <c r="P57" s="2">
        <v>534930</v>
      </c>
    </row>
    <row r="58" spans="1:16" x14ac:dyDescent="0.3">
      <c r="B58" s="8"/>
      <c r="C58" s="1"/>
      <c r="D58" s="1"/>
      <c r="E58" s="15"/>
      <c r="F58" s="2"/>
      <c r="G58" s="2"/>
      <c r="H58" s="1"/>
      <c r="I58" s="3"/>
      <c r="J58" s="1"/>
      <c r="K58" s="1"/>
      <c r="L58" s="3"/>
      <c r="M58" s="2"/>
      <c r="N58" s="2"/>
      <c r="O58" s="2"/>
      <c r="P58" s="2"/>
    </row>
    <row r="59" spans="1:16" x14ac:dyDescent="0.3">
      <c r="A59" t="s">
        <v>26</v>
      </c>
      <c r="B59" s="8">
        <v>2016</v>
      </c>
      <c r="C59" s="1">
        <v>609415</v>
      </c>
      <c r="D59" s="1">
        <v>41158</v>
      </c>
      <c r="E59" s="15">
        <f t="shared" si="12"/>
        <v>650573</v>
      </c>
      <c r="F59" s="2">
        <v>643728647</v>
      </c>
      <c r="G59" s="2">
        <v>3524319</v>
      </c>
      <c r="H59" s="1">
        <v>29949</v>
      </c>
      <c r="I59" s="3">
        <f t="shared" si="11"/>
        <v>4.9143851070288722E-2</v>
      </c>
      <c r="J59" s="1">
        <v>45373</v>
      </c>
      <c r="K59" s="1"/>
      <c r="L59" s="3">
        <f>J59/C59</f>
        <v>7.4453369214738718E-2</v>
      </c>
      <c r="M59" s="2">
        <v>199361</v>
      </c>
      <c r="N59" s="2">
        <v>0</v>
      </c>
      <c r="O59" s="2">
        <v>4586965</v>
      </c>
      <c r="P59" s="2">
        <v>9606195</v>
      </c>
    </row>
    <row r="60" spans="1:16" x14ac:dyDescent="0.3">
      <c r="A60" t="s">
        <v>27</v>
      </c>
      <c r="B60" s="8">
        <v>2016</v>
      </c>
      <c r="C60" s="1">
        <v>455481</v>
      </c>
      <c r="D60" s="1">
        <v>56333</v>
      </c>
      <c r="E60" s="15">
        <f t="shared" si="12"/>
        <v>511814</v>
      </c>
      <c r="F60" s="2">
        <v>425380823</v>
      </c>
      <c r="G60" s="2">
        <v>188978</v>
      </c>
      <c r="H60" s="1">
        <v>4494</v>
      </c>
      <c r="I60" s="3">
        <f t="shared" si="11"/>
        <v>9.8664927845508368E-3</v>
      </c>
      <c r="J60" s="1">
        <v>33129</v>
      </c>
      <c r="K60" s="1"/>
      <c r="L60" s="3">
        <f>J60/C60</f>
        <v>7.2734098678100739E-2</v>
      </c>
      <c r="M60" s="2">
        <v>-1265106</v>
      </c>
      <c r="N60" s="2">
        <v>-3</v>
      </c>
      <c r="O60" s="2">
        <v>3562617</v>
      </c>
      <c r="P60" s="2">
        <v>4830441</v>
      </c>
    </row>
    <row r="61" spans="1:16" x14ac:dyDescent="0.3">
      <c r="B61" s="9"/>
      <c r="C61" s="1"/>
      <c r="D61" s="1"/>
      <c r="E61" s="15"/>
      <c r="F61" s="2"/>
      <c r="G61" s="2"/>
      <c r="H61" s="1"/>
      <c r="I61" s="3"/>
      <c r="J61" s="1"/>
      <c r="K61" s="1"/>
      <c r="L61" s="3"/>
      <c r="M61" s="2"/>
      <c r="N61" s="2"/>
      <c r="O61" s="2"/>
      <c r="P61" s="2"/>
    </row>
    <row r="62" spans="1:16" x14ac:dyDescent="0.3">
      <c r="A62" t="s">
        <v>26</v>
      </c>
      <c r="B62" s="8">
        <v>2015</v>
      </c>
      <c r="C62" s="1">
        <v>607910</v>
      </c>
      <c r="D62" s="1">
        <v>40989</v>
      </c>
      <c r="E62" s="15">
        <f t="shared" si="12"/>
        <v>648899</v>
      </c>
      <c r="F62" s="2">
        <v>716202824</v>
      </c>
      <c r="G62" s="2">
        <v>2941553</v>
      </c>
      <c r="H62" s="1">
        <v>29853</v>
      </c>
      <c r="I62" s="3">
        <f t="shared" si="11"/>
        <v>4.9107598164201939E-2</v>
      </c>
      <c r="J62" s="1">
        <v>45307</v>
      </c>
      <c r="K62" s="1"/>
      <c r="L62" s="3">
        <f>J62/C62</f>
        <v>7.4529124376963699E-2</v>
      </c>
      <c r="M62" s="2">
        <v>10547284</v>
      </c>
      <c r="N62" s="2">
        <v>17</v>
      </c>
      <c r="O62" s="2">
        <v>7426470</v>
      </c>
      <c r="P62" s="2">
        <v>2571907</v>
      </c>
    </row>
    <row r="63" spans="1:16" x14ac:dyDescent="0.3">
      <c r="A63" t="s">
        <v>27</v>
      </c>
      <c r="B63" s="8">
        <v>2015</v>
      </c>
      <c r="C63" s="1">
        <v>451883</v>
      </c>
      <c r="D63" s="1">
        <v>60287</v>
      </c>
      <c r="E63" s="15">
        <f t="shared" si="12"/>
        <v>512170</v>
      </c>
      <c r="F63" s="2">
        <v>486416049</v>
      </c>
      <c r="G63" s="2">
        <v>2086897</v>
      </c>
      <c r="H63" s="1">
        <v>30356</v>
      </c>
      <c r="I63" s="3">
        <f t="shared" si="11"/>
        <v>6.7176680689470511E-2</v>
      </c>
      <c r="J63" s="1">
        <v>30216</v>
      </c>
      <c r="K63" s="1"/>
      <c r="L63" s="3">
        <f>J63/C63</f>
        <v>6.6866865980795914E-2</v>
      </c>
      <c r="M63" s="2">
        <v>3524117</v>
      </c>
      <c r="N63" s="2">
        <v>8</v>
      </c>
      <c r="O63" s="2">
        <v>4558958</v>
      </c>
      <c r="P63" s="2">
        <v>577622</v>
      </c>
    </row>
    <row r="64" spans="1:16" x14ac:dyDescent="0.3">
      <c r="B64" s="8"/>
      <c r="C64" s="1"/>
      <c r="D64" s="1"/>
      <c r="E64" s="15"/>
      <c r="F64" s="2"/>
      <c r="G64" s="2"/>
      <c r="H64" s="1"/>
      <c r="I64" s="3"/>
      <c r="J64" s="1"/>
      <c r="K64" s="1"/>
      <c r="L64" s="3"/>
      <c r="M64" s="2"/>
      <c r="N64" s="2"/>
      <c r="O64" s="2"/>
      <c r="P64" s="2"/>
    </row>
    <row r="65" spans="1:16" x14ac:dyDescent="0.3">
      <c r="A65" t="s">
        <v>26</v>
      </c>
      <c r="B65" s="8">
        <v>2014</v>
      </c>
      <c r="C65" s="1">
        <v>609623</v>
      </c>
      <c r="D65" s="1">
        <v>41327</v>
      </c>
      <c r="E65" s="15">
        <f t="shared" si="12"/>
        <v>650950</v>
      </c>
      <c r="F65" s="2">
        <v>812607014</v>
      </c>
      <c r="G65" s="2">
        <v>5021694</v>
      </c>
      <c r="H65" s="1">
        <v>26063</v>
      </c>
      <c r="I65" s="3">
        <f t="shared" si="11"/>
        <v>4.2752652048889228E-2</v>
      </c>
      <c r="J65" s="1">
        <v>44417</v>
      </c>
      <c r="K65" s="1"/>
      <c r="L65" s="3">
        <f>J65/C65</f>
        <v>7.2859783833615202E-2</v>
      </c>
      <c r="M65" s="2">
        <v>13942651</v>
      </c>
      <c r="N65" s="2">
        <v>22.87</v>
      </c>
      <c r="O65" s="2">
        <v>8254865</v>
      </c>
      <c r="P65" s="2">
        <v>2304997</v>
      </c>
    </row>
    <row r="66" spans="1:16" x14ac:dyDescent="0.3">
      <c r="A66" t="s">
        <v>27</v>
      </c>
      <c r="B66" s="8">
        <v>2014</v>
      </c>
      <c r="C66" s="1">
        <v>447824</v>
      </c>
      <c r="D66" s="1">
        <v>64063</v>
      </c>
      <c r="E66" s="15">
        <f t="shared" si="12"/>
        <v>511887</v>
      </c>
      <c r="F66" s="2">
        <v>570787211</v>
      </c>
      <c r="G66" s="2">
        <v>3051900</v>
      </c>
      <c r="H66" s="1">
        <v>32343</v>
      </c>
      <c r="I66" s="3">
        <f t="shared" si="11"/>
        <v>7.2222569580906781E-2</v>
      </c>
      <c r="J66" s="1">
        <v>41654</v>
      </c>
      <c r="K66" s="1"/>
      <c r="L66" s="3">
        <f>J66/C66</f>
        <v>9.3014219872092602E-2</v>
      </c>
      <c r="M66" s="2">
        <v>4771508</v>
      </c>
      <c r="N66" s="2">
        <v>10.65</v>
      </c>
      <c r="O66" s="2">
        <v>3702567</v>
      </c>
      <c r="P66" s="2">
        <v>1526995</v>
      </c>
    </row>
    <row r="67" spans="1:16" x14ac:dyDescent="0.3">
      <c r="B67" s="8"/>
      <c r="C67" s="1"/>
      <c r="D67" s="1"/>
      <c r="E67" s="15"/>
      <c r="F67" s="2"/>
      <c r="G67" s="2"/>
      <c r="H67" s="1"/>
      <c r="I67" s="3"/>
      <c r="J67" s="1"/>
      <c r="K67" s="1"/>
      <c r="L67" s="3"/>
      <c r="M67" s="2"/>
      <c r="N67" s="2"/>
      <c r="O67" s="2"/>
      <c r="P67" s="2"/>
    </row>
    <row r="68" spans="1:16" x14ac:dyDescent="0.3">
      <c r="A68" t="s">
        <v>26</v>
      </c>
      <c r="B68" s="8">
        <v>2013</v>
      </c>
      <c r="C68" s="1">
        <v>609451</v>
      </c>
      <c r="D68" s="1">
        <v>41366</v>
      </c>
      <c r="E68" s="15">
        <f t="shared" si="12"/>
        <v>650817</v>
      </c>
      <c r="F68" s="2">
        <v>762951142</v>
      </c>
      <c r="G68" s="2">
        <v>10593927</v>
      </c>
      <c r="H68" s="1">
        <v>29042</v>
      </c>
      <c r="I68" s="3">
        <f t="shared" si="11"/>
        <v>4.7652723516738833E-2</v>
      </c>
      <c r="J68" s="1">
        <v>30664</v>
      </c>
      <c r="K68" s="1"/>
      <c r="L68" s="3">
        <f>J68/C68</f>
        <v>5.0314135180679002E-2</v>
      </c>
      <c r="M68" s="2">
        <v>1659171</v>
      </c>
      <c r="N68" s="2">
        <v>2.72</v>
      </c>
      <c r="O68" s="2">
        <v>5799307</v>
      </c>
      <c r="P68" s="2">
        <v>1636652</v>
      </c>
    </row>
    <row r="69" spans="1:16" x14ac:dyDescent="0.3">
      <c r="A69" t="s">
        <v>27</v>
      </c>
      <c r="B69" s="8">
        <v>2013</v>
      </c>
      <c r="C69" s="1">
        <v>442582</v>
      </c>
      <c r="D69" s="1">
        <v>65566</v>
      </c>
      <c r="E69" s="15">
        <f t="shared" si="12"/>
        <v>508148</v>
      </c>
      <c r="F69" s="2">
        <v>535193499</v>
      </c>
      <c r="G69" s="2">
        <v>6109570</v>
      </c>
      <c r="H69" s="1">
        <v>25826</v>
      </c>
      <c r="I69" s="3">
        <f t="shared" si="11"/>
        <v>5.8353028365365059E-2</v>
      </c>
      <c r="J69" s="1">
        <v>37776</v>
      </c>
      <c r="K69" s="1"/>
      <c r="L69" s="3">
        <f>J69/C69</f>
        <v>8.5353674573299412E-2</v>
      </c>
      <c r="M69" s="2">
        <v>4092017</v>
      </c>
      <c r="N69" s="2">
        <v>9.25</v>
      </c>
      <c r="O69" s="2">
        <v>4023122</v>
      </c>
      <c r="P69" s="2">
        <v>1424946</v>
      </c>
    </row>
    <row r="70" spans="1:16" x14ac:dyDescent="0.3">
      <c r="B70" s="8"/>
      <c r="C70" s="1"/>
      <c r="D70" s="1"/>
      <c r="E70" s="15"/>
      <c r="F70" s="2"/>
      <c r="G70" s="2"/>
      <c r="H70" s="1"/>
      <c r="I70" s="3"/>
      <c r="J70" s="1"/>
      <c r="K70" s="1"/>
      <c r="L70" s="3"/>
      <c r="M70" s="2"/>
      <c r="N70" s="2"/>
      <c r="O70" s="2"/>
      <c r="P70" s="2"/>
    </row>
    <row r="71" spans="1:16" x14ac:dyDescent="0.3">
      <c r="A71" t="s">
        <v>26</v>
      </c>
      <c r="B71">
        <v>2012</v>
      </c>
      <c r="C71" s="1">
        <v>601470</v>
      </c>
      <c r="D71" s="1">
        <v>41233</v>
      </c>
      <c r="E71" s="15">
        <f t="shared" si="12"/>
        <v>642703</v>
      </c>
      <c r="F71" s="2">
        <v>673984750</v>
      </c>
      <c r="G71" s="2">
        <v>2336267</v>
      </c>
      <c r="H71" s="1">
        <v>23267</v>
      </c>
      <c r="I71" s="3">
        <f t="shared" si="11"/>
        <v>3.8683558614727248E-2</v>
      </c>
      <c r="J71" s="1">
        <v>52326</v>
      </c>
      <c r="K71" s="1"/>
      <c r="L71" s="3">
        <f>J71/C71</f>
        <v>8.6996857698638339E-2</v>
      </c>
      <c r="M71" s="2">
        <v>3904793</v>
      </c>
      <c r="N71" s="2">
        <v>6.49</v>
      </c>
      <c r="O71" s="2">
        <v>9823230</v>
      </c>
      <c r="P71" s="2">
        <v>2216370</v>
      </c>
    </row>
    <row r="72" spans="1:16" x14ac:dyDescent="0.3">
      <c r="A72" t="s">
        <v>27</v>
      </c>
      <c r="B72">
        <v>2012</v>
      </c>
      <c r="C72" s="1">
        <v>441881</v>
      </c>
      <c r="D72" s="1">
        <v>64278</v>
      </c>
      <c r="E72" s="15">
        <f t="shared" si="12"/>
        <v>506159</v>
      </c>
      <c r="F72" s="2">
        <v>446635056</v>
      </c>
      <c r="G72" s="2">
        <v>4479849</v>
      </c>
      <c r="H72" s="1">
        <v>35831</v>
      </c>
      <c r="I72" s="3">
        <f t="shared" si="11"/>
        <v>8.108744209413847E-2</v>
      </c>
      <c r="J72" s="1">
        <v>41613</v>
      </c>
      <c r="K72" s="1"/>
      <c r="L72" s="3">
        <f>J72/C72</f>
        <v>9.4172412934704144E-2</v>
      </c>
      <c r="M72" s="2">
        <v>2578300</v>
      </c>
      <c r="N72" s="2">
        <v>5.83</v>
      </c>
      <c r="O72" s="2">
        <v>4220615</v>
      </c>
      <c r="P72" s="2">
        <v>1901481</v>
      </c>
    </row>
    <row r="73" spans="1:16" x14ac:dyDescent="0.3">
      <c r="C73" s="1"/>
      <c r="D73" s="1"/>
      <c r="E73" s="15"/>
      <c r="F73" s="2"/>
      <c r="G73" s="2"/>
      <c r="H73" s="1"/>
      <c r="I73" s="3"/>
      <c r="J73" s="1"/>
      <c r="K73" s="1"/>
      <c r="L73" s="3"/>
      <c r="M73" s="2"/>
      <c r="N73" s="2"/>
      <c r="O73" s="2"/>
      <c r="P73" s="2"/>
    </row>
    <row r="74" spans="1:16" x14ac:dyDescent="0.3">
      <c r="A74" t="s">
        <v>26</v>
      </c>
      <c r="B74">
        <v>2011</v>
      </c>
      <c r="C74" s="1">
        <v>598501</v>
      </c>
      <c r="D74" s="1">
        <v>41394</v>
      </c>
      <c r="E74" s="15">
        <f t="shared" si="12"/>
        <v>639895</v>
      </c>
      <c r="F74" s="2">
        <v>772523596</v>
      </c>
      <c r="G74" s="2">
        <v>2581024</v>
      </c>
      <c r="H74" s="1">
        <v>26588</v>
      </c>
      <c r="I74" s="3">
        <f t="shared" si="11"/>
        <v>4.4424320093032425E-2</v>
      </c>
      <c r="J74" s="1">
        <v>56710</v>
      </c>
      <c r="K74" s="1"/>
      <c r="L74" s="3">
        <f>J74/C74</f>
        <v>9.475339222490857E-2</v>
      </c>
      <c r="M74" s="2">
        <v>7438223</v>
      </c>
      <c r="N74" s="2">
        <v>12.43</v>
      </c>
      <c r="O74" s="2">
        <v>8442040</v>
      </c>
      <c r="P74" s="2">
        <v>2506447</v>
      </c>
    </row>
    <row r="75" spans="1:16" x14ac:dyDescent="0.3">
      <c r="A75" s="8" t="s">
        <v>27</v>
      </c>
      <c r="B75" s="8">
        <v>2011</v>
      </c>
      <c r="C75" s="10">
        <v>441434</v>
      </c>
      <c r="D75" s="10">
        <v>65871</v>
      </c>
      <c r="E75" s="15">
        <f t="shared" si="12"/>
        <v>507305</v>
      </c>
      <c r="F75" s="11">
        <v>593486630</v>
      </c>
      <c r="G75" s="11">
        <v>4271261</v>
      </c>
      <c r="H75" s="10">
        <v>39774</v>
      </c>
      <c r="I75" s="3">
        <f t="shared" si="11"/>
        <v>9.0101804573277086E-2</v>
      </c>
      <c r="J75" s="10">
        <v>49499</v>
      </c>
      <c r="K75" s="10"/>
      <c r="L75" s="3">
        <f>J75/C75</f>
        <v>0.11213227798493093</v>
      </c>
      <c r="M75" s="11">
        <v>7895766</v>
      </c>
      <c r="N75" s="11">
        <v>17.89</v>
      </c>
      <c r="O75" s="11">
        <v>5760954</v>
      </c>
      <c r="P75" s="2">
        <v>2309577</v>
      </c>
    </row>
    <row r="76" spans="1:16" x14ac:dyDescent="0.3">
      <c r="C76" s="1"/>
      <c r="D76" s="1"/>
      <c r="E76" s="15"/>
      <c r="F76" s="2"/>
      <c r="G76" s="2"/>
      <c r="H76" s="1"/>
      <c r="I76" s="3"/>
      <c r="J76" s="1"/>
      <c r="K76" s="1"/>
      <c r="L76" s="3"/>
      <c r="M76" s="2"/>
      <c r="N76" s="2"/>
      <c r="O76" s="2"/>
      <c r="P76" s="2"/>
    </row>
    <row r="77" spans="1:16" x14ac:dyDescent="0.3">
      <c r="A77" t="s">
        <v>26</v>
      </c>
      <c r="B77">
        <v>2010</v>
      </c>
      <c r="C77" s="1">
        <v>600980</v>
      </c>
      <c r="D77" s="1">
        <v>41654</v>
      </c>
      <c r="E77" s="15">
        <f t="shared" si="12"/>
        <v>642634</v>
      </c>
      <c r="F77" s="2">
        <v>808033815</v>
      </c>
      <c r="G77" s="2">
        <v>3853704</v>
      </c>
      <c r="H77" s="1">
        <v>28635</v>
      </c>
      <c r="I77" s="3">
        <f t="shared" si="11"/>
        <v>4.7647176278744714E-2</v>
      </c>
      <c r="J77" s="1">
        <v>55955</v>
      </c>
      <c r="K77" s="3">
        <f>J77/E77</f>
        <v>8.7071334538788792E-2</v>
      </c>
      <c r="L77" s="3">
        <f>J77/C77</f>
        <v>9.3106259775699696E-2</v>
      </c>
      <c r="M77" s="2">
        <v>8096335</v>
      </c>
      <c r="N77" s="2">
        <v>13.47</v>
      </c>
      <c r="O77" s="2">
        <v>11754760</v>
      </c>
      <c r="P77" s="2">
        <v>2645236</v>
      </c>
    </row>
    <row r="78" spans="1:16" x14ac:dyDescent="0.3">
      <c r="A78" t="s">
        <v>27</v>
      </c>
      <c r="B78">
        <v>2010</v>
      </c>
      <c r="C78" s="1">
        <v>444616</v>
      </c>
      <c r="D78" s="1">
        <v>65692</v>
      </c>
      <c r="E78" s="15">
        <f t="shared" si="12"/>
        <v>510308</v>
      </c>
      <c r="F78" s="2">
        <v>628451083</v>
      </c>
      <c r="G78" s="2">
        <v>1217742</v>
      </c>
      <c r="H78" s="1">
        <v>38751</v>
      </c>
      <c r="I78" s="3">
        <f t="shared" si="11"/>
        <v>8.7156107742411434E-2</v>
      </c>
      <c r="J78" s="1">
        <v>50515</v>
      </c>
      <c r="K78" s="3">
        <f>J78/E78</f>
        <v>9.898923787203022E-2</v>
      </c>
      <c r="L78" s="3">
        <f>J78/C78</f>
        <v>0.11361489465066485</v>
      </c>
      <c r="M78" s="2">
        <v>5941551</v>
      </c>
      <c r="N78" s="2">
        <v>13.36</v>
      </c>
      <c r="O78" s="2">
        <v>6234334</v>
      </c>
      <c r="P78" s="2">
        <v>2694037</v>
      </c>
    </row>
    <row r="79" spans="1:16" x14ac:dyDescent="0.3">
      <c r="C79" s="1"/>
      <c r="D79" s="1"/>
      <c r="E79" s="15"/>
      <c r="F79" s="2"/>
      <c r="G79" s="2"/>
      <c r="H79" s="1"/>
      <c r="I79" s="3"/>
      <c r="J79" s="1"/>
      <c r="K79" s="1"/>
      <c r="L79" s="3"/>
      <c r="M79" s="2"/>
      <c r="N79" s="2"/>
      <c r="O79" s="2"/>
      <c r="P79" s="2"/>
    </row>
    <row r="80" spans="1:16" x14ac:dyDescent="0.3">
      <c r="A80" t="s">
        <v>26</v>
      </c>
      <c r="B80">
        <v>2009</v>
      </c>
      <c r="C80" s="1">
        <v>601785</v>
      </c>
      <c r="D80" s="1">
        <v>41914</v>
      </c>
      <c r="E80" s="15">
        <f t="shared" si="12"/>
        <v>643699</v>
      </c>
      <c r="F80" s="2">
        <v>902167840</v>
      </c>
      <c r="G80" s="2">
        <v>2603018</v>
      </c>
      <c r="H80" s="1">
        <v>32084</v>
      </c>
      <c r="I80" s="3">
        <f t="shared" si="11"/>
        <v>5.3314722035278379E-2</v>
      </c>
      <c r="J80" s="1">
        <v>48248</v>
      </c>
      <c r="K80" s="20">
        <f>J80/E80</f>
        <v>7.4954287640651915E-2</v>
      </c>
      <c r="L80" s="3">
        <f>J80/C80</f>
        <v>8.017481326387331E-2</v>
      </c>
      <c r="M80" s="2">
        <v>11287745</v>
      </c>
      <c r="N80" s="2">
        <v>18.760000000000002</v>
      </c>
      <c r="O80" s="2">
        <v>13905902</v>
      </c>
      <c r="P80" s="2">
        <v>3266027</v>
      </c>
    </row>
    <row r="81" spans="1:17" x14ac:dyDescent="0.3">
      <c r="A81" s="8" t="s">
        <v>27</v>
      </c>
      <c r="B81" s="8">
        <v>2009</v>
      </c>
      <c r="C81" s="10">
        <v>446193</v>
      </c>
      <c r="D81" s="10">
        <v>66508</v>
      </c>
      <c r="E81" s="15">
        <f t="shared" si="12"/>
        <v>512701</v>
      </c>
      <c r="F81" s="11">
        <v>604651065</v>
      </c>
      <c r="G81" s="11">
        <v>3601301</v>
      </c>
      <c r="H81" s="10">
        <v>23083</v>
      </c>
      <c r="I81" s="3">
        <f t="shared" si="11"/>
        <v>5.1733218584782817E-2</v>
      </c>
      <c r="J81" s="10">
        <v>43895</v>
      </c>
      <c r="K81" s="20">
        <f>J81/E81</f>
        <v>8.5615202622971287E-2</v>
      </c>
      <c r="L81" s="3">
        <f>J81/C81</f>
        <v>9.8376711423083726E-2</v>
      </c>
      <c r="M81" s="11">
        <v>7433909</v>
      </c>
      <c r="N81" s="11">
        <v>16.66</v>
      </c>
      <c r="O81" s="11">
        <v>8000417</v>
      </c>
      <c r="P81" s="11">
        <v>3927683</v>
      </c>
      <c r="Q81" s="8"/>
    </row>
    <row r="82" spans="1:17" x14ac:dyDescent="0.3">
      <c r="A82" s="8"/>
      <c r="B82" s="8"/>
    </row>
    <row r="83" spans="1:17" ht="15.6" x14ac:dyDescent="0.3">
      <c r="P83" s="53" t="s">
        <v>142</v>
      </c>
    </row>
  </sheetData>
  <pageMargins left="0.7" right="0.7" top="0.75" bottom="0.75" header="0.3" footer="0.3"/>
  <pageSetup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topLeftCell="A19" workbookViewId="0">
      <selection activeCell="C30" sqref="C30"/>
    </sheetView>
  </sheetViews>
  <sheetFormatPr defaultRowHeight="14.4" x14ac:dyDescent="0.3"/>
  <cols>
    <col min="4" max="4" width="19.109375" customWidth="1"/>
    <col min="5" max="5" width="17.88671875" customWidth="1"/>
  </cols>
  <sheetData>
    <row r="2" spans="2:8" ht="18" x14ac:dyDescent="0.35">
      <c r="C2" s="4" t="s">
        <v>17</v>
      </c>
      <c r="D2" s="4" t="s">
        <v>32</v>
      </c>
      <c r="E2" s="4" t="s">
        <v>33</v>
      </c>
      <c r="F2" s="4"/>
      <c r="G2" s="4"/>
      <c r="H2" s="4"/>
    </row>
    <row r="3" spans="2:8" ht="18" x14ac:dyDescent="0.35">
      <c r="B3" s="7" t="s">
        <v>31</v>
      </c>
      <c r="C3" s="5">
        <v>2018</v>
      </c>
      <c r="D3" s="13">
        <v>314031807</v>
      </c>
      <c r="E3" s="13">
        <v>4976094</v>
      </c>
      <c r="F3" s="4"/>
      <c r="G3" s="4"/>
      <c r="H3" s="4"/>
    </row>
    <row r="4" spans="2:8" x14ac:dyDescent="0.3">
      <c r="C4" s="8">
        <v>2017</v>
      </c>
      <c r="D4" s="13">
        <v>285259835</v>
      </c>
      <c r="E4" s="13">
        <v>4167172</v>
      </c>
    </row>
    <row r="5" spans="2:8" x14ac:dyDescent="0.3">
      <c r="C5" s="8">
        <v>2016</v>
      </c>
      <c r="D5" s="13">
        <v>283146414</v>
      </c>
      <c r="E5" s="13">
        <v>4444854</v>
      </c>
    </row>
    <row r="6" spans="2:8" x14ac:dyDescent="0.3">
      <c r="C6" s="8">
        <v>2015</v>
      </c>
      <c r="D6" s="13">
        <v>264623096</v>
      </c>
      <c r="E6" s="13">
        <v>4222577</v>
      </c>
    </row>
    <row r="7" spans="2:8" x14ac:dyDescent="0.3">
      <c r="C7" s="8">
        <v>2014</v>
      </c>
      <c r="D7" s="13">
        <v>266484898</v>
      </c>
      <c r="E7" s="13">
        <v>3674641</v>
      </c>
    </row>
    <row r="8" spans="2:8" x14ac:dyDescent="0.3">
      <c r="C8" s="8">
        <v>2013</v>
      </c>
      <c r="D8" s="13">
        <v>264778072</v>
      </c>
      <c r="E8" s="13">
        <v>1687099</v>
      </c>
    </row>
    <row r="9" spans="2:8" x14ac:dyDescent="0.3">
      <c r="C9" s="8">
        <v>2012</v>
      </c>
      <c r="D9" s="13">
        <v>274195371</v>
      </c>
      <c r="E9" s="13">
        <v>5272313</v>
      </c>
    </row>
    <row r="10" spans="2:8" x14ac:dyDescent="0.3">
      <c r="C10" s="8">
        <v>2011</v>
      </c>
      <c r="D10" s="13">
        <v>221693390</v>
      </c>
      <c r="E10" s="13">
        <v>2914860</v>
      </c>
    </row>
    <row r="11" spans="2:8" x14ac:dyDescent="0.3">
      <c r="C11" s="8">
        <v>2010</v>
      </c>
      <c r="D11" s="13">
        <v>221693390</v>
      </c>
      <c r="E11" s="13">
        <v>2914860</v>
      </c>
    </row>
    <row r="12" spans="2:8" x14ac:dyDescent="0.3">
      <c r="C12" s="8">
        <v>2009</v>
      </c>
      <c r="D12" s="13">
        <v>201620548</v>
      </c>
      <c r="E12" s="13">
        <v>2160983</v>
      </c>
    </row>
    <row r="33" spans="10:10" ht="15.6" x14ac:dyDescent="0.3">
      <c r="J33" s="53" t="s">
        <v>142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activeCell="O63" sqref="O63"/>
    </sheetView>
  </sheetViews>
  <sheetFormatPr defaultRowHeight="14.4" x14ac:dyDescent="0.3"/>
  <cols>
    <col min="4" max="4" width="13.109375" customWidth="1"/>
    <col min="9" max="9" width="10.6640625" customWidth="1"/>
    <col min="14" max="14" width="11.88671875" customWidth="1"/>
  </cols>
  <sheetData>
    <row r="1" spans="1:16" ht="21" x14ac:dyDescent="0.4">
      <c r="A1" s="54" t="s">
        <v>41</v>
      </c>
      <c r="B1" s="54"/>
      <c r="C1" s="54"/>
      <c r="D1" s="54"/>
      <c r="E1" s="21"/>
      <c r="F1" s="54" t="s">
        <v>42</v>
      </c>
      <c r="G1" s="54"/>
      <c r="H1" s="54"/>
      <c r="I1" s="54"/>
      <c r="J1" s="21"/>
      <c r="K1" s="54" t="s">
        <v>43</v>
      </c>
      <c r="L1" s="54"/>
      <c r="M1" s="54"/>
      <c r="N1" s="54"/>
      <c r="O1" s="21"/>
      <c r="P1" s="21"/>
    </row>
    <row r="2" spans="1:16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42" x14ac:dyDescent="0.3">
      <c r="A3" s="22" t="s">
        <v>44</v>
      </c>
      <c r="B3" s="23" t="s">
        <v>45</v>
      </c>
      <c r="C3" s="23" t="s">
        <v>46</v>
      </c>
      <c r="D3" s="23" t="s">
        <v>47</v>
      </c>
      <c r="E3" s="21"/>
      <c r="F3" s="22" t="s">
        <v>44</v>
      </c>
      <c r="G3" s="23" t="s">
        <v>45</v>
      </c>
      <c r="H3" s="23" t="s">
        <v>46</v>
      </c>
      <c r="I3" s="23" t="s">
        <v>47</v>
      </c>
      <c r="J3" s="21"/>
      <c r="K3" s="22" t="s">
        <v>44</v>
      </c>
      <c r="L3" s="23" t="s">
        <v>45</v>
      </c>
      <c r="M3" s="23" t="s">
        <v>46</v>
      </c>
      <c r="N3" s="23" t="s">
        <v>47</v>
      </c>
      <c r="O3" s="21"/>
      <c r="P3" s="21"/>
    </row>
    <row r="4" spans="1:16" x14ac:dyDescent="0.3">
      <c r="A4" s="21" t="s">
        <v>48</v>
      </c>
      <c r="B4" s="24">
        <v>111</v>
      </c>
      <c r="C4" s="24">
        <v>18</v>
      </c>
      <c r="D4" s="24">
        <f>B4+C4</f>
        <v>129</v>
      </c>
      <c r="E4" s="21"/>
      <c r="F4" s="21" t="s">
        <v>48</v>
      </c>
      <c r="G4" s="24">
        <v>37</v>
      </c>
      <c r="H4" s="24">
        <v>0</v>
      </c>
      <c r="I4" s="24">
        <f>G4+H4</f>
        <v>37</v>
      </c>
      <c r="J4" s="21"/>
      <c r="K4" s="21" t="s">
        <v>48</v>
      </c>
      <c r="L4" s="24">
        <v>84</v>
      </c>
      <c r="M4" s="24">
        <v>5</v>
      </c>
      <c r="N4" s="24">
        <f>L4+M4</f>
        <v>89</v>
      </c>
      <c r="O4" s="21"/>
      <c r="P4" s="21"/>
    </row>
    <row r="5" spans="1:16" x14ac:dyDescent="0.3">
      <c r="A5" s="21" t="s">
        <v>49</v>
      </c>
      <c r="B5" s="24">
        <v>264</v>
      </c>
      <c r="C5" s="24">
        <v>41</v>
      </c>
      <c r="D5" s="24">
        <f>B5+C5</f>
        <v>305</v>
      </c>
      <c r="E5" s="21"/>
      <c r="F5" s="21" t="s">
        <v>49</v>
      </c>
      <c r="G5" s="24">
        <v>215</v>
      </c>
      <c r="H5" s="24">
        <v>27</v>
      </c>
      <c r="I5" s="24">
        <f>G5+H5</f>
        <v>242</v>
      </c>
      <c r="J5" s="21"/>
      <c r="K5" s="21" t="s">
        <v>49</v>
      </c>
      <c r="L5" s="24">
        <v>321</v>
      </c>
      <c r="M5" s="24">
        <v>57</v>
      </c>
      <c r="N5" s="24">
        <f>L5+M5</f>
        <v>378</v>
      </c>
      <c r="O5" s="21"/>
      <c r="P5" s="21"/>
    </row>
    <row r="6" spans="1:16" x14ac:dyDescent="0.3">
      <c r="A6" s="21" t="s">
        <v>50</v>
      </c>
      <c r="B6" s="24">
        <v>356</v>
      </c>
      <c r="C6" s="24">
        <v>48</v>
      </c>
      <c r="D6" s="24">
        <f>B6+C6</f>
        <v>404</v>
      </c>
      <c r="E6" s="21"/>
      <c r="F6" s="21" t="s">
        <v>50</v>
      </c>
      <c r="G6" s="24">
        <v>445</v>
      </c>
      <c r="H6" s="24">
        <v>45</v>
      </c>
      <c r="I6" s="24">
        <f>G6+H6</f>
        <v>490</v>
      </c>
      <c r="J6" s="21"/>
      <c r="K6" s="21" t="s">
        <v>50</v>
      </c>
      <c r="L6" s="24">
        <v>747</v>
      </c>
      <c r="M6" s="24">
        <v>95</v>
      </c>
      <c r="N6" s="24">
        <f>L6+M6</f>
        <v>842</v>
      </c>
      <c r="O6" s="21"/>
      <c r="P6" s="21"/>
    </row>
    <row r="7" spans="1:16" x14ac:dyDescent="0.3">
      <c r="A7" s="21" t="s">
        <v>51</v>
      </c>
      <c r="B7" s="24">
        <v>129</v>
      </c>
      <c r="C7" s="24">
        <v>12</v>
      </c>
      <c r="D7" s="24">
        <f t="shared" ref="D7:D16" si="0">B7+C7</f>
        <v>141</v>
      </c>
      <c r="E7" s="21"/>
      <c r="F7" s="21" t="s">
        <v>51</v>
      </c>
      <c r="G7" s="24">
        <v>350</v>
      </c>
      <c r="H7" s="24">
        <v>37</v>
      </c>
      <c r="I7" s="24">
        <f t="shared" ref="I7:I16" si="1">G7+H7</f>
        <v>387</v>
      </c>
      <c r="J7" s="21"/>
      <c r="K7" s="21" t="s">
        <v>51</v>
      </c>
      <c r="L7" s="24">
        <v>644</v>
      </c>
      <c r="M7" s="24">
        <v>84</v>
      </c>
      <c r="N7" s="24">
        <f t="shared" ref="N7:N16" si="2">L7+M7</f>
        <v>728</v>
      </c>
      <c r="O7" s="21"/>
      <c r="P7" s="21"/>
    </row>
    <row r="8" spans="1:16" x14ac:dyDescent="0.3">
      <c r="A8" s="21" t="s">
        <v>52</v>
      </c>
      <c r="B8" s="24">
        <v>0</v>
      </c>
      <c r="C8" s="24">
        <v>0</v>
      </c>
      <c r="D8" s="24">
        <f t="shared" si="0"/>
        <v>0</v>
      </c>
      <c r="E8" s="21"/>
      <c r="F8" s="21" t="s">
        <v>52</v>
      </c>
      <c r="G8" s="24">
        <v>402</v>
      </c>
      <c r="H8" s="24">
        <v>65</v>
      </c>
      <c r="I8" s="24">
        <f t="shared" si="1"/>
        <v>467</v>
      </c>
      <c r="J8" s="21"/>
      <c r="K8" s="21" t="s">
        <v>52</v>
      </c>
      <c r="L8" s="24">
        <v>674</v>
      </c>
      <c r="M8" s="24">
        <v>101</v>
      </c>
      <c r="N8" s="24">
        <f t="shared" si="2"/>
        <v>775</v>
      </c>
      <c r="O8" s="21"/>
      <c r="P8" s="21"/>
    </row>
    <row r="9" spans="1:16" x14ac:dyDescent="0.3">
      <c r="A9" s="21" t="s">
        <v>53</v>
      </c>
      <c r="B9" s="24">
        <v>1</v>
      </c>
      <c r="C9" s="24">
        <v>1</v>
      </c>
      <c r="D9" s="24">
        <f t="shared" si="0"/>
        <v>2</v>
      </c>
      <c r="E9" s="21"/>
      <c r="F9" s="21" t="s">
        <v>53</v>
      </c>
      <c r="G9" s="24">
        <v>498</v>
      </c>
      <c r="H9" s="24">
        <v>92</v>
      </c>
      <c r="I9" s="24">
        <f t="shared" si="1"/>
        <v>590</v>
      </c>
      <c r="J9" s="21"/>
      <c r="K9" s="21" t="s">
        <v>53</v>
      </c>
      <c r="L9" s="24">
        <v>496</v>
      </c>
      <c r="M9" s="24">
        <v>102</v>
      </c>
      <c r="N9" s="24">
        <f t="shared" si="2"/>
        <v>598</v>
      </c>
      <c r="O9" s="21"/>
      <c r="P9" s="21"/>
    </row>
    <row r="10" spans="1:16" x14ac:dyDescent="0.3">
      <c r="A10" s="21" t="s">
        <v>54</v>
      </c>
      <c r="B10" s="24">
        <v>216</v>
      </c>
      <c r="C10" s="24">
        <v>51</v>
      </c>
      <c r="D10" s="24">
        <f t="shared" si="0"/>
        <v>267</v>
      </c>
      <c r="E10" s="21"/>
      <c r="F10" s="21" t="s">
        <v>54</v>
      </c>
      <c r="G10" s="24">
        <v>213</v>
      </c>
      <c r="H10" s="24">
        <v>34</v>
      </c>
      <c r="I10" s="24">
        <f t="shared" si="1"/>
        <v>247</v>
      </c>
      <c r="J10" s="21"/>
      <c r="K10" s="21" t="s">
        <v>54</v>
      </c>
      <c r="L10" s="24">
        <v>432</v>
      </c>
      <c r="M10" s="24">
        <v>81</v>
      </c>
      <c r="N10" s="24">
        <f t="shared" si="2"/>
        <v>513</v>
      </c>
      <c r="O10" s="21"/>
      <c r="P10" s="21"/>
    </row>
    <row r="11" spans="1:16" x14ac:dyDescent="0.3">
      <c r="A11" s="21" t="s">
        <v>55</v>
      </c>
      <c r="B11" s="24">
        <v>65</v>
      </c>
      <c r="C11" s="24">
        <v>18</v>
      </c>
      <c r="D11" s="24">
        <f t="shared" si="0"/>
        <v>83</v>
      </c>
      <c r="E11" s="21"/>
      <c r="F11" s="21" t="s">
        <v>55</v>
      </c>
      <c r="G11" s="24">
        <v>527</v>
      </c>
      <c r="H11" s="24">
        <v>106</v>
      </c>
      <c r="I11" s="24">
        <f t="shared" si="1"/>
        <v>633</v>
      </c>
      <c r="J11" s="21"/>
      <c r="K11" s="21" t="s">
        <v>55</v>
      </c>
      <c r="L11" s="24">
        <v>614</v>
      </c>
      <c r="M11" s="24">
        <v>135</v>
      </c>
      <c r="N11" s="24">
        <f t="shared" si="2"/>
        <v>749</v>
      </c>
      <c r="O11" s="21"/>
      <c r="P11" s="21"/>
    </row>
    <row r="12" spans="1:16" x14ac:dyDescent="0.3">
      <c r="A12" s="21" t="s">
        <v>56</v>
      </c>
      <c r="B12" s="24">
        <v>21</v>
      </c>
      <c r="C12" s="24">
        <v>6</v>
      </c>
      <c r="D12" s="24">
        <f t="shared" si="0"/>
        <v>27</v>
      </c>
      <c r="E12" s="21"/>
      <c r="F12" s="21" t="s">
        <v>56</v>
      </c>
      <c r="G12" s="24">
        <v>653</v>
      </c>
      <c r="H12" s="24">
        <v>129</v>
      </c>
      <c r="I12" s="24">
        <f t="shared" si="1"/>
        <v>782</v>
      </c>
      <c r="J12" s="21"/>
      <c r="K12" s="21" t="s">
        <v>56</v>
      </c>
      <c r="L12" s="24">
        <v>591</v>
      </c>
      <c r="M12" s="24">
        <v>147</v>
      </c>
      <c r="N12" s="24">
        <f t="shared" si="2"/>
        <v>738</v>
      </c>
      <c r="O12" s="21"/>
      <c r="P12" s="21"/>
    </row>
    <row r="13" spans="1:16" x14ac:dyDescent="0.3">
      <c r="A13" s="21" t="s">
        <v>57</v>
      </c>
      <c r="B13" s="24">
        <v>164</v>
      </c>
      <c r="C13" s="24">
        <v>37</v>
      </c>
      <c r="D13" s="24">
        <f t="shared" si="0"/>
        <v>201</v>
      </c>
      <c r="E13" s="21"/>
      <c r="F13" s="21" t="s">
        <v>57</v>
      </c>
      <c r="G13" s="24" t="s">
        <v>58</v>
      </c>
      <c r="H13" s="24" t="s">
        <v>58</v>
      </c>
      <c r="I13" s="24" t="s">
        <v>58</v>
      </c>
      <c r="J13" s="21"/>
      <c r="K13" s="21" t="s">
        <v>57</v>
      </c>
      <c r="L13" s="24">
        <v>430</v>
      </c>
      <c r="M13" s="24">
        <v>130</v>
      </c>
      <c r="N13" s="24">
        <f t="shared" si="2"/>
        <v>560</v>
      </c>
      <c r="O13" s="21"/>
      <c r="P13" s="21"/>
    </row>
    <row r="14" spans="1:16" x14ac:dyDescent="0.3">
      <c r="A14" s="21" t="s">
        <v>59</v>
      </c>
      <c r="B14" s="24">
        <v>37</v>
      </c>
      <c r="C14" s="24">
        <v>6</v>
      </c>
      <c r="D14" s="24">
        <f t="shared" si="0"/>
        <v>43</v>
      </c>
      <c r="E14" s="21"/>
      <c r="F14" s="21" t="s">
        <v>59</v>
      </c>
      <c r="G14" s="24">
        <v>345</v>
      </c>
      <c r="H14" s="24">
        <v>101</v>
      </c>
      <c r="I14" s="24">
        <f t="shared" si="1"/>
        <v>446</v>
      </c>
      <c r="J14" s="21"/>
      <c r="K14" s="21" t="s">
        <v>59</v>
      </c>
      <c r="L14" s="24">
        <v>178</v>
      </c>
      <c r="M14" s="24">
        <v>30</v>
      </c>
      <c r="N14" s="24">
        <f t="shared" si="2"/>
        <v>208</v>
      </c>
      <c r="O14" s="21"/>
      <c r="P14" s="21"/>
    </row>
    <row r="15" spans="1:16" x14ac:dyDescent="0.3">
      <c r="A15" s="25" t="s">
        <v>60</v>
      </c>
      <c r="B15" s="26">
        <v>37</v>
      </c>
      <c r="C15" s="26">
        <v>6</v>
      </c>
      <c r="D15" s="26">
        <f t="shared" si="0"/>
        <v>43</v>
      </c>
      <c r="E15" s="21"/>
      <c r="F15" s="25" t="s">
        <v>60</v>
      </c>
      <c r="G15" s="26">
        <v>117</v>
      </c>
      <c r="H15" s="26">
        <v>14</v>
      </c>
      <c r="I15" s="26">
        <f t="shared" si="1"/>
        <v>131</v>
      </c>
      <c r="J15" s="21"/>
      <c r="K15" s="25" t="s">
        <v>60</v>
      </c>
      <c r="L15" s="26">
        <v>75</v>
      </c>
      <c r="M15" s="26">
        <v>6</v>
      </c>
      <c r="N15" s="26">
        <f t="shared" si="2"/>
        <v>81</v>
      </c>
      <c r="O15" s="21"/>
      <c r="P15" s="21"/>
    </row>
    <row r="16" spans="1:16" x14ac:dyDescent="0.3">
      <c r="A16" s="27" t="s">
        <v>61</v>
      </c>
      <c r="B16" s="28">
        <f>SUM(B4:B15)</f>
        <v>1401</v>
      </c>
      <c r="C16" s="28">
        <f>SUM(C4:C15)</f>
        <v>244</v>
      </c>
      <c r="D16" s="28">
        <f t="shared" si="0"/>
        <v>1645</v>
      </c>
      <c r="E16" s="21"/>
      <c r="F16" s="27" t="s">
        <v>62</v>
      </c>
      <c r="G16" s="28">
        <f>SUM(G4:G15)</f>
        <v>3802</v>
      </c>
      <c r="H16" s="28">
        <f>SUM(H4:H15)</f>
        <v>650</v>
      </c>
      <c r="I16" s="28">
        <f t="shared" si="1"/>
        <v>4452</v>
      </c>
      <c r="J16" s="21"/>
      <c r="K16" s="27" t="s">
        <v>63</v>
      </c>
      <c r="L16" s="28">
        <f>SUM(L4:L15)</f>
        <v>5286</v>
      </c>
      <c r="M16" s="28">
        <f>SUM(M4:M15)</f>
        <v>973</v>
      </c>
      <c r="N16" s="28">
        <f t="shared" si="2"/>
        <v>6259</v>
      </c>
      <c r="O16" s="21"/>
      <c r="P16" s="21"/>
    </row>
    <row r="17" spans="1:16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x14ac:dyDescent="0.3">
      <c r="A18" s="29" t="s">
        <v>64</v>
      </c>
      <c r="B18" s="21"/>
      <c r="C18" s="21"/>
      <c r="D18" s="24">
        <f>112781+10654</f>
        <v>123435</v>
      </c>
      <c r="E18" s="21"/>
      <c r="F18" s="29" t="s">
        <v>65</v>
      </c>
      <c r="G18" s="21"/>
      <c r="H18" s="21"/>
      <c r="I18" s="24">
        <f>85634+15672</f>
        <v>101306</v>
      </c>
      <c r="J18" s="21"/>
      <c r="K18" s="29" t="s">
        <v>66</v>
      </c>
      <c r="L18" s="21"/>
      <c r="M18" s="21"/>
      <c r="N18" s="24">
        <f>94081+17522</f>
        <v>111603</v>
      </c>
      <c r="O18" s="21"/>
      <c r="P18" s="21"/>
    </row>
    <row r="19" spans="1:16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x14ac:dyDescent="0.3">
      <c r="A20" s="27" t="s">
        <v>67</v>
      </c>
      <c r="B20" s="27"/>
      <c r="C20" s="27"/>
      <c r="D20" s="28">
        <f>D16-D18</f>
        <v>-121790</v>
      </c>
      <c r="E20" s="21"/>
      <c r="F20" s="27" t="s">
        <v>68</v>
      </c>
      <c r="G20" s="27"/>
      <c r="H20" s="27"/>
      <c r="I20" s="28">
        <f>I16-I18</f>
        <v>-96854</v>
      </c>
      <c r="J20" s="21"/>
      <c r="K20" s="27" t="s">
        <v>69</v>
      </c>
      <c r="L20" s="27"/>
      <c r="M20" s="27"/>
      <c r="N20" s="28">
        <f>N16-N18</f>
        <v>-105344</v>
      </c>
      <c r="O20" s="21"/>
      <c r="P20" s="21"/>
    </row>
    <row r="21" spans="1:16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ht="21" x14ac:dyDescent="0.4">
      <c r="A23" s="54" t="s">
        <v>70</v>
      </c>
      <c r="B23" s="54"/>
      <c r="C23" s="54"/>
      <c r="D23" s="54"/>
      <c r="E23" s="21"/>
      <c r="F23" s="54" t="s">
        <v>71</v>
      </c>
      <c r="G23" s="54"/>
      <c r="H23" s="54"/>
      <c r="I23" s="54"/>
      <c r="J23" s="21"/>
      <c r="K23" s="54" t="s">
        <v>72</v>
      </c>
      <c r="L23" s="54"/>
      <c r="M23" s="54"/>
      <c r="N23" s="54"/>
      <c r="O23" s="21"/>
      <c r="P23" s="21"/>
    </row>
    <row r="24" spans="1:16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ht="42" x14ac:dyDescent="0.3">
      <c r="A25" s="22" t="s">
        <v>44</v>
      </c>
      <c r="B25" s="23" t="s">
        <v>45</v>
      </c>
      <c r="C25" s="23" t="s">
        <v>46</v>
      </c>
      <c r="D25" s="23" t="s">
        <v>47</v>
      </c>
      <c r="E25" s="21"/>
      <c r="F25" s="22" t="s">
        <v>44</v>
      </c>
      <c r="G25" s="23" t="s">
        <v>45</v>
      </c>
      <c r="H25" s="23" t="s">
        <v>46</v>
      </c>
      <c r="I25" s="23" t="s">
        <v>47</v>
      </c>
      <c r="J25" s="21"/>
      <c r="K25" s="22" t="s">
        <v>44</v>
      </c>
      <c r="L25" s="23" t="s">
        <v>45</v>
      </c>
      <c r="M25" s="23" t="s">
        <v>46</v>
      </c>
      <c r="N25" s="23" t="s">
        <v>47</v>
      </c>
      <c r="O25" s="21"/>
      <c r="P25" s="21"/>
    </row>
    <row r="26" spans="1:16" x14ac:dyDescent="0.3">
      <c r="A26" s="21" t="s">
        <v>48</v>
      </c>
      <c r="B26" s="24">
        <v>188</v>
      </c>
      <c r="C26" s="24">
        <v>29</v>
      </c>
      <c r="D26" s="24">
        <f>B26+C26</f>
        <v>217</v>
      </c>
      <c r="E26" s="21"/>
      <c r="F26" s="21" t="s">
        <v>48</v>
      </c>
      <c r="G26" s="24">
        <v>159</v>
      </c>
      <c r="H26" s="24">
        <v>8</v>
      </c>
      <c r="I26" s="24">
        <f>G26+H26</f>
        <v>167</v>
      </c>
      <c r="J26" s="21"/>
      <c r="K26" s="21" t="s">
        <v>48</v>
      </c>
      <c r="L26" s="30">
        <v>209</v>
      </c>
      <c r="M26" s="30">
        <v>56</v>
      </c>
      <c r="N26" s="30">
        <f>L26+M26</f>
        <v>265</v>
      </c>
      <c r="O26" s="21"/>
      <c r="P26" s="21"/>
    </row>
    <row r="27" spans="1:16" x14ac:dyDescent="0.3">
      <c r="A27" s="21" t="s">
        <v>49</v>
      </c>
      <c r="B27" s="24">
        <v>103</v>
      </c>
      <c r="C27" s="24">
        <v>7</v>
      </c>
      <c r="D27" s="24">
        <f>B27+C27</f>
        <v>110</v>
      </c>
      <c r="E27" s="21"/>
      <c r="F27" s="21" t="s">
        <v>49</v>
      </c>
      <c r="G27" s="24">
        <v>166</v>
      </c>
      <c r="H27" s="24">
        <v>8</v>
      </c>
      <c r="I27" s="24">
        <f>G27+H27</f>
        <v>174</v>
      </c>
      <c r="J27" s="21"/>
      <c r="K27" s="21" t="s">
        <v>49</v>
      </c>
      <c r="L27" s="30">
        <v>123</v>
      </c>
      <c r="M27" s="30">
        <v>17</v>
      </c>
      <c r="N27" s="30">
        <f>L27+M27</f>
        <v>140</v>
      </c>
      <c r="O27" s="21"/>
      <c r="P27" s="21"/>
    </row>
    <row r="28" spans="1:16" x14ac:dyDescent="0.3">
      <c r="A28" s="21" t="s">
        <v>50</v>
      </c>
      <c r="B28" s="24">
        <v>726</v>
      </c>
      <c r="C28" s="24">
        <v>109</v>
      </c>
      <c r="D28" s="24">
        <f>B28+C28</f>
        <v>835</v>
      </c>
      <c r="E28" s="21"/>
      <c r="F28" s="21" t="s">
        <v>50</v>
      </c>
      <c r="G28" s="24">
        <v>690</v>
      </c>
      <c r="H28" s="24">
        <v>105</v>
      </c>
      <c r="I28" s="24">
        <f>G28+H28</f>
        <v>795</v>
      </c>
      <c r="J28" s="21"/>
      <c r="K28" s="21" t="s">
        <v>50</v>
      </c>
      <c r="L28" s="30">
        <v>234</v>
      </c>
      <c r="M28" s="30">
        <v>27</v>
      </c>
      <c r="N28" s="30">
        <f>L28+M28</f>
        <v>261</v>
      </c>
      <c r="O28" s="21"/>
      <c r="P28" s="21"/>
    </row>
    <row r="29" spans="1:16" x14ac:dyDescent="0.3">
      <c r="A29" s="21" t="s">
        <v>51</v>
      </c>
      <c r="B29" s="24">
        <v>689</v>
      </c>
      <c r="C29" s="24">
        <v>118</v>
      </c>
      <c r="D29" s="24">
        <f t="shared" ref="D29:D38" si="3">B29+C29</f>
        <v>807</v>
      </c>
      <c r="E29" s="21"/>
      <c r="F29" s="21" t="s">
        <v>51</v>
      </c>
      <c r="G29" s="24">
        <v>899</v>
      </c>
      <c r="H29" s="24">
        <v>128</v>
      </c>
      <c r="I29" s="24">
        <f t="shared" ref="I29:I38" si="4">G29+H29</f>
        <v>1027</v>
      </c>
      <c r="J29" s="21"/>
      <c r="K29" s="21" t="s">
        <v>51</v>
      </c>
      <c r="L29" s="30">
        <v>891</v>
      </c>
      <c r="M29" s="30">
        <v>181</v>
      </c>
      <c r="N29" s="30">
        <f t="shared" ref="N29:N38" si="5">L29+M29</f>
        <v>1072</v>
      </c>
      <c r="O29" s="21"/>
      <c r="P29" s="21"/>
    </row>
    <row r="30" spans="1:16" x14ac:dyDescent="0.3">
      <c r="A30" s="21" t="s">
        <v>52</v>
      </c>
      <c r="B30" s="24">
        <v>354</v>
      </c>
      <c r="C30" s="24">
        <v>65</v>
      </c>
      <c r="D30" s="24">
        <f t="shared" si="3"/>
        <v>419</v>
      </c>
      <c r="E30" s="21"/>
      <c r="F30" s="21" t="s">
        <v>52</v>
      </c>
      <c r="G30" s="24">
        <v>562</v>
      </c>
      <c r="H30" s="24">
        <v>87</v>
      </c>
      <c r="I30" s="24">
        <f t="shared" si="4"/>
        <v>649</v>
      </c>
      <c r="J30" s="21"/>
      <c r="K30" s="21" t="s">
        <v>52</v>
      </c>
      <c r="L30" s="30">
        <v>640</v>
      </c>
      <c r="M30" s="30">
        <v>144</v>
      </c>
      <c r="N30" s="30">
        <f t="shared" si="5"/>
        <v>784</v>
      </c>
      <c r="O30" s="21"/>
      <c r="P30" s="21"/>
    </row>
    <row r="31" spans="1:16" x14ac:dyDescent="0.3">
      <c r="A31" s="21" t="s">
        <v>53</v>
      </c>
      <c r="B31" s="24">
        <v>237</v>
      </c>
      <c r="C31" s="24">
        <v>33</v>
      </c>
      <c r="D31" s="24">
        <f t="shared" si="3"/>
        <v>270</v>
      </c>
      <c r="E31" s="21"/>
      <c r="F31" s="21" t="s">
        <v>53</v>
      </c>
      <c r="G31" s="24">
        <v>420</v>
      </c>
      <c r="H31" s="24">
        <v>67</v>
      </c>
      <c r="I31" s="24">
        <f t="shared" si="4"/>
        <v>487</v>
      </c>
      <c r="J31" s="21"/>
      <c r="K31" s="21" t="s">
        <v>53</v>
      </c>
      <c r="L31" s="30">
        <v>537</v>
      </c>
      <c r="M31" s="30">
        <v>133</v>
      </c>
      <c r="N31" s="30">
        <f t="shared" si="5"/>
        <v>670</v>
      </c>
      <c r="O31" s="21"/>
      <c r="P31" s="21"/>
    </row>
    <row r="32" spans="1:16" x14ac:dyDescent="0.3">
      <c r="A32" s="21" t="s">
        <v>54</v>
      </c>
      <c r="B32" s="24">
        <v>338</v>
      </c>
      <c r="C32" s="24">
        <v>65</v>
      </c>
      <c r="D32" s="24">
        <f t="shared" si="3"/>
        <v>403</v>
      </c>
      <c r="E32" s="21"/>
      <c r="F32" s="21" t="s">
        <v>54</v>
      </c>
      <c r="G32" s="24">
        <v>396</v>
      </c>
      <c r="H32" s="24">
        <v>87</v>
      </c>
      <c r="I32" s="24">
        <f t="shared" si="4"/>
        <v>483</v>
      </c>
      <c r="J32" s="21"/>
      <c r="K32" s="21" t="s">
        <v>54</v>
      </c>
      <c r="L32" s="30">
        <v>387</v>
      </c>
      <c r="M32" s="30">
        <v>76</v>
      </c>
      <c r="N32" s="30">
        <f t="shared" si="5"/>
        <v>463</v>
      </c>
      <c r="O32" s="21"/>
      <c r="P32" s="21"/>
    </row>
    <row r="33" spans="1:16" x14ac:dyDescent="0.3">
      <c r="A33" s="21" t="s">
        <v>55</v>
      </c>
      <c r="B33" s="24">
        <v>395</v>
      </c>
      <c r="C33" s="24">
        <v>83</v>
      </c>
      <c r="D33" s="24">
        <f t="shared" si="3"/>
        <v>478</v>
      </c>
      <c r="E33" s="21"/>
      <c r="F33" s="21" t="s">
        <v>55</v>
      </c>
      <c r="G33" s="24">
        <v>340</v>
      </c>
      <c r="H33" s="24">
        <v>98</v>
      </c>
      <c r="I33" s="24">
        <f t="shared" si="4"/>
        <v>438</v>
      </c>
      <c r="J33" s="21"/>
      <c r="K33" s="21" t="s">
        <v>55</v>
      </c>
      <c r="L33" s="30">
        <v>318</v>
      </c>
      <c r="M33" s="30">
        <v>70</v>
      </c>
      <c r="N33" s="30">
        <f t="shared" si="5"/>
        <v>388</v>
      </c>
      <c r="O33" s="21"/>
      <c r="P33" s="21"/>
    </row>
    <row r="34" spans="1:16" x14ac:dyDescent="0.3">
      <c r="A34" s="21" t="s">
        <v>56</v>
      </c>
      <c r="B34" s="24">
        <v>431</v>
      </c>
      <c r="C34" s="24">
        <v>106</v>
      </c>
      <c r="D34" s="24">
        <f t="shared" si="3"/>
        <v>537</v>
      </c>
      <c r="E34" s="21"/>
      <c r="F34" s="21" t="s">
        <v>56</v>
      </c>
      <c r="G34" s="24">
        <v>559</v>
      </c>
      <c r="H34" s="24">
        <v>155</v>
      </c>
      <c r="I34" s="24">
        <f t="shared" si="4"/>
        <v>714</v>
      </c>
      <c r="J34" s="21"/>
      <c r="K34" s="21" t="s">
        <v>56</v>
      </c>
      <c r="L34" s="30">
        <v>397</v>
      </c>
      <c r="M34" s="30">
        <v>108</v>
      </c>
      <c r="N34" s="30">
        <f t="shared" si="5"/>
        <v>505</v>
      </c>
      <c r="O34" s="21"/>
      <c r="P34" s="21"/>
    </row>
    <row r="35" spans="1:16" x14ac:dyDescent="0.3">
      <c r="A35" s="21" t="s">
        <v>57</v>
      </c>
      <c r="B35" s="24">
        <v>551</v>
      </c>
      <c r="C35" s="24">
        <v>106</v>
      </c>
      <c r="D35" s="24">
        <f t="shared" si="3"/>
        <v>657</v>
      </c>
      <c r="E35" s="21"/>
      <c r="F35" s="21" t="s">
        <v>57</v>
      </c>
      <c r="G35" s="24">
        <v>657</v>
      </c>
      <c r="H35" s="24">
        <v>157</v>
      </c>
      <c r="I35" s="24">
        <f t="shared" si="4"/>
        <v>814</v>
      </c>
      <c r="J35" s="21"/>
      <c r="K35" s="21" t="s">
        <v>57</v>
      </c>
      <c r="L35" s="30">
        <v>806</v>
      </c>
      <c r="M35" s="30">
        <v>207</v>
      </c>
      <c r="N35" s="30">
        <f t="shared" si="5"/>
        <v>1013</v>
      </c>
      <c r="O35" s="21"/>
      <c r="P35" s="21"/>
    </row>
    <row r="36" spans="1:16" x14ac:dyDescent="0.3">
      <c r="A36" s="21" t="s">
        <v>59</v>
      </c>
      <c r="B36" s="24">
        <v>143</v>
      </c>
      <c r="C36" s="24">
        <v>11</v>
      </c>
      <c r="D36" s="24">
        <f t="shared" si="3"/>
        <v>154</v>
      </c>
      <c r="E36" s="21"/>
      <c r="F36" s="21" t="s">
        <v>59</v>
      </c>
      <c r="G36" s="24">
        <v>110</v>
      </c>
      <c r="H36" s="24">
        <v>12</v>
      </c>
      <c r="I36" s="24">
        <f t="shared" si="4"/>
        <v>122</v>
      </c>
      <c r="J36" s="21"/>
      <c r="K36" s="21" t="s">
        <v>59</v>
      </c>
      <c r="L36" s="30">
        <v>259</v>
      </c>
      <c r="M36" s="30">
        <v>29</v>
      </c>
      <c r="N36" s="30">
        <f t="shared" si="5"/>
        <v>288</v>
      </c>
      <c r="O36" s="21"/>
      <c r="P36" s="21"/>
    </row>
    <row r="37" spans="1:16" x14ac:dyDescent="0.3">
      <c r="A37" s="25" t="s">
        <v>60</v>
      </c>
      <c r="B37" s="26">
        <v>122</v>
      </c>
      <c r="C37" s="26">
        <v>10</v>
      </c>
      <c r="D37" s="26">
        <f t="shared" si="3"/>
        <v>132</v>
      </c>
      <c r="E37" s="21"/>
      <c r="F37" s="25" t="s">
        <v>60</v>
      </c>
      <c r="G37" s="26">
        <v>102</v>
      </c>
      <c r="H37" s="26">
        <v>11</v>
      </c>
      <c r="I37" s="26">
        <f t="shared" si="4"/>
        <v>113</v>
      </c>
      <c r="J37" s="21"/>
      <c r="K37" s="25" t="s">
        <v>60</v>
      </c>
      <c r="L37" s="31">
        <v>183</v>
      </c>
      <c r="M37" s="31">
        <v>12</v>
      </c>
      <c r="N37" s="31">
        <f t="shared" si="5"/>
        <v>195</v>
      </c>
      <c r="O37" s="21"/>
      <c r="P37" s="21"/>
    </row>
    <row r="38" spans="1:16" x14ac:dyDescent="0.3">
      <c r="A38" s="27" t="s">
        <v>73</v>
      </c>
      <c r="B38" s="28">
        <f>SUM(B26:B37)</f>
        <v>4277</v>
      </c>
      <c r="C38" s="28">
        <f>SUM(C26:C37)</f>
        <v>742</v>
      </c>
      <c r="D38" s="28">
        <f t="shared" si="3"/>
        <v>5019</v>
      </c>
      <c r="E38" s="21"/>
      <c r="F38" s="27" t="s">
        <v>74</v>
      </c>
      <c r="G38" s="28">
        <f>SUM(G26:G37)</f>
        <v>5060</v>
      </c>
      <c r="H38" s="28">
        <f>SUM(H26:H37)</f>
        <v>923</v>
      </c>
      <c r="I38" s="28">
        <f t="shared" si="4"/>
        <v>5983</v>
      </c>
      <c r="J38" s="21"/>
      <c r="K38" s="27" t="s">
        <v>75</v>
      </c>
      <c r="L38" s="32">
        <f>SUM(L26:L37)</f>
        <v>4984</v>
      </c>
      <c r="M38" s="32">
        <f>SUM(M26:M37)</f>
        <v>1060</v>
      </c>
      <c r="N38" s="32">
        <f t="shared" si="5"/>
        <v>6044</v>
      </c>
      <c r="O38" s="21"/>
      <c r="P38" s="21"/>
    </row>
    <row r="39" spans="1:16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33"/>
      <c r="M39" s="33"/>
      <c r="N39" s="33"/>
      <c r="O39" s="21"/>
      <c r="P39" s="21"/>
    </row>
    <row r="40" spans="1:16" x14ac:dyDescent="0.3">
      <c r="A40" s="29" t="s">
        <v>76</v>
      </c>
      <c r="B40" s="21"/>
      <c r="C40" s="21"/>
      <c r="D40" s="24">
        <f>87659+14919</f>
        <v>102578</v>
      </c>
      <c r="E40" s="21"/>
      <c r="F40" s="29" t="s">
        <v>77</v>
      </c>
      <c r="G40" s="21"/>
      <c r="H40" s="21"/>
      <c r="I40" s="24">
        <f>102943+18673</f>
        <v>121616</v>
      </c>
      <c r="J40" s="21"/>
      <c r="K40" s="29" t="s">
        <v>78</v>
      </c>
      <c r="L40" s="33"/>
      <c r="M40" s="33"/>
      <c r="N40" s="24">
        <f>106708+17486</f>
        <v>124194</v>
      </c>
      <c r="O40" s="21"/>
      <c r="P40" s="21"/>
    </row>
    <row r="41" spans="1:16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33"/>
      <c r="M41" s="33"/>
      <c r="N41" s="33"/>
      <c r="O41" s="21"/>
      <c r="P41" s="21"/>
    </row>
    <row r="42" spans="1:16" x14ac:dyDescent="0.3">
      <c r="A42" s="27" t="s">
        <v>79</v>
      </c>
      <c r="B42" s="27"/>
      <c r="C42" s="27"/>
      <c r="D42" s="28">
        <f>D38-D40</f>
        <v>-97559</v>
      </c>
      <c r="E42" s="21"/>
      <c r="F42" s="27" t="s">
        <v>80</v>
      </c>
      <c r="G42" s="27"/>
      <c r="H42" s="27"/>
      <c r="I42" s="28">
        <f>I38-I40</f>
        <v>-115633</v>
      </c>
      <c r="J42" s="21"/>
      <c r="K42" s="27" t="s">
        <v>81</v>
      </c>
      <c r="L42" s="34"/>
      <c r="M42" s="34"/>
      <c r="N42" s="32">
        <f>N38-N40</f>
        <v>-118150</v>
      </c>
      <c r="O42" s="21"/>
      <c r="P42" s="21"/>
    </row>
    <row r="63" spans="15:15" ht="15.6" x14ac:dyDescent="0.3">
      <c r="O63" s="53" t="s">
        <v>142</v>
      </c>
    </row>
  </sheetData>
  <mergeCells count="6">
    <mergeCell ref="A1:D1"/>
    <mergeCell ref="F1:I1"/>
    <mergeCell ref="K1:N1"/>
    <mergeCell ref="A23:D23"/>
    <mergeCell ref="F23:I23"/>
    <mergeCell ref="K23:N23"/>
  </mergeCells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43" workbookViewId="0">
      <selection activeCell="N62" sqref="N62"/>
    </sheetView>
  </sheetViews>
  <sheetFormatPr defaultRowHeight="14.4" x14ac:dyDescent="0.3"/>
  <sheetData>
    <row r="1" spans="1:14" ht="21" x14ac:dyDescent="0.4">
      <c r="A1" s="54" t="s">
        <v>82</v>
      </c>
      <c r="B1" s="54"/>
      <c r="C1" s="54"/>
      <c r="D1" s="54"/>
      <c r="E1" s="21"/>
      <c r="F1" s="54" t="s">
        <v>83</v>
      </c>
      <c r="G1" s="54"/>
      <c r="H1" s="54"/>
      <c r="I1" s="54"/>
      <c r="J1" s="21"/>
      <c r="K1" s="54" t="s">
        <v>84</v>
      </c>
      <c r="L1" s="54"/>
      <c r="M1" s="54"/>
      <c r="N1" s="54"/>
    </row>
    <row r="2" spans="1:14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42" x14ac:dyDescent="0.3">
      <c r="A3" s="22" t="s">
        <v>44</v>
      </c>
      <c r="B3" s="23" t="s">
        <v>45</v>
      </c>
      <c r="C3" s="23" t="s">
        <v>46</v>
      </c>
      <c r="D3" s="23" t="s">
        <v>47</v>
      </c>
      <c r="E3" s="21"/>
      <c r="F3" s="22" t="s">
        <v>44</v>
      </c>
      <c r="G3" s="23" t="s">
        <v>45</v>
      </c>
      <c r="H3" s="23" t="s">
        <v>46</v>
      </c>
      <c r="I3" s="23" t="s">
        <v>47</v>
      </c>
      <c r="J3" s="21"/>
      <c r="K3" s="22" t="s">
        <v>44</v>
      </c>
      <c r="L3" s="23" t="s">
        <v>45</v>
      </c>
      <c r="M3" s="23" t="s">
        <v>46</v>
      </c>
      <c r="N3" s="23" t="s">
        <v>47</v>
      </c>
    </row>
    <row r="4" spans="1:14" x14ac:dyDescent="0.3">
      <c r="A4" s="21" t="s">
        <v>48</v>
      </c>
      <c r="B4" s="24">
        <v>5000</v>
      </c>
      <c r="C4" s="24">
        <v>47</v>
      </c>
      <c r="D4" s="24">
        <f>B4+C4</f>
        <v>5047</v>
      </c>
      <c r="E4" s="21"/>
      <c r="F4" s="21" t="s">
        <v>48</v>
      </c>
      <c r="G4" s="24">
        <v>4574</v>
      </c>
      <c r="H4" s="24">
        <v>63</v>
      </c>
      <c r="I4" s="24">
        <f>G4+H4</f>
        <v>4637</v>
      </c>
      <c r="J4" s="21"/>
      <c r="K4" s="21" t="s">
        <v>48</v>
      </c>
      <c r="L4" s="24">
        <v>4450</v>
      </c>
      <c r="M4" s="24">
        <v>79</v>
      </c>
      <c r="N4" s="24">
        <f>L4+M4</f>
        <v>4529</v>
      </c>
    </row>
    <row r="5" spans="1:14" x14ac:dyDescent="0.3">
      <c r="A5" s="21" t="s">
        <v>49</v>
      </c>
      <c r="B5" s="24">
        <v>4461</v>
      </c>
      <c r="C5" s="24">
        <v>62</v>
      </c>
      <c r="D5" s="24">
        <f>B5+C5</f>
        <v>4523</v>
      </c>
      <c r="E5" s="21"/>
      <c r="F5" s="21" t="s">
        <v>49</v>
      </c>
      <c r="G5" s="24">
        <v>4241</v>
      </c>
      <c r="H5" s="24">
        <v>90</v>
      </c>
      <c r="I5" s="24">
        <f>G5+H5</f>
        <v>4331</v>
      </c>
      <c r="J5" s="21"/>
      <c r="K5" s="21" t="s">
        <v>49</v>
      </c>
      <c r="L5" s="24">
        <v>5019</v>
      </c>
      <c r="M5" s="24">
        <v>115</v>
      </c>
      <c r="N5" s="24">
        <f>L5+M5</f>
        <v>5134</v>
      </c>
    </row>
    <row r="6" spans="1:14" x14ac:dyDescent="0.3">
      <c r="A6" s="21" t="s">
        <v>50</v>
      </c>
      <c r="B6" s="24">
        <v>4958</v>
      </c>
      <c r="C6" s="24">
        <v>112</v>
      </c>
      <c r="D6" s="24">
        <f>B6+C6</f>
        <v>5070</v>
      </c>
      <c r="E6" s="21"/>
      <c r="F6" s="21" t="s">
        <v>50</v>
      </c>
      <c r="G6" s="24">
        <v>5743</v>
      </c>
      <c r="H6" s="24">
        <v>139</v>
      </c>
      <c r="I6" s="24">
        <f>G6+H6</f>
        <v>5882</v>
      </c>
      <c r="J6" s="21"/>
      <c r="K6" s="21" t="s">
        <v>50</v>
      </c>
      <c r="L6" s="24">
        <v>6178</v>
      </c>
      <c r="M6" s="24">
        <v>197</v>
      </c>
      <c r="N6" s="24">
        <f>L6+M6</f>
        <v>6375</v>
      </c>
    </row>
    <row r="7" spans="1:14" x14ac:dyDescent="0.3">
      <c r="A7" s="21" t="s">
        <v>51</v>
      </c>
      <c r="B7" s="24">
        <v>6480</v>
      </c>
      <c r="C7" s="24">
        <v>149</v>
      </c>
      <c r="D7" s="24">
        <f t="shared" ref="D7:D16" si="0">B7+C7</f>
        <v>6629</v>
      </c>
      <c r="E7" s="21"/>
      <c r="F7" s="21" t="s">
        <v>51</v>
      </c>
      <c r="G7" s="24">
        <v>5320</v>
      </c>
      <c r="H7" s="24">
        <v>164</v>
      </c>
      <c r="I7" s="24">
        <f t="shared" ref="I7:I16" si="1">G7+H7</f>
        <v>5484</v>
      </c>
      <c r="J7" s="21"/>
      <c r="K7" s="21" t="s">
        <v>51</v>
      </c>
      <c r="L7" s="24">
        <v>5766</v>
      </c>
      <c r="M7" s="24">
        <v>179</v>
      </c>
      <c r="N7" s="24">
        <f t="shared" ref="N7:N16" si="2">L7+M7</f>
        <v>5945</v>
      </c>
    </row>
    <row r="8" spans="1:14" x14ac:dyDescent="0.3">
      <c r="A8" s="21" t="s">
        <v>52</v>
      </c>
      <c r="B8" s="24">
        <v>0</v>
      </c>
      <c r="C8" s="24">
        <v>0</v>
      </c>
      <c r="D8" s="24">
        <f t="shared" si="0"/>
        <v>0</v>
      </c>
      <c r="E8" s="21"/>
      <c r="F8" s="21" t="s">
        <v>52</v>
      </c>
      <c r="G8" s="24">
        <v>6870</v>
      </c>
      <c r="H8" s="24">
        <v>174</v>
      </c>
      <c r="I8" s="24">
        <f t="shared" si="1"/>
        <v>7044</v>
      </c>
      <c r="J8" s="21"/>
      <c r="K8" s="21" t="s">
        <v>52</v>
      </c>
      <c r="L8" s="24">
        <v>6894</v>
      </c>
      <c r="M8" s="24">
        <v>209</v>
      </c>
      <c r="N8" s="24">
        <f t="shared" si="2"/>
        <v>7103</v>
      </c>
    </row>
    <row r="9" spans="1:14" x14ac:dyDescent="0.3">
      <c r="A9" s="21" t="s">
        <v>53</v>
      </c>
      <c r="B9" s="24">
        <v>6</v>
      </c>
      <c r="C9" s="24">
        <v>1</v>
      </c>
      <c r="D9" s="24">
        <f t="shared" si="0"/>
        <v>7</v>
      </c>
      <c r="E9" s="21"/>
      <c r="F9" s="21" t="s">
        <v>53</v>
      </c>
      <c r="G9" s="24">
        <v>6373</v>
      </c>
      <c r="H9" s="24">
        <v>164</v>
      </c>
      <c r="I9" s="24">
        <f t="shared" si="1"/>
        <v>6537</v>
      </c>
      <c r="J9" s="21"/>
      <c r="K9" s="21" t="s">
        <v>53</v>
      </c>
      <c r="L9" s="24">
        <v>6978</v>
      </c>
      <c r="M9" s="24">
        <v>210</v>
      </c>
      <c r="N9" s="24">
        <f t="shared" si="2"/>
        <v>7188</v>
      </c>
    </row>
    <row r="10" spans="1:14" x14ac:dyDescent="0.3">
      <c r="A10" s="21" t="s">
        <v>54</v>
      </c>
      <c r="B10" s="24">
        <v>20</v>
      </c>
      <c r="C10" s="24">
        <v>7</v>
      </c>
      <c r="D10" s="24">
        <f t="shared" si="0"/>
        <v>27</v>
      </c>
      <c r="E10" s="21"/>
      <c r="F10" s="21" t="s">
        <v>54</v>
      </c>
      <c r="G10" s="24">
        <v>6242</v>
      </c>
      <c r="H10" s="24">
        <v>183</v>
      </c>
      <c r="I10" s="24">
        <f t="shared" si="1"/>
        <v>6425</v>
      </c>
      <c r="J10" s="21"/>
      <c r="K10" s="21" t="s">
        <v>54</v>
      </c>
      <c r="L10" s="24">
        <v>6149</v>
      </c>
      <c r="M10" s="24">
        <v>208</v>
      </c>
      <c r="N10" s="24">
        <f t="shared" si="2"/>
        <v>6357</v>
      </c>
    </row>
    <row r="11" spans="1:14" x14ac:dyDescent="0.3">
      <c r="A11" s="21" t="s">
        <v>55</v>
      </c>
      <c r="B11" s="24">
        <v>18</v>
      </c>
      <c r="C11" s="24">
        <v>1</v>
      </c>
      <c r="D11" s="24">
        <f t="shared" si="0"/>
        <v>19</v>
      </c>
      <c r="E11" s="21"/>
      <c r="F11" s="21" t="s">
        <v>55</v>
      </c>
      <c r="G11" s="24">
        <v>6849</v>
      </c>
      <c r="H11" s="24">
        <v>242</v>
      </c>
      <c r="I11" s="24">
        <f t="shared" si="1"/>
        <v>7091</v>
      </c>
      <c r="J11" s="21"/>
      <c r="K11" s="21" t="s">
        <v>55</v>
      </c>
      <c r="L11" s="24">
        <v>7032</v>
      </c>
      <c r="M11" s="24">
        <v>261</v>
      </c>
      <c r="N11" s="24">
        <f t="shared" si="2"/>
        <v>7293</v>
      </c>
    </row>
    <row r="12" spans="1:14" x14ac:dyDescent="0.3">
      <c r="A12" s="21" t="s">
        <v>56</v>
      </c>
      <c r="B12" s="24">
        <v>12</v>
      </c>
      <c r="C12" s="24">
        <v>1</v>
      </c>
      <c r="D12" s="24">
        <f t="shared" si="0"/>
        <v>13</v>
      </c>
      <c r="E12" s="21"/>
      <c r="F12" s="21" t="s">
        <v>56</v>
      </c>
      <c r="G12" s="24">
        <v>5202</v>
      </c>
      <c r="H12" s="24">
        <v>225</v>
      </c>
      <c r="I12" s="24">
        <f t="shared" si="1"/>
        <v>5427</v>
      </c>
      <c r="J12" s="21"/>
      <c r="K12" s="21" t="s">
        <v>56</v>
      </c>
      <c r="L12" s="24">
        <v>5437</v>
      </c>
      <c r="M12" s="24">
        <v>263</v>
      </c>
      <c r="N12" s="24">
        <f t="shared" si="2"/>
        <v>5700</v>
      </c>
    </row>
    <row r="13" spans="1:14" x14ac:dyDescent="0.3">
      <c r="A13" s="21" t="s">
        <v>57</v>
      </c>
      <c r="B13" s="24">
        <v>143</v>
      </c>
      <c r="C13" s="24">
        <v>38</v>
      </c>
      <c r="D13" s="24">
        <f t="shared" si="0"/>
        <v>181</v>
      </c>
      <c r="E13" s="21"/>
      <c r="F13" s="21" t="s">
        <v>57</v>
      </c>
      <c r="G13" s="24">
        <v>6276</v>
      </c>
      <c r="H13" s="24">
        <v>266</v>
      </c>
      <c r="I13" s="24">
        <f t="shared" si="1"/>
        <v>6542</v>
      </c>
      <c r="J13" s="21"/>
      <c r="K13" s="21" t="s">
        <v>57</v>
      </c>
      <c r="L13" s="24">
        <v>5296</v>
      </c>
      <c r="M13" s="24">
        <v>225</v>
      </c>
      <c r="N13" s="24">
        <f t="shared" si="2"/>
        <v>5521</v>
      </c>
    </row>
    <row r="14" spans="1:14" x14ac:dyDescent="0.3">
      <c r="A14" s="21" t="s">
        <v>59</v>
      </c>
      <c r="B14" s="24">
        <v>30</v>
      </c>
      <c r="C14" s="24">
        <v>3</v>
      </c>
      <c r="D14" s="24">
        <f t="shared" si="0"/>
        <v>33</v>
      </c>
      <c r="E14" s="21"/>
      <c r="F14" s="21" t="s">
        <v>59</v>
      </c>
      <c r="G14" s="24">
        <v>5156</v>
      </c>
      <c r="H14" s="24">
        <v>19</v>
      </c>
      <c r="I14" s="24">
        <f t="shared" si="1"/>
        <v>5175</v>
      </c>
      <c r="J14" s="21"/>
      <c r="K14" s="21" t="s">
        <v>59</v>
      </c>
      <c r="L14" s="24">
        <v>5160</v>
      </c>
      <c r="M14" s="24">
        <v>19</v>
      </c>
      <c r="N14" s="24">
        <f t="shared" si="2"/>
        <v>5179</v>
      </c>
    </row>
    <row r="15" spans="1:14" x14ac:dyDescent="0.3">
      <c r="A15" s="25" t="s">
        <v>60</v>
      </c>
      <c r="B15" s="26">
        <v>33</v>
      </c>
      <c r="C15" s="26">
        <v>4</v>
      </c>
      <c r="D15" s="26">
        <f t="shared" si="0"/>
        <v>37</v>
      </c>
      <c r="E15" s="21"/>
      <c r="F15" s="25" t="s">
        <v>60</v>
      </c>
      <c r="G15" s="26">
        <v>4310</v>
      </c>
      <c r="H15" s="26">
        <v>38</v>
      </c>
      <c r="I15" s="26">
        <f t="shared" si="1"/>
        <v>4348</v>
      </c>
      <c r="J15" s="21"/>
      <c r="K15" s="25" t="s">
        <v>60</v>
      </c>
      <c r="L15" s="26">
        <v>4307</v>
      </c>
      <c r="M15" s="26">
        <v>28</v>
      </c>
      <c r="N15" s="26">
        <f t="shared" si="2"/>
        <v>4335</v>
      </c>
    </row>
    <row r="16" spans="1:14" x14ac:dyDescent="0.3">
      <c r="A16" s="27" t="s">
        <v>61</v>
      </c>
      <c r="B16" s="28">
        <f>SUM(B4:B15)</f>
        <v>21161</v>
      </c>
      <c r="C16" s="28">
        <f>SUM(C4:C15)</f>
        <v>425</v>
      </c>
      <c r="D16" s="28">
        <f t="shared" si="0"/>
        <v>21586</v>
      </c>
      <c r="E16" s="21"/>
      <c r="F16" s="27" t="s">
        <v>62</v>
      </c>
      <c r="G16" s="28">
        <f>SUM(G4:G15)</f>
        <v>67156</v>
      </c>
      <c r="H16" s="28">
        <f>SUM(H4:H15)</f>
        <v>1767</v>
      </c>
      <c r="I16" s="28">
        <f t="shared" si="1"/>
        <v>68923</v>
      </c>
      <c r="J16" s="21"/>
      <c r="K16" s="27" t="s">
        <v>63</v>
      </c>
      <c r="L16" s="28">
        <f>SUM(L4:L15)</f>
        <v>68666</v>
      </c>
      <c r="M16" s="28">
        <f>SUM(M4:M15)</f>
        <v>1993</v>
      </c>
      <c r="N16" s="28">
        <f t="shared" si="2"/>
        <v>70659</v>
      </c>
    </row>
    <row r="17" spans="1:14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3">
      <c r="A18" s="29" t="s">
        <v>64</v>
      </c>
      <c r="B18" s="21"/>
      <c r="C18" s="21"/>
      <c r="D18" s="24">
        <f>60926+5343</f>
        <v>66269</v>
      </c>
      <c r="E18" s="21"/>
      <c r="F18" s="29" t="s">
        <v>65</v>
      </c>
      <c r="G18" s="21"/>
      <c r="H18" s="21"/>
      <c r="I18" s="24">
        <f>84448+11706</f>
        <v>96154</v>
      </c>
      <c r="J18" s="21"/>
      <c r="K18" s="29" t="s">
        <v>66</v>
      </c>
      <c r="L18" s="21"/>
      <c r="M18" s="21"/>
      <c r="N18" s="24">
        <v>98401</v>
      </c>
    </row>
    <row r="19" spans="1:14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3">
      <c r="A20" s="27" t="s">
        <v>67</v>
      </c>
      <c r="B20" s="27"/>
      <c r="C20" s="27"/>
      <c r="D20" s="28">
        <f>D16-D18</f>
        <v>-44683</v>
      </c>
      <c r="E20" s="21"/>
      <c r="F20" s="27" t="s">
        <v>68</v>
      </c>
      <c r="G20" s="27"/>
      <c r="H20" s="27"/>
      <c r="I20" s="28">
        <f>I16-I18</f>
        <v>-27231</v>
      </c>
      <c r="J20" s="21"/>
      <c r="K20" s="27" t="s">
        <v>69</v>
      </c>
      <c r="L20" s="27"/>
      <c r="M20" s="27"/>
      <c r="N20" s="28">
        <f>N16-N18</f>
        <v>-27742</v>
      </c>
    </row>
    <row r="21" spans="1:14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21" x14ac:dyDescent="0.4">
      <c r="A23" s="54" t="s">
        <v>85</v>
      </c>
      <c r="B23" s="54"/>
      <c r="C23" s="54"/>
      <c r="D23" s="54"/>
      <c r="E23" s="21"/>
      <c r="F23" s="54" t="s">
        <v>86</v>
      </c>
      <c r="G23" s="54"/>
      <c r="H23" s="54"/>
      <c r="I23" s="54"/>
      <c r="J23" s="21"/>
      <c r="K23" s="54" t="s">
        <v>87</v>
      </c>
      <c r="L23" s="54"/>
      <c r="M23" s="54"/>
      <c r="N23" s="54"/>
    </row>
    <row r="24" spans="1:14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42" x14ac:dyDescent="0.3">
      <c r="A25" s="22" t="s">
        <v>44</v>
      </c>
      <c r="B25" s="23" t="s">
        <v>45</v>
      </c>
      <c r="C25" s="23" t="s">
        <v>46</v>
      </c>
      <c r="D25" s="23" t="s">
        <v>47</v>
      </c>
      <c r="E25" s="21"/>
      <c r="F25" s="22" t="s">
        <v>44</v>
      </c>
      <c r="G25" s="23" t="s">
        <v>45</v>
      </c>
      <c r="H25" s="23" t="s">
        <v>46</v>
      </c>
      <c r="I25" s="23" t="s">
        <v>47</v>
      </c>
      <c r="J25" s="21"/>
      <c r="K25" s="22" t="s">
        <v>44</v>
      </c>
      <c r="L25" s="23" t="s">
        <v>45</v>
      </c>
      <c r="M25" s="23" t="s">
        <v>46</v>
      </c>
      <c r="N25" s="23" t="s">
        <v>47</v>
      </c>
    </row>
    <row r="26" spans="1:14" x14ac:dyDescent="0.3">
      <c r="A26" s="21" t="s">
        <v>48</v>
      </c>
      <c r="B26" s="24">
        <v>4707</v>
      </c>
      <c r="C26" s="24">
        <v>72</v>
      </c>
      <c r="D26" s="24">
        <f>B26+C26</f>
        <v>4779</v>
      </c>
      <c r="E26" s="21"/>
      <c r="F26" s="21" t="s">
        <v>48</v>
      </c>
      <c r="G26" s="24">
        <v>5159</v>
      </c>
      <c r="H26" s="24">
        <v>120</v>
      </c>
      <c r="I26" s="24">
        <f>G26+H26</f>
        <v>5279</v>
      </c>
      <c r="J26" s="21"/>
      <c r="K26" s="21" t="s">
        <v>48</v>
      </c>
      <c r="L26" s="30">
        <v>5131</v>
      </c>
      <c r="M26" s="30">
        <v>116</v>
      </c>
      <c r="N26" s="30">
        <f>L26+M26</f>
        <v>5247</v>
      </c>
    </row>
    <row r="27" spans="1:14" x14ac:dyDescent="0.3">
      <c r="A27" s="21" t="s">
        <v>49</v>
      </c>
      <c r="B27" s="24">
        <v>4830</v>
      </c>
      <c r="C27" s="24">
        <v>130</v>
      </c>
      <c r="D27" s="24">
        <f>B27+C27</f>
        <v>4960</v>
      </c>
      <c r="E27" s="21"/>
      <c r="F27" s="21" t="s">
        <v>49</v>
      </c>
      <c r="G27" s="24">
        <v>4836</v>
      </c>
      <c r="H27" s="24">
        <v>133</v>
      </c>
      <c r="I27" s="24">
        <f>G27+H27</f>
        <v>4969</v>
      </c>
      <c r="J27" s="21"/>
      <c r="K27" s="21" t="s">
        <v>49</v>
      </c>
      <c r="L27" s="30">
        <v>4207</v>
      </c>
      <c r="M27" s="30">
        <v>131</v>
      </c>
      <c r="N27" s="30">
        <f>L27+M27</f>
        <v>4338</v>
      </c>
    </row>
    <row r="28" spans="1:14" x14ac:dyDescent="0.3">
      <c r="A28" s="21" t="s">
        <v>50</v>
      </c>
      <c r="B28" s="24">
        <v>6269</v>
      </c>
      <c r="C28" s="24">
        <v>193</v>
      </c>
      <c r="D28" s="24">
        <f>B28+C28</f>
        <v>6462</v>
      </c>
      <c r="E28" s="21"/>
      <c r="F28" s="21" t="s">
        <v>50</v>
      </c>
      <c r="G28" s="24">
        <v>5635</v>
      </c>
      <c r="H28" s="24">
        <v>195</v>
      </c>
      <c r="I28" s="24">
        <f>G28+H28</f>
        <v>5830</v>
      </c>
      <c r="J28" s="21"/>
      <c r="K28" s="21" t="s">
        <v>50</v>
      </c>
      <c r="L28" s="30">
        <v>5578</v>
      </c>
      <c r="M28" s="30">
        <v>160</v>
      </c>
      <c r="N28" s="30">
        <f>L28+M28</f>
        <v>5738</v>
      </c>
    </row>
    <row r="29" spans="1:14" x14ac:dyDescent="0.3">
      <c r="A29" s="21" t="s">
        <v>51</v>
      </c>
      <c r="B29" s="24">
        <v>5931</v>
      </c>
      <c r="C29" s="24">
        <v>203</v>
      </c>
      <c r="D29" s="24">
        <f t="shared" ref="D29:D38" si="3">B29+C29</f>
        <v>6134</v>
      </c>
      <c r="E29" s="21"/>
      <c r="F29" s="21" t="s">
        <v>51</v>
      </c>
      <c r="G29" s="24">
        <v>6656</v>
      </c>
      <c r="H29" s="24">
        <v>259</v>
      </c>
      <c r="I29" s="24">
        <f t="shared" ref="I29:I38" si="4">G29+H29</f>
        <v>6915</v>
      </c>
      <c r="J29" s="21"/>
      <c r="K29" s="21" t="s">
        <v>51</v>
      </c>
      <c r="L29" s="30">
        <v>6772</v>
      </c>
      <c r="M29" s="30">
        <v>315</v>
      </c>
      <c r="N29" s="30">
        <f>L29+M29</f>
        <v>7087</v>
      </c>
    </row>
    <row r="30" spans="1:14" x14ac:dyDescent="0.3">
      <c r="A30" s="21" t="s">
        <v>52</v>
      </c>
      <c r="B30" s="24">
        <v>6674</v>
      </c>
      <c r="C30" s="24">
        <v>227</v>
      </c>
      <c r="D30" s="24">
        <f t="shared" si="3"/>
        <v>6901</v>
      </c>
      <c r="E30" s="21"/>
      <c r="F30" s="21" t="s">
        <v>52</v>
      </c>
      <c r="G30" s="24">
        <v>7127</v>
      </c>
      <c r="H30" s="24">
        <v>228</v>
      </c>
      <c r="I30" s="24">
        <f t="shared" si="4"/>
        <v>7355</v>
      </c>
      <c r="J30" s="21"/>
      <c r="K30" s="21" t="s">
        <v>52</v>
      </c>
      <c r="L30" s="33">
        <v>7347</v>
      </c>
      <c r="M30" s="33">
        <v>289</v>
      </c>
      <c r="N30" s="30">
        <f t="shared" ref="N30:N38" si="5">L30+M30</f>
        <v>7636</v>
      </c>
    </row>
    <row r="31" spans="1:14" x14ac:dyDescent="0.3">
      <c r="A31" s="21" t="s">
        <v>53</v>
      </c>
      <c r="B31" s="24">
        <v>7605</v>
      </c>
      <c r="C31" s="24">
        <v>242</v>
      </c>
      <c r="D31" s="24">
        <f t="shared" si="3"/>
        <v>7847</v>
      </c>
      <c r="E31" s="21"/>
      <c r="F31" s="21" t="s">
        <v>53</v>
      </c>
      <c r="G31" s="24">
        <v>7050</v>
      </c>
      <c r="H31" s="24">
        <v>240</v>
      </c>
      <c r="I31" s="24">
        <f t="shared" si="4"/>
        <v>7290</v>
      </c>
      <c r="J31" s="21"/>
      <c r="K31" s="21" t="s">
        <v>53</v>
      </c>
      <c r="L31" s="30">
        <v>6648</v>
      </c>
      <c r="M31" s="30">
        <v>275</v>
      </c>
      <c r="N31" s="30">
        <f t="shared" si="5"/>
        <v>6923</v>
      </c>
    </row>
    <row r="32" spans="1:14" x14ac:dyDescent="0.3">
      <c r="A32" s="21" t="s">
        <v>54</v>
      </c>
      <c r="B32" s="24">
        <v>7043</v>
      </c>
      <c r="C32" s="24">
        <v>228</v>
      </c>
      <c r="D32" s="24">
        <f t="shared" si="3"/>
        <v>7271</v>
      </c>
      <c r="E32" s="21"/>
      <c r="F32" s="21" t="s">
        <v>54</v>
      </c>
      <c r="G32" s="24">
        <v>7652</v>
      </c>
      <c r="H32" s="24">
        <v>291</v>
      </c>
      <c r="I32" s="24">
        <f t="shared" si="4"/>
        <v>7943</v>
      </c>
      <c r="J32" s="21"/>
      <c r="K32" s="21" t="s">
        <v>54</v>
      </c>
      <c r="L32" s="30">
        <v>7715</v>
      </c>
      <c r="M32" s="30">
        <v>325</v>
      </c>
      <c r="N32" s="30">
        <f t="shared" si="5"/>
        <v>8040</v>
      </c>
    </row>
    <row r="33" spans="1:14" x14ac:dyDescent="0.3">
      <c r="A33" s="21" t="s">
        <v>55</v>
      </c>
      <c r="B33" s="24">
        <v>7086</v>
      </c>
      <c r="C33" s="24">
        <v>226</v>
      </c>
      <c r="D33" s="24">
        <f t="shared" si="3"/>
        <v>7312</v>
      </c>
      <c r="E33" s="21"/>
      <c r="F33" s="21" t="s">
        <v>55</v>
      </c>
      <c r="G33" s="24">
        <v>7061</v>
      </c>
      <c r="H33" s="24">
        <v>282</v>
      </c>
      <c r="I33" s="24">
        <f t="shared" si="4"/>
        <v>7343</v>
      </c>
      <c r="J33" s="21"/>
      <c r="K33" s="21" t="s">
        <v>55</v>
      </c>
      <c r="L33" s="30">
        <v>7587</v>
      </c>
      <c r="M33" s="30">
        <v>322</v>
      </c>
      <c r="N33" s="30">
        <f t="shared" si="5"/>
        <v>7909</v>
      </c>
    </row>
    <row r="34" spans="1:14" x14ac:dyDescent="0.3">
      <c r="A34" s="21" t="s">
        <v>56</v>
      </c>
      <c r="B34" s="24">
        <v>6398</v>
      </c>
      <c r="C34" s="24">
        <v>283</v>
      </c>
      <c r="D34" s="24">
        <f t="shared" si="3"/>
        <v>6681</v>
      </c>
      <c r="E34" s="21"/>
      <c r="F34" s="21" t="s">
        <v>56</v>
      </c>
      <c r="G34" s="24">
        <v>6614</v>
      </c>
      <c r="H34" s="24">
        <v>293</v>
      </c>
      <c r="I34" s="24">
        <f t="shared" si="4"/>
        <v>6907</v>
      </c>
      <c r="J34" s="21"/>
      <c r="K34" s="21" t="s">
        <v>56</v>
      </c>
      <c r="L34" s="30">
        <v>5907</v>
      </c>
      <c r="M34" s="30">
        <v>253</v>
      </c>
      <c r="N34" s="30">
        <f t="shared" si="5"/>
        <v>6160</v>
      </c>
    </row>
    <row r="35" spans="1:14" x14ac:dyDescent="0.3">
      <c r="A35" s="21" t="s">
        <v>57</v>
      </c>
      <c r="B35" s="24">
        <v>6055</v>
      </c>
      <c r="C35" s="24">
        <v>276</v>
      </c>
      <c r="D35" s="24">
        <f t="shared" si="3"/>
        <v>6331</v>
      </c>
      <c r="E35" s="21"/>
      <c r="F35" s="21" t="s">
        <v>57</v>
      </c>
      <c r="G35" s="24">
        <v>6330</v>
      </c>
      <c r="H35" s="24">
        <v>285</v>
      </c>
      <c r="I35" s="24">
        <f t="shared" si="4"/>
        <v>6615</v>
      </c>
      <c r="J35" s="21"/>
      <c r="K35" s="21" t="s">
        <v>57</v>
      </c>
      <c r="L35" s="30">
        <v>6635</v>
      </c>
      <c r="M35" s="30">
        <v>294</v>
      </c>
      <c r="N35" s="30">
        <f t="shared" si="5"/>
        <v>6929</v>
      </c>
    </row>
    <row r="36" spans="1:14" x14ac:dyDescent="0.3">
      <c r="A36" s="21" t="s">
        <v>59</v>
      </c>
      <c r="B36" s="24">
        <v>5319</v>
      </c>
      <c r="C36" s="24">
        <v>24</v>
      </c>
      <c r="D36" s="24">
        <f t="shared" si="3"/>
        <v>5343</v>
      </c>
      <c r="E36" s="21"/>
      <c r="F36" s="21" t="s">
        <v>59</v>
      </c>
      <c r="G36" s="24">
        <v>5103</v>
      </c>
      <c r="H36" s="24">
        <v>38</v>
      </c>
      <c r="I36" s="24">
        <f t="shared" si="4"/>
        <v>5141</v>
      </c>
      <c r="J36" s="21"/>
      <c r="K36" s="21" t="s">
        <v>59</v>
      </c>
      <c r="L36" s="30">
        <v>5561</v>
      </c>
      <c r="M36" s="30">
        <v>41</v>
      </c>
      <c r="N36" s="30">
        <f t="shared" si="5"/>
        <v>5602</v>
      </c>
    </row>
    <row r="37" spans="1:14" x14ac:dyDescent="0.3">
      <c r="A37" s="25" t="s">
        <v>60</v>
      </c>
      <c r="B37" s="26">
        <v>5537</v>
      </c>
      <c r="C37" s="26">
        <v>57</v>
      </c>
      <c r="D37" s="26">
        <f t="shared" si="3"/>
        <v>5594</v>
      </c>
      <c r="E37" s="21"/>
      <c r="F37" s="25" t="s">
        <v>60</v>
      </c>
      <c r="G37" s="26">
        <v>5652</v>
      </c>
      <c r="H37" s="26">
        <v>72</v>
      </c>
      <c r="I37" s="26">
        <f t="shared" si="4"/>
        <v>5724</v>
      </c>
      <c r="J37" s="21"/>
      <c r="K37" s="25" t="s">
        <v>60</v>
      </c>
      <c r="L37" s="31">
        <v>5413</v>
      </c>
      <c r="M37" s="31">
        <v>71</v>
      </c>
      <c r="N37" s="31">
        <f t="shared" si="5"/>
        <v>5484</v>
      </c>
    </row>
    <row r="38" spans="1:14" x14ac:dyDescent="0.3">
      <c r="A38" s="27" t="s">
        <v>73</v>
      </c>
      <c r="B38" s="28">
        <f>SUM(B26:B37)</f>
        <v>73454</v>
      </c>
      <c r="C38" s="28">
        <f>SUM(C26:C37)</f>
        <v>2161</v>
      </c>
      <c r="D38" s="28">
        <f t="shared" si="3"/>
        <v>75615</v>
      </c>
      <c r="E38" s="21"/>
      <c r="F38" s="27" t="s">
        <v>74</v>
      </c>
      <c r="G38" s="28">
        <f>SUM(G26:G37)</f>
        <v>74875</v>
      </c>
      <c r="H38" s="28">
        <f>SUM(H26:H37)</f>
        <v>2436</v>
      </c>
      <c r="I38" s="28">
        <f t="shared" si="4"/>
        <v>77311</v>
      </c>
      <c r="J38" s="21"/>
      <c r="K38" s="27" t="s">
        <v>75</v>
      </c>
      <c r="L38" s="32">
        <f>SUM(L26:L37)</f>
        <v>74501</v>
      </c>
      <c r="M38" s="32">
        <f>SUM(M26:M37)</f>
        <v>2592</v>
      </c>
      <c r="N38" s="32">
        <f t="shared" si="5"/>
        <v>77093</v>
      </c>
    </row>
    <row r="39" spans="1:14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33"/>
      <c r="M39" s="33"/>
      <c r="N39" s="33"/>
    </row>
    <row r="40" spans="1:14" x14ac:dyDescent="0.3">
      <c r="A40" s="29" t="s">
        <v>76</v>
      </c>
      <c r="B40" s="21"/>
      <c r="C40" s="21"/>
      <c r="D40" s="24">
        <v>142501</v>
      </c>
      <c r="E40" s="21"/>
      <c r="F40" s="29" t="s">
        <v>77</v>
      </c>
      <c r="G40" s="21"/>
      <c r="H40" s="21"/>
      <c r="I40" s="24">
        <v>100494</v>
      </c>
      <c r="J40" s="21"/>
      <c r="K40" s="29" t="s">
        <v>78</v>
      </c>
      <c r="L40" s="33"/>
      <c r="M40" s="33"/>
      <c r="N40" s="30">
        <v>103940</v>
      </c>
    </row>
    <row r="41" spans="1:14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33"/>
      <c r="M41" s="33"/>
      <c r="N41" s="33"/>
    </row>
    <row r="42" spans="1:14" x14ac:dyDescent="0.3">
      <c r="A42" s="27" t="s">
        <v>79</v>
      </c>
      <c r="B42" s="27"/>
      <c r="C42" s="27"/>
      <c r="D42" s="28">
        <f>D38-D40</f>
        <v>-66886</v>
      </c>
      <c r="E42" s="21"/>
      <c r="F42" s="27" t="s">
        <v>80</v>
      </c>
      <c r="G42" s="27"/>
      <c r="H42" s="27"/>
      <c r="I42" s="28">
        <f>I38-I40</f>
        <v>-23183</v>
      </c>
      <c r="J42" s="21"/>
      <c r="K42" s="27" t="s">
        <v>81</v>
      </c>
      <c r="L42" s="34"/>
      <c r="M42" s="34"/>
      <c r="N42" s="32">
        <f>N38-N40</f>
        <v>-26847</v>
      </c>
    </row>
    <row r="62" spans="14:14" ht="15.6" x14ac:dyDescent="0.3">
      <c r="N62" s="53" t="s">
        <v>142</v>
      </c>
    </row>
  </sheetData>
  <mergeCells count="6">
    <mergeCell ref="A1:D1"/>
    <mergeCell ref="F1:I1"/>
    <mergeCell ref="K1:N1"/>
    <mergeCell ref="A23:D23"/>
    <mergeCell ref="F23:I23"/>
    <mergeCell ref="K23:N23"/>
  </mergeCells>
  <pageMargins left="0.7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46" workbookViewId="0">
      <selection activeCell="H65" sqref="H65"/>
    </sheetView>
  </sheetViews>
  <sheetFormatPr defaultRowHeight="14.4" x14ac:dyDescent="0.3"/>
  <cols>
    <col min="1" max="1" width="24.109375" customWidth="1"/>
    <col min="2" max="2" width="17.109375" customWidth="1"/>
    <col min="4" max="4" width="23.6640625" customWidth="1"/>
    <col min="5" max="5" width="19" customWidth="1"/>
    <col min="7" max="7" width="22.44140625" customWidth="1"/>
    <col min="8" max="8" width="20.109375" customWidth="1"/>
  </cols>
  <sheetData>
    <row r="1" spans="1:8" ht="21" x14ac:dyDescent="0.4">
      <c r="A1" s="54" t="s">
        <v>98</v>
      </c>
      <c r="B1" s="54"/>
      <c r="C1" s="21"/>
      <c r="D1" s="54" t="s">
        <v>99</v>
      </c>
      <c r="E1" s="54"/>
      <c r="F1" s="21"/>
      <c r="G1" s="54" t="s">
        <v>100</v>
      </c>
      <c r="H1" s="54"/>
    </row>
    <row r="2" spans="1:8" x14ac:dyDescent="0.3">
      <c r="A2" s="21"/>
      <c r="B2" s="33"/>
      <c r="C2" s="21"/>
      <c r="D2" s="21"/>
      <c r="E2" s="33"/>
      <c r="F2" s="21"/>
      <c r="G2" s="21"/>
      <c r="H2" s="33"/>
    </row>
    <row r="3" spans="1:8" x14ac:dyDescent="0.3">
      <c r="A3" s="22" t="s">
        <v>44</v>
      </c>
      <c r="B3" s="49" t="s">
        <v>47</v>
      </c>
      <c r="C3" s="21"/>
      <c r="D3" s="22" t="s">
        <v>44</v>
      </c>
      <c r="E3" s="49" t="s">
        <v>47</v>
      </c>
      <c r="F3" s="21"/>
      <c r="G3" s="22" t="s">
        <v>44</v>
      </c>
      <c r="H3" s="49" t="s">
        <v>47</v>
      </c>
    </row>
    <row r="4" spans="1:8" x14ac:dyDescent="0.3">
      <c r="A4" s="21" t="s">
        <v>48</v>
      </c>
      <c r="B4" s="30">
        <v>2290</v>
      </c>
      <c r="C4" s="21"/>
      <c r="D4" s="21" t="s">
        <v>48</v>
      </c>
      <c r="E4" s="30">
        <v>2200</v>
      </c>
      <c r="F4" s="21"/>
      <c r="G4" s="21" t="s">
        <v>48</v>
      </c>
      <c r="H4" s="30">
        <v>2133</v>
      </c>
    </row>
    <row r="5" spans="1:8" x14ac:dyDescent="0.3">
      <c r="A5" s="21" t="s">
        <v>49</v>
      </c>
      <c r="B5" s="30">
        <v>2236</v>
      </c>
      <c r="C5" s="21"/>
      <c r="D5" s="21" t="s">
        <v>49</v>
      </c>
      <c r="E5" s="30">
        <v>2419</v>
      </c>
      <c r="F5" s="21"/>
      <c r="G5" s="21" t="s">
        <v>49</v>
      </c>
      <c r="H5" s="30">
        <v>2486</v>
      </c>
    </row>
    <row r="6" spans="1:8" x14ac:dyDescent="0.3">
      <c r="A6" s="21" t="s">
        <v>50</v>
      </c>
      <c r="B6" s="30">
        <v>2867</v>
      </c>
      <c r="C6" s="21"/>
      <c r="D6" s="21" t="s">
        <v>50</v>
      </c>
      <c r="E6" s="30">
        <v>2986</v>
      </c>
      <c r="F6" s="21"/>
      <c r="G6" s="21" t="s">
        <v>50</v>
      </c>
      <c r="H6" s="30">
        <v>2706</v>
      </c>
    </row>
    <row r="7" spans="1:8" x14ac:dyDescent="0.3">
      <c r="A7" s="21" t="s">
        <v>51</v>
      </c>
      <c r="B7" s="30">
        <v>2531</v>
      </c>
      <c r="C7" s="21"/>
      <c r="D7" s="21" t="s">
        <v>51</v>
      </c>
      <c r="E7" s="30">
        <v>2341</v>
      </c>
      <c r="F7" s="21"/>
      <c r="G7" s="21" t="s">
        <v>51</v>
      </c>
      <c r="H7" s="30">
        <v>2650</v>
      </c>
    </row>
    <row r="8" spans="1:8" x14ac:dyDescent="0.3">
      <c r="A8" s="21" t="s">
        <v>52</v>
      </c>
      <c r="B8" s="30">
        <v>2991</v>
      </c>
      <c r="C8" s="21"/>
      <c r="D8" s="21" t="s">
        <v>52</v>
      </c>
      <c r="E8" s="30">
        <v>3235</v>
      </c>
      <c r="F8" s="21"/>
      <c r="G8" s="21" t="s">
        <v>52</v>
      </c>
      <c r="H8" s="30">
        <v>2856</v>
      </c>
    </row>
    <row r="9" spans="1:8" x14ac:dyDescent="0.3">
      <c r="A9" s="21" t="s">
        <v>53</v>
      </c>
      <c r="B9" s="30">
        <v>2907</v>
      </c>
      <c r="C9" s="21"/>
      <c r="D9" s="21" t="s">
        <v>53</v>
      </c>
      <c r="E9" s="30">
        <v>3098</v>
      </c>
      <c r="F9" s="21"/>
      <c r="G9" s="21" t="s">
        <v>53</v>
      </c>
      <c r="H9" s="30">
        <v>2981</v>
      </c>
    </row>
    <row r="10" spans="1:8" x14ac:dyDescent="0.3">
      <c r="A10" s="21" t="s">
        <v>54</v>
      </c>
      <c r="B10" s="30">
        <v>2971</v>
      </c>
      <c r="C10" s="21"/>
      <c r="D10" s="21" t="s">
        <v>54</v>
      </c>
      <c r="E10" s="30">
        <v>2724</v>
      </c>
      <c r="F10" s="21"/>
      <c r="G10" s="21" t="s">
        <v>54</v>
      </c>
      <c r="H10" s="30">
        <v>2738</v>
      </c>
    </row>
    <row r="11" spans="1:8" x14ac:dyDescent="0.3">
      <c r="A11" s="21" t="s">
        <v>55</v>
      </c>
      <c r="B11" s="30">
        <v>3061</v>
      </c>
      <c r="C11" s="21"/>
      <c r="D11" s="21" t="s">
        <v>55</v>
      </c>
      <c r="E11" s="30">
        <v>2882</v>
      </c>
      <c r="F11" s="21"/>
      <c r="G11" s="21" t="s">
        <v>55</v>
      </c>
      <c r="H11" s="30">
        <v>3025</v>
      </c>
    </row>
    <row r="12" spans="1:8" x14ac:dyDescent="0.3">
      <c r="A12" s="21" t="s">
        <v>56</v>
      </c>
      <c r="B12" s="30">
        <v>2337</v>
      </c>
      <c r="C12" s="21"/>
      <c r="D12" s="21" t="s">
        <v>56</v>
      </c>
      <c r="E12" s="30">
        <v>2594</v>
      </c>
      <c r="F12" s="21"/>
      <c r="G12" s="21" t="s">
        <v>56</v>
      </c>
      <c r="H12" s="30">
        <v>2758</v>
      </c>
    </row>
    <row r="13" spans="1:8" x14ac:dyDescent="0.3">
      <c r="A13" s="21" t="s">
        <v>57</v>
      </c>
      <c r="B13" s="30">
        <v>2346</v>
      </c>
      <c r="C13" s="21"/>
      <c r="D13" s="21" t="s">
        <v>57</v>
      </c>
      <c r="E13" s="30">
        <v>2641</v>
      </c>
      <c r="F13" s="21"/>
      <c r="G13" s="21" t="s">
        <v>57</v>
      </c>
      <c r="H13" s="30">
        <v>2580</v>
      </c>
    </row>
    <row r="14" spans="1:8" x14ac:dyDescent="0.3">
      <c r="A14" s="21" t="s">
        <v>59</v>
      </c>
      <c r="B14" s="30">
        <v>2291</v>
      </c>
      <c r="C14" s="21"/>
      <c r="D14" s="21" t="s">
        <v>59</v>
      </c>
      <c r="E14" s="30">
        <v>2397</v>
      </c>
      <c r="F14" s="21"/>
      <c r="G14" s="21" t="s">
        <v>59</v>
      </c>
      <c r="H14" s="30">
        <v>2296</v>
      </c>
    </row>
    <row r="15" spans="1:8" x14ac:dyDescent="0.3">
      <c r="A15" s="25" t="s">
        <v>60</v>
      </c>
      <c r="B15" s="31">
        <v>2207</v>
      </c>
      <c r="C15" s="21"/>
      <c r="D15" s="25" t="s">
        <v>60</v>
      </c>
      <c r="E15" s="31">
        <v>2188</v>
      </c>
      <c r="F15" s="21"/>
      <c r="G15" s="25" t="s">
        <v>60</v>
      </c>
      <c r="H15" s="31">
        <v>2254</v>
      </c>
    </row>
    <row r="16" spans="1:8" x14ac:dyDescent="0.3">
      <c r="A16" s="27" t="s">
        <v>61</v>
      </c>
      <c r="B16" s="32">
        <f>SUM(B4:B15)</f>
        <v>31035</v>
      </c>
      <c r="C16" s="21"/>
      <c r="D16" s="27" t="s">
        <v>62</v>
      </c>
      <c r="E16" s="32">
        <f>SUM(E4:E15)</f>
        <v>31705</v>
      </c>
      <c r="F16" s="21"/>
      <c r="G16" s="27" t="s">
        <v>63</v>
      </c>
      <c r="H16" s="32">
        <f>SUM(H4:H15)</f>
        <v>31463</v>
      </c>
    </row>
    <row r="17" spans="1:8" x14ac:dyDescent="0.3">
      <c r="A17" s="21"/>
      <c r="B17" s="33"/>
      <c r="C17" s="21"/>
      <c r="D17" s="21"/>
      <c r="E17" s="33"/>
      <c r="F17" s="21"/>
      <c r="G17" s="21"/>
      <c r="H17" s="33"/>
    </row>
    <row r="18" spans="1:8" x14ac:dyDescent="0.3">
      <c r="A18" s="29" t="s">
        <v>64</v>
      </c>
      <c r="B18" s="30">
        <f>37352+6278</f>
        <v>43630</v>
      </c>
      <c r="C18" s="21"/>
      <c r="D18" s="29" t="s">
        <v>65</v>
      </c>
      <c r="E18" s="30">
        <f>38352+5828</f>
        <v>44180</v>
      </c>
      <c r="F18" s="21"/>
      <c r="G18" s="29" t="s">
        <v>66</v>
      </c>
      <c r="H18" s="30">
        <f>10932+5719</f>
        <v>16651</v>
      </c>
    </row>
    <row r="19" spans="1:8" x14ac:dyDescent="0.3">
      <c r="A19" s="21"/>
      <c r="B19" s="33"/>
      <c r="C19" s="21"/>
      <c r="D19" s="21"/>
      <c r="E19" s="33"/>
      <c r="F19" s="21"/>
      <c r="G19" s="21"/>
      <c r="H19" s="33"/>
    </row>
    <row r="20" spans="1:8" x14ac:dyDescent="0.3">
      <c r="A20" s="27" t="s">
        <v>67</v>
      </c>
      <c r="B20" s="32">
        <f>B16-B18</f>
        <v>-12595</v>
      </c>
      <c r="C20" s="21"/>
      <c r="D20" s="27" t="s">
        <v>68</v>
      </c>
      <c r="E20" s="32">
        <f>E16-E18</f>
        <v>-12475</v>
      </c>
      <c r="F20" s="21"/>
      <c r="G20" s="27" t="s">
        <v>69</v>
      </c>
      <c r="H20" s="32">
        <f>H16-H18</f>
        <v>14812</v>
      </c>
    </row>
    <row r="21" spans="1:8" x14ac:dyDescent="0.3">
      <c r="A21" s="21"/>
      <c r="B21" s="33"/>
      <c r="C21" s="21"/>
      <c r="D21" s="21"/>
      <c r="E21" s="33"/>
      <c r="F21" s="21"/>
      <c r="G21" s="21"/>
      <c r="H21" s="33"/>
    </row>
    <row r="22" spans="1:8" x14ac:dyDescent="0.3">
      <c r="A22" s="21"/>
      <c r="B22" s="33"/>
      <c r="C22" s="21"/>
      <c r="D22" s="21"/>
      <c r="E22" s="33"/>
      <c r="F22" s="21"/>
      <c r="G22" s="21"/>
      <c r="H22" s="33"/>
    </row>
    <row r="23" spans="1:8" ht="21" x14ac:dyDescent="0.4">
      <c r="A23" s="54" t="s">
        <v>101</v>
      </c>
      <c r="B23" s="54"/>
      <c r="C23" s="21"/>
      <c r="D23" s="54" t="s">
        <v>102</v>
      </c>
      <c r="E23" s="54"/>
      <c r="F23" s="21"/>
      <c r="G23" s="54" t="s">
        <v>103</v>
      </c>
      <c r="H23" s="54"/>
    </row>
    <row r="24" spans="1:8" x14ac:dyDescent="0.3">
      <c r="A24" s="21"/>
      <c r="B24" s="33"/>
      <c r="C24" s="21"/>
      <c r="D24" s="21"/>
      <c r="E24" s="33"/>
      <c r="F24" s="21"/>
      <c r="G24" s="21"/>
      <c r="H24" s="33"/>
    </row>
    <row r="25" spans="1:8" x14ac:dyDescent="0.3">
      <c r="A25" s="22" t="s">
        <v>44</v>
      </c>
      <c r="B25" s="49" t="s">
        <v>47</v>
      </c>
      <c r="C25" s="21"/>
      <c r="D25" s="22" t="s">
        <v>44</v>
      </c>
      <c r="E25" s="49" t="s">
        <v>47</v>
      </c>
      <c r="F25" s="21"/>
      <c r="G25" s="22" t="s">
        <v>44</v>
      </c>
      <c r="H25" s="49" t="s">
        <v>47</v>
      </c>
    </row>
    <row r="26" spans="1:8" x14ac:dyDescent="0.3">
      <c r="A26" s="21" t="s">
        <v>48</v>
      </c>
      <c r="B26" s="30">
        <v>2256</v>
      </c>
      <c r="C26" s="21"/>
      <c r="D26" s="21" t="s">
        <v>48</v>
      </c>
      <c r="E26" s="30">
        <v>2387</v>
      </c>
      <c r="F26" s="21"/>
      <c r="G26" s="21" t="s">
        <v>48</v>
      </c>
      <c r="H26" s="30">
        <v>2486</v>
      </c>
    </row>
    <row r="27" spans="1:8" x14ac:dyDescent="0.3">
      <c r="A27" s="21" t="s">
        <v>49</v>
      </c>
      <c r="B27" s="30">
        <v>2468</v>
      </c>
      <c r="C27" s="21"/>
      <c r="D27" s="21" t="s">
        <v>49</v>
      </c>
      <c r="E27" s="30">
        <v>2662</v>
      </c>
      <c r="F27" s="21"/>
      <c r="G27" s="21" t="s">
        <v>49</v>
      </c>
      <c r="H27" s="30">
        <v>2564</v>
      </c>
    </row>
    <row r="28" spans="1:8" x14ac:dyDescent="0.3">
      <c r="A28" s="21" t="s">
        <v>50</v>
      </c>
      <c r="B28" s="30">
        <v>2677</v>
      </c>
      <c r="C28" s="21"/>
      <c r="D28" s="21" t="s">
        <v>50</v>
      </c>
      <c r="E28" s="30">
        <v>2677</v>
      </c>
      <c r="F28" s="21"/>
      <c r="G28" s="21" t="s">
        <v>50</v>
      </c>
      <c r="H28" s="30">
        <v>2495</v>
      </c>
    </row>
    <row r="29" spans="1:8" x14ac:dyDescent="0.3">
      <c r="A29" s="21" t="s">
        <v>51</v>
      </c>
      <c r="B29" s="30">
        <v>2544</v>
      </c>
      <c r="C29" s="21"/>
      <c r="D29" s="21" t="s">
        <v>51</v>
      </c>
      <c r="E29" s="30">
        <v>2630</v>
      </c>
      <c r="F29" s="21"/>
      <c r="G29" s="21" t="s">
        <v>51</v>
      </c>
      <c r="H29" s="30">
        <v>2952</v>
      </c>
    </row>
    <row r="30" spans="1:8" x14ac:dyDescent="0.3">
      <c r="A30" s="21" t="s">
        <v>52</v>
      </c>
      <c r="B30" s="30">
        <v>2876</v>
      </c>
      <c r="C30" s="21"/>
      <c r="D30" s="21" t="s">
        <v>52</v>
      </c>
      <c r="E30" s="30">
        <v>3022</v>
      </c>
      <c r="F30" s="21"/>
      <c r="G30" s="21" t="s">
        <v>52</v>
      </c>
      <c r="H30" s="30">
        <v>3243</v>
      </c>
    </row>
    <row r="31" spans="1:8" x14ac:dyDescent="0.3">
      <c r="A31" s="21" t="s">
        <v>53</v>
      </c>
      <c r="B31" s="30">
        <v>2959</v>
      </c>
      <c r="C31" s="21"/>
      <c r="D31" s="21" t="s">
        <v>53</v>
      </c>
      <c r="E31" s="30">
        <v>3101</v>
      </c>
      <c r="F31" s="21"/>
      <c r="G31" s="21" t="s">
        <v>53</v>
      </c>
      <c r="H31" s="30">
        <v>2865</v>
      </c>
    </row>
    <row r="32" spans="1:8" x14ac:dyDescent="0.3">
      <c r="A32" s="21" t="s">
        <v>54</v>
      </c>
      <c r="B32" s="30">
        <v>3061</v>
      </c>
      <c r="C32" s="21"/>
      <c r="D32" s="21" t="s">
        <v>54</v>
      </c>
      <c r="E32" s="30">
        <v>3334</v>
      </c>
      <c r="F32" s="21"/>
      <c r="G32" s="21" t="s">
        <v>54</v>
      </c>
      <c r="H32" s="30">
        <v>3222</v>
      </c>
    </row>
    <row r="33" spans="1:8" x14ac:dyDescent="0.3">
      <c r="A33" s="21" t="s">
        <v>55</v>
      </c>
      <c r="B33" s="30">
        <v>2963</v>
      </c>
      <c r="C33" s="21"/>
      <c r="D33" s="21" t="s">
        <v>55</v>
      </c>
      <c r="E33" s="30">
        <v>2772</v>
      </c>
      <c r="F33" s="21"/>
      <c r="G33" s="21" t="s">
        <v>55</v>
      </c>
      <c r="H33" s="30">
        <v>3309</v>
      </c>
    </row>
    <row r="34" spans="1:8" x14ac:dyDescent="0.3">
      <c r="A34" s="21" t="s">
        <v>56</v>
      </c>
      <c r="B34" s="30">
        <v>3022</v>
      </c>
      <c r="C34" s="21"/>
      <c r="D34" s="21" t="s">
        <v>56</v>
      </c>
      <c r="E34" s="30">
        <v>2935</v>
      </c>
      <c r="F34" s="21"/>
      <c r="G34" s="21" t="s">
        <v>56</v>
      </c>
      <c r="H34" s="30">
        <v>2949</v>
      </c>
    </row>
    <row r="35" spans="1:8" x14ac:dyDescent="0.3">
      <c r="A35" s="21" t="s">
        <v>57</v>
      </c>
      <c r="B35" s="30">
        <v>2609</v>
      </c>
      <c r="C35" s="21"/>
      <c r="D35" s="21" t="s">
        <v>57</v>
      </c>
      <c r="E35" s="30">
        <v>2807</v>
      </c>
      <c r="F35" s="21"/>
      <c r="G35" s="21" t="s">
        <v>57</v>
      </c>
      <c r="H35" s="30">
        <v>2896</v>
      </c>
    </row>
    <row r="36" spans="1:8" x14ac:dyDescent="0.3">
      <c r="A36" s="21" t="s">
        <v>59</v>
      </c>
      <c r="B36" s="30">
        <v>2412</v>
      </c>
      <c r="C36" s="21"/>
      <c r="D36" s="21" t="s">
        <v>59</v>
      </c>
      <c r="E36" s="30">
        <v>2158</v>
      </c>
      <c r="F36" s="21"/>
      <c r="G36" s="21" t="s">
        <v>59</v>
      </c>
      <c r="H36" s="30">
        <v>2734</v>
      </c>
    </row>
    <row r="37" spans="1:8" x14ac:dyDescent="0.3">
      <c r="A37" s="25" t="s">
        <v>60</v>
      </c>
      <c r="B37" s="31">
        <v>2500</v>
      </c>
      <c r="C37" s="21"/>
      <c r="D37" s="25" t="s">
        <v>60</v>
      </c>
      <c r="E37" s="31">
        <v>2453</v>
      </c>
      <c r="F37" s="21"/>
      <c r="G37" s="25" t="s">
        <v>60</v>
      </c>
      <c r="H37" s="31">
        <v>2406</v>
      </c>
    </row>
    <row r="38" spans="1:8" x14ac:dyDescent="0.3">
      <c r="A38" s="27" t="s">
        <v>73</v>
      </c>
      <c r="B38" s="32">
        <f>SUM(B26:B37)</f>
        <v>32347</v>
      </c>
      <c r="C38" s="21"/>
      <c r="D38" s="27" t="s">
        <v>74</v>
      </c>
      <c r="E38" s="32">
        <f>SUM(E26:E37)</f>
        <v>32938</v>
      </c>
      <c r="F38" s="21"/>
      <c r="G38" s="27" t="s">
        <v>75</v>
      </c>
      <c r="H38" s="32">
        <f>SUM(H26:H37)</f>
        <v>34121</v>
      </c>
    </row>
    <row r="39" spans="1:8" x14ac:dyDescent="0.3">
      <c r="A39" s="21"/>
      <c r="B39" s="33"/>
      <c r="C39" s="21"/>
      <c r="D39" s="21"/>
      <c r="E39" s="33"/>
      <c r="F39" s="21"/>
      <c r="G39" s="21"/>
      <c r="H39" s="33"/>
    </row>
    <row r="40" spans="1:8" x14ac:dyDescent="0.3">
      <c r="A40" s="29" t="s">
        <v>76</v>
      </c>
      <c r="B40" s="30">
        <f>38714+6824</f>
        <v>45538</v>
      </c>
      <c r="C40" s="21"/>
      <c r="D40" s="29" t="s">
        <v>77</v>
      </c>
      <c r="E40" s="30">
        <f>39948+5449</f>
        <v>45397</v>
      </c>
      <c r="F40" s="21"/>
      <c r="G40" s="29" t="s">
        <v>78</v>
      </c>
      <c r="H40" s="30">
        <f>40439+4712</f>
        <v>45151</v>
      </c>
    </row>
    <row r="41" spans="1:8" x14ac:dyDescent="0.3">
      <c r="A41" s="21"/>
      <c r="B41" s="33"/>
      <c r="C41" s="21"/>
      <c r="D41" s="21"/>
      <c r="E41" s="33"/>
      <c r="F41" s="21"/>
      <c r="G41" s="21"/>
      <c r="H41" s="33"/>
    </row>
    <row r="42" spans="1:8" x14ac:dyDescent="0.3">
      <c r="A42" s="27" t="s">
        <v>79</v>
      </c>
      <c r="B42" s="32">
        <f>B38-B40</f>
        <v>-13191</v>
      </c>
      <c r="C42" s="21"/>
      <c r="D42" s="27" t="s">
        <v>80</v>
      </c>
      <c r="E42" s="32">
        <f>E38-E40</f>
        <v>-12459</v>
      </c>
      <c r="F42" s="21"/>
      <c r="G42" s="27" t="s">
        <v>81</v>
      </c>
      <c r="H42" s="32">
        <f>H38-H40</f>
        <v>-11030</v>
      </c>
    </row>
    <row r="43" spans="1:8" x14ac:dyDescent="0.3">
      <c r="A43" s="21"/>
      <c r="B43" s="33"/>
      <c r="C43" s="21"/>
      <c r="D43" s="21"/>
      <c r="E43" s="33"/>
      <c r="F43" s="21"/>
      <c r="G43" s="21"/>
      <c r="H43" s="33"/>
    </row>
    <row r="65" spans="8:8" ht="15.6" x14ac:dyDescent="0.3">
      <c r="H65" s="53" t="s">
        <v>142</v>
      </c>
    </row>
  </sheetData>
  <mergeCells count="6">
    <mergeCell ref="A1:B1"/>
    <mergeCell ref="D1:E1"/>
    <mergeCell ref="G1:H1"/>
    <mergeCell ref="A23:B23"/>
    <mergeCell ref="D23:E23"/>
    <mergeCell ref="G23:H23"/>
  </mergeCells>
  <pageMargins left="0.7" right="0.7" top="0.75" bottom="0.7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B49" workbookViewId="0">
      <selection activeCell="N64" sqref="N64"/>
    </sheetView>
  </sheetViews>
  <sheetFormatPr defaultRowHeight="14.4" x14ac:dyDescent="0.3"/>
  <cols>
    <col min="3" max="3" width="12.44140625" customWidth="1"/>
    <col min="4" max="4" width="16" customWidth="1"/>
    <col min="8" max="8" width="16.44140625" customWidth="1"/>
    <col min="9" max="9" width="13.6640625" customWidth="1"/>
    <col min="13" max="13" width="15.109375" customWidth="1"/>
    <col min="14" max="14" width="12.6640625" customWidth="1"/>
  </cols>
  <sheetData>
    <row r="1" spans="1:14" ht="21" x14ac:dyDescent="0.4">
      <c r="A1" s="55" t="s">
        <v>88</v>
      </c>
      <c r="B1" s="55"/>
      <c r="C1" s="55"/>
      <c r="D1" s="55"/>
      <c r="E1" s="35"/>
      <c r="F1" s="55" t="s">
        <v>89</v>
      </c>
      <c r="G1" s="55"/>
      <c r="H1" s="55"/>
      <c r="I1" s="55"/>
      <c r="J1" s="35"/>
      <c r="K1" s="55" t="s">
        <v>90</v>
      </c>
      <c r="L1" s="55"/>
      <c r="M1" s="55"/>
      <c r="N1" s="55"/>
    </row>
    <row r="2" spans="1:14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28.2" x14ac:dyDescent="0.3">
      <c r="A3" s="36" t="s">
        <v>44</v>
      </c>
      <c r="B3" s="36" t="s">
        <v>91</v>
      </c>
      <c r="C3" s="36" t="s">
        <v>92</v>
      </c>
      <c r="D3" s="36" t="s">
        <v>93</v>
      </c>
      <c r="E3" s="35"/>
      <c r="F3" s="37" t="s">
        <v>44</v>
      </c>
      <c r="G3" s="37" t="s">
        <v>91</v>
      </c>
      <c r="H3" s="37" t="s">
        <v>92</v>
      </c>
      <c r="I3" s="36" t="s">
        <v>93</v>
      </c>
      <c r="J3" s="35"/>
      <c r="K3" s="37" t="s">
        <v>44</v>
      </c>
      <c r="L3" s="37" t="s">
        <v>91</v>
      </c>
      <c r="M3" s="37" t="s">
        <v>92</v>
      </c>
      <c r="N3" s="36" t="s">
        <v>93</v>
      </c>
    </row>
    <row r="4" spans="1:14" x14ac:dyDescent="0.3">
      <c r="A4" s="38" t="s">
        <v>48</v>
      </c>
      <c r="B4" s="39">
        <v>14606</v>
      </c>
      <c r="C4" s="39">
        <v>3511</v>
      </c>
      <c r="D4" s="39">
        <f>B4+C4</f>
        <v>18117</v>
      </c>
      <c r="E4" s="35"/>
      <c r="F4" s="35" t="s">
        <v>48</v>
      </c>
      <c r="G4" s="40">
        <v>14281</v>
      </c>
      <c r="H4" s="40">
        <v>3421</v>
      </c>
      <c r="I4" s="40">
        <f>G4+H4</f>
        <v>17702</v>
      </c>
      <c r="J4" s="35"/>
      <c r="K4" s="35" t="s">
        <v>48</v>
      </c>
      <c r="L4" s="40">
        <v>13881</v>
      </c>
      <c r="M4" s="40">
        <v>3322</v>
      </c>
      <c r="N4" s="40">
        <f>L4+M4</f>
        <v>17203</v>
      </c>
    </row>
    <row r="5" spans="1:14" x14ac:dyDescent="0.3">
      <c r="A5" s="38" t="s">
        <v>49</v>
      </c>
      <c r="B5" s="39">
        <v>14119</v>
      </c>
      <c r="C5" s="39">
        <v>3502</v>
      </c>
      <c r="D5" s="39">
        <f t="shared" ref="D5:D16" si="0">B5+C5</f>
        <v>17621</v>
      </c>
      <c r="E5" s="35"/>
      <c r="F5" s="35" t="s">
        <v>49</v>
      </c>
      <c r="G5" s="40">
        <v>16026</v>
      </c>
      <c r="H5" s="40">
        <v>3866</v>
      </c>
      <c r="I5" s="40">
        <f t="shared" ref="I5:I15" si="1">G5+H5</f>
        <v>19892</v>
      </c>
      <c r="J5" s="35"/>
      <c r="K5" s="35" t="s">
        <v>49</v>
      </c>
      <c r="L5" s="40">
        <v>15597</v>
      </c>
      <c r="M5" s="40">
        <v>3688</v>
      </c>
      <c r="N5" s="40">
        <f t="shared" ref="N5:N15" si="2">L5+M5</f>
        <v>19285</v>
      </c>
    </row>
    <row r="6" spans="1:14" x14ac:dyDescent="0.3">
      <c r="A6" s="38" t="s">
        <v>50</v>
      </c>
      <c r="B6" s="39">
        <v>18642</v>
      </c>
      <c r="C6" s="39">
        <v>4250</v>
      </c>
      <c r="D6" s="39">
        <f t="shared" si="0"/>
        <v>22892</v>
      </c>
      <c r="E6" s="35"/>
      <c r="F6" s="35" t="s">
        <v>50</v>
      </c>
      <c r="G6" s="40">
        <v>20561</v>
      </c>
      <c r="H6" s="40">
        <v>4951</v>
      </c>
      <c r="I6" s="40">
        <f t="shared" si="1"/>
        <v>25512</v>
      </c>
      <c r="J6" s="35"/>
      <c r="K6" s="35" t="s">
        <v>50</v>
      </c>
      <c r="L6" s="40">
        <v>40873</v>
      </c>
      <c r="M6" s="40">
        <v>9600</v>
      </c>
      <c r="N6" s="40">
        <f t="shared" si="2"/>
        <v>50473</v>
      </c>
    </row>
    <row r="7" spans="1:14" x14ac:dyDescent="0.3">
      <c r="A7" s="38" t="s">
        <v>51</v>
      </c>
      <c r="B7" s="39">
        <v>19706</v>
      </c>
      <c r="C7" s="39">
        <v>1234</v>
      </c>
      <c r="D7" s="39">
        <f t="shared" si="0"/>
        <v>20940</v>
      </c>
      <c r="E7" s="35"/>
      <c r="F7" s="35" t="s">
        <v>51</v>
      </c>
      <c r="G7" s="40">
        <v>19162</v>
      </c>
      <c r="H7" s="40">
        <v>4317</v>
      </c>
      <c r="I7" s="40">
        <f t="shared" si="1"/>
        <v>23479</v>
      </c>
      <c r="J7" s="35"/>
      <c r="K7" s="35" t="s">
        <v>51</v>
      </c>
      <c r="L7" s="40">
        <v>18771</v>
      </c>
      <c r="M7" s="40">
        <v>4344</v>
      </c>
      <c r="N7" s="40">
        <f t="shared" si="2"/>
        <v>23115</v>
      </c>
    </row>
    <row r="8" spans="1:14" x14ac:dyDescent="0.3">
      <c r="A8" s="38" t="s">
        <v>52</v>
      </c>
      <c r="B8" s="39">
        <v>21903</v>
      </c>
      <c r="C8" s="39">
        <v>1667</v>
      </c>
      <c r="D8" s="39">
        <f t="shared" si="0"/>
        <v>23570</v>
      </c>
      <c r="E8" s="35"/>
      <c r="F8" s="35" t="s">
        <v>52</v>
      </c>
      <c r="G8" s="40">
        <v>22999</v>
      </c>
      <c r="H8" s="40">
        <v>5130</v>
      </c>
      <c r="I8" s="40">
        <f t="shared" si="1"/>
        <v>28129</v>
      </c>
      <c r="J8" s="35"/>
      <c r="K8" s="35" t="s">
        <v>52</v>
      </c>
      <c r="L8" s="40">
        <v>7611</v>
      </c>
      <c r="M8" s="40">
        <v>4796</v>
      </c>
      <c r="N8" s="40">
        <f t="shared" si="2"/>
        <v>12407</v>
      </c>
    </row>
    <row r="9" spans="1:14" x14ac:dyDescent="0.3">
      <c r="A9" s="38" t="s">
        <v>53</v>
      </c>
      <c r="B9" s="39">
        <v>22837</v>
      </c>
      <c r="C9" s="39">
        <v>1767</v>
      </c>
      <c r="D9" s="39">
        <f t="shared" si="0"/>
        <v>24604</v>
      </c>
      <c r="E9" s="35"/>
      <c r="F9" s="35" t="s">
        <v>53</v>
      </c>
      <c r="G9" s="40">
        <v>23986</v>
      </c>
      <c r="H9" s="40">
        <v>5323</v>
      </c>
      <c r="I9" s="40">
        <f t="shared" si="1"/>
        <v>29309</v>
      </c>
      <c r="J9" s="35"/>
      <c r="K9" s="35" t="s">
        <v>53</v>
      </c>
      <c r="L9" s="40">
        <v>22485</v>
      </c>
      <c r="M9" s="40">
        <v>5466</v>
      </c>
      <c r="N9" s="40">
        <f t="shared" si="2"/>
        <v>27951</v>
      </c>
    </row>
    <row r="10" spans="1:14" x14ac:dyDescent="0.3">
      <c r="A10" s="38" t="s">
        <v>54</v>
      </c>
      <c r="B10" s="39">
        <v>23946</v>
      </c>
      <c r="C10" s="39">
        <v>1967</v>
      </c>
      <c r="D10" s="39">
        <f t="shared" si="0"/>
        <v>25913</v>
      </c>
      <c r="E10" s="35"/>
      <c r="F10" s="35" t="s">
        <v>54</v>
      </c>
      <c r="G10" s="40">
        <v>20667</v>
      </c>
      <c r="H10" s="40">
        <v>4708</v>
      </c>
      <c r="I10" s="40">
        <f t="shared" si="1"/>
        <v>25375</v>
      </c>
      <c r="J10" s="35"/>
      <c r="K10" s="35" t="s">
        <v>54</v>
      </c>
      <c r="L10" s="40">
        <v>21299</v>
      </c>
      <c r="M10" s="40">
        <v>4646</v>
      </c>
      <c r="N10" s="40">
        <f t="shared" si="2"/>
        <v>25945</v>
      </c>
    </row>
    <row r="11" spans="1:14" x14ac:dyDescent="0.3">
      <c r="A11" s="38" t="s">
        <v>55</v>
      </c>
      <c r="B11" s="39">
        <v>24919</v>
      </c>
      <c r="C11" s="39">
        <v>2073</v>
      </c>
      <c r="D11" s="39">
        <f t="shared" si="0"/>
        <v>26992</v>
      </c>
      <c r="E11" s="35"/>
      <c r="F11" s="35" t="s">
        <v>55</v>
      </c>
      <c r="G11" s="40">
        <v>25544</v>
      </c>
      <c r="H11" s="40">
        <v>5667</v>
      </c>
      <c r="I11" s="40">
        <f t="shared" si="1"/>
        <v>31211</v>
      </c>
      <c r="J11" s="35"/>
      <c r="K11" s="35" t="s">
        <v>55</v>
      </c>
      <c r="L11" s="40">
        <v>26836</v>
      </c>
      <c r="M11" s="40">
        <v>6059</v>
      </c>
      <c r="N11" s="40">
        <f t="shared" si="2"/>
        <v>32895</v>
      </c>
    </row>
    <row r="12" spans="1:14" x14ac:dyDescent="0.3">
      <c r="A12" s="41" t="s">
        <v>56</v>
      </c>
      <c r="B12" s="39">
        <v>19676</v>
      </c>
      <c r="C12" s="39">
        <v>4743</v>
      </c>
      <c r="D12" s="39">
        <f t="shared" si="0"/>
        <v>24419</v>
      </c>
      <c r="E12" s="35"/>
      <c r="F12" s="35" t="s">
        <v>56</v>
      </c>
      <c r="G12" s="40">
        <v>21234</v>
      </c>
      <c r="H12" s="40">
        <v>4938</v>
      </c>
      <c r="I12" s="40">
        <f t="shared" si="1"/>
        <v>26172</v>
      </c>
      <c r="J12" s="35"/>
      <c r="K12" s="35" t="s">
        <v>56</v>
      </c>
      <c r="L12" s="40">
        <v>21022</v>
      </c>
      <c r="M12" s="40">
        <v>4876</v>
      </c>
      <c r="N12" s="40">
        <f t="shared" si="2"/>
        <v>25898</v>
      </c>
    </row>
    <row r="13" spans="1:14" x14ac:dyDescent="0.3">
      <c r="A13" s="41" t="s">
        <v>57</v>
      </c>
      <c r="B13" s="39">
        <v>22164</v>
      </c>
      <c r="C13" s="39">
        <v>5093</v>
      </c>
      <c r="D13" s="39">
        <f t="shared" si="0"/>
        <v>27257</v>
      </c>
      <c r="E13" s="35"/>
      <c r="F13" s="35" t="s">
        <v>57</v>
      </c>
      <c r="G13" s="40">
        <v>21413</v>
      </c>
      <c r="H13" s="40">
        <v>4809</v>
      </c>
      <c r="I13" s="40">
        <f t="shared" si="1"/>
        <v>26222</v>
      </c>
      <c r="J13" s="35"/>
      <c r="K13" s="35" t="s">
        <v>57</v>
      </c>
      <c r="L13" s="40">
        <v>19535</v>
      </c>
      <c r="M13" s="40">
        <v>4636</v>
      </c>
      <c r="N13" s="40">
        <f t="shared" si="2"/>
        <v>24171</v>
      </c>
    </row>
    <row r="14" spans="1:14" x14ac:dyDescent="0.3">
      <c r="A14" s="41" t="s">
        <v>59</v>
      </c>
      <c r="B14" s="39">
        <v>16199</v>
      </c>
      <c r="C14" s="39">
        <v>3741</v>
      </c>
      <c r="D14" s="39">
        <f t="shared" si="0"/>
        <v>19940</v>
      </c>
      <c r="E14" s="35"/>
      <c r="F14" s="35" t="s">
        <v>59</v>
      </c>
      <c r="G14" s="40">
        <v>17216</v>
      </c>
      <c r="H14" s="40">
        <v>3762</v>
      </c>
      <c r="I14" s="40">
        <f t="shared" si="1"/>
        <v>20978</v>
      </c>
      <c r="J14" s="35"/>
      <c r="K14" s="35" t="s">
        <v>59</v>
      </c>
      <c r="L14" s="40">
        <v>17163</v>
      </c>
      <c r="M14" s="40">
        <v>3841</v>
      </c>
      <c r="N14" s="40">
        <f t="shared" si="2"/>
        <v>21004</v>
      </c>
    </row>
    <row r="15" spans="1:14" x14ac:dyDescent="0.3">
      <c r="A15" s="42" t="s">
        <v>60</v>
      </c>
      <c r="B15" s="43">
        <v>14215</v>
      </c>
      <c r="C15" s="43">
        <v>13127</v>
      </c>
      <c r="D15" s="43">
        <f t="shared" si="0"/>
        <v>27342</v>
      </c>
      <c r="E15" s="35"/>
      <c r="F15" s="44" t="s">
        <v>60</v>
      </c>
      <c r="G15" s="45">
        <v>14720</v>
      </c>
      <c r="H15" s="45">
        <v>3318</v>
      </c>
      <c r="I15" s="45">
        <f t="shared" si="1"/>
        <v>18038</v>
      </c>
      <c r="J15" s="35"/>
      <c r="K15" s="44" t="s">
        <v>60</v>
      </c>
      <c r="L15" s="45">
        <v>15573</v>
      </c>
      <c r="M15" s="45">
        <v>3774</v>
      </c>
      <c r="N15" s="45">
        <f t="shared" si="2"/>
        <v>19347</v>
      </c>
    </row>
    <row r="16" spans="1:14" x14ac:dyDescent="0.3">
      <c r="A16" s="41" t="s">
        <v>61</v>
      </c>
      <c r="B16" s="39">
        <f>SUM(B7:B15)</f>
        <v>185565</v>
      </c>
      <c r="C16" s="39">
        <f>SUM(C7:C15)</f>
        <v>35412</v>
      </c>
      <c r="D16" s="39">
        <f t="shared" si="0"/>
        <v>220977</v>
      </c>
      <c r="E16" s="35"/>
      <c r="F16" s="35" t="s">
        <v>62</v>
      </c>
      <c r="G16" s="40">
        <f>SUM(G4:G15)</f>
        <v>237809</v>
      </c>
      <c r="H16" s="40">
        <f>SUM(H4:H15)</f>
        <v>54210</v>
      </c>
      <c r="I16" s="40">
        <f>G16+H16</f>
        <v>292019</v>
      </c>
      <c r="J16" s="35"/>
      <c r="K16" s="35" t="s">
        <v>63</v>
      </c>
      <c r="L16" s="40">
        <f>SUM(L4:L15)</f>
        <v>240646</v>
      </c>
      <c r="M16" s="40">
        <f>SUM(M4:M15)</f>
        <v>59048</v>
      </c>
      <c r="N16" s="40">
        <f>L16+M16</f>
        <v>299694</v>
      </c>
    </row>
    <row r="17" spans="1:14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x14ac:dyDescent="0.3">
      <c r="A18" s="46" t="s">
        <v>64</v>
      </c>
      <c r="B18" s="35"/>
      <c r="C18" s="35"/>
      <c r="D18" s="40">
        <f>313842+10151</f>
        <v>323993</v>
      </c>
      <c r="E18" s="35"/>
      <c r="F18" s="46" t="s">
        <v>65</v>
      </c>
      <c r="G18" s="35"/>
      <c r="H18" s="35"/>
      <c r="I18" s="40">
        <f>270044+10015</f>
        <v>280059</v>
      </c>
      <c r="J18" s="35"/>
      <c r="K18" s="46" t="s">
        <v>66</v>
      </c>
      <c r="L18" s="35"/>
      <c r="M18" s="35"/>
      <c r="N18" s="40">
        <f>342020+11663</f>
        <v>353683</v>
      </c>
    </row>
    <row r="19" spans="1:14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x14ac:dyDescent="0.3">
      <c r="A20" s="47" t="s">
        <v>67</v>
      </c>
      <c r="B20" s="47"/>
      <c r="C20" s="47"/>
      <c r="D20" s="48">
        <f>D16-D18</f>
        <v>-103016</v>
      </c>
      <c r="E20" s="35"/>
      <c r="F20" s="47" t="s">
        <v>68</v>
      </c>
      <c r="G20" s="47"/>
      <c r="H20" s="47"/>
      <c r="I20" s="48">
        <f>I16-I18</f>
        <v>11960</v>
      </c>
      <c r="J20" s="35"/>
      <c r="K20" s="47" t="s">
        <v>69</v>
      </c>
      <c r="L20" s="47"/>
      <c r="M20" s="47"/>
      <c r="N20" s="48">
        <f>N16-N18</f>
        <v>-53989</v>
      </c>
    </row>
    <row r="21" spans="1:14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21" x14ac:dyDescent="0.4">
      <c r="A24" s="55" t="s">
        <v>94</v>
      </c>
      <c r="B24" s="55"/>
      <c r="C24" s="55"/>
      <c r="D24" s="55"/>
      <c r="E24" s="35"/>
      <c r="F24" s="55" t="s">
        <v>95</v>
      </c>
      <c r="G24" s="55"/>
      <c r="H24" s="55"/>
      <c r="I24" s="55"/>
      <c r="J24" s="35"/>
      <c r="K24" s="55" t="s">
        <v>96</v>
      </c>
      <c r="L24" s="55"/>
      <c r="M24" s="55"/>
      <c r="N24" s="55"/>
    </row>
    <row r="25" spans="1:14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ht="28.2" x14ac:dyDescent="0.3">
      <c r="A26" s="37" t="s">
        <v>44</v>
      </c>
      <c r="B26" s="37" t="s">
        <v>91</v>
      </c>
      <c r="C26" s="37" t="s">
        <v>92</v>
      </c>
      <c r="D26" s="36" t="s">
        <v>93</v>
      </c>
      <c r="E26" s="35"/>
      <c r="F26" s="37" t="s">
        <v>44</v>
      </c>
      <c r="G26" s="37" t="s">
        <v>91</v>
      </c>
      <c r="H26" s="37" t="s">
        <v>92</v>
      </c>
      <c r="I26" s="36" t="s">
        <v>93</v>
      </c>
      <c r="J26" s="35"/>
      <c r="K26" s="37" t="s">
        <v>44</v>
      </c>
      <c r="L26" s="37" t="s">
        <v>91</v>
      </c>
      <c r="M26" s="37" t="s">
        <v>92</v>
      </c>
      <c r="N26" s="36" t="s">
        <v>93</v>
      </c>
    </row>
    <row r="27" spans="1:14" x14ac:dyDescent="0.3">
      <c r="A27" s="35" t="s">
        <v>48</v>
      </c>
      <c r="B27" s="40">
        <v>13924</v>
      </c>
      <c r="C27" s="40">
        <v>3486</v>
      </c>
      <c r="D27" s="40">
        <f>B27+C27</f>
        <v>17410</v>
      </c>
      <c r="E27" s="35"/>
      <c r="F27" s="35" t="s">
        <v>48</v>
      </c>
      <c r="G27" s="40">
        <v>13174</v>
      </c>
      <c r="H27" s="40">
        <v>3392</v>
      </c>
      <c r="I27" s="40">
        <f>G27+H27</f>
        <v>16566</v>
      </c>
      <c r="J27" s="35"/>
      <c r="K27" s="35" t="s">
        <v>48</v>
      </c>
      <c r="L27" s="40">
        <v>14829</v>
      </c>
      <c r="M27" s="40">
        <v>3435</v>
      </c>
      <c r="N27" s="40">
        <f>L27+M27</f>
        <v>18264</v>
      </c>
    </row>
    <row r="28" spans="1:14" x14ac:dyDescent="0.3">
      <c r="A28" s="35" t="s">
        <v>49</v>
      </c>
      <c r="B28" s="40">
        <v>14736</v>
      </c>
      <c r="C28" s="40">
        <v>3543</v>
      </c>
      <c r="D28" s="40">
        <f t="shared" ref="D28:D38" si="3">B28+C28</f>
        <v>18279</v>
      </c>
      <c r="E28" s="35"/>
      <c r="F28" s="35" t="s">
        <v>49</v>
      </c>
      <c r="G28" s="40">
        <v>14097</v>
      </c>
      <c r="H28" s="40">
        <v>3346</v>
      </c>
      <c r="I28" s="40">
        <f t="shared" ref="I28:I38" si="4">G28+H28</f>
        <v>17443</v>
      </c>
      <c r="J28" s="35"/>
      <c r="K28" s="35" t="s">
        <v>49</v>
      </c>
      <c r="L28" s="40">
        <v>15042</v>
      </c>
      <c r="M28" s="40">
        <v>3548</v>
      </c>
      <c r="N28" s="40">
        <f t="shared" ref="N28:N38" si="5">L28+M28</f>
        <v>18590</v>
      </c>
    </row>
    <row r="29" spans="1:14" x14ac:dyDescent="0.3">
      <c r="A29" s="35" t="s">
        <v>50</v>
      </c>
      <c r="B29" s="40">
        <v>19631</v>
      </c>
      <c r="C29" s="40">
        <v>4638</v>
      </c>
      <c r="D29" s="40">
        <f t="shared" si="3"/>
        <v>24269</v>
      </c>
      <c r="E29" s="35"/>
      <c r="F29" s="35" t="s">
        <v>50</v>
      </c>
      <c r="G29" s="40">
        <v>17592</v>
      </c>
      <c r="H29" s="40">
        <v>4405</v>
      </c>
      <c r="I29" s="40">
        <f t="shared" si="4"/>
        <v>21997</v>
      </c>
      <c r="J29" s="35"/>
      <c r="K29" s="35" t="s">
        <v>50</v>
      </c>
      <c r="L29" s="40">
        <v>16383</v>
      </c>
      <c r="M29" s="40">
        <v>3947</v>
      </c>
      <c r="N29" s="40">
        <f t="shared" si="5"/>
        <v>20330</v>
      </c>
    </row>
    <row r="30" spans="1:14" x14ac:dyDescent="0.3">
      <c r="A30" s="35" t="s">
        <v>51</v>
      </c>
      <c r="B30" s="40">
        <v>20732</v>
      </c>
      <c r="C30" s="40">
        <v>4864</v>
      </c>
      <c r="D30" s="40">
        <f t="shared" si="3"/>
        <v>25596</v>
      </c>
      <c r="E30" s="35"/>
      <c r="F30" s="35" t="s">
        <v>51</v>
      </c>
      <c r="G30" s="40">
        <v>20017</v>
      </c>
      <c r="H30" s="40">
        <v>4870</v>
      </c>
      <c r="I30" s="40">
        <f t="shared" si="4"/>
        <v>24887</v>
      </c>
      <c r="J30" s="35"/>
      <c r="K30" s="35" t="s">
        <v>51</v>
      </c>
      <c r="L30" s="40">
        <v>22648</v>
      </c>
      <c r="M30" s="40">
        <v>5312</v>
      </c>
      <c r="N30" s="40">
        <f t="shared" si="5"/>
        <v>27960</v>
      </c>
    </row>
    <row r="31" spans="1:14" x14ac:dyDescent="0.3">
      <c r="A31" s="35" t="s">
        <v>52</v>
      </c>
      <c r="B31" s="40">
        <v>21131</v>
      </c>
      <c r="C31" s="40">
        <v>5034</v>
      </c>
      <c r="D31" s="40">
        <f t="shared" si="3"/>
        <v>26165</v>
      </c>
      <c r="E31" s="35"/>
      <c r="F31" s="35" t="s">
        <v>52</v>
      </c>
      <c r="G31" s="40">
        <v>22900</v>
      </c>
      <c r="H31" s="40">
        <v>5189</v>
      </c>
      <c r="I31" s="40">
        <f t="shared" si="4"/>
        <v>28089</v>
      </c>
      <c r="J31" s="35"/>
      <c r="K31" s="35" t="s">
        <v>52</v>
      </c>
      <c r="L31" s="40">
        <v>22865</v>
      </c>
      <c r="M31" s="40">
        <v>5592</v>
      </c>
      <c r="N31" s="40">
        <f t="shared" si="5"/>
        <v>28457</v>
      </c>
    </row>
    <row r="32" spans="1:14" x14ac:dyDescent="0.3">
      <c r="A32" s="35" t="s">
        <v>53</v>
      </c>
      <c r="B32" s="40">
        <v>24515</v>
      </c>
      <c r="C32" s="40">
        <v>5673</v>
      </c>
      <c r="D32" s="40">
        <f t="shared" si="3"/>
        <v>30188</v>
      </c>
      <c r="E32" s="35"/>
      <c r="F32" s="35" t="s">
        <v>53</v>
      </c>
      <c r="G32" s="40">
        <v>23230</v>
      </c>
      <c r="H32" s="40">
        <v>5315</v>
      </c>
      <c r="I32" s="40">
        <f t="shared" si="4"/>
        <v>28545</v>
      </c>
      <c r="J32" s="35"/>
      <c r="K32" s="35" t="s">
        <v>53</v>
      </c>
      <c r="L32" s="40">
        <v>21544</v>
      </c>
      <c r="M32" s="40">
        <v>4899</v>
      </c>
      <c r="N32" s="40">
        <f t="shared" si="5"/>
        <v>26443</v>
      </c>
    </row>
    <row r="33" spans="1:14" x14ac:dyDescent="0.3">
      <c r="A33" s="35" t="s">
        <v>54</v>
      </c>
      <c r="B33" s="40">
        <v>28397</v>
      </c>
      <c r="C33" s="40">
        <v>5337</v>
      </c>
      <c r="D33" s="40">
        <f t="shared" si="3"/>
        <v>33734</v>
      </c>
      <c r="E33" s="35"/>
      <c r="F33" s="35" t="s">
        <v>54</v>
      </c>
      <c r="G33" s="40">
        <v>23632</v>
      </c>
      <c r="H33" s="40">
        <v>5407</v>
      </c>
      <c r="I33" s="40">
        <f t="shared" si="4"/>
        <v>29039</v>
      </c>
      <c r="J33" s="35"/>
      <c r="K33" s="35" t="s">
        <v>54</v>
      </c>
      <c r="L33" s="40">
        <v>23773</v>
      </c>
      <c r="M33" s="40">
        <v>5514</v>
      </c>
      <c r="N33" s="40">
        <f t="shared" si="5"/>
        <v>29287</v>
      </c>
    </row>
    <row r="34" spans="1:14" x14ac:dyDescent="0.3">
      <c r="A34" s="35" t="s">
        <v>55</v>
      </c>
      <c r="B34" s="40">
        <v>24180</v>
      </c>
      <c r="C34" s="40">
        <v>5453</v>
      </c>
      <c r="D34" s="40">
        <f t="shared" si="3"/>
        <v>29633</v>
      </c>
      <c r="E34" s="35"/>
      <c r="F34" s="35" t="s">
        <v>55</v>
      </c>
      <c r="G34" s="40">
        <v>23931</v>
      </c>
      <c r="H34" s="40">
        <v>5606</v>
      </c>
      <c r="I34" s="40">
        <f t="shared" si="4"/>
        <v>29537</v>
      </c>
      <c r="J34" s="35"/>
      <c r="K34" s="35" t="s">
        <v>55</v>
      </c>
      <c r="L34" s="40">
        <v>25569</v>
      </c>
      <c r="M34" s="40">
        <v>6245</v>
      </c>
      <c r="N34" s="40">
        <f t="shared" si="5"/>
        <v>31814</v>
      </c>
    </row>
    <row r="35" spans="1:14" x14ac:dyDescent="0.3">
      <c r="A35" s="35" t="s">
        <v>56</v>
      </c>
      <c r="B35" s="40">
        <v>21323</v>
      </c>
      <c r="C35" s="40">
        <v>4978</v>
      </c>
      <c r="D35" s="40">
        <f t="shared" si="3"/>
        <v>26301</v>
      </c>
      <c r="E35" s="35"/>
      <c r="F35" s="35" t="s">
        <v>56</v>
      </c>
      <c r="G35" s="40">
        <v>21766</v>
      </c>
      <c r="H35" s="40">
        <v>5158</v>
      </c>
      <c r="I35" s="40">
        <f t="shared" si="4"/>
        <v>26924</v>
      </c>
      <c r="J35" s="35"/>
      <c r="K35" s="35" t="s">
        <v>56</v>
      </c>
      <c r="L35" s="40">
        <v>19967</v>
      </c>
      <c r="M35" s="40">
        <v>5012</v>
      </c>
      <c r="N35" s="40">
        <f t="shared" si="5"/>
        <v>24979</v>
      </c>
    </row>
    <row r="36" spans="1:14" x14ac:dyDescent="0.3">
      <c r="A36" s="35" t="s">
        <v>57</v>
      </c>
      <c r="B36" s="40">
        <v>20611</v>
      </c>
      <c r="C36" s="40">
        <v>4772</v>
      </c>
      <c r="D36" s="40">
        <f t="shared" si="3"/>
        <v>25383</v>
      </c>
      <c r="E36" s="35"/>
      <c r="F36" s="35" t="s">
        <v>57</v>
      </c>
      <c r="G36" s="40">
        <v>21815</v>
      </c>
      <c r="H36" s="40">
        <v>5136</v>
      </c>
      <c r="I36" s="40">
        <f t="shared" si="4"/>
        <v>26951</v>
      </c>
      <c r="J36" s="35"/>
      <c r="K36" s="35" t="s">
        <v>57</v>
      </c>
      <c r="L36" s="40">
        <v>20380</v>
      </c>
      <c r="M36" s="40">
        <v>5003</v>
      </c>
      <c r="N36" s="40">
        <f t="shared" si="5"/>
        <v>25383</v>
      </c>
    </row>
    <row r="37" spans="1:14" x14ac:dyDescent="0.3">
      <c r="A37" s="35" t="s">
        <v>59</v>
      </c>
      <c r="B37" s="40">
        <v>16411</v>
      </c>
      <c r="C37" s="40">
        <v>3767</v>
      </c>
      <c r="D37" s="40">
        <f t="shared" si="3"/>
        <v>20178</v>
      </c>
      <c r="E37" s="35"/>
      <c r="F37" s="35" t="s">
        <v>59</v>
      </c>
      <c r="G37" s="40">
        <v>16831</v>
      </c>
      <c r="H37" s="40">
        <v>4007</v>
      </c>
      <c r="I37" s="40">
        <f t="shared" si="4"/>
        <v>20838</v>
      </c>
      <c r="J37" s="35"/>
      <c r="K37" s="35" t="s">
        <v>59</v>
      </c>
      <c r="L37" s="40">
        <v>17238</v>
      </c>
      <c r="M37" s="40">
        <v>4078</v>
      </c>
      <c r="N37" s="40">
        <f t="shared" si="5"/>
        <v>21316</v>
      </c>
    </row>
    <row r="38" spans="1:14" x14ac:dyDescent="0.3">
      <c r="A38" s="44" t="s">
        <v>60</v>
      </c>
      <c r="B38" s="45">
        <v>15492</v>
      </c>
      <c r="C38" s="45">
        <v>3824</v>
      </c>
      <c r="D38" s="45">
        <f t="shared" si="3"/>
        <v>19316</v>
      </c>
      <c r="E38" s="35"/>
      <c r="F38" s="44" t="s">
        <v>60</v>
      </c>
      <c r="G38" s="45">
        <v>14853</v>
      </c>
      <c r="H38" s="45">
        <v>3484</v>
      </c>
      <c r="I38" s="45">
        <f t="shared" si="4"/>
        <v>18337</v>
      </c>
      <c r="J38" s="35"/>
      <c r="K38" s="44" t="s">
        <v>60</v>
      </c>
      <c r="L38" s="45">
        <v>14265</v>
      </c>
      <c r="M38" s="45">
        <v>3425</v>
      </c>
      <c r="N38" s="45">
        <f t="shared" si="5"/>
        <v>17690</v>
      </c>
    </row>
    <row r="39" spans="1:14" x14ac:dyDescent="0.3">
      <c r="A39" s="35" t="s">
        <v>73</v>
      </c>
      <c r="B39" s="40">
        <f>SUM(B27:B38)</f>
        <v>241083</v>
      </c>
      <c r="C39" s="40">
        <f>SUM(C27:C38)</f>
        <v>55369</v>
      </c>
      <c r="D39" s="40">
        <f>B39+C39</f>
        <v>296452</v>
      </c>
      <c r="E39" s="35"/>
      <c r="F39" s="35" t="s">
        <v>74</v>
      </c>
      <c r="G39" s="40">
        <f>SUM(G27:G38)</f>
        <v>233838</v>
      </c>
      <c r="H39" s="40">
        <f>SUM(H27:H38)</f>
        <v>55315</v>
      </c>
      <c r="I39" s="40">
        <f>G39+H39</f>
        <v>289153</v>
      </c>
      <c r="J39" s="35"/>
      <c r="K39" s="35" t="s">
        <v>75</v>
      </c>
      <c r="L39" s="40">
        <f>SUM(L27:L38)</f>
        <v>234503</v>
      </c>
      <c r="M39" s="40">
        <f>SUM(M27:M38)</f>
        <v>56010</v>
      </c>
      <c r="N39" s="40">
        <f>L39+M39</f>
        <v>290513</v>
      </c>
    </row>
    <row r="40" spans="1:14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 x14ac:dyDescent="0.3">
      <c r="A41" s="46" t="s">
        <v>76</v>
      </c>
      <c r="B41" s="35"/>
      <c r="C41" s="35"/>
      <c r="D41" s="40">
        <f>313703+10857</f>
        <v>324560</v>
      </c>
      <c r="E41" s="35"/>
      <c r="F41" s="46" t="s">
        <v>77</v>
      </c>
      <c r="G41" s="35"/>
      <c r="H41" s="35"/>
      <c r="I41" s="40">
        <f>318795+6836</f>
        <v>325631</v>
      </c>
      <c r="J41" s="35"/>
      <c r="K41" s="46" t="s">
        <v>78</v>
      </c>
      <c r="L41" s="35"/>
      <c r="M41" s="35"/>
      <c r="N41" s="40">
        <f>314426+9283</f>
        <v>323709</v>
      </c>
    </row>
    <row r="42" spans="1:14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 x14ac:dyDescent="0.3">
      <c r="A43" s="47" t="s">
        <v>79</v>
      </c>
      <c r="B43" s="47"/>
      <c r="C43" s="47"/>
      <c r="D43" s="48">
        <f>D39-D41</f>
        <v>-28108</v>
      </c>
      <c r="E43" s="35"/>
      <c r="F43" s="47" t="s">
        <v>80</v>
      </c>
      <c r="G43" s="47"/>
      <c r="H43" s="47"/>
      <c r="I43" s="48">
        <f>I39-I41</f>
        <v>-36478</v>
      </c>
      <c r="J43" s="35"/>
      <c r="K43" s="47" t="s">
        <v>81</v>
      </c>
      <c r="L43" s="47"/>
      <c r="M43" s="47"/>
      <c r="N43" s="48">
        <f>N39-N41</f>
        <v>-33196</v>
      </c>
    </row>
    <row r="64" spans="14:14" ht="15.6" x14ac:dyDescent="0.3">
      <c r="N64" s="53" t="s">
        <v>142</v>
      </c>
    </row>
  </sheetData>
  <mergeCells count="6">
    <mergeCell ref="A1:D1"/>
    <mergeCell ref="F1:I1"/>
    <mergeCell ref="K1:N1"/>
    <mergeCell ref="A24:D24"/>
    <mergeCell ref="F24:I24"/>
    <mergeCell ref="K24:N24"/>
  </mergeCells>
  <pageMargins left="0.7" right="0.7" top="0.75" bottom="0.7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46" workbookViewId="0">
      <selection activeCell="H64" sqref="H64"/>
    </sheetView>
  </sheetViews>
  <sheetFormatPr defaultRowHeight="14.4" x14ac:dyDescent="0.3"/>
  <cols>
    <col min="1" max="1" width="29.44140625" customWidth="1"/>
    <col min="2" max="2" width="15.5546875" customWidth="1"/>
    <col min="3" max="3" width="9.33203125" customWidth="1"/>
    <col min="4" max="4" width="12.44140625" customWidth="1"/>
    <col min="5" max="5" width="21.44140625" customWidth="1"/>
    <col min="7" max="7" width="29.6640625" customWidth="1"/>
    <col min="8" max="8" width="18.109375" customWidth="1"/>
  </cols>
  <sheetData>
    <row r="1" spans="1:8" ht="21" x14ac:dyDescent="0.4">
      <c r="A1" s="55" t="s">
        <v>88</v>
      </c>
      <c r="B1" s="55"/>
      <c r="C1" s="35"/>
      <c r="D1" s="55" t="s">
        <v>89</v>
      </c>
      <c r="E1" s="55"/>
      <c r="F1" s="35"/>
      <c r="G1" s="55" t="s">
        <v>90</v>
      </c>
      <c r="H1" s="55"/>
    </row>
    <row r="2" spans="1:8" x14ac:dyDescent="0.3">
      <c r="A2" s="35"/>
      <c r="B2" s="35"/>
      <c r="C2" s="35"/>
      <c r="D2" s="35"/>
      <c r="E2" s="35"/>
      <c r="F2" s="35"/>
      <c r="G2" s="35"/>
      <c r="H2" s="35"/>
    </row>
    <row r="3" spans="1:8" ht="28.2" x14ac:dyDescent="0.3">
      <c r="A3" s="36" t="s">
        <v>44</v>
      </c>
      <c r="B3" s="36" t="s">
        <v>93</v>
      </c>
      <c r="C3" s="35"/>
      <c r="D3" s="37" t="s">
        <v>44</v>
      </c>
      <c r="E3" s="36" t="s">
        <v>93</v>
      </c>
      <c r="F3" s="35"/>
      <c r="G3" s="37" t="s">
        <v>44</v>
      </c>
      <c r="H3" s="36" t="s">
        <v>93</v>
      </c>
    </row>
    <row r="4" spans="1:8" x14ac:dyDescent="0.3">
      <c r="A4" s="38" t="s">
        <v>48</v>
      </c>
      <c r="B4" s="39">
        <v>944</v>
      </c>
      <c r="C4" s="35"/>
      <c r="D4" s="35" t="s">
        <v>48</v>
      </c>
      <c r="E4" s="40">
        <v>770</v>
      </c>
      <c r="F4" s="35"/>
      <c r="G4" s="35" t="s">
        <v>48</v>
      </c>
      <c r="H4" s="40">
        <v>722</v>
      </c>
    </row>
    <row r="5" spans="1:8" x14ac:dyDescent="0.3">
      <c r="A5" s="38" t="s">
        <v>49</v>
      </c>
      <c r="B5" s="39">
        <v>738</v>
      </c>
      <c r="C5" s="35"/>
      <c r="D5" s="35" t="s">
        <v>49</v>
      </c>
      <c r="E5" s="40">
        <v>732</v>
      </c>
      <c r="F5" s="35"/>
      <c r="G5" s="35" t="s">
        <v>49</v>
      </c>
      <c r="H5" s="40">
        <v>752</v>
      </c>
    </row>
    <row r="6" spans="1:8" x14ac:dyDescent="0.3">
      <c r="A6" s="38" t="s">
        <v>50</v>
      </c>
      <c r="B6" s="39">
        <v>876</v>
      </c>
      <c r="C6" s="35"/>
      <c r="D6" s="35" t="s">
        <v>50</v>
      </c>
      <c r="E6" s="40">
        <v>1002</v>
      </c>
      <c r="F6" s="35"/>
      <c r="G6" s="35" t="s">
        <v>50</v>
      </c>
      <c r="H6" s="40">
        <v>2817</v>
      </c>
    </row>
    <row r="7" spans="1:8" x14ac:dyDescent="0.3">
      <c r="A7" s="38" t="s">
        <v>51</v>
      </c>
      <c r="B7" s="39">
        <v>1234</v>
      </c>
      <c r="C7" s="35"/>
      <c r="D7" s="35" t="s">
        <v>51</v>
      </c>
      <c r="E7" s="40">
        <v>1007</v>
      </c>
      <c r="F7" s="35"/>
      <c r="G7" s="35" t="s">
        <v>51</v>
      </c>
      <c r="H7" s="40">
        <v>1026</v>
      </c>
    </row>
    <row r="8" spans="1:8" x14ac:dyDescent="0.3">
      <c r="A8" s="38" t="s">
        <v>52</v>
      </c>
      <c r="B8" s="39">
        <v>1667</v>
      </c>
      <c r="C8" s="35"/>
      <c r="D8" s="35" t="s">
        <v>52</v>
      </c>
      <c r="E8" s="40">
        <v>1545</v>
      </c>
      <c r="F8" s="35"/>
      <c r="G8" s="35" t="s">
        <v>52</v>
      </c>
      <c r="H8" s="40">
        <v>1364</v>
      </c>
    </row>
    <row r="9" spans="1:8" x14ac:dyDescent="0.3">
      <c r="A9" s="38" t="s">
        <v>53</v>
      </c>
      <c r="B9" s="39">
        <v>1767</v>
      </c>
      <c r="C9" s="35"/>
      <c r="D9" s="35" t="s">
        <v>53</v>
      </c>
      <c r="E9" s="40">
        <v>1693</v>
      </c>
      <c r="F9" s="35"/>
      <c r="G9" s="35" t="s">
        <v>53</v>
      </c>
      <c r="H9" s="40">
        <v>1749</v>
      </c>
    </row>
    <row r="10" spans="1:8" x14ac:dyDescent="0.3">
      <c r="A10" s="38" t="s">
        <v>54</v>
      </c>
      <c r="B10" s="39">
        <v>1967</v>
      </c>
      <c r="C10" s="35"/>
      <c r="D10" s="35" t="s">
        <v>54</v>
      </c>
      <c r="E10" s="40">
        <v>1725</v>
      </c>
      <c r="F10" s="35"/>
      <c r="G10" s="35" t="s">
        <v>54</v>
      </c>
      <c r="H10" s="40">
        <v>1899</v>
      </c>
    </row>
    <row r="11" spans="1:8" x14ac:dyDescent="0.3">
      <c r="A11" s="38" t="s">
        <v>55</v>
      </c>
      <c r="B11" s="39">
        <v>2073</v>
      </c>
      <c r="C11" s="35"/>
      <c r="D11" s="35" t="s">
        <v>55</v>
      </c>
      <c r="E11" s="40">
        <v>2295</v>
      </c>
      <c r="F11" s="35"/>
      <c r="G11" s="35" t="s">
        <v>55</v>
      </c>
      <c r="H11" s="40">
        <v>2649</v>
      </c>
    </row>
    <row r="12" spans="1:8" x14ac:dyDescent="0.3">
      <c r="A12" s="41" t="s">
        <v>56</v>
      </c>
      <c r="B12" s="39">
        <v>760</v>
      </c>
      <c r="C12" s="35"/>
      <c r="D12" s="35" t="s">
        <v>56</v>
      </c>
      <c r="E12" s="35">
        <v>950</v>
      </c>
      <c r="F12" s="35"/>
      <c r="G12" s="35" t="s">
        <v>56</v>
      </c>
      <c r="H12" s="40">
        <v>861</v>
      </c>
    </row>
    <row r="13" spans="1:8" x14ac:dyDescent="0.3">
      <c r="A13" s="41" t="s">
        <v>57</v>
      </c>
      <c r="B13" s="39">
        <v>808</v>
      </c>
      <c r="C13" s="35"/>
      <c r="D13" s="35" t="s">
        <v>57</v>
      </c>
      <c r="E13" s="35">
        <v>868</v>
      </c>
      <c r="F13" s="35"/>
      <c r="G13" s="35" t="s">
        <v>57</v>
      </c>
      <c r="H13" s="40">
        <v>743</v>
      </c>
    </row>
    <row r="14" spans="1:8" x14ac:dyDescent="0.3">
      <c r="A14" s="41" t="s">
        <v>59</v>
      </c>
      <c r="B14" s="39">
        <v>708</v>
      </c>
      <c r="C14" s="35"/>
      <c r="D14" s="35" t="s">
        <v>59</v>
      </c>
      <c r="E14" s="40">
        <v>653</v>
      </c>
      <c r="F14" s="35"/>
      <c r="G14" s="35" t="s">
        <v>59</v>
      </c>
      <c r="H14" s="40">
        <v>604</v>
      </c>
    </row>
    <row r="15" spans="1:8" x14ac:dyDescent="0.3">
      <c r="A15" s="42" t="s">
        <v>60</v>
      </c>
      <c r="B15" s="43">
        <v>677</v>
      </c>
      <c r="C15" s="35"/>
      <c r="D15" s="44" t="s">
        <v>60</v>
      </c>
      <c r="E15" s="45">
        <v>722</v>
      </c>
      <c r="F15" s="35"/>
      <c r="G15" s="44" t="s">
        <v>60</v>
      </c>
      <c r="H15" s="45">
        <v>767</v>
      </c>
    </row>
    <row r="16" spans="1:8" x14ac:dyDescent="0.3">
      <c r="A16" s="41" t="s">
        <v>61</v>
      </c>
      <c r="B16" s="39">
        <f>SUM(B4:B15)</f>
        <v>14219</v>
      </c>
      <c r="C16" s="35"/>
      <c r="D16" s="35" t="s">
        <v>62</v>
      </c>
      <c r="E16" s="40">
        <f>SUM(E4:E15)</f>
        <v>13962</v>
      </c>
      <c r="F16" s="35"/>
      <c r="G16" s="35" t="s">
        <v>63</v>
      </c>
      <c r="H16" s="40">
        <f>SUM(H4:H15)</f>
        <v>15953</v>
      </c>
    </row>
    <row r="17" spans="1:8" x14ac:dyDescent="0.3">
      <c r="A17" s="35"/>
      <c r="B17" s="35"/>
      <c r="C17" s="35"/>
      <c r="D17" s="35"/>
      <c r="E17" s="35"/>
      <c r="F17" s="35"/>
      <c r="G17" s="35"/>
      <c r="H17" s="35"/>
    </row>
    <row r="18" spans="1:8" x14ac:dyDescent="0.3">
      <c r="A18" s="46" t="s">
        <v>64</v>
      </c>
      <c r="B18" s="40">
        <f>37991+556</f>
        <v>38547</v>
      </c>
      <c r="C18" s="35"/>
      <c r="D18" s="46" t="s">
        <v>65</v>
      </c>
      <c r="E18" s="40">
        <f>31212+540</f>
        <v>31752</v>
      </c>
      <c r="F18" s="35"/>
      <c r="G18" s="46" t="s">
        <v>66</v>
      </c>
      <c r="H18" s="40">
        <f>42576+865</f>
        <v>43441</v>
      </c>
    </row>
    <row r="19" spans="1:8" x14ac:dyDescent="0.3">
      <c r="A19" s="35"/>
      <c r="B19" s="35"/>
      <c r="C19" s="35"/>
      <c r="D19" s="35"/>
      <c r="E19" s="35"/>
      <c r="F19" s="35"/>
      <c r="G19" s="35"/>
      <c r="H19" s="35"/>
    </row>
    <row r="20" spans="1:8" x14ac:dyDescent="0.3">
      <c r="A20" s="47" t="s">
        <v>67</v>
      </c>
      <c r="B20" s="48">
        <f>B16-B18</f>
        <v>-24328</v>
      </c>
      <c r="C20" s="35"/>
      <c r="D20" s="47" t="s">
        <v>68</v>
      </c>
      <c r="E20" s="48">
        <f>E16-E18</f>
        <v>-17790</v>
      </c>
      <c r="F20" s="35"/>
      <c r="G20" s="47" t="s">
        <v>69</v>
      </c>
      <c r="H20" s="48">
        <f>H16-H18</f>
        <v>-27488</v>
      </c>
    </row>
    <row r="21" spans="1:8" x14ac:dyDescent="0.3">
      <c r="A21" s="35"/>
      <c r="B21" s="35"/>
      <c r="C21" s="35"/>
      <c r="D21" s="35"/>
      <c r="E21" s="35"/>
      <c r="F21" s="35"/>
      <c r="G21" s="35"/>
      <c r="H21" s="35"/>
    </row>
    <row r="22" spans="1:8" x14ac:dyDescent="0.3">
      <c r="A22" s="35"/>
      <c r="B22" s="35"/>
      <c r="C22" s="35"/>
      <c r="D22" s="35"/>
      <c r="E22" s="35"/>
      <c r="F22" s="35"/>
      <c r="G22" s="35"/>
      <c r="H22" s="35"/>
    </row>
    <row r="23" spans="1:8" x14ac:dyDescent="0.3">
      <c r="A23" s="35"/>
      <c r="B23" s="35"/>
      <c r="C23" s="35"/>
      <c r="D23" s="35"/>
      <c r="E23" s="35"/>
      <c r="F23" s="35"/>
      <c r="G23" s="35"/>
      <c r="H23" s="35"/>
    </row>
    <row r="24" spans="1:8" ht="21" x14ac:dyDescent="0.4">
      <c r="A24" s="55" t="s">
        <v>94</v>
      </c>
      <c r="B24" s="55"/>
      <c r="C24" s="35"/>
      <c r="D24" s="55" t="s">
        <v>95</v>
      </c>
      <c r="E24" s="55"/>
      <c r="F24" s="35"/>
      <c r="G24" s="55" t="s">
        <v>96</v>
      </c>
      <c r="H24" s="55"/>
    </row>
    <row r="25" spans="1:8" x14ac:dyDescent="0.3">
      <c r="A25" s="35"/>
      <c r="B25" s="35"/>
      <c r="C25" s="35"/>
      <c r="D25" s="35"/>
      <c r="E25" s="35"/>
      <c r="F25" s="35"/>
      <c r="G25" s="35"/>
      <c r="H25" s="35"/>
    </row>
    <row r="26" spans="1:8" ht="28.2" x14ac:dyDescent="0.3">
      <c r="A26" s="37" t="s">
        <v>44</v>
      </c>
      <c r="B26" s="36" t="s">
        <v>93</v>
      </c>
      <c r="C26" s="35"/>
      <c r="D26" s="37" t="s">
        <v>44</v>
      </c>
      <c r="E26" s="36" t="s">
        <v>93</v>
      </c>
      <c r="F26" s="35"/>
      <c r="G26" s="37" t="s">
        <v>44</v>
      </c>
      <c r="H26" s="36" t="s">
        <v>93</v>
      </c>
    </row>
    <row r="27" spans="1:8" x14ac:dyDescent="0.3">
      <c r="A27" s="35" t="s">
        <v>48</v>
      </c>
      <c r="B27" s="40">
        <v>812</v>
      </c>
      <c r="C27" s="35"/>
      <c r="D27" s="35" t="s">
        <v>48</v>
      </c>
      <c r="E27" s="40">
        <v>773</v>
      </c>
      <c r="F27" s="35"/>
      <c r="G27" s="35" t="s">
        <v>48</v>
      </c>
      <c r="H27" s="40">
        <v>769</v>
      </c>
    </row>
    <row r="28" spans="1:8" x14ac:dyDescent="0.3">
      <c r="A28" s="35" t="s">
        <v>49</v>
      </c>
      <c r="B28" s="40">
        <v>761</v>
      </c>
      <c r="C28" s="35"/>
      <c r="D28" s="35" t="s">
        <v>49</v>
      </c>
      <c r="E28" s="40">
        <v>622</v>
      </c>
      <c r="F28" s="35"/>
      <c r="G28" s="35" t="s">
        <v>49</v>
      </c>
      <c r="H28" s="40">
        <v>638</v>
      </c>
    </row>
    <row r="29" spans="1:8" x14ac:dyDescent="0.3">
      <c r="A29" s="35" t="s">
        <v>50</v>
      </c>
      <c r="B29" s="40">
        <f>879+97</f>
        <v>976</v>
      </c>
      <c r="C29" s="35"/>
      <c r="D29" s="35" t="s">
        <v>50</v>
      </c>
      <c r="E29" s="40">
        <v>792</v>
      </c>
      <c r="F29" s="35"/>
      <c r="G29" s="35" t="s">
        <v>50</v>
      </c>
      <c r="H29" s="40">
        <v>752</v>
      </c>
    </row>
    <row r="30" spans="1:8" x14ac:dyDescent="0.3">
      <c r="A30" s="35" t="s">
        <v>51</v>
      </c>
      <c r="B30" s="40">
        <v>1187</v>
      </c>
      <c r="C30" s="35"/>
      <c r="D30" s="35" t="s">
        <v>51</v>
      </c>
      <c r="E30" s="40">
        <v>1022</v>
      </c>
      <c r="F30" s="35"/>
      <c r="G30" s="35" t="s">
        <v>51</v>
      </c>
      <c r="H30" s="40">
        <v>1190</v>
      </c>
    </row>
    <row r="31" spans="1:8" x14ac:dyDescent="0.3">
      <c r="A31" s="35" t="s">
        <v>52</v>
      </c>
      <c r="B31" s="40">
        <v>1442</v>
      </c>
      <c r="C31" s="35"/>
      <c r="D31" s="35" t="s">
        <v>52</v>
      </c>
      <c r="E31" s="40">
        <v>1574</v>
      </c>
      <c r="F31" s="35"/>
      <c r="G31" s="35" t="s">
        <v>52</v>
      </c>
      <c r="H31" s="40">
        <v>1615</v>
      </c>
    </row>
    <row r="32" spans="1:8" x14ac:dyDescent="0.3">
      <c r="A32" s="35" t="s">
        <v>53</v>
      </c>
      <c r="B32" s="40">
        <v>1949</v>
      </c>
      <c r="C32" s="35"/>
      <c r="D32" s="35" t="s">
        <v>53</v>
      </c>
      <c r="E32" s="40">
        <v>1926</v>
      </c>
      <c r="F32" s="35"/>
      <c r="G32" s="35" t="s">
        <v>53</v>
      </c>
      <c r="H32" s="40">
        <v>1713</v>
      </c>
    </row>
    <row r="33" spans="1:8" x14ac:dyDescent="0.3">
      <c r="A33" s="35" t="s">
        <v>54</v>
      </c>
      <c r="B33" s="40">
        <v>2096</v>
      </c>
      <c r="C33" s="35"/>
      <c r="D33" s="35" t="s">
        <v>54</v>
      </c>
      <c r="E33" s="40">
        <v>2055</v>
      </c>
      <c r="F33" s="35"/>
      <c r="G33" s="35" t="s">
        <v>54</v>
      </c>
      <c r="H33" s="40">
        <v>2112</v>
      </c>
    </row>
    <row r="34" spans="1:8" x14ac:dyDescent="0.3">
      <c r="A34" s="35" t="s">
        <v>55</v>
      </c>
      <c r="B34" s="40">
        <v>2604</v>
      </c>
      <c r="C34" s="35"/>
      <c r="D34" s="35" t="s">
        <v>55</v>
      </c>
      <c r="E34" s="40">
        <v>2468</v>
      </c>
      <c r="F34" s="35"/>
      <c r="G34" s="35" t="s">
        <v>55</v>
      </c>
      <c r="H34" s="40">
        <v>2700</v>
      </c>
    </row>
    <row r="35" spans="1:8" x14ac:dyDescent="0.3">
      <c r="A35" s="35" t="s">
        <v>56</v>
      </c>
      <c r="B35" s="40">
        <v>889</v>
      </c>
      <c r="C35" s="35"/>
      <c r="D35" s="35" t="s">
        <v>56</v>
      </c>
      <c r="E35" s="40">
        <v>978</v>
      </c>
      <c r="F35" s="35"/>
      <c r="G35" s="35" t="s">
        <v>56</v>
      </c>
      <c r="H35" s="40">
        <v>937</v>
      </c>
    </row>
    <row r="36" spans="1:8" x14ac:dyDescent="0.3">
      <c r="A36" s="35" t="s">
        <v>57</v>
      </c>
      <c r="B36" s="40">
        <v>789</v>
      </c>
      <c r="C36" s="35"/>
      <c r="D36" s="35" t="s">
        <v>57</v>
      </c>
      <c r="E36" s="40">
        <v>805</v>
      </c>
      <c r="F36" s="35"/>
      <c r="G36" s="35" t="s">
        <v>57</v>
      </c>
      <c r="H36" s="40">
        <v>802</v>
      </c>
    </row>
    <row r="37" spans="1:8" x14ac:dyDescent="0.3">
      <c r="A37" s="35" t="s">
        <v>59</v>
      </c>
      <c r="B37" s="40">
        <v>627</v>
      </c>
      <c r="C37" s="35"/>
      <c r="D37" s="35" t="s">
        <v>59</v>
      </c>
      <c r="E37" s="40">
        <v>733</v>
      </c>
      <c r="F37" s="35"/>
      <c r="G37" s="35" t="s">
        <v>59</v>
      </c>
      <c r="H37" s="40">
        <v>693</v>
      </c>
    </row>
    <row r="38" spans="1:8" x14ac:dyDescent="0.3">
      <c r="A38" s="44" t="s">
        <v>60</v>
      </c>
      <c r="B38" s="45">
        <v>640</v>
      </c>
      <c r="C38" s="35"/>
      <c r="D38" s="44" t="s">
        <v>60</v>
      </c>
      <c r="E38" s="45">
        <v>742</v>
      </c>
      <c r="F38" s="35"/>
      <c r="G38" s="44" t="s">
        <v>60</v>
      </c>
      <c r="H38" s="45">
        <v>742</v>
      </c>
    </row>
    <row r="39" spans="1:8" x14ac:dyDescent="0.3">
      <c r="A39" s="35" t="s">
        <v>73</v>
      </c>
      <c r="B39" s="40">
        <f>SUM(B27:B38)</f>
        <v>14772</v>
      </c>
      <c r="C39" s="35"/>
      <c r="D39" s="35" t="s">
        <v>74</v>
      </c>
      <c r="E39" s="40">
        <f>SUM(E27:E38)</f>
        <v>14490</v>
      </c>
      <c r="F39" s="35"/>
      <c r="G39" s="35" t="s">
        <v>75</v>
      </c>
      <c r="H39" s="40">
        <f>SUM(H27:H38)</f>
        <v>14663</v>
      </c>
    </row>
    <row r="40" spans="1:8" x14ac:dyDescent="0.3">
      <c r="A40" s="35"/>
      <c r="B40" s="35"/>
      <c r="C40" s="35"/>
      <c r="D40" s="35"/>
      <c r="E40" s="35" t="s">
        <v>97</v>
      </c>
      <c r="F40" s="35"/>
      <c r="G40" s="35"/>
      <c r="H40" s="35"/>
    </row>
    <row r="41" spans="1:8" x14ac:dyDescent="0.3">
      <c r="A41" s="46" t="s">
        <v>76</v>
      </c>
      <c r="B41" s="40">
        <f>39516+689</f>
        <v>40205</v>
      </c>
      <c r="C41" s="35"/>
      <c r="D41" s="46" t="s">
        <v>77</v>
      </c>
      <c r="E41" s="40">
        <f>60800+495</f>
        <v>61295</v>
      </c>
      <c r="F41" s="35"/>
      <c r="G41" s="46" t="s">
        <v>78</v>
      </c>
      <c r="H41" s="40">
        <f>39304+977</f>
        <v>40281</v>
      </c>
    </row>
    <row r="42" spans="1:8" x14ac:dyDescent="0.3">
      <c r="A42" s="35"/>
      <c r="B42" s="35"/>
      <c r="C42" s="35"/>
      <c r="D42" s="35"/>
      <c r="E42" s="35"/>
      <c r="F42" s="35"/>
      <c r="G42" s="35"/>
      <c r="H42" s="35"/>
    </row>
    <row r="43" spans="1:8" x14ac:dyDescent="0.3">
      <c r="A43" s="47" t="s">
        <v>79</v>
      </c>
      <c r="B43" s="48">
        <f>B39-B41</f>
        <v>-25433</v>
      </c>
      <c r="C43" s="35"/>
      <c r="D43" s="47" t="s">
        <v>80</v>
      </c>
      <c r="E43" s="48">
        <f>E39-E41</f>
        <v>-46805</v>
      </c>
      <c r="F43" s="35"/>
      <c r="G43" s="47" t="s">
        <v>81</v>
      </c>
      <c r="H43" s="48">
        <f>H39-H41</f>
        <v>-25618</v>
      </c>
    </row>
    <row r="64" spans="8:8" ht="15.6" x14ac:dyDescent="0.3">
      <c r="H64" s="53" t="s">
        <v>142</v>
      </c>
    </row>
  </sheetData>
  <mergeCells count="6">
    <mergeCell ref="A1:B1"/>
    <mergeCell ref="D1:E1"/>
    <mergeCell ref="G1:H1"/>
    <mergeCell ref="A24:B24"/>
    <mergeCell ref="D24:E24"/>
    <mergeCell ref="G24:H24"/>
  </mergeCells>
  <pageMargins left="0.7" right="0.7" top="0.75" bottom="0.7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40" workbookViewId="0">
      <selection activeCell="H63" sqref="H63"/>
    </sheetView>
  </sheetViews>
  <sheetFormatPr defaultRowHeight="14.4" x14ac:dyDescent="0.3"/>
  <cols>
    <col min="1" max="1" width="31.6640625" customWidth="1"/>
    <col min="2" max="2" width="16.44140625" customWidth="1"/>
    <col min="4" max="4" width="22.44140625" customWidth="1"/>
    <col min="5" max="5" width="21.5546875" customWidth="1"/>
    <col min="7" max="7" width="20.109375" customWidth="1"/>
    <col min="8" max="8" width="19.33203125" customWidth="1"/>
  </cols>
  <sheetData>
    <row r="1" spans="1:8" ht="21" x14ac:dyDescent="0.4">
      <c r="A1" s="54" t="s">
        <v>98</v>
      </c>
      <c r="B1" s="54"/>
      <c r="C1" s="21"/>
      <c r="D1" s="54" t="s">
        <v>99</v>
      </c>
      <c r="E1" s="54"/>
      <c r="F1" s="21"/>
      <c r="G1" s="54" t="s">
        <v>100</v>
      </c>
      <c r="H1" s="54"/>
    </row>
    <row r="2" spans="1:8" x14ac:dyDescent="0.3">
      <c r="A2" s="21"/>
      <c r="B2" s="33"/>
      <c r="C2" s="21"/>
      <c r="D2" s="21"/>
      <c r="E2" s="33"/>
      <c r="F2" s="21"/>
      <c r="G2" s="21"/>
      <c r="H2" s="33"/>
    </row>
    <row r="3" spans="1:8" x14ac:dyDescent="0.3">
      <c r="A3" s="22" t="s">
        <v>44</v>
      </c>
      <c r="B3" s="49" t="s">
        <v>47</v>
      </c>
      <c r="C3" s="21"/>
      <c r="D3" s="22" t="s">
        <v>44</v>
      </c>
      <c r="E3" s="49" t="s">
        <v>47</v>
      </c>
      <c r="F3" s="21"/>
      <c r="G3" s="22" t="s">
        <v>44</v>
      </c>
      <c r="H3" s="49" t="s">
        <v>47</v>
      </c>
    </row>
    <row r="4" spans="1:8" x14ac:dyDescent="0.3">
      <c r="A4" s="21" t="s">
        <v>48</v>
      </c>
      <c r="B4" s="30">
        <v>592</v>
      </c>
      <c r="C4" s="21"/>
      <c r="D4" s="21" t="s">
        <v>48</v>
      </c>
      <c r="E4" s="30">
        <v>606</v>
      </c>
      <c r="F4" s="21"/>
      <c r="G4" s="21" t="s">
        <v>48</v>
      </c>
      <c r="H4" s="30">
        <v>577</v>
      </c>
    </row>
    <row r="5" spans="1:8" x14ac:dyDescent="0.3">
      <c r="A5" s="21" t="s">
        <v>49</v>
      </c>
      <c r="B5" s="30">
        <v>568</v>
      </c>
      <c r="C5" s="21"/>
      <c r="D5" s="21" t="s">
        <v>49</v>
      </c>
      <c r="E5" s="30">
        <v>569</v>
      </c>
      <c r="F5" s="21"/>
      <c r="G5" s="21" t="s">
        <v>49</v>
      </c>
      <c r="H5" s="30">
        <v>617</v>
      </c>
    </row>
    <row r="6" spans="1:8" x14ac:dyDescent="0.3">
      <c r="A6" s="21" t="s">
        <v>50</v>
      </c>
      <c r="B6" s="30">
        <v>689</v>
      </c>
      <c r="C6" s="21"/>
      <c r="D6" s="21" t="s">
        <v>50</v>
      </c>
      <c r="E6" s="30">
        <v>787</v>
      </c>
      <c r="F6" s="21"/>
      <c r="G6" s="21" t="s">
        <v>50</v>
      </c>
      <c r="H6" s="30">
        <v>706</v>
      </c>
    </row>
    <row r="7" spans="1:8" x14ac:dyDescent="0.3">
      <c r="A7" s="21" t="s">
        <v>51</v>
      </c>
      <c r="B7" s="30">
        <v>837</v>
      </c>
      <c r="C7" s="21"/>
      <c r="D7" s="21" t="s">
        <v>51</v>
      </c>
      <c r="E7" s="30">
        <v>741</v>
      </c>
      <c r="F7" s="21"/>
      <c r="G7" s="21" t="s">
        <v>51</v>
      </c>
      <c r="H7" s="30">
        <v>761</v>
      </c>
    </row>
    <row r="8" spans="1:8" x14ac:dyDescent="0.3">
      <c r="A8" s="21" t="s">
        <v>52</v>
      </c>
      <c r="B8" s="30">
        <v>886</v>
      </c>
      <c r="C8" s="21"/>
      <c r="D8" s="21" t="s">
        <v>52</v>
      </c>
      <c r="E8" s="30">
        <v>774</v>
      </c>
      <c r="F8" s="21"/>
      <c r="G8" s="21" t="s">
        <v>52</v>
      </c>
      <c r="H8" s="30">
        <v>755</v>
      </c>
    </row>
    <row r="9" spans="1:8" x14ac:dyDescent="0.3">
      <c r="A9" s="21" t="s">
        <v>53</v>
      </c>
      <c r="B9" s="30">
        <v>734</v>
      </c>
      <c r="C9" s="21"/>
      <c r="D9" s="21" t="s">
        <v>53</v>
      </c>
      <c r="E9" s="30">
        <v>763</v>
      </c>
      <c r="F9" s="21"/>
      <c r="G9" s="21" t="s">
        <v>53</v>
      </c>
      <c r="H9" s="30">
        <v>747</v>
      </c>
    </row>
    <row r="10" spans="1:8" x14ac:dyDescent="0.3">
      <c r="A10" s="21" t="s">
        <v>54</v>
      </c>
      <c r="B10" s="30">
        <v>668</v>
      </c>
      <c r="C10" s="21"/>
      <c r="D10" s="21" t="s">
        <v>54</v>
      </c>
      <c r="E10" s="30">
        <v>655</v>
      </c>
      <c r="F10" s="21"/>
      <c r="G10" s="21" t="s">
        <v>54</v>
      </c>
      <c r="H10" s="30">
        <v>671</v>
      </c>
    </row>
    <row r="11" spans="1:8" x14ac:dyDescent="0.3">
      <c r="A11" s="21" t="s">
        <v>55</v>
      </c>
      <c r="B11" s="30">
        <v>681</v>
      </c>
      <c r="C11" s="21"/>
      <c r="D11" s="21" t="s">
        <v>55</v>
      </c>
      <c r="E11" s="30">
        <v>595</v>
      </c>
      <c r="F11" s="21"/>
      <c r="G11" s="21" t="s">
        <v>55</v>
      </c>
      <c r="H11" s="30">
        <v>648</v>
      </c>
    </row>
    <row r="12" spans="1:8" x14ac:dyDescent="0.3">
      <c r="A12" s="21" t="s">
        <v>56</v>
      </c>
      <c r="B12" s="30">
        <v>681</v>
      </c>
      <c r="C12" s="21"/>
      <c r="D12" s="21" t="s">
        <v>56</v>
      </c>
      <c r="E12" s="30">
        <v>571</v>
      </c>
      <c r="F12" s="21"/>
      <c r="G12" s="21" t="s">
        <v>56</v>
      </c>
      <c r="H12" s="30">
        <v>610</v>
      </c>
    </row>
    <row r="13" spans="1:8" x14ac:dyDescent="0.3">
      <c r="A13" s="21" t="s">
        <v>57</v>
      </c>
      <c r="B13" s="30">
        <v>565</v>
      </c>
      <c r="C13" s="21"/>
      <c r="D13" s="21" t="s">
        <v>57</v>
      </c>
      <c r="E13" s="30">
        <v>626</v>
      </c>
      <c r="F13" s="21"/>
      <c r="G13" s="21" t="s">
        <v>57</v>
      </c>
      <c r="H13" s="30">
        <v>581</v>
      </c>
    </row>
    <row r="14" spans="1:8" x14ac:dyDescent="0.3">
      <c r="A14" s="21" t="s">
        <v>59</v>
      </c>
      <c r="B14" s="30">
        <v>592</v>
      </c>
      <c r="C14" s="21"/>
      <c r="D14" s="21" t="s">
        <v>59</v>
      </c>
      <c r="E14" s="30">
        <v>592</v>
      </c>
      <c r="F14" s="21"/>
      <c r="G14" s="21" t="s">
        <v>59</v>
      </c>
      <c r="H14" s="30">
        <v>617</v>
      </c>
    </row>
    <row r="15" spans="1:8" x14ac:dyDescent="0.3">
      <c r="A15" s="25" t="s">
        <v>60</v>
      </c>
      <c r="B15" s="31">
        <v>470</v>
      </c>
      <c r="C15" s="21"/>
      <c r="D15" s="25" t="s">
        <v>60</v>
      </c>
      <c r="E15" s="31">
        <v>625</v>
      </c>
      <c r="F15" s="21"/>
      <c r="G15" s="25" t="s">
        <v>60</v>
      </c>
      <c r="H15" s="31">
        <v>710</v>
      </c>
    </row>
    <row r="16" spans="1:8" x14ac:dyDescent="0.3">
      <c r="A16" s="27" t="s">
        <v>61</v>
      </c>
      <c r="B16" s="32">
        <f>SUM(B4:B15)</f>
        <v>7963</v>
      </c>
      <c r="C16" s="21"/>
      <c r="D16" s="27" t="s">
        <v>62</v>
      </c>
      <c r="E16" s="32">
        <f>SUM(E4:E15)</f>
        <v>7904</v>
      </c>
      <c r="F16" s="21"/>
      <c r="G16" s="27" t="s">
        <v>63</v>
      </c>
      <c r="H16" s="32">
        <f>SUM(H4:H15)</f>
        <v>8000</v>
      </c>
    </row>
    <row r="17" spans="1:8" x14ac:dyDescent="0.3">
      <c r="A17" s="21"/>
      <c r="B17" s="33"/>
      <c r="C17" s="21"/>
      <c r="D17" s="21"/>
      <c r="E17" s="33"/>
      <c r="F17" s="21"/>
      <c r="G17" s="21"/>
      <c r="H17" s="33"/>
    </row>
    <row r="18" spans="1:8" x14ac:dyDescent="0.3">
      <c r="A18" s="29" t="s">
        <v>64</v>
      </c>
      <c r="B18" s="30">
        <f>8957+2248</f>
        <v>11205</v>
      </c>
      <c r="C18" s="21"/>
      <c r="D18" s="29" t="s">
        <v>65</v>
      </c>
      <c r="E18" s="30">
        <f>9013+2674</f>
        <v>11687</v>
      </c>
      <c r="F18" s="21"/>
      <c r="G18" s="29" t="s">
        <v>66</v>
      </c>
      <c r="H18" s="30">
        <f>2873+1953</f>
        <v>4826</v>
      </c>
    </row>
    <row r="19" spans="1:8" x14ac:dyDescent="0.3">
      <c r="A19" s="21"/>
      <c r="B19" s="33"/>
      <c r="C19" s="21"/>
      <c r="D19" s="21"/>
      <c r="E19" s="33"/>
      <c r="F19" s="21"/>
      <c r="G19" s="21"/>
      <c r="H19" s="33"/>
    </row>
    <row r="20" spans="1:8" x14ac:dyDescent="0.3">
      <c r="A20" s="27" t="s">
        <v>67</v>
      </c>
      <c r="B20" s="32">
        <f>B16-B18</f>
        <v>-3242</v>
      </c>
      <c r="C20" s="21"/>
      <c r="D20" s="27" t="s">
        <v>68</v>
      </c>
      <c r="E20" s="32">
        <f>E16-E18</f>
        <v>-3783</v>
      </c>
      <c r="F20" s="21"/>
      <c r="G20" s="27" t="s">
        <v>69</v>
      </c>
      <c r="H20" s="32">
        <f>H16-H18</f>
        <v>3174</v>
      </c>
    </row>
    <row r="21" spans="1:8" x14ac:dyDescent="0.3">
      <c r="A21" s="21"/>
      <c r="B21" s="33"/>
      <c r="C21" s="21"/>
      <c r="D21" s="21"/>
      <c r="E21" s="33"/>
      <c r="F21" s="21"/>
      <c r="G21" s="21"/>
      <c r="H21" s="33"/>
    </row>
    <row r="22" spans="1:8" x14ac:dyDescent="0.3">
      <c r="A22" s="21"/>
      <c r="B22" s="33"/>
      <c r="C22" s="21"/>
      <c r="D22" s="21"/>
      <c r="E22" s="33"/>
      <c r="F22" s="21"/>
      <c r="G22" s="21"/>
      <c r="H22" s="33"/>
    </row>
    <row r="23" spans="1:8" ht="21" x14ac:dyDescent="0.4">
      <c r="A23" s="54" t="s">
        <v>101</v>
      </c>
      <c r="B23" s="54"/>
      <c r="C23" s="21"/>
      <c r="D23" s="54" t="s">
        <v>102</v>
      </c>
      <c r="E23" s="54"/>
      <c r="F23" s="21"/>
      <c r="G23" s="54" t="s">
        <v>103</v>
      </c>
      <c r="H23" s="54"/>
    </row>
    <row r="24" spans="1:8" x14ac:dyDescent="0.3">
      <c r="A24" s="21"/>
      <c r="B24" s="33"/>
      <c r="C24" s="21"/>
      <c r="D24" s="21"/>
      <c r="E24" s="33"/>
      <c r="F24" s="21"/>
      <c r="G24" s="21"/>
      <c r="H24" s="33"/>
    </row>
    <row r="25" spans="1:8" x14ac:dyDescent="0.3">
      <c r="A25" s="22" t="s">
        <v>44</v>
      </c>
      <c r="B25" s="49" t="s">
        <v>47</v>
      </c>
      <c r="C25" s="21"/>
      <c r="D25" s="22" t="s">
        <v>44</v>
      </c>
      <c r="E25" s="49" t="s">
        <v>47</v>
      </c>
      <c r="F25" s="21"/>
      <c r="G25" s="22" t="s">
        <v>44</v>
      </c>
      <c r="H25" s="49" t="s">
        <v>47</v>
      </c>
    </row>
    <row r="26" spans="1:8" x14ac:dyDescent="0.3">
      <c r="A26" s="21" t="s">
        <v>48</v>
      </c>
      <c r="B26" s="30">
        <v>602</v>
      </c>
      <c r="C26" s="21"/>
      <c r="D26" s="21" t="s">
        <v>48</v>
      </c>
      <c r="E26" s="30">
        <v>644</v>
      </c>
      <c r="F26" s="21"/>
      <c r="G26" s="21" t="s">
        <v>48</v>
      </c>
      <c r="H26" s="33">
        <v>593</v>
      </c>
    </row>
    <row r="27" spans="1:8" x14ac:dyDescent="0.3">
      <c r="A27" s="21" t="s">
        <v>49</v>
      </c>
      <c r="B27" s="30">
        <v>656</v>
      </c>
      <c r="C27" s="21"/>
      <c r="D27" s="21" t="s">
        <v>49</v>
      </c>
      <c r="E27" s="30">
        <v>684</v>
      </c>
      <c r="F27" s="21"/>
      <c r="G27" s="21" t="s">
        <v>49</v>
      </c>
      <c r="H27" s="30">
        <v>586</v>
      </c>
    </row>
    <row r="28" spans="1:8" x14ac:dyDescent="0.3">
      <c r="A28" s="21" t="s">
        <v>50</v>
      </c>
      <c r="B28" s="30">
        <v>735</v>
      </c>
      <c r="C28" s="21"/>
      <c r="D28" s="21" t="s">
        <v>50</v>
      </c>
      <c r="E28" s="30">
        <v>694</v>
      </c>
      <c r="F28" s="21"/>
      <c r="G28" s="21" t="s">
        <v>50</v>
      </c>
      <c r="H28" s="30">
        <v>666</v>
      </c>
    </row>
    <row r="29" spans="1:8" x14ac:dyDescent="0.3">
      <c r="A29" s="21" t="s">
        <v>51</v>
      </c>
      <c r="B29" s="30">
        <v>838</v>
      </c>
      <c r="C29" s="21"/>
      <c r="D29" s="21" t="s">
        <v>51</v>
      </c>
      <c r="E29" s="30">
        <v>799</v>
      </c>
      <c r="F29" s="21"/>
      <c r="G29" s="21" t="s">
        <v>51</v>
      </c>
      <c r="H29" s="30">
        <v>890</v>
      </c>
    </row>
    <row r="30" spans="1:8" x14ac:dyDescent="0.3">
      <c r="A30" s="21" t="s">
        <v>52</v>
      </c>
      <c r="B30" s="30">
        <v>762</v>
      </c>
      <c r="C30" s="21"/>
      <c r="D30" s="21" t="s">
        <v>52</v>
      </c>
      <c r="E30" s="30">
        <v>852</v>
      </c>
      <c r="F30" s="21"/>
      <c r="G30" s="21" t="s">
        <v>52</v>
      </c>
      <c r="H30" s="30">
        <v>919</v>
      </c>
    </row>
    <row r="31" spans="1:8" x14ac:dyDescent="0.3">
      <c r="A31" s="21" t="s">
        <v>53</v>
      </c>
      <c r="B31" s="30">
        <v>763</v>
      </c>
      <c r="C31" s="21"/>
      <c r="D31" s="21" t="s">
        <v>53</v>
      </c>
      <c r="E31" s="30">
        <v>799</v>
      </c>
      <c r="F31" s="21"/>
      <c r="G31" s="21" t="s">
        <v>53</v>
      </c>
      <c r="H31" s="30">
        <v>759</v>
      </c>
    </row>
    <row r="32" spans="1:8" x14ac:dyDescent="0.3">
      <c r="A32" s="21" t="s">
        <v>54</v>
      </c>
      <c r="B32" s="30">
        <v>737</v>
      </c>
      <c r="C32" s="21"/>
      <c r="D32" s="21" t="s">
        <v>54</v>
      </c>
      <c r="E32" s="30">
        <v>759</v>
      </c>
      <c r="F32" s="21"/>
      <c r="G32" s="21" t="s">
        <v>54</v>
      </c>
      <c r="H32" s="30">
        <v>795</v>
      </c>
    </row>
    <row r="33" spans="1:8" x14ac:dyDescent="0.3">
      <c r="A33" s="21" t="s">
        <v>55</v>
      </c>
      <c r="B33" s="30">
        <v>651</v>
      </c>
      <c r="C33" s="21"/>
      <c r="D33" s="21" t="s">
        <v>55</v>
      </c>
      <c r="E33" s="30">
        <v>702</v>
      </c>
      <c r="F33" s="21"/>
      <c r="G33" s="21" t="s">
        <v>55</v>
      </c>
      <c r="H33" s="30">
        <v>752</v>
      </c>
    </row>
    <row r="34" spans="1:8" x14ac:dyDescent="0.3">
      <c r="A34" s="21" t="s">
        <v>56</v>
      </c>
      <c r="B34" s="30">
        <v>612</v>
      </c>
      <c r="C34" s="21"/>
      <c r="D34" s="21" t="s">
        <v>56</v>
      </c>
      <c r="E34" s="30">
        <v>637</v>
      </c>
      <c r="F34" s="21"/>
      <c r="G34" s="21" t="s">
        <v>56</v>
      </c>
      <c r="H34" s="30">
        <v>600</v>
      </c>
    </row>
    <row r="35" spans="1:8" x14ac:dyDescent="0.3">
      <c r="A35" s="21" t="s">
        <v>57</v>
      </c>
      <c r="B35" s="30">
        <v>633</v>
      </c>
      <c r="C35" s="21"/>
      <c r="D35" s="21" t="s">
        <v>57</v>
      </c>
      <c r="E35" s="30">
        <v>701</v>
      </c>
      <c r="F35" s="21"/>
      <c r="G35" s="21" t="s">
        <v>57</v>
      </c>
      <c r="H35" s="30">
        <v>643</v>
      </c>
    </row>
    <row r="36" spans="1:8" x14ac:dyDescent="0.3">
      <c r="A36" s="21" t="s">
        <v>59</v>
      </c>
      <c r="B36" s="30">
        <v>588</v>
      </c>
      <c r="C36" s="21"/>
      <c r="D36" s="21" t="s">
        <v>59</v>
      </c>
      <c r="E36" s="30">
        <v>594</v>
      </c>
      <c r="F36" s="21"/>
      <c r="G36" s="21" t="s">
        <v>59</v>
      </c>
      <c r="H36" s="30">
        <v>647</v>
      </c>
    </row>
    <row r="37" spans="1:8" x14ac:dyDescent="0.3">
      <c r="A37" s="25" t="s">
        <v>60</v>
      </c>
      <c r="B37" s="31">
        <v>634</v>
      </c>
      <c r="C37" s="21"/>
      <c r="D37" s="25" t="s">
        <v>60</v>
      </c>
      <c r="E37" s="31">
        <v>685</v>
      </c>
      <c r="F37" s="21"/>
      <c r="G37" s="25" t="s">
        <v>60</v>
      </c>
      <c r="H37" s="31">
        <v>622</v>
      </c>
    </row>
    <row r="38" spans="1:8" x14ac:dyDescent="0.3">
      <c r="A38" s="27" t="s">
        <v>73</v>
      </c>
      <c r="B38" s="32">
        <f>SUM(B26:B37)</f>
        <v>8211</v>
      </c>
      <c r="C38" s="21"/>
      <c r="D38" s="27" t="s">
        <v>74</v>
      </c>
      <c r="E38" s="32">
        <f>SUM(E26:E37)</f>
        <v>8550</v>
      </c>
      <c r="F38" s="21"/>
      <c r="G38" s="27" t="s">
        <v>75</v>
      </c>
      <c r="H38" s="32">
        <f>SUM(H26:H37)</f>
        <v>8472</v>
      </c>
    </row>
    <row r="39" spans="1:8" x14ac:dyDescent="0.3">
      <c r="A39" s="21"/>
      <c r="B39" s="33"/>
      <c r="C39" s="21"/>
      <c r="D39" s="21"/>
      <c r="E39" s="33"/>
      <c r="F39" s="21"/>
      <c r="G39" s="21"/>
      <c r="H39" s="33"/>
    </row>
    <row r="40" spans="1:8" x14ac:dyDescent="0.3">
      <c r="A40" s="29" t="s">
        <v>76</v>
      </c>
      <c r="B40" s="30">
        <f>9301+2364</f>
        <v>11665</v>
      </c>
      <c r="C40" s="21"/>
      <c r="D40" s="29" t="s">
        <v>77</v>
      </c>
      <c r="E40" s="30">
        <f>9488+2504</f>
        <v>11992</v>
      </c>
      <c r="F40" s="21"/>
      <c r="G40" s="29" t="s">
        <v>78</v>
      </c>
      <c r="H40" s="30">
        <f>9686+2321</f>
        <v>12007</v>
      </c>
    </row>
    <row r="41" spans="1:8" x14ac:dyDescent="0.3">
      <c r="A41" s="21"/>
      <c r="B41" s="33"/>
      <c r="C41" s="21"/>
      <c r="D41" s="21"/>
      <c r="E41" s="33"/>
      <c r="F41" s="21"/>
      <c r="G41" s="21"/>
      <c r="H41" s="33"/>
    </row>
    <row r="42" spans="1:8" x14ac:dyDescent="0.3">
      <c r="A42" s="27" t="s">
        <v>79</v>
      </c>
      <c r="B42" s="32">
        <f>B38-B40</f>
        <v>-3454</v>
      </c>
      <c r="C42" s="21"/>
      <c r="D42" s="27" t="s">
        <v>80</v>
      </c>
      <c r="E42" s="32">
        <f>E38-E40</f>
        <v>-3442</v>
      </c>
      <c r="F42" s="21"/>
      <c r="G42" s="27" t="s">
        <v>81</v>
      </c>
      <c r="H42" s="32">
        <f>H38-H40</f>
        <v>-3535</v>
      </c>
    </row>
    <row r="43" spans="1:8" x14ac:dyDescent="0.3">
      <c r="A43" s="21"/>
      <c r="B43" s="33"/>
      <c r="C43" s="21"/>
      <c r="D43" s="21"/>
      <c r="E43" s="33"/>
      <c r="F43" s="21"/>
      <c r="G43" s="21"/>
      <c r="H43" s="33"/>
    </row>
    <row r="44" spans="1:8" x14ac:dyDescent="0.3">
      <c r="A44" s="21"/>
      <c r="B44" s="33"/>
      <c r="C44" s="21"/>
      <c r="D44" s="21"/>
      <c r="E44" s="33"/>
      <c r="F44" s="21"/>
      <c r="G44" s="21"/>
    </row>
    <row r="45" spans="1:8" x14ac:dyDescent="0.3">
      <c r="A45" s="21"/>
      <c r="B45" s="33"/>
      <c r="C45" s="21"/>
      <c r="D45" s="21"/>
      <c r="E45" s="33"/>
      <c r="F45" s="21"/>
      <c r="G45" s="21"/>
      <c r="H45" s="33"/>
    </row>
    <row r="46" spans="1:8" x14ac:dyDescent="0.3">
      <c r="A46" s="21"/>
      <c r="B46" s="21"/>
      <c r="C46" s="33"/>
      <c r="D46" s="21"/>
      <c r="E46" s="21"/>
      <c r="F46" s="33"/>
      <c r="G46" s="21"/>
      <c r="H46" s="33"/>
    </row>
    <row r="47" spans="1:8" x14ac:dyDescent="0.3">
      <c r="A47" s="21"/>
      <c r="B47" s="33"/>
      <c r="C47" s="21"/>
      <c r="D47" s="21"/>
      <c r="E47" s="33"/>
      <c r="F47" s="21"/>
      <c r="G47" s="21"/>
      <c r="H47" s="33"/>
    </row>
    <row r="48" spans="1:8" x14ac:dyDescent="0.3">
      <c r="A48" s="21"/>
      <c r="B48" s="21"/>
      <c r="C48" s="33"/>
      <c r="D48" s="21"/>
      <c r="E48" s="21"/>
      <c r="F48" s="33"/>
      <c r="G48" s="21"/>
      <c r="H48" s="33"/>
    </row>
    <row r="49" spans="1:8" x14ac:dyDescent="0.3">
      <c r="A49" s="21"/>
      <c r="B49" s="21"/>
      <c r="C49" s="33"/>
      <c r="D49" s="21"/>
      <c r="E49" s="21"/>
      <c r="F49" s="33"/>
      <c r="G49" s="21"/>
      <c r="H49" s="33"/>
    </row>
    <row r="50" spans="1:8" x14ac:dyDescent="0.3">
      <c r="A50" s="21"/>
      <c r="B50" s="21"/>
      <c r="C50" s="33"/>
      <c r="D50" s="21"/>
      <c r="E50" s="21"/>
      <c r="F50" s="33"/>
      <c r="G50" s="21"/>
      <c r="H50" s="33"/>
    </row>
    <row r="51" spans="1:8" x14ac:dyDescent="0.3">
      <c r="A51" s="21"/>
      <c r="B51" s="21"/>
      <c r="C51" s="33"/>
      <c r="D51" s="21"/>
      <c r="E51" s="21"/>
      <c r="F51" s="33"/>
      <c r="G51" s="21"/>
      <c r="H51" s="33"/>
    </row>
    <row r="52" spans="1:8" x14ac:dyDescent="0.3">
      <c r="A52" s="21"/>
      <c r="B52" s="21"/>
      <c r="C52" s="33"/>
      <c r="D52" s="21"/>
      <c r="E52" s="21"/>
      <c r="F52" s="33"/>
      <c r="G52" s="21"/>
      <c r="H52" s="33"/>
    </row>
    <row r="63" spans="1:8" ht="15.6" x14ac:dyDescent="0.3">
      <c r="H63" s="53" t="s">
        <v>142</v>
      </c>
    </row>
  </sheetData>
  <mergeCells count="6">
    <mergeCell ref="A1:B1"/>
    <mergeCell ref="D1:E1"/>
    <mergeCell ref="G1:H1"/>
    <mergeCell ref="A23:B23"/>
    <mergeCell ref="D23:E23"/>
    <mergeCell ref="G23:H2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AR Electric</vt:lpstr>
      <vt:lpstr>AR Gas</vt:lpstr>
      <vt:lpstr>AR Water</vt:lpstr>
      <vt:lpstr>KCPL CWR</vt:lpstr>
      <vt:lpstr>GMO CWR</vt:lpstr>
      <vt:lpstr>Empire Electric CWR</vt:lpstr>
      <vt:lpstr>Ameren Electric CWR</vt:lpstr>
      <vt:lpstr>Ameren Gas CWR</vt:lpstr>
      <vt:lpstr>Empire Gas CWR</vt:lpstr>
      <vt:lpstr>Liberty Gas CWR</vt:lpstr>
      <vt:lpstr> Summit CWR</vt:lpstr>
      <vt:lpstr>Spire CWR</vt:lpstr>
      <vt:lpstr>CWR summary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markeg</dc:creator>
  <cp:lastModifiedBy>VanGerpen, Lindsay</cp:lastModifiedBy>
  <cp:lastPrinted>2019-11-25T21:35:03Z</cp:lastPrinted>
  <dcterms:created xsi:type="dcterms:W3CDTF">2018-07-09T15:15:27Z</dcterms:created>
  <dcterms:modified xsi:type="dcterms:W3CDTF">2022-11-09T22:28:56Z</dcterms:modified>
</cp:coreProperties>
</file>