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O:\MPSC Cases\ER-2023-XXXX Rider EEIC\"/>
    </mc:Choice>
  </mc:AlternateContent>
  <xr:revisionPtr revIDLastSave="0" documentId="13_ncr:1_{E33EFB29-FB68-4B23-9B5A-6FB65344CA2F}" xr6:coauthVersionLast="47" xr6:coauthVersionMax="47" xr10:uidLastSave="{00000000-0000-0000-0000-000000000000}"/>
  <bookViews>
    <workbookView xWindow="-108" yWindow="-108" windowWidth="30936" windowHeight="16896" tabRatio="908" xr2:uid="{00000000-000D-0000-FFFF-FFFF00000000}"/>
  </bookViews>
  <sheets>
    <sheet name="PPC" sheetId="4" r:id="rId1"/>
    <sheet name="PCR (M2) Final" sheetId="1" r:id="rId2"/>
    <sheet name="PCR (M3)" sheetId="22" r:id="rId3"/>
    <sheet name="PTD" sheetId="12" r:id="rId4"/>
    <sheet name="TDR (M2)" sheetId="11" r:id="rId5"/>
    <sheet name="TDR (M3)" sheetId="21" r:id="rId6"/>
    <sheet name="EO" sheetId="16" r:id="rId7"/>
    <sheet name="EOR (M2) Final" sheetId="24" r:id="rId8"/>
    <sheet name="EOR (M3)" sheetId="28" r:id="rId9"/>
    <sheet name="OA" sheetId="10" r:id="rId10"/>
    <sheet name="OAR (M2) Final" sheetId="20" r:id="rId11"/>
    <sheet name="OAR (M3)" sheetId="26" r:id="rId12"/>
    <sheet name="tariff tables (M3)" sheetId="23" r:id="rId13"/>
    <sheet name="tariff tables (M2)" sheetId="5" r:id="rId14"/>
    <sheet name="Sheet 91.23" sheetId="13" r:id="rId15"/>
  </sheets>
  <externalReferences>
    <externalReference r:id="rId16"/>
    <externalReference r:id="rId17"/>
  </externalReferences>
  <definedNames>
    <definedName name="_xlnm.Print_Area" localSheetId="7">'EOR (M2) Final'!$A$13:$A$38</definedName>
    <definedName name="_xlnm.Print_Area" localSheetId="8">'EOR (M3)'!$A$13:$A$38</definedName>
    <definedName name="_xlnm.Print_Area" localSheetId="10">'OAR (M2) Final'!$A$13:$G$38</definedName>
    <definedName name="_xlnm.Print_Area" localSheetId="11">'OAR (M3)'!$A$13:$A$38</definedName>
    <definedName name="_xlnm.Print_Area" localSheetId="1">'PCR (M2) Final'!$A$13:$G$51</definedName>
    <definedName name="_xlnm.Print_Area" localSheetId="2">'PCR (M3)'!$A$13:$G$51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8" i="26" l="1"/>
  <c r="U38" i="26"/>
  <c r="T38" i="26"/>
  <c r="S38" i="26"/>
  <c r="R38" i="26"/>
  <c r="Q38" i="26"/>
  <c r="P38" i="26"/>
  <c r="O38" i="26"/>
  <c r="N38" i="26"/>
  <c r="M38" i="26"/>
  <c r="L38" i="26"/>
  <c r="K38" i="26"/>
  <c r="V36" i="26"/>
  <c r="U36" i="26"/>
  <c r="T36" i="26"/>
  <c r="S36" i="26"/>
  <c r="R36" i="26"/>
  <c r="Q36" i="26"/>
  <c r="P36" i="26"/>
  <c r="O36" i="26"/>
  <c r="N36" i="26"/>
  <c r="V26" i="26"/>
  <c r="U26" i="26"/>
  <c r="T26" i="26"/>
  <c r="S26" i="26"/>
  <c r="R26" i="26"/>
  <c r="Q26" i="26"/>
  <c r="P26" i="26"/>
  <c r="O26" i="26"/>
  <c r="N26" i="26"/>
  <c r="V25" i="26"/>
  <c r="U25" i="26"/>
  <c r="T25" i="26"/>
  <c r="S25" i="26"/>
  <c r="R25" i="26"/>
  <c r="Q25" i="26"/>
  <c r="P25" i="26"/>
  <c r="O25" i="26"/>
  <c r="N25" i="26"/>
  <c r="V24" i="26"/>
  <c r="U24" i="26"/>
  <c r="T24" i="26"/>
  <c r="S24" i="26"/>
  <c r="R24" i="26"/>
  <c r="Q24" i="26"/>
  <c r="P24" i="26"/>
  <c r="O24" i="26"/>
  <c r="N24" i="26"/>
  <c r="V23" i="26"/>
  <c r="U23" i="26"/>
  <c r="T23" i="26"/>
  <c r="S23" i="26"/>
  <c r="R23" i="26"/>
  <c r="Q23" i="26"/>
  <c r="P23" i="26"/>
  <c r="O23" i="26"/>
  <c r="N23" i="26"/>
  <c r="V22" i="26"/>
  <c r="U22" i="26"/>
  <c r="T22" i="26"/>
  <c r="S22" i="26"/>
  <c r="R22" i="26"/>
  <c r="Q22" i="26"/>
  <c r="P22" i="26"/>
  <c r="O22" i="26"/>
  <c r="N22" i="26"/>
  <c r="K19" i="26"/>
  <c r="K18" i="26"/>
  <c r="K17" i="26"/>
  <c r="K16" i="26"/>
  <c r="K15" i="26"/>
  <c r="AZ38" i="20"/>
  <c r="AY38" i="20"/>
  <c r="AX38" i="20"/>
  <c r="AZ36" i="20"/>
  <c r="AY36" i="20"/>
  <c r="AX36" i="20"/>
  <c r="AZ26" i="20"/>
  <c r="AY26" i="20"/>
  <c r="AX26" i="20"/>
  <c r="AZ25" i="20"/>
  <c r="AY25" i="20"/>
  <c r="AX25" i="20"/>
  <c r="AZ24" i="20"/>
  <c r="AY24" i="20"/>
  <c r="AX24" i="20"/>
  <c r="AZ23" i="20"/>
  <c r="AY23" i="20"/>
  <c r="AX23" i="20"/>
  <c r="AZ22" i="20"/>
  <c r="AY22" i="20"/>
  <c r="AX22" i="20"/>
  <c r="W38" i="28"/>
  <c r="V38" i="28"/>
  <c r="U38" i="28"/>
  <c r="T38" i="28"/>
  <c r="S38" i="28"/>
  <c r="R38" i="28"/>
  <c r="Q38" i="28"/>
  <c r="P38" i="28"/>
  <c r="O38" i="28"/>
  <c r="N38" i="28"/>
  <c r="M38" i="28"/>
  <c r="L38" i="28"/>
  <c r="W36" i="28"/>
  <c r="V36" i="28"/>
  <c r="U36" i="28"/>
  <c r="T36" i="28"/>
  <c r="S36" i="28"/>
  <c r="R36" i="28"/>
  <c r="Q36" i="28"/>
  <c r="P36" i="28"/>
  <c r="O36" i="28"/>
  <c r="N36" i="28"/>
  <c r="M36" i="28"/>
  <c r="L36" i="28"/>
  <c r="W26" i="28"/>
  <c r="V26" i="28"/>
  <c r="U26" i="28"/>
  <c r="T26" i="28"/>
  <c r="S26" i="28"/>
  <c r="R26" i="28"/>
  <c r="Q26" i="28"/>
  <c r="P26" i="28"/>
  <c r="O26" i="28"/>
  <c r="N26" i="28"/>
  <c r="M26" i="28"/>
  <c r="L26" i="28"/>
  <c r="W25" i="28"/>
  <c r="V25" i="28"/>
  <c r="U25" i="28"/>
  <c r="T25" i="28"/>
  <c r="S25" i="28"/>
  <c r="R25" i="28"/>
  <c r="Q25" i="28"/>
  <c r="P25" i="28"/>
  <c r="O25" i="28"/>
  <c r="N25" i="28"/>
  <c r="M25" i="28"/>
  <c r="L25" i="28"/>
  <c r="W24" i="28"/>
  <c r="V24" i="28"/>
  <c r="U24" i="28"/>
  <c r="T24" i="28"/>
  <c r="S24" i="28"/>
  <c r="R24" i="28"/>
  <c r="Q24" i="28"/>
  <c r="P24" i="28"/>
  <c r="O24" i="28"/>
  <c r="N24" i="28"/>
  <c r="M24" i="28"/>
  <c r="L24" i="28"/>
  <c r="W23" i="28"/>
  <c r="V23" i="28"/>
  <c r="U23" i="28"/>
  <c r="T23" i="28"/>
  <c r="S23" i="28"/>
  <c r="R23" i="28"/>
  <c r="Q23" i="28"/>
  <c r="P23" i="28"/>
  <c r="O23" i="28"/>
  <c r="N23" i="28"/>
  <c r="M23" i="28"/>
  <c r="L23" i="28"/>
  <c r="W22" i="28"/>
  <c r="V22" i="28"/>
  <c r="U22" i="28"/>
  <c r="T22" i="28"/>
  <c r="S22" i="28"/>
  <c r="R22" i="28"/>
  <c r="Q22" i="28"/>
  <c r="P22" i="28"/>
  <c r="O22" i="28"/>
  <c r="N22" i="28"/>
  <c r="M22" i="28"/>
  <c r="L22" i="28"/>
  <c r="AC38" i="24"/>
  <c r="AB38" i="24"/>
  <c r="AA38" i="24"/>
  <c r="AC36" i="24"/>
  <c r="AB36" i="24"/>
  <c r="AA36" i="24"/>
  <c r="AC26" i="24"/>
  <c r="AB26" i="24"/>
  <c r="AA26" i="24"/>
  <c r="AC25" i="24"/>
  <c r="AB25" i="24"/>
  <c r="AA25" i="24"/>
  <c r="AC24" i="24"/>
  <c r="AB24" i="24"/>
  <c r="AA24" i="24"/>
  <c r="AC23" i="24"/>
  <c r="AB23" i="24"/>
  <c r="AA23" i="24"/>
  <c r="AC22" i="24"/>
  <c r="AB22" i="24"/>
  <c r="AA22" i="24"/>
  <c r="Z19" i="28"/>
  <c r="Y19" i="28"/>
  <c r="X19" i="28"/>
  <c r="W19" i="28"/>
  <c r="V19" i="28"/>
  <c r="U19" i="28"/>
  <c r="T19" i="28"/>
  <c r="S19" i="28"/>
  <c r="R19" i="28"/>
  <c r="Q19" i="28"/>
  <c r="P19" i="28"/>
  <c r="O19" i="28"/>
  <c r="N19" i="28"/>
  <c r="M19" i="28"/>
  <c r="L19" i="28"/>
  <c r="Z18" i="28"/>
  <c r="Y18" i="28"/>
  <c r="X18" i="28"/>
  <c r="W18" i="28"/>
  <c r="V18" i="28"/>
  <c r="U18" i="28"/>
  <c r="T18" i="28"/>
  <c r="S18" i="28"/>
  <c r="R18" i="28"/>
  <c r="Q18" i="28"/>
  <c r="P18" i="28"/>
  <c r="O18" i="28"/>
  <c r="N18" i="28"/>
  <c r="M18" i="28"/>
  <c r="L18" i="28"/>
  <c r="Z17" i="28"/>
  <c r="Y17" i="28"/>
  <c r="X17" i="28"/>
  <c r="W17" i="28"/>
  <c r="V17" i="28"/>
  <c r="U17" i="28"/>
  <c r="T17" i="28"/>
  <c r="S17" i="28"/>
  <c r="R17" i="28"/>
  <c r="Q17" i="28"/>
  <c r="P17" i="28"/>
  <c r="O17" i="28"/>
  <c r="N17" i="28"/>
  <c r="M17" i="28"/>
  <c r="L17" i="28"/>
  <c r="Z16" i="28"/>
  <c r="Y16" i="28"/>
  <c r="X16" i="28"/>
  <c r="W16" i="28"/>
  <c r="V16" i="28"/>
  <c r="U16" i="28"/>
  <c r="T16" i="28"/>
  <c r="S16" i="28"/>
  <c r="R16" i="28"/>
  <c r="Q16" i="28"/>
  <c r="P16" i="28"/>
  <c r="O16" i="28"/>
  <c r="N16" i="28"/>
  <c r="M16" i="28"/>
  <c r="L16" i="28"/>
  <c r="Z15" i="28"/>
  <c r="Y15" i="28"/>
  <c r="X15" i="28"/>
  <c r="W15" i="28"/>
  <c r="V15" i="28"/>
  <c r="U15" i="28"/>
  <c r="T15" i="28"/>
  <c r="S15" i="28"/>
  <c r="R15" i="28"/>
  <c r="Q15" i="28"/>
  <c r="P15" i="28"/>
  <c r="O15" i="28"/>
  <c r="N15" i="28"/>
  <c r="M15" i="28"/>
  <c r="L15" i="28"/>
  <c r="AC19" i="24"/>
  <c r="AB19" i="24"/>
  <c r="AA19" i="24"/>
  <c r="AC18" i="24"/>
  <c r="AB18" i="24"/>
  <c r="AA18" i="24"/>
  <c r="AC17" i="24"/>
  <c r="AB17" i="24"/>
  <c r="AA17" i="24"/>
  <c r="AC16" i="24"/>
  <c r="AB16" i="24"/>
  <c r="AA16" i="24"/>
  <c r="AC15" i="24"/>
  <c r="AB15" i="24"/>
  <c r="AA15" i="24"/>
  <c r="F10" i="16"/>
  <c r="F9" i="16"/>
  <c r="F8" i="16"/>
  <c r="F7" i="16"/>
  <c r="F6" i="16"/>
  <c r="B5" i="16"/>
  <c r="AU39" i="21"/>
  <c r="AT39" i="21"/>
  <c r="AS39" i="21"/>
  <c r="AR39" i="21"/>
  <c r="AQ39" i="21"/>
  <c r="AP39" i="21"/>
  <c r="AO39" i="21"/>
  <c r="AN39" i="21"/>
  <c r="AM39" i="21"/>
  <c r="AL39" i="21"/>
  <c r="AK39" i="21"/>
  <c r="AJ39" i="21"/>
  <c r="AU36" i="21"/>
  <c r="AT36" i="21"/>
  <c r="AS36" i="21"/>
  <c r="AR36" i="21"/>
  <c r="AQ36" i="21"/>
  <c r="AP36" i="21"/>
  <c r="AO36" i="21"/>
  <c r="AN36" i="21"/>
  <c r="AM36" i="21"/>
  <c r="AL36" i="21"/>
  <c r="AK36" i="21"/>
  <c r="AJ36" i="21"/>
  <c r="AU26" i="21"/>
  <c r="AT26" i="21"/>
  <c r="AS26" i="21"/>
  <c r="AR26" i="21"/>
  <c r="AQ26" i="21"/>
  <c r="AP26" i="21"/>
  <c r="AO26" i="21"/>
  <c r="AN26" i="21"/>
  <c r="AM26" i="21"/>
  <c r="AL26" i="21"/>
  <c r="AK26" i="21"/>
  <c r="AJ26" i="21"/>
  <c r="AU25" i="21"/>
  <c r="AT25" i="21"/>
  <c r="AS25" i="21"/>
  <c r="AR25" i="21"/>
  <c r="AQ25" i="21"/>
  <c r="AP25" i="21"/>
  <c r="AO25" i="21"/>
  <c r="AN25" i="21"/>
  <c r="AM25" i="21"/>
  <c r="AL25" i="21"/>
  <c r="AK25" i="21"/>
  <c r="AJ25" i="21"/>
  <c r="AU24" i="21"/>
  <c r="AT24" i="21"/>
  <c r="AS24" i="21"/>
  <c r="AR24" i="21"/>
  <c r="AQ24" i="21"/>
  <c r="AP24" i="21"/>
  <c r="AO24" i="21"/>
  <c r="AN24" i="21"/>
  <c r="AM24" i="21"/>
  <c r="AL24" i="21"/>
  <c r="AK24" i="21"/>
  <c r="AJ24" i="21"/>
  <c r="AU23" i="21"/>
  <c r="AT23" i="21"/>
  <c r="AS23" i="21"/>
  <c r="AR23" i="21"/>
  <c r="AQ23" i="21"/>
  <c r="AP23" i="21"/>
  <c r="AO23" i="21"/>
  <c r="AN23" i="21"/>
  <c r="AM23" i="21"/>
  <c r="AL23" i="21"/>
  <c r="AK23" i="21"/>
  <c r="AJ23" i="21"/>
  <c r="AU22" i="21"/>
  <c r="AT22" i="21"/>
  <c r="AS22" i="21"/>
  <c r="AR22" i="21"/>
  <c r="AQ22" i="21"/>
  <c r="AP22" i="21"/>
  <c r="AO22" i="21"/>
  <c r="AN22" i="21"/>
  <c r="AM22" i="21"/>
  <c r="AL22" i="21"/>
  <c r="AK22" i="21"/>
  <c r="AJ22" i="21"/>
  <c r="CE39" i="11"/>
  <c r="CD39" i="11"/>
  <c r="CC39" i="11"/>
  <c r="CB39" i="11"/>
  <c r="CA39" i="11"/>
  <c r="BZ39" i="11"/>
  <c r="BY39" i="11"/>
  <c r="BX39" i="11"/>
  <c r="BW39" i="11"/>
  <c r="BV39" i="11"/>
  <c r="BU39" i="11"/>
  <c r="BT39" i="11"/>
  <c r="CE36" i="11"/>
  <c r="CD36" i="11"/>
  <c r="CC36" i="11"/>
  <c r="CB36" i="11"/>
  <c r="CA36" i="11"/>
  <c r="BZ36" i="11"/>
  <c r="BY36" i="11"/>
  <c r="BX36" i="11"/>
  <c r="BW36" i="11"/>
  <c r="BV36" i="11"/>
  <c r="BU36" i="11"/>
  <c r="BT36" i="11"/>
  <c r="CE26" i="11"/>
  <c r="CD26" i="11"/>
  <c r="CC26" i="11"/>
  <c r="CB26" i="11"/>
  <c r="CA26" i="11"/>
  <c r="BZ26" i="11"/>
  <c r="BY26" i="11"/>
  <c r="BX26" i="11"/>
  <c r="BW26" i="11"/>
  <c r="BV26" i="11"/>
  <c r="BU26" i="11"/>
  <c r="BT26" i="11"/>
  <c r="CE25" i="11"/>
  <c r="CD25" i="11"/>
  <c r="CC25" i="11"/>
  <c r="CB25" i="11"/>
  <c r="CA25" i="11"/>
  <c r="BZ25" i="11"/>
  <c r="BY25" i="11"/>
  <c r="BX25" i="11"/>
  <c r="BW25" i="11"/>
  <c r="BV25" i="11"/>
  <c r="BU25" i="11"/>
  <c r="BT25" i="11"/>
  <c r="CE24" i="11"/>
  <c r="CD24" i="11"/>
  <c r="CC24" i="11"/>
  <c r="CB24" i="11"/>
  <c r="CA24" i="11"/>
  <c r="BZ24" i="11"/>
  <c r="BY24" i="11"/>
  <c r="BX24" i="11"/>
  <c r="BW24" i="11"/>
  <c r="BV24" i="11"/>
  <c r="BU24" i="11"/>
  <c r="BT24" i="11"/>
  <c r="CE23" i="11"/>
  <c r="CD23" i="11"/>
  <c r="CC23" i="11"/>
  <c r="CB23" i="11"/>
  <c r="CA23" i="11"/>
  <c r="BZ23" i="11"/>
  <c r="BY23" i="11"/>
  <c r="BX23" i="11"/>
  <c r="BW23" i="11"/>
  <c r="BV23" i="11"/>
  <c r="BU23" i="11"/>
  <c r="BT23" i="11"/>
  <c r="CE22" i="11"/>
  <c r="CD22" i="11"/>
  <c r="CC22" i="11"/>
  <c r="CB22" i="11"/>
  <c r="CA22" i="11"/>
  <c r="BZ22" i="11"/>
  <c r="BY22" i="11"/>
  <c r="BX22" i="11"/>
  <c r="BW22" i="11"/>
  <c r="BV22" i="11"/>
  <c r="BU22" i="11"/>
  <c r="BT22" i="11"/>
  <c r="AV51" i="22"/>
  <c r="AU51" i="22"/>
  <c r="AT51" i="22"/>
  <c r="AS51" i="22"/>
  <c r="AR51" i="22"/>
  <c r="AQ51" i="22"/>
  <c r="AP51" i="22"/>
  <c r="AO51" i="22"/>
  <c r="AN51" i="22"/>
  <c r="AM51" i="22"/>
  <c r="AL51" i="22"/>
  <c r="AK51" i="22"/>
  <c r="AV49" i="22"/>
  <c r="AU49" i="22"/>
  <c r="AT49" i="22"/>
  <c r="AS49" i="22"/>
  <c r="AR49" i="22"/>
  <c r="AQ49" i="22"/>
  <c r="AP49" i="22"/>
  <c r="AO49" i="22"/>
  <c r="AN49" i="22"/>
  <c r="AM49" i="22"/>
  <c r="AL49" i="22"/>
  <c r="AK49" i="22"/>
  <c r="AV39" i="22"/>
  <c r="AU39" i="22"/>
  <c r="AT39" i="22"/>
  <c r="AS39" i="22"/>
  <c r="AR39" i="22"/>
  <c r="AQ39" i="22"/>
  <c r="AP39" i="22"/>
  <c r="AO39" i="22"/>
  <c r="AN39" i="22"/>
  <c r="AM39" i="22"/>
  <c r="AL39" i="22"/>
  <c r="AK39" i="22"/>
  <c r="AV38" i="22"/>
  <c r="AU38" i="22"/>
  <c r="AT38" i="22"/>
  <c r="AS38" i="22"/>
  <c r="AR38" i="22"/>
  <c r="AQ38" i="22"/>
  <c r="AP38" i="22"/>
  <c r="AO38" i="22"/>
  <c r="AN38" i="22"/>
  <c r="AM38" i="22"/>
  <c r="AL38" i="22"/>
  <c r="AK38" i="22"/>
  <c r="AV37" i="22"/>
  <c r="AU37" i="22"/>
  <c r="AT37" i="22"/>
  <c r="AS37" i="22"/>
  <c r="AR37" i="22"/>
  <c r="AQ37" i="22"/>
  <c r="AP37" i="22"/>
  <c r="AO37" i="22"/>
  <c r="AN37" i="22"/>
  <c r="AM37" i="22"/>
  <c r="AL37" i="22"/>
  <c r="AK37" i="22"/>
  <c r="AV36" i="22"/>
  <c r="AU36" i="22"/>
  <c r="AT36" i="22"/>
  <c r="AS36" i="22"/>
  <c r="AR36" i="22"/>
  <c r="AQ36" i="22"/>
  <c r="AP36" i="22"/>
  <c r="AO36" i="22"/>
  <c r="AN36" i="22"/>
  <c r="AM36" i="22"/>
  <c r="AL36" i="22"/>
  <c r="AK36" i="22"/>
  <c r="AV35" i="22"/>
  <c r="AU35" i="22"/>
  <c r="AT35" i="22"/>
  <c r="AS35" i="22"/>
  <c r="AR35" i="22"/>
  <c r="AQ35" i="22"/>
  <c r="AP35" i="22"/>
  <c r="AO35" i="22"/>
  <c r="AN35" i="22"/>
  <c r="AM35" i="22"/>
  <c r="AL35" i="22"/>
  <c r="AK35" i="22"/>
  <c r="AV18" i="22"/>
  <c r="AU18" i="22"/>
  <c r="AT18" i="22"/>
  <c r="AS18" i="22"/>
  <c r="AR18" i="22"/>
  <c r="AQ18" i="22"/>
  <c r="AP18" i="22"/>
  <c r="AO18" i="22"/>
  <c r="AN18" i="22"/>
  <c r="AM18" i="22"/>
  <c r="AL18" i="22"/>
  <c r="AK18" i="22"/>
  <c r="AV17" i="22"/>
  <c r="AU17" i="22"/>
  <c r="AT17" i="22"/>
  <c r="AS17" i="22"/>
  <c r="AR17" i="22"/>
  <c r="AQ17" i="22"/>
  <c r="AP17" i="22"/>
  <c r="AO17" i="22"/>
  <c r="AN17" i="22"/>
  <c r="AM17" i="22"/>
  <c r="AL17" i="22"/>
  <c r="AK17" i="22"/>
  <c r="AV16" i="22"/>
  <c r="AU16" i="22"/>
  <c r="AT16" i="22"/>
  <c r="AS16" i="22"/>
  <c r="AR16" i="22"/>
  <c r="AQ16" i="22"/>
  <c r="AP16" i="22"/>
  <c r="AO16" i="22"/>
  <c r="AN16" i="22"/>
  <c r="AM16" i="22"/>
  <c r="AL16" i="22"/>
  <c r="AK16" i="22"/>
  <c r="AV15" i="22"/>
  <c r="AU15" i="22"/>
  <c r="AT15" i="22"/>
  <c r="AS15" i="22"/>
  <c r="AR15" i="22"/>
  <c r="AQ15" i="22"/>
  <c r="AP15" i="22"/>
  <c r="AO15" i="22"/>
  <c r="AN15" i="22"/>
  <c r="AM15" i="22"/>
  <c r="AL15" i="22"/>
  <c r="AK15" i="22"/>
  <c r="BV51" i="1"/>
  <c r="BU51" i="1"/>
  <c r="BT51" i="1"/>
  <c r="BV49" i="1"/>
  <c r="BU49" i="1"/>
  <c r="BT49" i="1"/>
  <c r="BV39" i="1"/>
  <c r="BU39" i="1"/>
  <c r="BT39" i="1"/>
  <c r="BV38" i="1"/>
  <c r="BU38" i="1"/>
  <c r="BT38" i="1"/>
  <c r="BV37" i="1"/>
  <c r="BU37" i="1"/>
  <c r="BT37" i="1"/>
  <c r="BV36" i="1"/>
  <c r="BU36" i="1"/>
  <c r="BT36" i="1"/>
  <c r="BV35" i="1"/>
  <c r="BU35" i="1"/>
  <c r="BT35" i="1"/>
  <c r="BV18" i="1"/>
  <c r="BT18" i="1"/>
  <c r="BV17" i="1"/>
  <c r="BT17" i="1"/>
  <c r="BV16" i="1"/>
  <c r="BT16" i="1"/>
  <c r="BV15" i="1"/>
  <c r="BT15" i="1"/>
  <c r="AV32" i="22"/>
  <c r="AU32" i="22"/>
  <c r="AT32" i="22"/>
  <c r="AS32" i="22"/>
  <c r="AR32" i="22"/>
  <c r="AQ32" i="22"/>
  <c r="AP32" i="22"/>
  <c r="AO32" i="22"/>
  <c r="AN32" i="22"/>
  <c r="AM32" i="22"/>
  <c r="AL32" i="22"/>
  <c r="AK32" i="22"/>
  <c r="AJ32" i="22"/>
  <c r="AI32"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C32" i="22"/>
  <c r="B32" i="22"/>
  <c r="AV31" i="22"/>
  <c r="AU31" i="22"/>
  <c r="AT31" i="22"/>
  <c r="AS31" i="22"/>
  <c r="AR31" i="22"/>
  <c r="AQ31" i="22"/>
  <c r="AP31" i="22"/>
  <c r="AO31" i="22"/>
  <c r="AN31" i="22"/>
  <c r="AM31" i="22"/>
  <c r="AL31" i="22"/>
  <c r="AK31" i="22"/>
  <c r="AJ31" i="22"/>
  <c r="AI31" i="22"/>
  <c r="AH31" i="22"/>
  <c r="AG31" i="22"/>
  <c r="AF31" i="22"/>
  <c r="AE31" i="22"/>
  <c r="AD31" i="22"/>
  <c r="AC31" i="22"/>
  <c r="AB31" i="22"/>
  <c r="AA31" i="22"/>
  <c r="Z31" i="22"/>
  <c r="Y31" i="22"/>
  <c r="X31" i="22"/>
  <c r="W31" i="22"/>
  <c r="V31" i="22"/>
  <c r="U31" i="22"/>
  <c r="T31" i="22"/>
  <c r="S31" i="22"/>
  <c r="R31" i="22"/>
  <c r="Q31" i="22"/>
  <c r="P31" i="22"/>
  <c r="O31" i="22"/>
  <c r="N31" i="22"/>
  <c r="M31" i="22"/>
  <c r="L31" i="22"/>
  <c r="K31" i="22"/>
  <c r="J31" i="22"/>
  <c r="I31" i="22"/>
  <c r="H31" i="22"/>
  <c r="G31" i="22"/>
  <c r="F31" i="22"/>
  <c r="E31" i="22"/>
  <c r="D31" i="22"/>
  <c r="C31" i="22"/>
  <c r="B31" i="22"/>
  <c r="AV30" i="22"/>
  <c r="AU30" i="22"/>
  <c r="AT30" i="22"/>
  <c r="AS30" i="22"/>
  <c r="AR30" i="22"/>
  <c r="AQ30" i="22"/>
  <c r="AP30" i="22"/>
  <c r="AO30" i="22"/>
  <c r="AN30" i="22"/>
  <c r="AM30" i="22"/>
  <c r="AL30" i="22"/>
  <c r="AK30" i="22"/>
  <c r="AJ30" i="22"/>
  <c r="AI30" i="22"/>
  <c r="AH30" i="22"/>
  <c r="AG30" i="22"/>
  <c r="AF30" i="22"/>
  <c r="AE30" i="22"/>
  <c r="AD30" i="22"/>
  <c r="AC30" i="22"/>
  <c r="AB30" i="22"/>
  <c r="AA30" i="22"/>
  <c r="Z30" i="22"/>
  <c r="Y30" i="22"/>
  <c r="X30" i="22"/>
  <c r="W30" i="22"/>
  <c r="V30" i="22"/>
  <c r="U30" i="22"/>
  <c r="T30" i="22"/>
  <c r="S30" i="22"/>
  <c r="R30" i="22"/>
  <c r="Q30" i="22"/>
  <c r="P30" i="22"/>
  <c r="O30" i="22"/>
  <c r="N30" i="22"/>
  <c r="M30" i="22"/>
  <c r="L30" i="22"/>
  <c r="K30" i="22"/>
  <c r="J30" i="22"/>
  <c r="I30" i="22"/>
  <c r="H30" i="22"/>
  <c r="G30" i="22"/>
  <c r="F30" i="22"/>
  <c r="E30" i="22"/>
  <c r="D30" i="22"/>
  <c r="C30" i="22"/>
  <c r="B30" i="22"/>
  <c r="AV29" i="22"/>
  <c r="AU29" i="22"/>
  <c r="AT29" i="22"/>
  <c r="AS29" i="22"/>
  <c r="AR29" i="22"/>
  <c r="AQ29" i="22"/>
  <c r="AP29" i="22"/>
  <c r="AO29" i="22"/>
  <c r="AN29" i="22"/>
  <c r="AM29" i="22"/>
  <c r="AL29" i="22"/>
  <c r="AK29" i="22"/>
  <c r="AJ29" i="22"/>
  <c r="AI29" i="22"/>
  <c r="AH29" i="22"/>
  <c r="AG29" i="22"/>
  <c r="AF29" i="22"/>
  <c r="AE29" i="22"/>
  <c r="AD29" i="22"/>
  <c r="AC29" i="22"/>
  <c r="AB29" i="22"/>
  <c r="AA29" i="22"/>
  <c r="Z29" i="22"/>
  <c r="Y29" i="22"/>
  <c r="X29" i="22"/>
  <c r="W29" i="22"/>
  <c r="V29" i="22"/>
  <c r="U29" i="22"/>
  <c r="T29" i="22"/>
  <c r="S29" i="22"/>
  <c r="R29" i="22"/>
  <c r="Q29" i="22"/>
  <c r="P29" i="22"/>
  <c r="O29" i="22"/>
  <c r="N29" i="22"/>
  <c r="M29" i="22"/>
  <c r="L29" i="22"/>
  <c r="K29" i="22"/>
  <c r="J29" i="22"/>
  <c r="I29" i="22"/>
  <c r="H29" i="22"/>
  <c r="G29" i="22"/>
  <c r="F29" i="22"/>
  <c r="E29" i="22"/>
  <c r="D29" i="22"/>
  <c r="C29" i="22"/>
  <c r="B29" i="22"/>
  <c r="AV28" i="22"/>
  <c r="AU28" i="22"/>
  <c r="AT28" i="22"/>
  <c r="AS28" i="22"/>
  <c r="AR28" i="22"/>
  <c r="AQ28" i="22"/>
  <c r="AP28" i="22"/>
  <c r="AO28" i="22"/>
  <c r="AN28" i="22"/>
  <c r="AM28" i="22"/>
  <c r="AL28" i="22"/>
  <c r="AK28" i="22"/>
  <c r="AJ28" i="22"/>
  <c r="AI28" i="22"/>
  <c r="AH28" i="22"/>
  <c r="AG28" i="22"/>
  <c r="AF28" i="22"/>
  <c r="AE28" i="22"/>
  <c r="AD28" i="22"/>
  <c r="AC28" i="22"/>
  <c r="AB28" i="22"/>
  <c r="AA28" i="22"/>
  <c r="Z28" i="22"/>
  <c r="Y28" i="22"/>
  <c r="X28" i="22"/>
  <c r="W28" i="22"/>
  <c r="V28" i="22"/>
  <c r="U28" i="22"/>
  <c r="T28" i="22"/>
  <c r="S28" i="22"/>
  <c r="R28" i="22"/>
  <c r="Q28" i="22"/>
  <c r="P28" i="22"/>
  <c r="O28" i="22"/>
  <c r="N28" i="22"/>
  <c r="M28" i="22"/>
  <c r="L28" i="22"/>
  <c r="K28" i="22"/>
  <c r="J28" i="22"/>
  <c r="I28" i="22"/>
  <c r="H28" i="22"/>
  <c r="G28" i="22"/>
  <c r="F28" i="22"/>
  <c r="E28" i="22"/>
  <c r="D28" i="22"/>
  <c r="C28" i="22"/>
  <c r="B28" i="22"/>
  <c r="BV32" i="1"/>
  <c r="BU32" i="1"/>
  <c r="BT32" i="1"/>
  <c r="BV31" i="1"/>
  <c r="BU31" i="1"/>
  <c r="BT31" i="1"/>
  <c r="BV30" i="1"/>
  <c r="BU30" i="1"/>
  <c r="BT30" i="1"/>
  <c r="BV29" i="1"/>
  <c r="BU29" i="1"/>
  <c r="BT29" i="1"/>
  <c r="BV28" i="1"/>
  <c r="BU28" i="1"/>
  <c r="BT28" i="1"/>
  <c r="B14" i="4"/>
  <c r="AY18" i="22"/>
  <c r="AX18" i="22"/>
  <c r="AW18" i="22"/>
  <c r="AY17" i="22"/>
  <c r="AX17" i="22"/>
  <c r="AW17" i="22"/>
  <c r="AY16" i="22"/>
  <c r="AX16" i="22"/>
  <c r="AW16" i="22"/>
  <c r="AY15" i="22"/>
  <c r="AX15" i="22"/>
  <c r="AW15" i="22"/>
  <c r="I10" i="4"/>
  <c r="H10" i="4"/>
  <c r="G10" i="4"/>
  <c r="F10" i="4"/>
  <c r="B16" i="16"/>
  <c r="B15" i="16"/>
  <c r="B14" i="16"/>
  <c r="B13" i="16"/>
  <c r="B12" i="16"/>
  <c r="AW28" i="22"/>
  <c r="B9" i="4"/>
  <c r="B8" i="4"/>
  <c r="B7" i="4"/>
  <c r="B6" i="4"/>
  <c r="B5" i="4"/>
  <c r="CH26" i="11"/>
  <c r="CG26" i="11"/>
  <c r="CF26" i="11"/>
  <c r="CH25" i="11"/>
  <c r="CG25" i="11"/>
  <c r="CF25" i="11"/>
  <c r="CH24" i="11"/>
  <c r="CG24" i="11"/>
  <c r="CF24" i="11"/>
  <c r="CH23" i="11"/>
  <c r="CG23" i="11"/>
  <c r="CF23" i="11"/>
  <c r="CH19" i="11"/>
  <c r="CG19" i="11"/>
  <c r="CF19" i="11"/>
  <c r="CH18" i="11"/>
  <c r="CG18" i="11"/>
  <c r="CF18" i="11"/>
  <c r="CH17" i="11"/>
  <c r="CG17" i="11"/>
  <c r="CF17" i="11"/>
  <c r="CH16" i="11"/>
  <c r="CG16" i="11"/>
  <c r="CF16" i="11"/>
  <c r="CH15" i="11"/>
  <c r="CG15" i="11"/>
  <c r="CF15" i="11"/>
  <c r="B9" i="12"/>
  <c r="B8" i="12"/>
  <c r="B7" i="12"/>
  <c r="B6" i="12"/>
  <c r="B5" i="12"/>
  <c r="AU19" i="21"/>
  <c r="AT19" i="21"/>
  <c r="AS19" i="21"/>
  <c r="AR19" i="21"/>
  <c r="AQ19" i="21"/>
  <c r="AP19" i="21"/>
  <c r="AO19" i="21"/>
  <c r="AN19" i="21"/>
  <c r="AM19" i="21"/>
  <c r="AL19" i="21"/>
  <c r="AK19" i="21"/>
  <c r="AJ19" i="21"/>
  <c r="AU18" i="21"/>
  <c r="AT18" i="21"/>
  <c r="AS18" i="21"/>
  <c r="AR18" i="21"/>
  <c r="AQ18" i="21"/>
  <c r="AP18" i="21"/>
  <c r="AO18" i="21"/>
  <c r="AN18" i="21"/>
  <c r="AM18" i="21"/>
  <c r="AL18" i="21"/>
  <c r="AK18" i="21"/>
  <c r="AJ18" i="21"/>
  <c r="AU17" i="21"/>
  <c r="AT17" i="21"/>
  <c r="AS17" i="21"/>
  <c r="AR17" i="21"/>
  <c r="AQ17" i="21"/>
  <c r="AP17" i="21"/>
  <c r="AO17" i="21"/>
  <c r="AN17" i="21"/>
  <c r="AM17" i="21"/>
  <c r="AL17" i="21"/>
  <c r="AK17" i="21"/>
  <c r="AJ17" i="21"/>
  <c r="AU16" i="21"/>
  <c r="AT16" i="21"/>
  <c r="AS16" i="21"/>
  <c r="AR16" i="21"/>
  <c r="AQ16" i="21"/>
  <c r="AP16" i="21"/>
  <c r="AO16" i="21"/>
  <c r="AN16" i="21"/>
  <c r="AM16" i="21"/>
  <c r="AL16" i="21"/>
  <c r="AK16" i="21"/>
  <c r="AJ16" i="21"/>
  <c r="AU15" i="21"/>
  <c r="AT15" i="21"/>
  <c r="AS15" i="21"/>
  <c r="AR15" i="21"/>
  <c r="AQ15" i="21"/>
  <c r="AP15" i="21"/>
  <c r="AO15" i="21"/>
  <c r="AN15" i="21"/>
  <c r="AM15" i="21"/>
  <c r="AL15" i="21"/>
  <c r="AK15" i="21"/>
  <c r="AJ15" i="21"/>
  <c r="AV67" i="22"/>
  <c r="AU67" i="22"/>
  <c r="AT67" i="22"/>
  <c r="AS67" i="22"/>
  <c r="AR67" i="22"/>
  <c r="AQ67" i="22"/>
  <c r="AP67" i="22"/>
  <c r="AO67" i="22"/>
  <c r="AN67" i="22"/>
  <c r="AM67" i="22"/>
  <c r="AL67" i="22"/>
  <c r="AK67" i="22"/>
  <c r="AJ67" i="22"/>
  <c r="AI67" i="22"/>
  <c r="AH67" i="22"/>
  <c r="AG67" i="22"/>
  <c r="AF67" i="22"/>
  <c r="AE67" i="22"/>
  <c r="AD67" i="22"/>
  <c r="AC67" i="22"/>
  <c r="AB67" i="22"/>
  <c r="AA67" i="22"/>
  <c r="Z67" i="22"/>
  <c r="Y67" i="22"/>
  <c r="X67" i="22"/>
  <c r="W67" i="22"/>
  <c r="V67" i="22"/>
  <c r="U67" i="22"/>
  <c r="T67" i="22"/>
  <c r="S67" i="22"/>
  <c r="R67" i="22"/>
  <c r="Q67" i="22"/>
  <c r="P67" i="22"/>
  <c r="O67" i="22"/>
  <c r="N67" i="22"/>
  <c r="M67" i="22"/>
  <c r="L67" i="22"/>
  <c r="K67" i="22"/>
  <c r="J67" i="22"/>
  <c r="I67" i="22"/>
  <c r="H67" i="22"/>
  <c r="G67" i="22"/>
  <c r="F67" i="22"/>
  <c r="E67" i="22"/>
  <c r="AX19" i="21"/>
  <c r="AW19" i="21"/>
  <c r="AV19" i="21"/>
  <c r="AX18" i="21"/>
  <c r="AW18" i="21"/>
  <c r="AV18" i="21"/>
  <c r="AX17" i="21"/>
  <c r="AW17" i="21"/>
  <c r="AV17" i="21"/>
  <c r="AX16" i="21"/>
  <c r="AW16" i="21"/>
  <c r="AV16" i="21"/>
  <c r="AX15" i="21"/>
  <c r="AW15" i="21"/>
  <c r="AV15" i="21"/>
  <c r="C9" i="12"/>
  <c r="C8" i="12"/>
  <c r="C7" i="12"/>
  <c r="C6" i="12"/>
  <c r="C5" i="12"/>
  <c r="AY32" i="22"/>
  <c r="AX32" i="22"/>
  <c r="AW32" i="22"/>
  <c r="AY31" i="22"/>
  <c r="AX31" i="22"/>
  <c r="AW31" i="22"/>
  <c r="AY30" i="22"/>
  <c r="AX30" i="22"/>
  <c r="AW30" i="22"/>
  <c r="AY29" i="22"/>
  <c r="AX29" i="22"/>
  <c r="AW29" i="22"/>
  <c r="AY28" i="22"/>
  <c r="AX28" i="22"/>
  <c r="CE55" i="11"/>
  <c r="CD55" i="11"/>
  <c r="CC55" i="11"/>
  <c r="CB55" i="11"/>
  <c r="CA55" i="11"/>
  <c r="BZ55" i="11"/>
  <c r="BY55" i="11"/>
  <c r="BX55" i="11"/>
  <c r="BW55" i="11"/>
  <c r="CE19" i="11"/>
  <c r="CD19" i="11"/>
  <c r="CC19" i="11"/>
  <c r="CB19" i="11"/>
  <c r="CA19" i="11"/>
  <c r="BZ19" i="11"/>
  <c r="BY19" i="11"/>
  <c r="BX19" i="11"/>
  <c r="BW19" i="11"/>
  <c r="BV19" i="11"/>
  <c r="BU19" i="11"/>
  <c r="BT19" i="11"/>
  <c r="CE18" i="11"/>
  <c r="CD18" i="11"/>
  <c r="CC18" i="11"/>
  <c r="CB18" i="11"/>
  <c r="CA18" i="11"/>
  <c r="BZ18" i="11"/>
  <c r="BY18" i="11"/>
  <c r="BX18" i="11"/>
  <c r="BW18" i="11"/>
  <c r="BV18" i="11"/>
  <c r="BU18" i="11"/>
  <c r="BT18" i="11"/>
  <c r="CE17" i="11"/>
  <c r="CD17" i="11"/>
  <c r="CC17" i="11"/>
  <c r="CB17" i="11"/>
  <c r="CA17" i="11"/>
  <c r="BZ17" i="11"/>
  <c r="BY17" i="11"/>
  <c r="BX17" i="11"/>
  <c r="BW17" i="11"/>
  <c r="BV17" i="11"/>
  <c r="BU17" i="11"/>
  <c r="BT17" i="11"/>
  <c r="CE16" i="11"/>
  <c r="CD16" i="11"/>
  <c r="CC16" i="11"/>
  <c r="CB16" i="11"/>
  <c r="CA16" i="11"/>
  <c r="BZ16" i="11"/>
  <c r="BY16" i="11"/>
  <c r="BX16" i="11"/>
  <c r="BW16" i="11"/>
  <c r="BV16" i="11"/>
  <c r="BU16" i="11"/>
  <c r="BT16" i="11"/>
  <c r="CE15" i="11"/>
  <c r="CD15" i="11"/>
  <c r="CC15" i="11"/>
  <c r="CB15" i="11"/>
  <c r="CA15" i="11"/>
  <c r="BZ15" i="11"/>
  <c r="BY15" i="11"/>
  <c r="BX15" i="11"/>
  <c r="BW15" i="11"/>
  <c r="BV15" i="11"/>
  <c r="BU15" i="11"/>
  <c r="BT15" i="11"/>
  <c r="BV67" i="1"/>
  <c r="BU67" i="1"/>
  <c r="BT67" i="1"/>
  <c r="C22" i="5" l="1"/>
  <c r="D22" i="5"/>
  <c r="D29" i="20" l="1"/>
  <c r="AW36" i="22" l="1"/>
  <c r="Q42" i="1" l="1"/>
  <c r="F42" i="1"/>
  <c r="BL16" i="1" l="1"/>
  <c r="BL17" i="1"/>
  <c r="BL15" i="1"/>
  <c r="AC18" i="22" l="1"/>
  <c r="AC17" i="22"/>
  <c r="AC16" i="22"/>
  <c r="AC15" i="22"/>
  <c r="BL18" i="1" l="1"/>
  <c r="J15" i="26" l="1"/>
  <c r="C4" i="26" s="1"/>
  <c r="J19" i="26" l="1"/>
  <c r="C8" i="26" s="1"/>
  <c r="J18" i="26"/>
  <c r="C7" i="26" s="1"/>
  <c r="J17" i="26"/>
  <c r="C6" i="26" s="1"/>
  <c r="J16" i="26"/>
  <c r="C5" i="26" s="1"/>
  <c r="E22" i="5" l="1"/>
  <c r="C9" i="26" l="1"/>
  <c r="J54" i="26" l="1"/>
  <c r="I54" i="26"/>
  <c r="H54" i="26"/>
  <c r="G54" i="26"/>
  <c r="F54" i="26"/>
  <c r="E54" i="26"/>
  <c r="D54" i="26"/>
  <c r="C54" i="26"/>
  <c r="B54" i="26"/>
  <c r="Z55" i="21"/>
  <c r="Y55" i="21"/>
  <c r="X55" i="21"/>
  <c r="W55" i="21"/>
  <c r="V55" i="21"/>
  <c r="U55" i="21"/>
  <c r="T55" i="21"/>
  <c r="S55" i="21"/>
  <c r="R55" i="21"/>
  <c r="Q55" i="21"/>
  <c r="P55" i="21"/>
  <c r="O55" i="21"/>
  <c r="N55" i="21"/>
  <c r="M55" i="21"/>
  <c r="L55" i="21"/>
  <c r="K55" i="21"/>
  <c r="J55" i="21"/>
  <c r="I55" i="21"/>
  <c r="H55" i="21"/>
  <c r="G55" i="21"/>
  <c r="F55" i="21"/>
  <c r="E55" i="21"/>
  <c r="X30" i="21" l="1"/>
  <c r="B29" i="26"/>
  <c r="Z32" i="21"/>
  <c r="K30" i="21"/>
  <c r="I29" i="28"/>
  <c r="X32" i="21"/>
  <c r="R32" i="21"/>
  <c r="AF31" i="21"/>
  <c r="U30" i="21"/>
  <c r="Z29" i="21"/>
  <c r="Y32" i="21"/>
  <c r="K31" i="21"/>
  <c r="F29" i="21"/>
  <c r="N29" i="21"/>
  <c r="X33" i="21"/>
  <c r="AD55" i="21"/>
  <c r="G31" i="21"/>
  <c r="AB30" i="21"/>
  <c r="J33" i="21"/>
  <c r="R33" i="21"/>
  <c r="Y30" i="21"/>
  <c r="Y33" i="21"/>
  <c r="F33" i="21"/>
  <c r="R31" i="21"/>
  <c r="Z33" i="21"/>
  <c r="Z31" i="21"/>
  <c r="Y31" i="21"/>
  <c r="W33" i="21"/>
  <c r="K33" i="21"/>
  <c r="R29" i="21"/>
  <c r="Y29" i="21"/>
  <c r="AH29" i="21"/>
  <c r="AF29" i="21"/>
  <c r="S32" i="21"/>
  <c r="R30" i="21"/>
  <c r="Z30" i="21"/>
  <c r="M29" i="21"/>
  <c r="K32" i="21"/>
  <c r="K29" i="21"/>
  <c r="AB29" i="21"/>
  <c r="AH31" i="21"/>
  <c r="AB32" i="21"/>
  <c r="AF33" i="21"/>
  <c r="J32" i="21"/>
  <c r="AH33" i="21"/>
  <c r="B32" i="26"/>
  <c r="J32" i="26"/>
  <c r="I33" i="26"/>
  <c r="S29" i="21"/>
  <c r="X31" i="21"/>
  <c r="G29" i="26"/>
  <c r="F30" i="26"/>
  <c r="X29" i="21"/>
  <c r="I31" i="28"/>
  <c r="E29" i="26"/>
  <c r="D30" i="26"/>
  <c r="C31" i="26"/>
  <c r="AF55" i="21"/>
  <c r="C29" i="28"/>
  <c r="K29" i="28"/>
  <c r="J30" i="28"/>
  <c r="G33" i="28"/>
  <c r="D29" i="28"/>
  <c r="C30" i="28"/>
  <c r="K30" i="28"/>
  <c r="J31" i="28"/>
  <c r="I32" i="28"/>
  <c r="H33" i="28"/>
  <c r="AB55" i="21"/>
  <c r="F29" i="26"/>
  <c r="C33" i="28"/>
  <c r="K33" i="28"/>
  <c r="H30" i="28"/>
  <c r="E33" i="28"/>
  <c r="J29" i="28"/>
  <c r="H30" i="26"/>
  <c r="H31" i="28"/>
  <c r="F33" i="28"/>
  <c r="AA55" i="21"/>
  <c r="AI55" i="21"/>
  <c r="D29" i="26"/>
  <c r="C30" i="26"/>
  <c r="B31" i="26"/>
  <c r="J31" i="26"/>
  <c r="I32" i="26"/>
  <c r="H33" i="26"/>
  <c r="W31" i="21"/>
  <c r="V33" i="21"/>
  <c r="U33" i="21"/>
  <c r="T30" i="21"/>
  <c r="S30" i="21"/>
  <c r="M30" i="21"/>
  <c r="H32" i="21"/>
  <c r="P32" i="21"/>
  <c r="F32" i="21"/>
  <c r="N32" i="21"/>
  <c r="I33" i="21"/>
  <c r="Q33" i="21"/>
  <c r="C32" i="28"/>
  <c r="F29" i="28"/>
  <c r="G30" i="28"/>
  <c r="J33" i="28"/>
  <c r="E54" i="28"/>
  <c r="F31" i="21"/>
  <c r="N31" i="21"/>
  <c r="G29" i="28"/>
  <c r="J32" i="28"/>
  <c r="F54" i="28"/>
  <c r="AC55" i="21"/>
  <c r="E30" i="26"/>
  <c r="D31" i="26"/>
  <c r="C32" i="26"/>
  <c r="B33" i="26"/>
  <c r="J33" i="26"/>
  <c r="H29" i="28"/>
  <c r="I30" i="28"/>
  <c r="K32" i="28"/>
  <c r="G54" i="28"/>
  <c r="E31" i="26"/>
  <c r="D32" i="26"/>
  <c r="C33" i="26"/>
  <c r="D30" i="28"/>
  <c r="K31" i="28"/>
  <c r="H54" i="28"/>
  <c r="AB31" i="21"/>
  <c r="AE55" i="21"/>
  <c r="AG32" i="21"/>
  <c r="H29" i="26"/>
  <c r="AF30" i="21"/>
  <c r="G30" i="26"/>
  <c r="AE32" i="21"/>
  <c r="F31" i="26"/>
  <c r="AD31" i="21"/>
  <c r="E32" i="26"/>
  <c r="AC33" i="21"/>
  <c r="D33" i="26"/>
  <c r="I32" i="21"/>
  <c r="Q32" i="21"/>
  <c r="O31" i="21"/>
  <c r="M33" i="21"/>
  <c r="D31" i="28"/>
  <c r="E32" i="28"/>
  <c r="I54" i="28"/>
  <c r="AH32" i="21"/>
  <c r="I29" i="26"/>
  <c r="G31" i="26"/>
  <c r="F32" i="26"/>
  <c r="AD33" i="21"/>
  <c r="E33" i="26"/>
  <c r="J30" i="21"/>
  <c r="N33" i="21"/>
  <c r="D32" i="28"/>
  <c r="E31" i="28"/>
  <c r="F32" i="28"/>
  <c r="B54" i="28"/>
  <c r="J54" i="28"/>
  <c r="AB33" i="21"/>
  <c r="AG55" i="21"/>
  <c r="AA33" i="21"/>
  <c r="AI33" i="21"/>
  <c r="J29" i="26"/>
  <c r="J41" i="26" s="1"/>
  <c r="AH30" i="21"/>
  <c r="I30" i="26"/>
  <c r="H31" i="26"/>
  <c r="AF32" i="21"/>
  <c r="G32" i="26"/>
  <c r="AE33" i="21"/>
  <c r="F33" i="26"/>
  <c r="D33" i="28"/>
  <c r="E30" i="28"/>
  <c r="F31" i="28"/>
  <c r="G32" i="28"/>
  <c r="C54" i="28"/>
  <c r="K54" i="28"/>
  <c r="AH55" i="21"/>
  <c r="C29" i="26"/>
  <c r="B30" i="26"/>
  <c r="J30" i="26"/>
  <c r="I31" i="26"/>
  <c r="H32" i="26"/>
  <c r="G33" i="26"/>
  <c r="L30" i="21"/>
  <c r="G30" i="21"/>
  <c r="O32" i="21"/>
  <c r="J31" i="21"/>
  <c r="M32" i="21"/>
  <c r="H33" i="21"/>
  <c r="P33" i="21"/>
  <c r="C31" i="28"/>
  <c r="E29" i="28"/>
  <c r="F30" i="28"/>
  <c r="G31" i="28"/>
  <c r="H32" i="28"/>
  <c r="I33" i="28"/>
  <c r="D54" i="28"/>
  <c r="F30" i="21"/>
  <c r="O29" i="21"/>
  <c r="M31" i="21"/>
  <c r="L32" i="21"/>
  <c r="H29" i="21"/>
  <c r="P29" i="21"/>
  <c r="N30" i="21"/>
  <c r="G32" i="21"/>
  <c r="L31" i="21"/>
  <c r="G33" i="21"/>
  <c r="L33" i="21"/>
  <c r="I29" i="21"/>
  <c r="Q29" i="21"/>
  <c r="O30" i="21"/>
  <c r="H30" i="21"/>
  <c r="H31" i="21"/>
  <c r="O33" i="21"/>
  <c r="J29" i="21"/>
  <c r="P30" i="21"/>
  <c r="P31" i="21"/>
  <c r="G29" i="21"/>
  <c r="I30" i="21"/>
  <c r="Q30" i="21"/>
  <c r="I31" i="21"/>
  <c r="Q31" i="21"/>
  <c r="L29" i="21"/>
  <c r="T29" i="21"/>
  <c r="V30" i="21"/>
  <c r="T32" i="21"/>
  <c r="U29" i="21"/>
  <c r="W30" i="21"/>
  <c r="S31" i="21"/>
  <c r="U32" i="21"/>
  <c r="V29" i="21"/>
  <c r="T31" i="21"/>
  <c r="V32" i="21"/>
  <c r="W29" i="21"/>
  <c r="U31" i="21"/>
  <c r="W32" i="21"/>
  <c r="S33" i="21"/>
  <c r="V31" i="21"/>
  <c r="T33" i="21"/>
  <c r="AE29" i="21"/>
  <c r="AA30" i="21"/>
  <c r="AI30" i="21"/>
  <c r="AE31" i="21"/>
  <c r="AA32" i="21"/>
  <c r="AI32" i="21"/>
  <c r="AG29" i="21"/>
  <c r="AC30" i="21"/>
  <c r="AG31" i="21"/>
  <c r="AC32" i="21"/>
  <c r="AG33" i="21"/>
  <c r="AA29" i="21"/>
  <c r="AI29" i="21"/>
  <c r="AE30" i="21"/>
  <c r="AA31" i="21"/>
  <c r="AI31" i="21"/>
  <c r="AD30" i="21"/>
  <c r="AC29" i="21"/>
  <c r="AG30" i="21"/>
  <c r="AC31" i="21"/>
  <c r="AD32" i="21"/>
  <c r="AD29" i="21"/>
  <c r="L33" i="26" l="1"/>
  <c r="M33" i="28"/>
  <c r="AK33" i="21"/>
  <c r="AM30" i="21"/>
  <c r="N30" i="26"/>
  <c r="O30" i="28"/>
  <c r="U33" i="26"/>
  <c r="V33" i="28"/>
  <c r="AT33" i="21"/>
  <c r="K32" i="26"/>
  <c r="L32" i="28"/>
  <c r="AJ32" i="21"/>
  <c r="T31" i="26"/>
  <c r="AS31" i="21"/>
  <c r="U31" i="28"/>
  <c r="V33" i="26"/>
  <c r="AU33" i="21"/>
  <c r="W33" i="28"/>
  <c r="K33" i="26"/>
  <c r="AJ33" i="21"/>
  <c r="L33" i="28"/>
  <c r="S29" i="26"/>
  <c r="AR29" i="21"/>
  <c r="T29" i="28"/>
  <c r="P30" i="26"/>
  <c r="Q30" i="28"/>
  <c r="AO30" i="21"/>
  <c r="U31" i="26"/>
  <c r="V31" i="28"/>
  <c r="AT31" i="21"/>
  <c r="R32" i="26"/>
  <c r="S32" i="28"/>
  <c r="AQ32" i="21"/>
  <c r="O33" i="26"/>
  <c r="P33" i="28"/>
  <c r="AN33" i="21"/>
  <c r="S54" i="26"/>
  <c r="T54" i="28"/>
  <c r="AR55" i="21"/>
  <c r="L29" i="26"/>
  <c r="AK29" i="21"/>
  <c r="M29" i="28"/>
  <c r="T29" i="26"/>
  <c r="AS29" i="21"/>
  <c r="U29" i="28"/>
  <c r="Q30" i="26"/>
  <c r="AP30" i="21"/>
  <c r="R30" i="28"/>
  <c r="N31" i="26"/>
  <c r="O31" i="28"/>
  <c r="AM31" i="21"/>
  <c r="V31" i="26"/>
  <c r="W31" i="28"/>
  <c r="AU31" i="21"/>
  <c r="S32" i="26"/>
  <c r="T32" i="28"/>
  <c r="AR32" i="21"/>
  <c r="P33" i="26"/>
  <c r="Q33" i="28"/>
  <c r="AO33" i="21"/>
  <c r="L54" i="26"/>
  <c r="AK55" i="21"/>
  <c r="M54" i="28"/>
  <c r="T54" i="26"/>
  <c r="AS55" i="21"/>
  <c r="U54" i="28"/>
  <c r="U30" i="26"/>
  <c r="V30" i="28"/>
  <c r="AT30" i="21"/>
  <c r="K31" i="26"/>
  <c r="AJ31" i="21"/>
  <c r="L31" i="28"/>
  <c r="U29" i="26"/>
  <c r="AT29" i="21"/>
  <c r="V29" i="28"/>
  <c r="M54" i="26"/>
  <c r="AL55" i="21"/>
  <c r="N54" i="28"/>
  <c r="K30" i="26"/>
  <c r="AJ30" i="21"/>
  <c r="L30" i="28"/>
  <c r="S31" i="26"/>
  <c r="T31" i="28"/>
  <c r="AR31" i="21"/>
  <c r="L31" i="26"/>
  <c r="AK31" i="21"/>
  <c r="M31" i="28"/>
  <c r="M29" i="26"/>
  <c r="N29" i="28"/>
  <c r="AL29" i="21"/>
  <c r="O31" i="26"/>
  <c r="AN31" i="21"/>
  <c r="P31" i="28"/>
  <c r="T32" i="26"/>
  <c r="AS32" i="21"/>
  <c r="U32" i="28"/>
  <c r="U54" i="26"/>
  <c r="AT55" i="21"/>
  <c r="V54" i="28"/>
  <c r="N29" i="26"/>
  <c r="O29" i="28"/>
  <c r="AM29" i="21"/>
  <c r="V29" i="26"/>
  <c r="W29" i="28"/>
  <c r="AU29" i="21"/>
  <c r="S30" i="26"/>
  <c r="AR30" i="21"/>
  <c r="T30" i="28"/>
  <c r="P31" i="26"/>
  <c r="AO31" i="21"/>
  <c r="Q31" i="28"/>
  <c r="M32" i="26"/>
  <c r="AL32" i="21"/>
  <c r="N32" i="28"/>
  <c r="U32" i="26"/>
  <c r="AT32" i="21"/>
  <c r="V32" i="28"/>
  <c r="AQ33" i="21"/>
  <c r="R33" i="26"/>
  <c r="S33" i="28"/>
  <c r="N54" i="26"/>
  <c r="AM55" i="21"/>
  <c r="O54" i="28"/>
  <c r="V54" i="26"/>
  <c r="W54" i="26" s="1"/>
  <c r="AU55" i="21"/>
  <c r="AV55" i="21" s="1"/>
  <c r="W54" i="28"/>
  <c r="X54" i="28" s="1"/>
  <c r="Y54" i="28" s="1"/>
  <c r="Z54" i="28" s="1"/>
  <c r="R31" i="26"/>
  <c r="AQ31" i="21"/>
  <c r="S31" i="28"/>
  <c r="M33" i="26"/>
  <c r="N33" i="28"/>
  <c r="AL33" i="21"/>
  <c r="O30" i="26"/>
  <c r="P30" i="28"/>
  <c r="AN30" i="21"/>
  <c r="N33" i="26"/>
  <c r="AM33" i="21"/>
  <c r="O33" i="28"/>
  <c r="R30" i="26"/>
  <c r="S30" i="28"/>
  <c r="AQ30" i="21"/>
  <c r="L32" i="26"/>
  <c r="AK32" i="21"/>
  <c r="M32" i="28"/>
  <c r="Q33" i="26"/>
  <c r="R33" i="28"/>
  <c r="AP33" i="21"/>
  <c r="K29" i="26"/>
  <c r="L29" i="28"/>
  <c r="AJ29" i="21"/>
  <c r="O29" i="26"/>
  <c r="AN29" i="21"/>
  <c r="P29" i="28"/>
  <c r="L30" i="26"/>
  <c r="AK30" i="21"/>
  <c r="M30" i="28"/>
  <c r="T30" i="26"/>
  <c r="AS30" i="21"/>
  <c r="U30" i="28"/>
  <c r="Q31" i="26"/>
  <c r="AP31" i="21"/>
  <c r="R31" i="28"/>
  <c r="N32" i="26"/>
  <c r="AM32" i="21"/>
  <c r="O32" i="28"/>
  <c r="V32" i="26"/>
  <c r="W32" i="28"/>
  <c r="AU32" i="21"/>
  <c r="S33" i="26"/>
  <c r="T33" i="28"/>
  <c r="AR33" i="21"/>
  <c r="O54" i="26"/>
  <c r="AN55" i="21"/>
  <c r="P54" i="28"/>
  <c r="P29" i="26"/>
  <c r="AO29" i="21"/>
  <c r="Q29" i="28"/>
  <c r="M30" i="26"/>
  <c r="AL30" i="21"/>
  <c r="N30" i="28"/>
  <c r="T33" i="26"/>
  <c r="AS33" i="21"/>
  <c r="U33" i="28"/>
  <c r="V30" i="26"/>
  <c r="AU30" i="21"/>
  <c r="W30" i="28"/>
  <c r="O32" i="26"/>
  <c r="AN32" i="21"/>
  <c r="P32" i="28"/>
  <c r="Q29" i="26"/>
  <c r="AP29" i="21"/>
  <c r="R29" i="28"/>
  <c r="Q54" i="26"/>
  <c r="AP55" i="21"/>
  <c r="R54" i="28"/>
  <c r="R29" i="26"/>
  <c r="AQ29" i="21"/>
  <c r="S29" i="28"/>
  <c r="Q32" i="26"/>
  <c r="AP32" i="21"/>
  <c r="R32" i="28"/>
  <c r="R54" i="26"/>
  <c r="S54" i="28"/>
  <c r="AQ55" i="21"/>
  <c r="P54" i="26"/>
  <c r="AO55" i="21"/>
  <c r="Q54" i="28"/>
  <c r="AO32" i="21"/>
  <c r="P32" i="26"/>
  <c r="Q32" i="28"/>
  <c r="CE29" i="11"/>
  <c r="M31" i="26"/>
  <c r="N31" i="28"/>
  <c r="AL31" i="21"/>
  <c r="K54" i="26"/>
  <c r="L54" i="28"/>
  <c r="AJ55" i="21"/>
  <c r="BS29" i="11"/>
  <c r="CF55" i="11"/>
  <c r="CH55" i="11" s="1"/>
  <c r="AW67" i="22"/>
  <c r="AX67" i="22" s="1"/>
  <c r="B4" i="1"/>
  <c r="AX55" i="21" l="1"/>
  <c r="AW55" i="21"/>
  <c r="Y54" i="26"/>
  <c r="X54" i="26"/>
  <c r="CG55" i="11"/>
  <c r="CD29" i="11" l="1"/>
  <c r="CC29" i="11"/>
  <c r="CB29" i="11"/>
  <c r="CA29" i="11"/>
  <c r="BZ29" i="11"/>
  <c r="BY29" i="11"/>
  <c r="BX29" i="11"/>
  <c r="BX42" i="11" s="1"/>
  <c r="BW29" i="11"/>
  <c r="B5" i="1"/>
  <c r="AX54" i="20"/>
  <c r="AW21" i="22" l="1"/>
  <c r="AW22" i="22"/>
  <c r="BV21" i="1"/>
  <c r="Y23" i="26"/>
  <c r="Z23" i="28"/>
  <c r="AX23" i="21"/>
  <c r="W25" i="26"/>
  <c r="X25" i="28"/>
  <c r="AV25" i="21"/>
  <c r="AY32" i="20"/>
  <c r="AB32" i="24"/>
  <c r="W26" i="26"/>
  <c r="X26" i="28"/>
  <c r="AV26" i="21"/>
  <c r="AZ32" i="20"/>
  <c r="AC32" i="24"/>
  <c r="AL43" i="22"/>
  <c r="X23" i="26"/>
  <c r="AW23" i="21"/>
  <c r="Y23" i="28"/>
  <c r="AY29" i="20"/>
  <c r="AB29" i="24"/>
  <c r="AY33" i="20"/>
  <c r="AB33" i="24"/>
  <c r="W23" i="26"/>
  <c r="X23" i="28"/>
  <c r="AV23" i="21"/>
  <c r="W24" i="26"/>
  <c r="X24" i="28"/>
  <c r="AV24" i="21"/>
  <c r="Y26" i="26"/>
  <c r="AX26" i="21"/>
  <c r="Z26" i="28"/>
  <c r="AX33" i="20"/>
  <c r="AX45" i="20" s="1"/>
  <c r="AA33" i="24"/>
  <c r="X24" i="26"/>
  <c r="Y24" i="28"/>
  <c r="AW24" i="21"/>
  <c r="AZ29" i="20"/>
  <c r="AC29" i="24"/>
  <c r="AZ33" i="20"/>
  <c r="AC33" i="24"/>
  <c r="AY30" i="20"/>
  <c r="AB30" i="24"/>
  <c r="X26" i="26"/>
  <c r="Y26" i="28"/>
  <c r="AW26" i="21"/>
  <c r="AX29" i="20"/>
  <c r="AX41" i="20" s="1"/>
  <c r="AA29" i="24"/>
  <c r="AZ30" i="20"/>
  <c r="AC30" i="24"/>
  <c r="X25" i="26"/>
  <c r="Y25" i="28"/>
  <c r="AW25" i="21"/>
  <c r="AX30" i="20"/>
  <c r="AX42" i="20" s="1"/>
  <c r="AA30" i="24"/>
  <c r="AY31" i="20"/>
  <c r="AB31" i="24"/>
  <c r="AX31" i="20"/>
  <c r="AX43" i="20" s="1"/>
  <c r="AA31" i="24"/>
  <c r="AZ31" i="20"/>
  <c r="AC31" i="24"/>
  <c r="Y25" i="26"/>
  <c r="Z25" i="28"/>
  <c r="AX25" i="21"/>
  <c r="Y24" i="26"/>
  <c r="Z24" i="28"/>
  <c r="AX24" i="21"/>
  <c r="AX32" i="20"/>
  <c r="AX44" i="20" s="1"/>
  <c r="AA32" i="24"/>
  <c r="BX30" i="11"/>
  <c r="BX31" i="11"/>
  <c r="BX32" i="11"/>
  <c r="BX33" i="11"/>
  <c r="BU29" i="11"/>
  <c r="BU33" i="11"/>
  <c r="BY30" i="11"/>
  <c r="BY31" i="11"/>
  <c r="BY32" i="11"/>
  <c r="BY33" i="11"/>
  <c r="BV29" i="11"/>
  <c r="BV33" i="11"/>
  <c r="BZ30" i="11"/>
  <c r="BZ31" i="11"/>
  <c r="BZ32" i="11"/>
  <c r="BZ33" i="11"/>
  <c r="BU30" i="11"/>
  <c r="BT42" i="1"/>
  <c r="CA30" i="11"/>
  <c r="CA31" i="11"/>
  <c r="CA32" i="11"/>
  <c r="CA33" i="11"/>
  <c r="BT33" i="11"/>
  <c r="AW38" i="22"/>
  <c r="BT29" i="11"/>
  <c r="BV30" i="11"/>
  <c r="BW30" i="11"/>
  <c r="CB30" i="11"/>
  <c r="CB31" i="11"/>
  <c r="CB32" i="11"/>
  <c r="CB33" i="11"/>
  <c r="BT30" i="11"/>
  <c r="BU31" i="11"/>
  <c r="BW31" i="11"/>
  <c r="CC30" i="11"/>
  <c r="CC31" i="11"/>
  <c r="CC32" i="11"/>
  <c r="CC33" i="11"/>
  <c r="BV32" i="11"/>
  <c r="AC54" i="24"/>
  <c r="BT31" i="11"/>
  <c r="BV31" i="11"/>
  <c r="BW32" i="11"/>
  <c r="CD30" i="11"/>
  <c r="CD31" i="11"/>
  <c r="CD32" i="11"/>
  <c r="CD33" i="11"/>
  <c r="D7" i="22"/>
  <c r="BT32" i="11"/>
  <c r="BU32" i="11"/>
  <c r="BW33" i="11"/>
  <c r="CE30" i="11"/>
  <c r="CE31" i="11"/>
  <c r="CE32" i="11"/>
  <c r="CE33" i="11"/>
  <c r="AZ54" i="20"/>
  <c r="BV55" i="11"/>
  <c r="BU55" i="11"/>
  <c r="AB54" i="24"/>
  <c r="AY54" i="20"/>
  <c r="BT21" i="1"/>
  <c r="BT55" i="11"/>
  <c r="AA54" i="24"/>
  <c r="BV46" i="1"/>
  <c r="BU46" i="1"/>
  <c r="BV45" i="1"/>
  <c r="BU45" i="1"/>
  <c r="BT45" i="1"/>
  <c r="BV44" i="1"/>
  <c r="BU44" i="1"/>
  <c r="BV43" i="1"/>
  <c r="BU43" i="1"/>
  <c r="BT43" i="1"/>
  <c r="BV42" i="1"/>
  <c r="BU42" i="1"/>
  <c r="BT25" i="1"/>
  <c r="BT23" i="1"/>
  <c r="BT24" i="1"/>
  <c r="BV25" i="1"/>
  <c r="BU25" i="1"/>
  <c r="BV24" i="1"/>
  <c r="BU24" i="1"/>
  <c r="BV23" i="1"/>
  <c r="BU23" i="1"/>
  <c r="BV22" i="1"/>
  <c r="BU22" i="1"/>
  <c r="BU21" i="1"/>
  <c r="X14" i="28"/>
  <c r="B15" i="4" l="1"/>
  <c r="H6" i="4"/>
  <c r="G8" i="4"/>
  <c r="G5" i="4"/>
  <c r="G12" i="4" s="1"/>
  <c r="G6" i="4"/>
  <c r="G7" i="4"/>
  <c r="CF36" i="11"/>
  <c r="AW49" i="22"/>
  <c r="AW35" i="22" s="1"/>
  <c r="AX36" i="21"/>
  <c r="Y36" i="28"/>
  <c r="Y22" i="28" s="1"/>
  <c r="Y29" i="28" s="1"/>
  <c r="Z36" i="28"/>
  <c r="Z22" i="28" s="1"/>
  <c r="Z29" i="28" s="1"/>
  <c r="W36" i="26"/>
  <c r="W31" i="26" s="1"/>
  <c r="X36" i="26"/>
  <c r="X22" i="26" s="1"/>
  <c r="X29" i="26" s="1"/>
  <c r="Y36" i="26"/>
  <c r="Y22" i="26" s="1"/>
  <c r="Y29" i="26" s="1"/>
  <c r="X36" i="28"/>
  <c r="X33" i="28" s="1"/>
  <c r="AV36" i="21"/>
  <c r="AW36" i="21"/>
  <c r="CH36" i="11"/>
  <c r="CG36" i="11"/>
  <c r="AK21" i="22"/>
  <c r="D4" i="22"/>
  <c r="D8" i="22"/>
  <c r="D5" i="22"/>
  <c r="D6" i="22"/>
  <c r="BU55" i="1"/>
  <c r="BU56" i="1"/>
  <c r="BT57" i="1"/>
  <c r="BU54" i="1"/>
  <c r="BU58" i="1"/>
  <c r="BV54" i="1"/>
  <c r="BV55" i="1"/>
  <c r="BV56" i="1"/>
  <c r="BU57" i="1"/>
  <c r="BV58" i="1"/>
  <c r="BV57" i="1"/>
  <c r="BT46" i="1"/>
  <c r="BT58" i="1" s="1"/>
  <c r="BT44" i="1"/>
  <c r="BT56" i="1" s="1"/>
  <c r="BT22" i="1"/>
  <c r="BT55" i="1" s="1"/>
  <c r="R44" i="26"/>
  <c r="R41" i="26"/>
  <c r="BX43" i="11"/>
  <c r="BX45" i="11"/>
  <c r="N43" i="26"/>
  <c r="BY43" i="11"/>
  <c r="BY45" i="11"/>
  <c r="BY42" i="11"/>
  <c r="AM43" i="21"/>
  <c r="AU43" i="21"/>
  <c r="AM45" i="21"/>
  <c r="AU45" i="21"/>
  <c r="V43" i="26"/>
  <c r="N41" i="26"/>
  <c r="V44" i="26"/>
  <c r="O41" i="28"/>
  <c r="W41" i="28"/>
  <c r="O43" i="28"/>
  <c r="W43" i="28"/>
  <c r="O45" i="28"/>
  <c r="W45" i="28"/>
  <c r="O44" i="28"/>
  <c r="BX44" i="11"/>
  <c r="V41" i="26"/>
  <c r="W44" i="28"/>
  <c r="V42" i="26"/>
  <c r="U41" i="28"/>
  <c r="U43" i="28"/>
  <c r="U45" i="28"/>
  <c r="CA46" i="11"/>
  <c r="CA43" i="11"/>
  <c r="CA45" i="11"/>
  <c r="S45" i="28"/>
  <c r="S42" i="28"/>
  <c r="S44" i="28"/>
  <c r="O42" i="26"/>
  <c r="S41" i="28"/>
  <c r="AT43" i="21"/>
  <c r="BY44" i="11"/>
  <c r="R42" i="26"/>
  <c r="U42" i="28"/>
  <c r="AT46" i="21"/>
  <c r="CB45" i="11"/>
  <c r="CB42" i="11"/>
  <c r="CB44" i="11"/>
  <c r="CB46" i="11"/>
  <c r="AT42" i="21"/>
  <c r="N42" i="26"/>
  <c r="N44" i="26"/>
  <c r="Q43" i="28"/>
  <c r="AP42" i="21"/>
  <c r="AP44" i="21"/>
  <c r="AP46" i="21"/>
  <c r="AP43" i="21"/>
  <c r="CE43" i="11"/>
  <c r="T42" i="26"/>
  <c r="BW45" i="11"/>
  <c r="N45" i="26"/>
  <c r="Q42" i="28"/>
  <c r="Q41" i="28"/>
  <c r="CD42" i="11"/>
  <c r="CD44" i="11"/>
  <c r="CD46" i="11"/>
  <c r="BW42" i="11"/>
  <c r="CE42" i="11"/>
  <c r="BW44" i="11"/>
  <c r="CE44" i="11"/>
  <c r="BW46" i="11"/>
  <c r="CE46" i="11"/>
  <c r="P41" i="26"/>
  <c r="U42" i="26"/>
  <c r="T44" i="28"/>
  <c r="AR42" i="21"/>
  <c r="AN43" i="21"/>
  <c r="AR44" i="21"/>
  <c r="AN45" i="21"/>
  <c r="AR46" i="21"/>
  <c r="AN44" i="21"/>
  <c r="CA44" i="11"/>
  <c r="W42" i="28"/>
  <c r="AS44" i="21"/>
  <c r="BW43" i="11"/>
  <c r="CE45" i="11"/>
  <c r="U41" i="26"/>
  <c r="R41" i="28"/>
  <c r="V42" i="28"/>
  <c r="R43" i="28"/>
  <c r="V44" i="28"/>
  <c r="R45" i="28"/>
  <c r="P43" i="26"/>
  <c r="P45" i="26"/>
  <c r="AM42" i="21"/>
  <c r="AU42" i="21"/>
  <c r="AM44" i="21"/>
  <c r="AU44" i="21"/>
  <c r="AM46" i="21"/>
  <c r="AU46" i="21"/>
  <c r="AN46" i="21"/>
  <c r="O42" i="28"/>
  <c r="T45" i="26"/>
  <c r="U45" i="26"/>
  <c r="AS42" i="21"/>
  <c r="U43" i="26"/>
  <c r="P43" i="28"/>
  <c r="AS46" i="21"/>
  <c r="AS43" i="21"/>
  <c r="AS45" i="21"/>
  <c r="R42" i="28"/>
  <c r="R44" i="28"/>
  <c r="P44" i="26"/>
  <c r="T44" i="26"/>
  <c r="S43" i="28"/>
  <c r="Q41" i="26"/>
  <c r="Q43" i="26"/>
  <c r="P41" i="28"/>
  <c r="CC45" i="11"/>
  <c r="BY46" i="11"/>
  <c r="CC42" i="11"/>
  <c r="CC44" i="11"/>
  <c r="CC46" i="11"/>
  <c r="AQ43" i="21"/>
  <c r="AQ45" i="21"/>
  <c r="CA42" i="11"/>
  <c r="CC43" i="11"/>
  <c r="S43" i="26"/>
  <c r="T41" i="26"/>
  <c r="P42" i="26"/>
  <c r="T43" i="26"/>
  <c r="AR43" i="21"/>
  <c r="S41" i="26"/>
  <c r="O44" i="26"/>
  <c r="U44" i="26"/>
  <c r="Q45" i="26"/>
  <c r="Q42" i="26"/>
  <c r="Q44" i="26"/>
  <c r="T42" i="28"/>
  <c r="P45" i="28"/>
  <c r="T41" i="28"/>
  <c r="P42" i="28"/>
  <c r="T43" i="28"/>
  <c r="P44" i="28"/>
  <c r="T45" i="28"/>
  <c r="AO43" i="21"/>
  <c r="AO45" i="21"/>
  <c r="AO42" i="21"/>
  <c r="AO44" i="21"/>
  <c r="AO46" i="21"/>
  <c r="U44" i="28"/>
  <c r="Q45" i="28"/>
  <c r="Q44" i="28"/>
  <c r="AT44" i="21"/>
  <c r="AP45" i="21"/>
  <c r="AT45" i="21"/>
  <c r="BZ43" i="11"/>
  <c r="BZ45" i="11"/>
  <c r="BZ42" i="11"/>
  <c r="CD43" i="11"/>
  <c r="BZ44" i="11"/>
  <c r="CD45" i="11"/>
  <c r="BZ46" i="11"/>
  <c r="R43" i="26"/>
  <c r="S45" i="26"/>
  <c r="O41" i="26"/>
  <c r="S42" i="26"/>
  <c r="O43" i="26"/>
  <c r="S44" i="26"/>
  <c r="V41" i="28"/>
  <c r="V43" i="28"/>
  <c r="V45" i="28"/>
  <c r="AQ42" i="21"/>
  <c r="AQ44" i="21"/>
  <c r="AQ46" i="21"/>
  <c r="V45" i="26"/>
  <c r="AN42" i="21"/>
  <c r="AR45" i="21"/>
  <c r="CB43" i="11"/>
  <c r="BX46" i="11"/>
  <c r="AP21" i="22"/>
  <c r="AN21" i="22"/>
  <c r="AV21" i="22"/>
  <c r="AR43" i="22"/>
  <c r="AS24" i="22"/>
  <c r="AO25" i="22"/>
  <c r="AQ42" i="22"/>
  <c r="AO21" i="22"/>
  <c r="AR21" i="22"/>
  <c r="AT21" i="22"/>
  <c r="AP24" i="22"/>
  <c r="AT23" i="22"/>
  <c r="AQ21" i="22"/>
  <c r="AN24" i="22"/>
  <c r="AQ46" i="22"/>
  <c r="AP42" i="22"/>
  <c r="AT22" i="22"/>
  <c r="AP23" i="22"/>
  <c r="AT24" i="22"/>
  <c r="AP46" i="22"/>
  <c r="AT42" i="22"/>
  <c r="AP43" i="22"/>
  <c r="AT44" i="22"/>
  <c r="AP45" i="22"/>
  <c r="AT46" i="22"/>
  <c r="AU22" i="22"/>
  <c r="AQ44" i="22"/>
  <c r="AU24" i="22"/>
  <c r="AQ25" i="22"/>
  <c r="AU42" i="22"/>
  <c r="AQ43" i="22"/>
  <c r="AU44" i="22"/>
  <c r="AQ45" i="22"/>
  <c r="AU46" i="22"/>
  <c r="AV24" i="22"/>
  <c r="AR25" i="22"/>
  <c r="AS21" i="22"/>
  <c r="AS42" i="22"/>
  <c r="AO43" i="22"/>
  <c r="AS44" i="22"/>
  <c r="AO45" i="22"/>
  <c r="AS46" i="22"/>
  <c r="AO42" i="22"/>
  <c r="AS43" i="22"/>
  <c r="AO44" i="22"/>
  <c r="AS45" i="22"/>
  <c r="AO46" i="22"/>
  <c r="AU21" i="22"/>
  <c r="AQ24" i="22"/>
  <c r="AU25" i="22"/>
  <c r="AT45" i="22"/>
  <c r="AN42" i="22"/>
  <c r="AV42" i="22"/>
  <c r="AN44" i="22"/>
  <c r="AV44" i="22"/>
  <c r="AR45" i="22"/>
  <c r="AN46" i="22"/>
  <c r="AV46" i="22"/>
  <c r="AR42" i="22"/>
  <c r="AN43" i="22"/>
  <c r="AV43" i="22"/>
  <c r="AR44" i="22"/>
  <c r="AN45" i="22"/>
  <c r="AV45" i="22"/>
  <c r="AR46" i="22"/>
  <c r="AU45" i="22"/>
  <c r="AT25" i="22"/>
  <c r="AP44" i="22"/>
  <c r="AO22" i="22"/>
  <c r="AS23" i="22"/>
  <c r="AO24" i="22"/>
  <c r="AS25" i="22"/>
  <c r="AU23" i="22"/>
  <c r="AR22" i="22"/>
  <c r="AN23" i="22"/>
  <c r="AV23" i="22"/>
  <c r="AR24" i="22"/>
  <c r="AN25" i="22"/>
  <c r="AV25" i="22"/>
  <c r="AP22" i="22"/>
  <c r="AT43" i="22"/>
  <c r="AQ22" i="22"/>
  <c r="AU43" i="22"/>
  <c r="AS22" i="22"/>
  <c r="AO23" i="22"/>
  <c r="AP25" i="22"/>
  <c r="AQ23" i="22"/>
  <c r="AN22" i="22"/>
  <c r="AV22" i="22"/>
  <c r="AR23" i="22"/>
  <c r="R45" i="26"/>
  <c r="O45" i="26"/>
  <c r="F22" i="5"/>
  <c r="F22" i="23"/>
  <c r="CF22" i="11" l="1"/>
  <c r="CG22" i="11"/>
  <c r="CH22" i="11"/>
  <c r="CF30" i="11"/>
  <c r="CF31" i="11"/>
  <c r="AW42" i="22"/>
  <c r="CF32" i="11"/>
  <c r="CF33" i="11"/>
  <c r="Z30" i="28"/>
  <c r="W32" i="26"/>
  <c r="Z33" i="28"/>
  <c r="W33" i="26"/>
  <c r="AV33" i="21"/>
  <c r="Z31" i="28"/>
  <c r="Z32" i="28"/>
  <c r="Y33" i="28"/>
  <c r="AV31" i="21"/>
  <c r="X32" i="28"/>
  <c r="AW31" i="21"/>
  <c r="X30" i="28"/>
  <c r="Y33" i="26"/>
  <c r="AV32" i="21"/>
  <c r="AX30" i="21"/>
  <c r="Y30" i="26"/>
  <c r="Y32" i="28"/>
  <c r="Y32" i="26"/>
  <c r="W30" i="26"/>
  <c r="W22" i="26"/>
  <c r="W29" i="26" s="1"/>
  <c r="Y30" i="28"/>
  <c r="X31" i="28"/>
  <c r="X22" i="28"/>
  <c r="X29" i="28" s="1"/>
  <c r="Y31" i="28"/>
  <c r="AW33" i="21"/>
  <c r="AW22" i="21"/>
  <c r="X32" i="26"/>
  <c r="AX32" i="21"/>
  <c r="AX31" i="21"/>
  <c r="AW32" i="21"/>
  <c r="AW30" i="21"/>
  <c r="AV30" i="21"/>
  <c r="AV22" i="21"/>
  <c r="X30" i="26"/>
  <c r="AX33" i="21"/>
  <c r="AX22" i="21"/>
  <c r="X33" i="26"/>
  <c r="X31" i="26"/>
  <c r="Y31" i="26"/>
  <c r="AW45" i="22"/>
  <c r="CH32" i="11"/>
  <c r="CH33" i="11"/>
  <c r="CH30" i="11"/>
  <c r="CH31" i="11"/>
  <c r="CG33" i="11"/>
  <c r="CG31" i="11"/>
  <c r="CG30" i="11"/>
  <c r="CG32" i="11"/>
  <c r="BT54" i="1"/>
  <c r="AT56" i="22"/>
  <c r="AR55" i="22"/>
  <c r="AP54" i="22"/>
  <c r="AV54" i="22"/>
  <c r="AN54" i="22"/>
  <c r="AQ54" i="22"/>
  <c r="AO54" i="22"/>
  <c r="AT54" i="22"/>
  <c r="AO58" i="22"/>
  <c r="AS57" i="22"/>
  <c r="AU55" i="22"/>
  <c r="AQ55" i="22"/>
  <c r="AR54" i="22"/>
  <c r="AQ58" i="22"/>
  <c r="AV55" i="22"/>
  <c r="AP57" i="22"/>
  <c r="AN55" i="22"/>
  <c r="AU58" i="22"/>
  <c r="AS58" i="22"/>
  <c r="AQ57" i="22"/>
  <c r="AP58" i="22"/>
  <c r="AN57" i="22"/>
  <c r="AO57" i="22"/>
  <c r="AT58" i="22"/>
  <c r="AT55" i="22"/>
  <c r="AQ56" i="22"/>
  <c r="AP55" i="22"/>
  <c r="AU56" i="22"/>
  <c r="AV58" i="22"/>
  <c r="AU54" i="22"/>
  <c r="AO56" i="22"/>
  <c r="AO55" i="22"/>
  <c r="AS55" i="22"/>
  <c r="AR57" i="22"/>
  <c r="AP56" i="22"/>
  <c r="AT57" i="22"/>
  <c r="AU57" i="22"/>
  <c r="AR58" i="22"/>
  <c r="AV57" i="22"/>
  <c r="AR56" i="22"/>
  <c r="AV56" i="22"/>
  <c r="AN58" i="22"/>
  <c r="AN56" i="22"/>
  <c r="AS56" i="22"/>
  <c r="AS54" i="22"/>
  <c r="W38" i="26" l="1"/>
  <c r="D4" i="26"/>
  <c r="CF29" i="11"/>
  <c r="D6" i="26"/>
  <c r="D8" i="26"/>
  <c r="D7" i="26"/>
  <c r="D5" i="26"/>
  <c r="AV29" i="21"/>
  <c r="AW29" i="21"/>
  <c r="AX29" i="21"/>
  <c r="CG29" i="11"/>
  <c r="CH29" i="11"/>
  <c r="D10" i="13"/>
  <c r="E10" i="13"/>
  <c r="F10" i="13"/>
  <c r="D20" i="13"/>
  <c r="E20" i="13"/>
  <c r="F20" i="13"/>
  <c r="G20" i="13"/>
  <c r="X38" i="26" l="1"/>
  <c r="X38" i="28"/>
  <c r="D9" i="26"/>
  <c r="B59" i="28"/>
  <c r="Y14" i="28"/>
  <c r="Z14" i="28" s="1"/>
  <c r="B45" i="28"/>
  <c r="B44" i="28"/>
  <c r="B43" i="28"/>
  <c r="B42" i="28"/>
  <c r="B41" i="28"/>
  <c r="A36" i="28"/>
  <c r="N29" i="24"/>
  <c r="N41" i="24" s="1"/>
  <c r="Y38" i="28" l="1"/>
  <c r="Y38" i="26"/>
  <c r="D5" i="28"/>
  <c r="D7" i="28"/>
  <c r="B55" i="28"/>
  <c r="D4" i="28"/>
  <c r="D8" i="28"/>
  <c r="D6" i="28"/>
  <c r="B56" i="28"/>
  <c r="B58" i="28"/>
  <c r="B57" i="28"/>
  <c r="Z38" i="28" l="1"/>
  <c r="B63" i="28"/>
  <c r="B61" i="28"/>
  <c r="D9" i="28"/>
  <c r="CF39" i="11" l="1"/>
  <c r="B60" i="28"/>
  <c r="Z54" i="24" l="1"/>
  <c r="Y54" i="24"/>
  <c r="X54" i="24"/>
  <c r="W54" i="24"/>
  <c r="V54" i="24"/>
  <c r="U54" i="24"/>
  <c r="T54" i="24"/>
  <c r="S54" i="24"/>
  <c r="R54" i="24"/>
  <c r="Q54" i="24"/>
  <c r="P54" i="24"/>
  <c r="O54" i="24"/>
  <c r="AV39" i="21" l="1"/>
  <c r="AW54" i="20"/>
  <c r="AV54" i="20"/>
  <c r="AU54" i="20"/>
  <c r="AT54" i="20"/>
  <c r="AS54" i="20"/>
  <c r="AR54" i="20"/>
  <c r="AQ54" i="20"/>
  <c r="AP54" i="20"/>
  <c r="AO54" i="20"/>
  <c r="AN54" i="20"/>
  <c r="AM54" i="20"/>
  <c r="AL54" i="20"/>
  <c r="CG39" i="11" l="1"/>
  <c r="BS55" i="11"/>
  <c r="BR55" i="11"/>
  <c r="BQ55" i="11"/>
  <c r="BP55" i="11"/>
  <c r="BO55" i="11"/>
  <c r="BN55" i="11"/>
  <c r="BM55" i="11"/>
  <c r="BL55" i="11"/>
  <c r="BK55" i="11"/>
  <c r="BJ55" i="11"/>
  <c r="BI55" i="11"/>
  <c r="BH55" i="11"/>
  <c r="Q30" i="24" l="1"/>
  <c r="Q42" i="24" s="1"/>
  <c r="O29" i="24"/>
  <c r="O41" i="24" s="1"/>
  <c r="P30" i="24"/>
  <c r="P42" i="24" s="1"/>
  <c r="F43" i="28"/>
  <c r="U31" i="24"/>
  <c r="U43" i="24" s="1"/>
  <c r="J42" i="28"/>
  <c r="Y30" i="24"/>
  <c r="Y42" i="24" s="1"/>
  <c r="P33" i="24"/>
  <c r="P45" i="24" s="1"/>
  <c r="I45" i="28"/>
  <c r="X33" i="24"/>
  <c r="X45" i="24" s="1"/>
  <c r="K44" i="28"/>
  <c r="Z32" i="24"/>
  <c r="Z44" i="24" s="1"/>
  <c r="Q33" i="24"/>
  <c r="Q45" i="24" s="1"/>
  <c r="J45" i="28"/>
  <c r="Y33" i="24"/>
  <c r="Y45" i="24" s="1"/>
  <c r="G43" i="28"/>
  <c r="V31" i="24"/>
  <c r="V43" i="24" s="1"/>
  <c r="F41" i="28"/>
  <c r="U29" i="24"/>
  <c r="U41" i="24" s="1"/>
  <c r="O32" i="24"/>
  <c r="O44" i="24" s="1"/>
  <c r="G41" i="28"/>
  <c r="V29" i="24"/>
  <c r="V41" i="24" s="1"/>
  <c r="D42" i="28"/>
  <c r="S30" i="24"/>
  <c r="S42" i="24" s="1"/>
  <c r="P31" i="24"/>
  <c r="P43" i="24" s="1"/>
  <c r="I43" i="28"/>
  <c r="X31" i="24"/>
  <c r="X43" i="24" s="1"/>
  <c r="F44" i="28"/>
  <c r="U32" i="24"/>
  <c r="U44" i="24" s="1"/>
  <c r="C45" i="28"/>
  <c r="C52" i="28" s="1"/>
  <c r="R33" i="24"/>
  <c r="R45" i="24" s="1"/>
  <c r="K45" i="28"/>
  <c r="Z33" i="24"/>
  <c r="Z45" i="24" s="1"/>
  <c r="D41" i="28"/>
  <c r="S29" i="24"/>
  <c r="S41" i="24" s="1"/>
  <c r="H45" i="28"/>
  <c r="W33" i="24"/>
  <c r="W45" i="24" s="1"/>
  <c r="E41" i="28"/>
  <c r="T29" i="24"/>
  <c r="T41" i="24" s="1"/>
  <c r="K42" i="28"/>
  <c r="Z30" i="24"/>
  <c r="Z42" i="24" s="1"/>
  <c r="Q31" i="24"/>
  <c r="Q43" i="24" s="1"/>
  <c r="J43" i="28"/>
  <c r="Y31" i="24"/>
  <c r="Y43" i="24" s="1"/>
  <c r="G44" i="28"/>
  <c r="V32" i="24"/>
  <c r="V44" i="24" s="1"/>
  <c r="D45" i="28"/>
  <c r="S33" i="24"/>
  <c r="S45" i="24" s="1"/>
  <c r="I42" i="28"/>
  <c r="X30" i="24"/>
  <c r="X42" i="24" s="1"/>
  <c r="C42" i="28"/>
  <c r="C49" i="28" s="1"/>
  <c r="R30" i="24"/>
  <c r="R42" i="24" s="1"/>
  <c r="E44" i="28"/>
  <c r="T32" i="24"/>
  <c r="T44" i="24" s="1"/>
  <c r="H41" i="28"/>
  <c r="W29" i="24"/>
  <c r="W41" i="24" s="1"/>
  <c r="P29" i="24"/>
  <c r="P41" i="24" s="1"/>
  <c r="I41" i="28"/>
  <c r="X29" i="24"/>
  <c r="X41" i="24" s="1"/>
  <c r="F42" i="28"/>
  <c r="U30" i="24"/>
  <c r="U42" i="24" s="1"/>
  <c r="C43" i="28"/>
  <c r="C50" i="28" s="1"/>
  <c r="C57" i="28" s="1"/>
  <c r="R31" i="24"/>
  <c r="R43" i="24" s="1"/>
  <c r="K43" i="28"/>
  <c r="Z31" i="24"/>
  <c r="Z43" i="24" s="1"/>
  <c r="H44" i="28"/>
  <c r="W32" i="24"/>
  <c r="W44" i="24" s="1"/>
  <c r="E45" i="28"/>
  <c r="T33" i="24"/>
  <c r="T45" i="24" s="1"/>
  <c r="C44" i="28"/>
  <c r="C51" i="28" s="1"/>
  <c r="C58" i="28" s="1"/>
  <c r="R32" i="24"/>
  <c r="R44" i="24" s="1"/>
  <c r="O31" i="24"/>
  <c r="O43" i="24" s="1"/>
  <c r="H43" i="28"/>
  <c r="W31" i="24"/>
  <c r="W43" i="24" s="1"/>
  <c r="Q29" i="24"/>
  <c r="Q41" i="24" s="1"/>
  <c r="J41" i="28"/>
  <c r="Y29" i="24"/>
  <c r="Y41" i="24" s="1"/>
  <c r="G42" i="28"/>
  <c r="V30" i="24"/>
  <c r="V42" i="24" s="1"/>
  <c r="D43" i="28"/>
  <c r="S31" i="24"/>
  <c r="S43" i="24" s="1"/>
  <c r="P32" i="24"/>
  <c r="P44" i="24" s="1"/>
  <c r="I44" i="28"/>
  <c r="X32" i="24"/>
  <c r="X44" i="24" s="1"/>
  <c r="F45" i="28"/>
  <c r="U33" i="24"/>
  <c r="U45" i="24" s="1"/>
  <c r="O30" i="24"/>
  <c r="O42" i="24" s="1"/>
  <c r="D44" i="28"/>
  <c r="S32" i="24"/>
  <c r="S44" i="24" s="1"/>
  <c r="O33" i="24"/>
  <c r="O45" i="24" s="1"/>
  <c r="E42" i="28"/>
  <c r="T30" i="24"/>
  <c r="T42" i="24" s="1"/>
  <c r="C41" i="28"/>
  <c r="C48" i="28" s="1"/>
  <c r="R29" i="24"/>
  <c r="R41" i="24" s="1"/>
  <c r="K41" i="28"/>
  <c r="Z29" i="24"/>
  <c r="Z41" i="24" s="1"/>
  <c r="H42" i="28"/>
  <c r="W30" i="24"/>
  <c r="W42" i="24" s="1"/>
  <c r="E43" i="28"/>
  <c r="T31" i="24"/>
  <c r="T43" i="24" s="1"/>
  <c r="Q32" i="24"/>
  <c r="Q44" i="24" s="1"/>
  <c r="J44" i="28"/>
  <c r="Y32" i="24"/>
  <c r="Y44" i="24" s="1"/>
  <c r="G45" i="28"/>
  <c r="V33" i="24"/>
  <c r="V45" i="24" s="1"/>
  <c r="AL31" i="20"/>
  <c r="AL43" i="20" s="1"/>
  <c r="AO30" i="20"/>
  <c r="AO42" i="20" s="1"/>
  <c r="AT31" i="20"/>
  <c r="AT43" i="20" s="1"/>
  <c r="AN33" i="20"/>
  <c r="AN45" i="20" s="1"/>
  <c r="AL32" i="20"/>
  <c r="AL44" i="20" s="1"/>
  <c r="AM31" i="20"/>
  <c r="AM43" i="20" s="1"/>
  <c r="AR32" i="20"/>
  <c r="AR44" i="20" s="1"/>
  <c r="AW33" i="20"/>
  <c r="AW45" i="20" s="1"/>
  <c r="AT29" i="20"/>
  <c r="AT41" i="20" s="1"/>
  <c r="AN31" i="20"/>
  <c r="AN43" i="20" s="1"/>
  <c r="AS32" i="20"/>
  <c r="AS44" i="20" s="1"/>
  <c r="AM29" i="20"/>
  <c r="AM41" i="20" s="1"/>
  <c r="AU29" i="20"/>
  <c r="AU41" i="20" s="1"/>
  <c r="AR30" i="20"/>
  <c r="AR42" i="20" s="1"/>
  <c r="AO31" i="20"/>
  <c r="AO43" i="20" s="1"/>
  <c r="AW31" i="20"/>
  <c r="AW43" i="20" s="1"/>
  <c r="AT32" i="20"/>
  <c r="AT44" i="20" s="1"/>
  <c r="AQ33" i="20"/>
  <c r="AQ45" i="20" s="1"/>
  <c r="AW30" i="20"/>
  <c r="AW42" i="20" s="1"/>
  <c r="AS29" i="20"/>
  <c r="AS41" i="20" s="1"/>
  <c r="AP30" i="20"/>
  <c r="AP42" i="20" s="1"/>
  <c r="AU31" i="20"/>
  <c r="AU43" i="20" s="1"/>
  <c r="AO33" i="20"/>
  <c r="AO45" i="20" s="1"/>
  <c r="AL33" i="20"/>
  <c r="AL45" i="20" s="1"/>
  <c r="AQ30" i="20"/>
  <c r="AQ42" i="20" s="1"/>
  <c r="AV31" i="20"/>
  <c r="AV43" i="20" s="1"/>
  <c r="AP33" i="20"/>
  <c r="AP45" i="20" s="1"/>
  <c r="AN29" i="20"/>
  <c r="AN41" i="20" s="1"/>
  <c r="AV29" i="20"/>
  <c r="AV41" i="20" s="1"/>
  <c r="AS30" i="20"/>
  <c r="AS42" i="20" s="1"/>
  <c r="AP31" i="20"/>
  <c r="AP43" i="20" s="1"/>
  <c r="AM32" i="20"/>
  <c r="AM44" i="20" s="1"/>
  <c r="AU32" i="20"/>
  <c r="AU44" i="20" s="1"/>
  <c r="AR33" i="20"/>
  <c r="AR45" i="20" s="1"/>
  <c r="AR29" i="20"/>
  <c r="AR41" i="20" s="1"/>
  <c r="AQ32" i="20"/>
  <c r="AQ44" i="20" s="1"/>
  <c r="AV33" i="20"/>
  <c r="AV45" i="20" s="1"/>
  <c r="AO29" i="20"/>
  <c r="AO41" i="20" s="1"/>
  <c r="AW29" i="20"/>
  <c r="AW41" i="20" s="1"/>
  <c r="AT30" i="20"/>
  <c r="AT42" i="20" s="1"/>
  <c r="AQ31" i="20"/>
  <c r="AQ43" i="20" s="1"/>
  <c r="AN32" i="20"/>
  <c r="AN44" i="20" s="1"/>
  <c r="AV32" i="20"/>
  <c r="AV44" i="20" s="1"/>
  <c r="AS33" i="20"/>
  <c r="AS45" i="20" s="1"/>
  <c r="AL29" i="20"/>
  <c r="AL41" i="20" s="1"/>
  <c r="AP29" i="20"/>
  <c r="AP41" i="20" s="1"/>
  <c r="AM30" i="20"/>
  <c r="AM42" i="20" s="1"/>
  <c r="AU30" i="20"/>
  <c r="AU42" i="20" s="1"/>
  <c r="AR31" i="20"/>
  <c r="AR43" i="20" s="1"/>
  <c r="AO32" i="20"/>
  <c r="AO44" i="20" s="1"/>
  <c r="AW32" i="20"/>
  <c r="AW44" i="20" s="1"/>
  <c r="AT33" i="20"/>
  <c r="AT45" i="20" s="1"/>
  <c r="AL30" i="20"/>
  <c r="AL42" i="20" s="1"/>
  <c r="AQ29" i="20"/>
  <c r="AQ41" i="20" s="1"/>
  <c r="AN30" i="20"/>
  <c r="AN42" i="20" s="1"/>
  <c r="AV30" i="20"/>
  <c r="AV42" i="20" s="1"/>
  <c r="AS31" i="20"/>
  <c r="AS43" i="20" s="1"/>
  <c r="AP32" i="20"/>
  <c r="AP44" i="20" s="1"/>
  <c r="AM33" i="20"/>
  <c r="AM45" i="20" s="1"/>
  <c r="AU33" i="20"/>
  <c r="AU45" i="20" s="1"/>
  <c r="AH42" i="21"/>
  <c r="BR29" i="11"/>
  <c r="BR42" i="11" s="1"/>
  <c r="AB44" i="21"/>
  <c r="BL31" i="11"/>
  <c r="BL44" i="11" s="1"/>
  <c r="AG45" i="21"/>
  <c r="BQ32" i="11"/>
  <c r="BQ45" i="11" s="1"/>
  <c r="X42" i="21"/>
  <c r="BH29" i="11"/>
  <c r="BH42" i="11" s="1"/>
  <c r="Y43" i="21"/>
  <c r="BI30" i="11"/>
  <c r="BI43" i="11" s="1"/>
  <c r="AD44" i="21"/>
  <c r="BN31" i="11"/>
  <c r="BN44" i="11" s="1"/>
  <c r="AA45" i="21"/>
  <c r="BK32" i="11"/>
  <c r="BK45" i="11" s="1"/>
  <c r="AF46" i="21"/>
  <c r="BP33" i="11"/>
  <c r="BP46" i="11" s="1"/>
  <c r="BL42" i="1"/>
  <c r="AA43" i="21"/>
  <c r="BK30" i="11"/>
  <c r="BK43" i="11" s="1"/>
  <c r="Z42" i="21"/>
  <c r="BJ29" i="11"/>
  <c r="BJ42" i="11" s="1"/>
  <c r="Y45" i="21"/>
  <c r="BI32" i="11"/>
  <c r="BI45" i="11" s="1"/>
  <c r="AB42" i="21"/>
  <c r="BL29" i="11"/>
  <c r="BL42" i="11" s="1"/>
  <c r="BL21" i="1"/>
  <c r="AG43" i="21"/>
  <c r="BQ30" i="11"/>
  <c r="BQ43" i="11" s="1"/>
  <c r="BS32" i="11"/>
  <c r="X43" i="21"/>
  <c r="BH30" i="11"/>
  <c r="BH43" i="11" s="1"/>
  <c r="AC42" i="21"/>
  <c r="BM29" i="11"/>
  <c r="BM42" i="11" s="1"/>
  <c r="Z43" i="21"/>
  <c r="BJ30" i="11"/>
  <c r="BJ43" i="11" s="1"/>
  <c r="AH43" i="21"/>
  <c r="BR30" i="11"/>
  <c r="BR43" i="11" s="1"/>
  <c r="AE44" i="21"/>
  <c r="BO31" i="11"/>
  <c r="BO44" i="11" s="1"/>
  <c r="AB45" i="21"/>
  <c r="BL32" i="11"/>
  <c r="BL45" i="11" s="1"/>
  <c r="Y46" i="21"/>
  <c r="BI33" i="11"/>
  <c r="BI46" i="11" s="1"/>
  <c r="AG46" i="21"/>
  <c r="BQ33" i="11"/>
  <c r="BQ46" i="11" s="1"/>
  <c r="BH42" i="1"/>
  <c r="X44" i="21"/>
  <c r="BH31" i="11"/>
  <c r="BH44" i="11" s="1"/>
  <c r="AF44" i="21"/>
  <c r="BP31" i="11"/>
  <c r="BP44" i="11" s="1"/>
  <c r="Z46" i="21"/>
  <c r="BJ33" i="11"/>
  <c r="BJ46" i="11" s="1"/>
  <c r="X45" i="21"/>
  <c r="BH32" i="11"/>
  <c r="BH45" i="11" s="1"/>
  <c r="AB43" i="21"/>
  <c r="BL30" i="11"/>
  <c r="BL43" i="11" s="1"/>
  <c r="Y44" i="21"/>
  <c r="BI31" i="11"/>
  <c r="BI44" i="11" s="1"/>
  <c r="AD45" i="21"/>
  <c r="BN32" i="11"/>
  <c r="BN45" i="11" s="1"/>
  <c r="AA46" i="21"/>
  <c r="BK33" i="11"/>
  <c r="BK46" i="11" s="1"/>
  <c r="BS33" i="11"/>
  <c r="X46" i="21"/>
  <c r="BH33" i="11"/>
  <c r="BH46" i="11" s="1"/>
  <c r="AF42" i="21"/>
  <c r="BP29" i="11"/>
  <c r="BP42" i="11" s="1"/>
  <c r="AC43" i="21"/>
  <c r="BM30" i="11"/>
  <c r="BM43" i="11" s="1"/>
  <c r="Z44" i="21"/>
  <c r="BJ31" i="11"/>
  <c r="BJ44" i="11" s="1"/>
  <c r="AH44" i="21"/>
  <c r="BR31" i="11"/>
  <c r="BR44" i="11" s="1"/>
  <c r="AE45" i="21"/>
  <c r="BO32" i="11"/>
  <c r="BO45" i="11" s="1"/>
  <c r="AB46" i="21"/>
  <c r="BL33" i="11"/>
  <c r="BL46" i="11" s="1"/>
  <c r="AD42" i="21"/>
  <c r="BN29" i="11"/>
  <c r="BN42" i="11" s="1"/>
  <c r="AC45" i="21"/>
  <c r="BM32" i="11"/>
  <c r="BM45" i="11" s="1"/>
  <c r="AH46" i="21"/>
  <c r="BR33" i="11"/>
  <c r="BR46" i="11" s="1"/>
  <c r="AE42" i="21"/>
  <c r="BO29" i="11"/>
  <c r="BO42" i="11" s="1"/>
  <c r="AG44" i="21"/>
  <c r="BQ31" i="11"/>
  <c r="BQ44" i="11" s="1"/>
  <c r="Y42" i="21"/>
  <c r="BI29" i="11"/>
  <c r="BI42" i="11" s="1"/>
  <c r="AG42" i="21"/>
  <c r="BQ29" i="11"/>
  <c r="BQ42" i="11" s="1"/>
  <c r="AD43" i="21"/>
  <c r="BN30" i="11"/>
  <c r="BN43" i="11" s="1"/>
  <c r="AA44" i="21"/>
  <c r="BK31" i="11"/>
  <c r="BK44" i="11" s="1"/>
  <c r="BS31" i="11"/>
  <c r="AF45" i="21"/>
  <c r="BP32" i="11"/>
  <c r="BP45" i="11" s="1"/>
  <c r="AC46" i="21"/>
  <c r="BM33" i="11"/>
  <c r="BM46" i="11" s="1"/>
  <c r="BS30" i="11"/>
  <c r="BS43" i="11" s="1"/>
  <c r="AE43" i="21"/>
  <c r="BO30" i="11"/>
  <c r="BO43" i="11" s="1"/>
  <c r="AD46" i="21"/>
  <c r="BN33" i="11"/>
  <c r="BN46" i="11" s="1"/>
  <c r="AA42" i="21"/>
  <c r="BK29" i="11"/>
  <c r="BK42" i="11" s="1"/>
  <c r="BS42" i="11"/>
  <c r="AF43" i="21"/>
  <c r="BP30" i="11"/>
  <c r="BP43" i="11" s="1"/>
  <c r="AC44" i="21"/>
  <c r="BM31" i="11"/>
  <c r="BM44" i="11" s="1"/>
  <c r="Z45" i="21"/>
  <c r="BJ32" i="11"/>
  <c r="BJ45" i="11" s="1"/>
  <c r="AH45" i="21"/>
  <c r="BR32" i="11"/>
  <c r="BR45" i="11" s="1"/>
  <c r="AE46" i="21"/>
  <c r="BO33" i="11"/>
  <c r="BO46" i="11" s="1"/>
  <c r="BP45" i="1"/>
  <c r="BS46" i="1"/>
  <c r="BQ46" i="1"/>
  <c r="BP46" i="1"/>
  <c r="BO46" i="1"/>
  <c r="BN46" i="1"/>
  <c r="BM46" i="1"/>
  <c r="BK46" i="1"/>
  <c r="BI46" i="1"/>
  <c r="BH46" i="1"/>
  <c r="BS45" i="1"/>
  <c r="BR45" i="1"/>
  <c r="BQ45" i="1"/>
  <c r="BO45" i="1"/>
  <c r="BM45" i="1"/>
  <c r="BL45" i="1"/>
  <c r="BK45" i="1"/>
  <c r="BJ45" i="1"/>
  <c r="BI45" i="1"/>
  <c r="BS44" i="1"/>
  <c r="BQ44" i="1"/>
  <c r="BP44" i="1"/>
  <c r="BO44" i="1"/>
  <c r="BN44" i="1"/>
  <c r="BM44" i="1"/>
  <c r="BK44" i="1"/>
  <c r="BI44" i="1"/>
  <c r="BH44" i="1"/>
  <c r="BS43" i="1"/>
  <c r="BR43" i="1"/>
  <c r="BQ43" i="1"/>
  <c r="BO43" i="1"/>
  <c r="BM43" i="1"/>
  <c r="BL43" i="1"/>
  <c r="BK43" i="1"/>
  <c r="BJ43" i="1"/>
  <c r="BI43" i="1"/>
  <c r="BS42" i="1"/>
  <c r="BQ42" i="1"/>
  <c r="BP42" i="1"/>
  <c r="BO42" i="1"/>
  <c r="BN42" i="1"/>
  <c r="BM42" i="1"/>
  <c r="BK42" i="1"/>
  <c r="BI42" i="1"/>
  <c r="BR46" i="1"/>
  <c r="BL46" i="1"/>
  <c r="BJ46" i="1"/>
  <c r="BP24" i="1"/>
  <c r="BN45" i="1"/>
  <c r="BH24" i="1"/>
  <c r="BR44" i="1"/>
  <c r="BL23" i="1"/>
  <c r="BJ44" i="1"/>
  <c r="BP22" i="1"/>
  <c r="BN43" i="1"/>
  <c r="BH22" i="1"/>
  <c r="BR42" i="1"/>
  <c r="BJ42" i="1"/>
  <c r="BP23" i="1"/>
  <c r="BH23" i="1"/>
  <c r="BP25" i="1"/>
  <c r="BN25" i="1"/>
  <c r="BS24" i="1"/>
  <c r="BR24" i="1"/>
  <c r="BQ24" i="1"/>
  <c r="BO25" i="1"/>
  <c r="BM25" i="1"/>
  <c r="BL22" i="1"/>
  <c r="BK24" i="1"/>
  <c r="BJ24" i="1"/>
  <c r="BI24" i="1"/>
  <c r="BH21" i="1"/>
  <c r="B17" i="16"/>
  <c r="AW39" i="21" l="1"/>
  <c r="D51" i="28"/>
  <c r="D58" i="28" s="1"/>
  <c r="E51" i="28" s="1"/>
  <c r="D50" i="28"/>
  <c r="D57" i="28" s="1"/>
  <c r="E50" i="28" s="1"/>
  <c r="E57" i="28" s="1"/>
  <c r="F50" i="28" s="1"/>
  <c r="F57" i="28" s="1"/>
  <c r="G50" i="28" s="1"/>
  <c r="G57" i="28" s="1"/>
  <c r="H50" i="28" s="1"/>
  <c r="H57" i="28" s="1"/>
  <c r="I50" i="28" s="1"/>
  <c r="I57" i="28" s="1"/>
  <c r="J50" i="28" s="1"/>
  <c r="J57" i="28" s="1"/>
  <c r="K50" i="28" s="1"/>
  <c r="K57" i="28" s="1"/>
  <c r="C56" i="28"/>
  <c r="D49" i="28" s="1"/>
  <c r="D56" i="28" s="1"/>
  <c r="E49" i="28" s="1"/>
  <c r="E56" i="28" s="1"/>
  <c r="F49" i="28" s="1"/>
  <c r="F56" i="28" s="1"/>
  <c r="G49" i="28" s="1"/>
  <c r="G56" i="28" s="1"/>
  <c r="H49" i="28" s="1"/>
  <c r="H56" i="28" s="1"/>
  <c r="I49" i="28" s="1"/>
  <c r="I56" i="28" s="1"/>
  <c r="J49" i="28" s="1"/>
  <c r="C55" i="28"/>
  <c r="D48" i="28" s="1"/>
  <c r="C59" i="28"/>
  <c r="D52" i="28" s="1"/>
  <c r="D59" i="28" s="1"/>
  <c r="E52" i="28" s="1"/>
  <c r="E59" i="28" s="1"/>
  <c r="F52" i="28" s="1"/>
  <c r="F59" i="28" s="1"/>
  <c r="G52" i="28" s="1"/>
  <c r="G59" i="28" s="1"/>
  <c r="H52" i="28" s="1"/>
  <c r="H59" i="28" s="1"/>
  <c r="I52" i="28" s="1"/>
  <c r="I59" i="28" s="1"/>
  <c r="J52" i="28" s="1"/>
  <c r="J59" i="28" s="1"/>
  <c r="K52" i="28" s="1"/>
  <c r="K59" i="28" s="1"/>
  <c r="BL54" i="1"/>
  <c r="AE45" i="22"/>
  <c r="AE24" i="22"/>
  <c r="AD42" i="22"/>
  <c r="AD21" i="22"/>
  <c r="AE44" i="22"/>
  <c r="AE23" i="22"/>
  <c r="AJ42" i="22"/>
  <c r="AJ21" i="22"/>
  <c r="AB23" i="22"/>
  <c r="AB44" i="22"/>
  <c r="AE21" i="22"/>
  <c r="AE42" i="22"/>
  <c r="AJ25" i="22"/>
  <c r="AJ46" i="22"/>
  <c r="Y44" i="22"/>
  <c r="Y23" i="22"/>
  <c r="AI22" i="22"/>
  <c r="AI43" i="22"/>
  <c r="AG25" i="22"/>
  <c r="AG46" i="22"/>
  <c r="AD23" i="22"/>
  <c r="AD44" i="22"/>
  <c r="AE46" i="22"/>
  <c r="AE25" i="22"/>
  <c r="Z24" i="22"/>
  <c r="Z45" i="22"/>
  <c r="AF25" i="22"/>
  <c r="AF46" i="22"/>
  <c r="AF43" i="22"/>
  <c r="AF22" i="22"/>
  <c r="Z42" i="22"/>
  <c r="Z21" i="22"/>
  <c r="AI44" i="22"/>
  <c r="AI23" i="22"/>
  <c r="Z44" i="22"/>
  <c r="Z23" i="22"/>
  <c r="Y22" i="22"/>
  <c r="Y43" i="22"/>
  <c r="AA42" i="22"/>
  <c r="AA21" i="22"/>
  <c r="Z22" i="22"/>
  <c r="Z43" i="22"/>
  <c r="AA46" i="22"/>
  <c r="AA25" i="22"/>
  <c r="AC45" i="22"/>
  <c r="AC24" i="22"/>
  <c r="AB42" i="22"/>
  <c r="AB21" i="22"/>
  <c r="AE22" i="22"/>
  <c r="AE43" i="22"/>
  <c r="AB25" i="22"/>
  <c r="AB46" i="22"/>
  <c r="AA43" i="22"/>
  <c r="AA22" i="22"/>
  <c r="AB24" i="22"/>
  <c r="AB45" i="22"/>
  <c r="AI45" i="22"/>
  <c r="AI24" i="22"/>
  <c r="AJ22" i="22"/>
  <c r="AJ43" i="22"/>
  <c r="AH23" i="22"/>
  <c r="AH44" i="22"/>
  <c r="AA44" i="22"/>
  <c r="AA23" i="22"/>
  <c r="AC43" i="22"/>
  <c r="AC22" i="22"/>
  <c r="AH46" i="22"/>
  <c r="AH25" i="22"/>
  <c r="AJ45" i="22"/>
  <c r="AJ24" i="22"/>
  <c r="AB43" i="22"/>
  <c r="AB22" i="22"/>
  <c r="Y42" i="22"/>
  <c r="Y21" i="22"/>
  <c r="AC25" i="22"/>
  <c r="AC46" i="22"/>
  <c r="AC21" i="22"/>
  <c r="AC42" i="22"/>
  <c r="AG43" i="22"/>
  <c r="AG22" i="22"/>
  <c r="AJ44" i="22"/>
  <c r="AJ23" i="22"/>
  <c r="AD45" i="22"/>
  <c r="AD24" i="22"/>
  <c r="Y25" i="22"/>
  <c r="Y46" i="22"/>
  <c r="AG44" i="22"/>
  <c r="AG23" i="22"/>
  <c r="AF44" i="22"/>
  <c r="AF23" i="22"/>
  <c r="AI42" i="22"/>
  <c r="AI21" i="22"/>
  <c r="AG24" i="22"/>
  <c r="AG45" i="22"/>
  <c r="AI46" i="22"/>
  <c r="AI25" i="22"/>
  <c r="AG21" i="22"/>
  <c r="AG42" i="22"/>
  <c r="AC23" i="22"/>
  <c r="AC44" i="22"/>
  <c r="AH42" i="22"/>
  <c r="AH21" i="22"/>
  <c r="AF24" i="22"/>
  <c r="AF45" i="22"/>
  <c r="AA24" i="22"/>
  <c r="AA45" i="22"/>
  <c r="AD46" i="22"/>
  <c r="AD25" i="22"/>
  <c r="AF21" i="22"/>
  <c r="AF42" i="22"/>
  <c r="AD43" i="22"/>
  <c r="AD22" i="22"/>
  <c r="Y24" i="22"/>
  <c r="Y45" i="22"/>
  <c r="Z46" i="22"/>
  <c r="Z25" i="22"/>
  <c r="AH43" i="22"/>
  <c r="AH22" i="22"/>
  <c r="AH45" i="22"/>
  <c r="AH24" i="22"/>
  <c r="BI57" i="1"/>
  <c r="BQ57" i="1"/>
  <c r="BM58" i="1"/>
  <c r="BP57" i="1"/>
  <c r="BH54" i="1"/>
  <c r="BR57" i="1"/>
  <c r="BN58" i="1"/>
  <c r="BK57" i="1"/>
  <c r="BS57" i="1"/>
  <c r="BJ57" i="1"/>
  <c r="BP58" i="1"/>
  <c r="BL55" i="1"/>
  <c r="BH56" i="1"/>
  <c r="BP56" i="1"/>
  <c r="BO58" i="1"/>
  <c r="BL24" i="1"/>
  <c r="BL57" i="1" s="1"/>
  <c r="BL44" i="1"/>
  <c r="BL56" i="1" s="1"/>
  <c r="BI21" i="1"/>
  <c r="BI54" i="1" s="1"/>
  <c r="BQ21" i="1"/>
  <c r="BQ54" i="1" s="1"/>
  <c r="BM22" i="1"/>
  <c r="BM55" i="1" s="1"/>
  <c r="BI23" i="1"/>
  <c r="BI56" i="1" s="1"/>
  <c r="BQ23" i="1"/>
  <c r="BQ56" i="1" s="1"/>
  <c r="BM24" i="1"/>
  <c r="BM57" i="1" s="1"/>
  <c r="BI25" i="1"/>
  <c r="BI58" i="1" s="1"/>
  <c r="BQ25" i="1"/>
  <c r="BQ58" i="1" s="1"/>
  <c r="BP21" i="1"/>
  <c r="BP54" i="1" s="1"/>
  <c r="BH43" i="1"/>
  <c r="BH55" i="1" s="1"/>
  <c r="BP43" i="1"/>
  <c r="BP55" i="1" s="1"/>
  <c r="BJ21" i="1"/>
  <c r="BJ54" i="1" s="1"/>
  <c r="BR21" i="1"/>
  <c r="BR54" i="1" s="1"/>
  <c r="BN22" i="1"/>
  <c r="BN55" i="1" s="1"/>
  <c r="BJ23" i="1"/>
  <c r="BJ56" i="1" s="1"/>
  <c r="BR23" i="1"/>
  <c r="BR56" i="1" s="1"/>
  <c r="BN24" i="1"/>
  <c r="BN57" i="1" s="1"/>
  <c r="BJ25" i="1"/>
  <c r="BJ58" i="1" s="1"/>
  <c r="BR25" i="1"/>
  <c r="BR58" i="1" s="1"/>
  <c r="BH25" i="1"/>
  <c r="BH58" i="1" s="1"/>
  <c r="BH45" i="1"/>
  <c r="BH57" i="1" s="1"/>
  <c r="BK21" i="1"/>
  <c r="BK54" i="1" s="1"/>
  <c r="BS21" i="1"/>
  <c r="BS54" i="1" s="1"/>
  <c r="BO22" i="1"/>
  <c r="BO55" i="1" s="1"/>
  <c r="BK23" i="1"/>
  <c r="BK56" i="1" s="1"/>
  <c r="BS23" i="1"/>
  <c r="BS56" i="1" s="1"/>
  <c r="BO24" i="1"/>
  <c r="BO57" i="1" s="1"/>
  <c r="BK25" i="1"/>
  <c r="BK58" i="1" s="1"/>
  <c r="BS25" i="1"/>
  <c r="BS58" i="1" s="1"/>
  <c r="BL25" i="1"/>
  <c r="BL58" i="1" s="1"/>
  <c r="BM21" i="1"/>
  <c r="BM54" i="1" s="1"/>
  <c r="BI22" i="1"/>
  <c r="BI55" i="1" s="1"/>
  <c r="BQ22" i="1"/>
  <c r="BQ55" i="1" s="1"/>
  <c r="BM23" i="1"/>
  <c r="BM56" i="1" s="1"/>
  <c r="BN21" i="1"/>
  <c r="BN54" i="1" s="1"/>
  <c r="BJ22" i="1"/>
  <c r="BJ55" i="1" s="1"/>
  <c r="BR22" i="1"/>
  <c r="BR55" i="1" s="1"/>
  <c r="BN23" i="1"/>
  <c r="BN56" i="1" s="1"/>
  <c r="BO21" i="1"/>
  <c r="BO54" i="1" s="1"/>
  <c r="BK22" i="1"/>
  <c r="BK55" i="1" s="1"/>
  <c r="BS22" i="1"/>
  <c r="BS55" i="1" s="1"/>
  <c r="BO23" i="1"/>
  <c r="BO56" i="1" s="1"/>
  <c r="CH39" i="11" l="1"/>
  <c r="AH56" i="22"/>
  <c r="AE58" i="22"/>
  <c r="AF56" i="22"/>
  <c r="AJ56" i="22"/>
  <c r="Y54" i="22"/>
  <c r="AC55" i="22"/>
  <c r="AI56" i="22"/>
  <c r="AA58" i="22"/>
  <c r="AD54" i="22"/>
  <c r="AH57" i="22"/>
  <c r="AD55" i="22"/>
  <c r="AG56" i="22"/>
  <c r="AB55" i="22"/>
  <c r="AA56" i="22"/>
  <c r="AD57" i="22"/>
  <c r="AH58" i="22"/>
  <c r="Y57" i="22"/>
  <c r="E58" i="28"/>
  <c r="F51" i="28" s="1"/>
  <c r="AB54" i="22"/>
  <c r="AH54" i="22"/>
  <c r="AF55" i="22"/>
  <c r="D55" i="28"/>
  <c r="D61" i="28" s="1"/>
  <c r="C63" i="28"/>
  <c r="C61" i="28"/>
  <c r="J56" i="28"/>
  <c r="K49" i="28" s="1"/>
  <c r="K56" i="28" s="1"/>
  <c r="AC56" i="22"/>
  <c r="AG54" i="22"/>
  <c r="AJ57" i="22"/>
  <c r="AA55" i="22"/>
  <c r="AC57" i="22"/>
  <c r="AA54" i="22"/>
  <c r="Z54" i="22"/>
  <c r="AF54" i="22"/>
  <c r="AC58" i="22"/>
  <c r="AD56" i="22"/>
  <c r="AJ58" i="22"/>
  <c r="AE56" i="22"/>
  <c r="AI57" i="22"/>
  <c r="AG58" i="22"/>
  <c r="AE54" i="22"/>
  <c r="AA57" i="22"/>
  <c r="AI58" i="22"/>
  <c r="Z56" i="22"/>
  <c r="AF58" i="22"/>
  <c r="AB58" i="22"/>
  <c r="AG57" i="22"/>
  <c r="AC54" i="22"/>
  <c r="Z57" i="22"/>
  <c r="AI55" i="22"/>
  <c r="AB56" i="22"/>
  <c r="Z55" i="22"/>
  <c r="AH55" i="22"/>
  <c r="AG55" i="22"/>
  <c r="AE55" i="22"/>
  <c r="Y56" i="22"/>
  <c r="AJ54" i="22"/>
  <c r="AE57" i="22"/>
  <c r="Z58" i="22"/>
  <c r="AD58" i="22"/>
  <c r="AF57" i="22"/>
  <c r="AI54" i="22"/>
  <c r="Y58" i="22"/>
  <c r="AJ55" i="22"/>
  <c r="AB57" i="22"/>
  <c r="Y55" i="22"/>
  <c r="E48" i="28" l="1"/>
  <c r="F58" i="28"/>
  <c r="G51" i="28" s="1"/>
  <c r="D63" i="28"/>
  <c r="C60" i="28"/>
  <c r="A36" i="26"/>
  <c r="C14" i="26"/>
  <c r="D14" i="26" s="1"/>
  <c r="E14" i="26" s="1"/>
  <c r="F14" i="26" s="1"/>
  <c r="G14" i="26" s="1"/>
  <c r="H14" i="26" s="1"/>
  <c r="I14" i="26" s="1"/>
  <c r="J14" i="26" s="1"/>
  <c r="K14" i="26" s="1"/>
  <c r="L14" i="26" s="1"/>
  <c r="M14" i="26" s="1"/>
  <c r="N14" i="26" s="1"/>
  <c r="O14" i="26" s="1"/>
  <c r="P14" i="26" s="1"/>
  <c r="Q14" i="26" s="1"/>
  <c r="R14" i="26" s="1"/>
  <c r="S14" i="26" s="1"/>
  <c r="T14" i="26" s="1"/>
  <c r="U14" i="26" s="1"/>
  <c r="V14" i="26" s="1"/>
  <c r="W14" i="26" s="1"/>
  <c r="AX39" i="21" l="1"/>
  <c r="D60" i="28"/>
  <c r="G58" i="28"/>
  <c r="H51" i="28" s="1"/>
  <c r="E55" i="28"/>
  <c r="E61" i="28" s="1"/>
  <c r="X14" i="26"/>
  <c r="Y14" i="26" s="1"/>
  <c r="Y33" i="20"/>
  <c r="X33" i="20"/>
  <c r="W33" i="20"/>
  <c r="V33" i="20"/>
  <c r="U33" i="20"/>
  <c r="T33" i="20"/>
  <c r="S33" i="20"/>
  <c r="R33" i="20"/>
  <c r="Q33" i="20"/>
  <c r="P33" i="20"/>
  <c r="O33" i="20"/>
  <c r="N33" i="20"/>
  <c r="M33" i="20"/>
  <c r="L33" i="20"/>
  <c r="K33" i="20"/>
  <c r="J33" i="20"/>
  <c r="I33" i="20"/>
  <c r="H33" i="20"/>
  <c r="G33" i="20"/>
  <c r="F33" i="20"/>
  <c r="E33" i="20"/>
  <c r="Y32" i="20"/>
  <c r="X32" i="20"/>
  <c r="W32" i="20"/>
  <c r="V32" i="20"/>
  <c r="U32" i="20"/>
  <c r="T32" i="20"/>
  <c r="S32" i="20"/>
  <c r="R32" i="20"/>
  <c r="Q32" i="20"/>
  <c r="P32" i="20"/>
  <c r="O32" i="20"/>
  <c r="N32" i="20"/>
  <c r="M32" i="20"/>
  <c r="L32" i="20"/>
  <c r="K32" i="20"/>
  <c r="J32" i="20"/>
  <c r="I32" i="20"/>
  <c r="H32" i="20"/>
  <c r="G32" i="20"/>
  <c r="F32" i="20"/>
  <c r="E32" i="20"/>
  <c r="Y31" i="20"/>
  <c r="X31" i="20"/>
  <c r="W31" i="20"/>
  <c r="V31" i="20"/>
  <c r="U31" i="20"/>
  <c r="T31" i="20"/>
  <c r="S31" i="20"/>
  <c r="R31" i="20"/>
  <c r="Q31" i="20"/>
  <c r="P31" i="20"/>
  <c r="O31" i="20"/>
  <c r="N31" i="20"/>
  <c r="M31" i="20"/>
  <c r="L31" i="20"/>
  <c r="K31" i="20"/>
  <c r="J31" i="20"/>
  <c r="I31" i="20"/>
  <c r="H31" i="20"/>
  <c r="G31" i="20"/>
  <c r="F31" i="20"/>
  <c r="E31" i="20"/>
  <c r="Y30" i="20"/>
  <c r="X30" i="20"/>
  <c r="W30" i="20"/>
  <c r="V30" i="20"/>
  <c r="U30" i="20"/>
  <c r="T30" i="20"/>
  <c r="S30" i="20"/>
  <c r="R30" i="20"/>
  <c r="Q30" i="20"/>
  <c r="P30" i="20"/>
  <c r="O30" i="20"/>
  <c r="N30" i="20"/>
  <c r="M30" i="20"/>
  <c r="L30" i="20"/>
  <c r="K30" i="20"/>
  <c r="J30" i="20"/>
  <c r="I30" i="20"/>
  <c r="H30" i="20"/>
  <c r="G30" i="20"/>
  <c r="F30" i="20"/>
  <c r="E30" i="20"/>
  <c r="Y29" i="20"/>
  <c r="X29" i="20"/>
  <c r="W29" i="20"/>
  <c r="V29" i="20"/>
  <c r="U29" i="20"/>
  <c r="T29" i="20"/>
  <c r="S29" i="20"/>
  <c r="R29" i="20"/>
  <c r="Q29" i="20"/>
  <c r="P29" i="20"/>
  <c r="O29" i="20"/>
  <c r="N29" i="20"/>
  <c r="N41" i="20" s="1"/>
  <c r="M29" i="20"/>
  <c r="L29" i="20"/>
  <c r="K29" i="20"/>
  <c r="J29" i="20"/>
  <c r="I29" i="20"/>
  <c r="H29" i="20"/>
  <c r="G29" i="20"/>
  <c r="F29" i="20"/>
  <c r="E29" i="20"/>
  <c r="D33" i="20"/>
  <c r="D32" i="20"/>
  <c r="D31" i="20"/>
  <c r="D30" i="20"/>
  <c r="F48" i="28" l="1"/>
  <c r="F55" i="28" s="1"/>
  <c r="F61" i="28" s="1"/>
  <c r="H58" i="28"/>
  <c r="I51" i="28" s="1"/>
  <c r="E63" i="28"/>
  <c r="F29" i="11"/>
  <c r="G48" i="28" l="1"/>
  <c r="G55" i="28" s="1"/>
  <c r="H48" i="28" s="1"/>
  <c r="H55" i="28" s="1"/>
  <c r="I48" i="28" s="1"/>
  <c r="I55" i="28" s="1"/>
  <c r="J48" i="28" s="1"/>
  <c r="J55" i="28" s="1"/>
  <c r="K48" i="28" s="1"/>
  <c r="K55" i="28" s="1"/>
  <c r="E60" i="28"/>
  <c r="F63" i="28"/>
  <c r="I58" i="28"/>
  <c r="J51" i="28" s="1"/>
  <c r="C58" i="1"/>
  <c r="B58" i="1"/>
  <c r="B65" i="1" s="1"/>
  <c r="B72" i="1" s="1"/>
  <c r="C57" i="1"/>
  <c r="B57" i="1"/>
  <c r="B64" i="1" s="1"/>
  <c r="B71" i="1" s="1"/>
  <c r="C56" i="1"/>
  <c r="B56" i="1"/>
  <c r="B63" i="1" s="1"/>
  <c r="B70" i="1" s="1"/>
  <c r="C55" i="1"/>
  <c r="B55" i="1"/>
  <c r="B62" i="1" s="1"/>
  <c r="B69" i="1" s="1"/>
  <c r="C54" i="1"/>
  <c r="B54" i="1"/>
  <c r="B61" i="1" s="1"/>
  <c r="B68" i="1" s="1"/>
  <c r="AU46" i="1"/>
  <c r="AT46" i="1"/>
  <c r="AS46" i="1"/>
  <c r="AR46" i="1"/>
  <c r="AQ46" i="1"/>
  <c r="AP46" i="1"/>
  <c r="AO46" i="1"/>
  <c r="AN46" i="1"/>
  <c r="AM46" i="1"/>
  <c r="AL46" i="1"/>
  <c r="AK46" i="1"/>
  <c r="AJ46" i="1"/>
  <c r="AI46" i="1"/>
  <c r="AH46" i="1"/>
  <c r="AG46" i="1"/>
  <c r="AF46" i="1"/>
  <c r="AE46" i="1"/>
  <c r="AD46" i="1"/>
  <c r="AC46" i="1"/>
  <c r="Y46" i="1"/>
  <c r="X46" i="1"/>
  <c r="W46" i="1"/>
  <c r="V46" i="1"/>
  <c r="U46" i="1"/>
  <c r="T46" i="1"/>
  <c r="S46" i="1"/>
  <c r="R46" i="1"/>
  <c r="Q46" i="1"/>
  <c r="P46" i="1"/>
  <c r="O46" i="1"/>
  <c r="N46" i="1"/>
  <c r="M46" i="1"/>
  <c r="L46" i="1"/>
  <c r="K46" i="1"/>
  <c r="J46" i="1"/>
  <c r="I46" i="1"/>
  <c r="H46" i="1"/>
  <c r="G46" i="1"/>
  <c r="F46" i="1"/>
  <c r="AU45" i="1"/>
  <c r="AT45" i="1"/>
  <c r="AS45" i="1"/>
  <c r="AR45" i="1"/>
  <c r="AQ45" i="1"/>
  <c r="AP45" i="1"/>
  <c r="AO45" i="1"/>
  <c r="AN45" i="1"/>
  <c r="AM45" i="1"/>
  <c r="AL45" i="1"/>
  <c r="AK45" i="1"/>
  <c r="AJ45" i="1"/>
  <c r="AI45" i="1"/>
  <c r="AH45" i="1"/>
  <c r="AG45" i="1"/>
  <c r="AF45" i="1"/>
  <c r="AE45" i="1"/>
  <c r="AD45" i="1"/>
  <c r="AC45" i="1"/>
  <c r="Y45" i="1"/>
  <c r="X45" i="1"/>
  <c r="W45" i="1"/>
  <c r="V45" i="1"/>
  <c r="U45" i="1"/>
  <c r="T45" i="1"/>
  <c r="S45" i="1"/>
  <c r="R45" i="1"/>
  <c r="Q45" i="1"/>
  <c r="P45" i="1"/>
  <c r="O45" i="1"/>
  <c r="N45" i="1"/>
  <c r="M45" i="1"/>
  <c r="L45" i="1"/>
  <c r="K45" i="1"/>
  <c r="J45" i="1"/>
  <c r="I45" i="1"/>
  <c r="H45" i="1"/>
  <c r="G45" i="1"/>
  <c r="F45" i="1"/>
  <c r="AU44" i="1"/>
  <c r="AT44" i="1"/>
  <c r="AS44" i="1"/>
  <c r="AR44" i="1"/>
  <c r="AQ44" i="1"/>
  <c r="AP44" i="1"/>
  <c r="AO44" i="1"/>
  <c r="AN44" i="1"/>
  <c r="AM44" i="1"/>
  <c r="AL44" i="1"/>
  <c r="AK44" i="1"/>
  <c r="AJ44" i="1"/>
  <c r="AI44" i="1"/>
  <c r="AH44" i="1"/>
  <c r="AG44" i="1"/>
  <c r="AF44" i="1"/>
  <c r="AE44" i="1"/>
  <c r="AD44" i="1"/>
  <c r="AC44" i="1"/>
  <c r="Y44" i="1"/>
  <c r="X44" i="1"/>
  <c r="W44" i="1"/>
  <c r="V44" i="1"/>
  <c r="U44" i="1"/>
  <c r="T44" i="1"/>
  <c r="S44" i="1"/>
  <c r="R44" i="1"/>
  <c r="Q44" i="1"/>
  <c r="P44" i="1"/>
  <c r="O44" i="1"/>
  <c r="N44" i="1"/>
  <c r="M44" i="1"/>
  <c r="L44" i="1"/>
  <c r="K44" i="1"/>
  <c r="J44" i="1"/>
  <c r="I44" i="1"/>
  <c r="H44" i="1"/>
  <c r="G44" i="1"/>
  <c r="F44" i="1"/>
  <c r="AU43" i="1"/>
  <c r="AT43" i="1"/>
  <c r="AS43" i="1"/>
  <c r="AR43" i="1"/>
  <c r="AQ43" i="1"/>
  <c r="AP43" i="1"/>
  <c r="AO43" i="1"/>
  <c r="AN43" i="1"/>
  <c r="AM43" i="1"/>
  <c r="AL43" i="1"/>
  <c r="AK43" i="1"/>
  <c r="AJ43" i="1"/>
  <c r="AI43" i="1"/>
  <c r="AH43" i="1"/>
  <c r="AG43" i="1"/>
  <c r="AF43" i="1"/>
  <c r="AE43" i="1"/>
  <c r="AD43" i="1"/>
  <c r="AC43" i="1"/>
  <c r="Y43" i="1"/>
  <c r="X43" i="1"/>
  <c r="W43" i="1"/>
  <c r="V43" i="1"/>
  <c r="U43" i="1"/>
  <c r="T43" i="1"/>
  <c r="S43" i="1"/>
  <c r="R43" i="1"/>
  <c r="Q43" i="1"/>
  <c r="P43" i="1"/>
  <c r="O43" i="1"/>
  <c r="N43" i="1"/>
  <c r="M43" i="1"/>
  <c r="L43" i="1"/>
  <c r="K43" i="1"/>
  <c r="J43" i="1"/>
  <c r="I43" i="1"/>
  <c r="H43" i="1"/>
  <c r="G43" i="1"/>
  <c r="F43" i="1"/>
  <c r="AU42" i="1"/>
  <c r="AT42" i="1"/>
  <c r="AS42" i="1"/>
  <c r="AR42" i="1"/>
  <c r="AQ42" i="1"/>
  <c r="AP42" i="1"/>
  <c r="AO42" i="1"/>
  <c r="AN42" i="1"/>
  <c r="AM42" i="1"/>
  <c r="AL42" i="1"/>
  <c r="AK42" i="1"/>
  <c r="AJ42" i="1"/>
  <c r="AI42" i="1"/>
  <c r="AH42" i="1"/>
  <c r="AG42" i="1"/>
  <c r="AF42" i="1"/>
  <c r="AE42" i="1"/>
  <c r="AD42" i="1"/>
  <c r="AC42" i="1"/>
  <c r="Y42" i="1"/>
  <c r="X42" i="1"/>
  <c r="W42" i="1"/>
  <c r="V42" i="1"/>
  <c r="U42" i="1"/>
  <c r="T42" i="1"/>
  <c r="S42" i="1"/>
  <c r="R42" i="1"/>
  <c r="P42" i="1"/>
  <c r="O42" i="1"/>
  <c r="N42" i="1"/>
  <c r="M42" i="1"/>
  <c r="L42" i="1"/>
  <c r="K42" i="1"/>
  <c r="J42" i="1"/>
  <c r="I42" i="1"/>
  <c r="H42" i="1"/>
  <c r="G42" i="1"/>
  <c r="AU25" i="1"/>
  <c r="AT25" i="1"/>
  <c r="AS25" i="1"/>
  <c r="AR25" i="1"/>
  <c r="AQ25" i="1"/>
  <c r="AP25" i="1"/>
  <c r="AO25" i="1"/>
  <c r="AN25" i="1"/>
  <c r="AM25" i="1"/>
  <c r="AM58" i="1" s="1"/>
  <c r="AL25" i="1"/>
  <c r="AK25" i="1"/>
  <c r="AJ25" i="1"/>
  <c r="AI25" i="1"/>
  <c r="AI58" i="1" s="1"/>
  <c r="AH25" i="1"/>
  <c r="AG25" i="1"/>
  <c r="AF25" i="1"/>
  <c r="AE25" i="1"/>
  <c r="AE58" i="1" s="1"/>
  <c r="AD25" i="1"/>
  <c r="AC25" i="1"/>
  <c r="AB25" i="1"/>
  <c r="AA25" i="1"/>
  <c r="Z25" i="1"/>
  <c r="Y25" i="1"/>
  <c r="X25" i="1"/>
  <c r="W25" i="1"/>
  <c r="V25" i="1"/>
  <c r="V58" i="1" s="1"/>
  <c r="U25" i="1"/>
  <c r="T25" i="1"/>
  <c r="S25" i="1"/>
  <c r="R25" i="1"/>
  <c r="Q25" i="1"/>
  <c r="P25" i="1"/>
  <c r="O25" i="1"/>
  <c r="N25" i="1"/>
  <c r="N58" i="1" s="1"/>
  <c r="M25" i="1"/>
  <c r="L25" i="1"/>
  <c r="K25" i="1"/>
  <c r="J25" i="1"/>
  <c r="I25" i="1"/>
  <c r="H25" i="1"/>
  <c r="G25" i="1"/>
  <c r="F25" i="1"/>
  <c r="F58" i="1" s="1"/>
  <c r="E25" i="1"/>
  <c r="E58" i="1" s="1"/>
  <c r="AU24" i="1"/>
  <c r="AT24" i="1"/>
  <c r="AT57" i="1" s="1"/>
  <c r="AS24" i="1"/>
  <c r="AR24" i="1"/>
  <c r="AQ24" i="1"/>
  <c r="AP24" i="1"/>
  <c r="AP57" i="1" s="1"/>
  <c r="AO24" i="1"/>
  <c r="AN24" i="1"/>
  <c r="AN57" i="1" s="1"/>
  <c r="AM24" i="1"/>
  <c r="AL24" i="1"/>
  <c r="AL57" i="1" s="1"/>
  <c r="AK24" i="1"/>
  <c r="AJ24" i="1"/>
  <c r="AI24" i="1"/>
  <c r="AH24" i="1"/>
  <c r="AH57" i="1" s="1"/>
  <c r="AG24" i="1"/>
  <c r="AF24" i="1"/>
  <c r="AF57" i="1" s="1"/>
  <c r="AE24" i="1"/>
  <c r="AD24" i="1"/>
  <c r="AD57" i="1" s="1"/>
  <c r="AC24" i="1"/>
  <c r="AB24" i="1"/>
  <c r="AA24" i="1"/>
  <c r="Z24" i="1"/>
  <c r="Y24" i="1"/>
  <c r="X24" i="1"/>
  <c r="W24" i="1"/>
  <c r="W57" i="1" s="1"/>
  <c r="V24" i="1"/>
  <c r="U24" i="1"/>
  <c r="T24" i="1"/>
  <c r="S24" i="1"/>
  <c r="S57" i="1" s="1"/>
  <c r="R24" i="1"/>
  <c r="R57" i="1" s="1"/>
  <c r="Q24" i="1"/>
  <c r="P24" i="1"/>
  <c r="O24" i="1"/>
  <c r="O57" i="1" s="1"/>
  <c r="N24" i="1"/>
  <c r="N57" i="1" s="1"/>
  <c r="M24" i="1"/>
  <c r="L24" i="1"/>
  <c r="K24" i="1"/>
  <c r="K57" i="1" s="1"/>
  <c r="J24" i="1"/>
  <c r="J57" i="1" s="1"/>
  <c r="I24" i="1"/>
  <c r="H24" i="1"/>
  <c r="G24" i="1"/>
  <c r="G57" i="1" s="1"/>
  <c r="F24" i="1"/>
  <c r="F57" i="1" s="1"/>
  <c r="E24" i="1"/>
  <c r="E57" i="1" s="1"/>
  <c r="AU23" i="1"/>
  <c r="AT23" i="1"/>
  <c r="AS23" i="1"/>
  <c r="AR23" i="1"/>
  <c r="AQ23" i="1"/>
  <c r="AP23" i="1"/>
  <c r="AP56" i="1" s="1"/>
  <c r="AO23" i="1"/>
  <c r="AO56" i="1" s="1"/>
  <c r="AN23" i="1"/>
  <c r="AM23" i="1"/>
  <c r="AL23" i="1"/>
  <c r="AK23" i="1"/>
  <c r="AK56" i="1" s="1"/>
  <c r="AJ23" i="1"/>
  <c r="AI23" i="1"/>
  <c r="AH23" i="1"/>
  <c r="AG23" i="1"/>
  <c r="AG56" i="1" s="1"/>
  <c r="AF23" i="1"/>
  <c r="AE23" i="1"/>
  <c r="AD23" i="1"/>
  <c r="AC23" i="1"/>
  <c r="AC56" i="1" s="1"/>
  <c r="AB23" i="1"/>
  <c r="AA23" i="1"/>
  <c r="Z23" i="1"/>
  <c r="Y23" i="1"/>
  <c r="X23" i="1"/>
  <c r="W23" i="1"/>
  <c r="V23" i="1"/>
  <c r="V56" i="1" s="1"/>
  <c r="U23" i="1"/>
  <c r="T23" i="1"/>
  <c r="S23" i="1"/>
  <c r="R23" i="1"/>
  <c r="Q23" i="1"/>
  <c r="P23" i="1"/>
  <c r="O23" i="1"/>
  <c r="N23" i="1"/>
  <c r="N56" i="1" s="1"/>
  <c r="M23" i="1"/>
  <c r="L23" i="1"/>
  <c r="K23" i="1"/>
  <c r="J23" i="1"/>
  <c r="I23" i="1"/>
  <c r="H23" i="1"/>
  <c r="G23" i="1"/>
  <c r="F23" i="1"/>
  <c r="F56" i="1" s="1"/>
  <c r="E23" i="1"/>
  <c r="E56" i="1" s="1"/>
  <c r="AU22" i="1"/>
  <c r="AT22" i="1"/>
  <c r="AS22" i="1"/>
  <c r="AR22" i="1"/>
  <c r="AQ22" i="1"/>
  <c r="AP22" i="1"/>
  <c r="AO22" i="1"/>
  <c r="AN22" i="1"/>
  <c r="AN55" i="1" s="1"/>
  <c r="AM22" i="1"/>
  <c r="AL22" i="1"/>
  <c r="AL55" i="1" s="1"/>
  <c r="AK22" i="1"/>
  <c r="AJ22" i="1"/>
  <c r="AJ55" i="1" s="1"/>
  <c r="AI22" i="1"/>
  <c r="AH22" i="1"/>
  <c r="AG22" i="1"/>
  <c r="AF22" i="1"/>
  <c r="AF55" i="1" s="1"/>
  <c r="AE22" i="1"/>
  <c r="AD22" i="1"/>
  <c r="AD55" i="1" s="1"/>
  <c r="AC22" i="1"/>
  <c r="AB22" i="1"/>
  <c r="AA22" i="1"/>
  <c r="Z22" i="1"/>
  <c r="Y22" i="1"/>
  <c r="Y55" i="1" s="1"/>
  <c r="X22" i="1"/>
  <c r="X55" i="1" s="1"/>
  <c r="W22" i="1"/>
  <c r="V22" i="1"/>
  <c r="U22" i="1"/>
  <c r="U55" i="1" s="1"/>
  <c r="T22" i="1"/>
  <c r="T55" i="1" s="1"/>
  <c r="S22" i="1"/>
  <c r="R22" i="1"/>
  <c r="Q22" i="1"/>
  <c r="Q55" i="1" s="1"/>
  <c r="P22" i="1"/>
  <c r="P55" i="1" s="1"/>
  <c r="O22" i="1"/>
  <c r="N22" i="1"/>
  <c r="M22" i="1"/>
  <c r="M55" i="1" s="1"/>
  <c r="L22" i="1"/>
  <c r="L55" i="1" s="1"/>
  <c r="K22" i="1"/>
  <c r="J22" i="1"/>
  <c r="I22" i="1"/>
  <c r="I55" i="1" s="1"/>
  <c r="H22" i="1"/>
  <c r="H55" i="1" s="1"/>
  <c r="G22" i="1"/>
  <c r="F22" i="1"/>
  <c r="E22" i="1"/>
  <c r="E55" i="1" s="1"/>
  <c r="AU21" i="1"/>
  <c r="AT21" i="1"/>
  <c r="AS21" i="1"/>
  <c r="AR21" i="1"/>
  <c r="AQ21" i="1"/>
  <c r="AP21" i="1"/>
  <c r="AO21" i="1"/>
  <c r="AN21" i="1"/>
  <c r="AM21" i="1"/>
  <c r="AM54" i="1" s="1"/>
  <c r="AL21" i="1"/>
  <c r="AK21" i="1"/>
  <c r="AJ21" i="1"/>
  <c r="AI21" i="1"/>
  <c r="AH21" i="1"/>
  <c r="AG21" i="1"/>
  <c r="AF21" i="1"/>
  <c r="AE21" i="1"/>
  <c r="AE54" i="1" s="1"/>
  <c r="AD21" i="1"/>
  <c r="AC21" i="1"/>
  <c r="AB21" i="1"/>
  <c r="AA21" i="1"/>
  <c r="Z21" i="1"/>
  <c r="Y21" i="1"/>
  <c r="Y54" i="1" s="1"/>
  <c r="X21" i="1"/>
  <c r="W21" i="1"/>
  <c r="V21" i="1"/>
  <c r="U21" i="1"/>
  <c r="T21" i="1"/>
  <c r="T54" i="1" s="1"/>
  <c r="S21" i="1"/>
  <c r="R21" i="1"/>
  <c r="Q21" i="1"/>
  <c r="Q54" i="1" s="1"/>
  <c r="P21" i="1"/>
  <c r="P54" i="1" s="1"/>
  <c r="O21" i="1"/>
  <c r="N21" i="1"/>
  <c r="M21" i="1"/>
  <c r="L21" i="1"/>
  <c r="L54" i="1" s="1"/>
  <c r="K21" i="1"/>
  <c r="J21" i="1"/>
  <c r="I21" i="1"/>
  <c r="I54" i="1" s="1"/>
  <c r="H21" i="1"/>
  <c r="H54" i="1" s="1"/>
  <c r="G21" i="1"/>
  <c r="F21" i="1"/>
  <c r="E21" i="1"/>
  <c r="E54" i="1" s="1"/>
  <c r="D25" i="1"/>
  <c r="D58" i="1" s="1"/>
  <c r="D24" i="1"/>
  <c r="D57" i="1" s="1"/>
  <c r="D23" i="1"/>
  <c r="D56" i="1" s="1"/>
  <c r="D22" i="1"/>
  <c r="D55" i="1" s="1"/>
  <c r="D21" i="1"/>
  <c r="D54" i="1" s="1"/>
  <c r="L46" i="22"/>
  <c r="K46" i="22"/>
  <c r="J46" i="22"/>
  <c r="I46" i="22"/>
  <c r="H46" i="22"/>
  <c r="G46" i="22"/>
  <c r="L45" i="22"/>
  <c r="K45" i="22"/>
  <c r="J45" i="22"/>
  <c r="I45" i="22"/>
  <c r="H45" i="22"/>
  <c r="G45" i="22"/>
  <c r="L44" i="22"/>
  <c r="K44" i="22"/>
  <c r="J44" i="22"/>
  <c r="I44" i="22"/>
  <c r="H44" i="22"/>
  <c r="G44" i="22"/>
  <c r="L43" i="22"/>
  <c r="K43" i="22"/>
  <c r="J43" i="22"/>
  <c r="I43" i="22"/>
  <c r="H43" i="22"/>
  <c r="G43" i="22"/>
  <c r="L42" i="22"/>
  <c r="K42" i="22"/>
  <c r="J42" i="22"/>
  <c r="I42" i="22"/>
  <c r="H42" i="22"/>
  <c r="G42" i="22"/>
  <c r="X54" i="1" l="1"/>
  <c r="J56" i="1"/>
  <c r="R56" i="1"/>
  <c r="L58" i="1"/>
  <c r="T58" i="1"/>
  <c r="AP54" i="1"/>
  <c r="AP55" i="1"/>
  <c r="M54" i="1"/>
  <c r="O56" i="1"/>
  <c r="Y58" i="1"/>
  <c r="AI55" i="1"/>
  <c r="AC57" i="1"/>
  <c r="AK57" i="1"/>
  <c r="AO55" i="1"/>
  <c r="I56" i="1"/>
  <c r="Q56" i="1"/>
  <c r="Y56" i="1"/>
  <c r="S58" i="1"/>
  <c r="AI57" i="1"/>
  <c r="U54" i="1"/>
  <c r="W56" i="1"/>
  <c r="I58" i="1"/>
  <c r="G54" i="1"/>
  <c r="O54" i="1"/>
  <c r="AF54" i="1"/>
  <c r="AN54" i="1"/>
  <c r="AH56" i="1"/>
  <c r="AJ58" i="1"/>
  <c r="G56" i="1"/>
  <c r="F55" i="1"/>
  <c r="N55" i="1"/>
  <c r="H57" i="1"/>
  <c r="P57" i="1"/>
  <c r="X57" i="1"/>
  <c r="AG55" i="1"/>
  <c r="Q58" i="1"/>
  <c r="AH54" i="1"/>
  <c r="AJ56" i="1"/>
  <c r="AD58" i="1"/>
  <c r="AL58" i="1"/>
  <c r="AO54" i="1"/>
  <c r="AH55" i="1"/>
  <c r="AJ57" i="1"/>
  <c r="AR57" i="1"/>
  <c r="F54" i="1"/>
  <c r="H56" i="1"/>
  <c r="P56" i="1"/>
  <c r="X56" i="1"/>
  <c r="J58" i="1"/>
  <c r="R58" i="1"/>
  <c r="N54" i="1"/>
  <c r="AG54" i="1"/>
  <c r="AI56" i="1"/>
  <c r="AC58" i="1"/>
  <c r="AK58" i="1"/>
  <c r="G55" i="1"/>
  <c r="O55" i="1"/>
  <c r="W55" i="1"/>
  <c r="I57" i="1"/>
  <c r="Q57" i="1"/>
  <c r="Y57" i="1"/>
  <c r="G61" i="28"/>
  <c r="H61" i="28"/>
  <c r="I61" i="28"/>
  <c r="J58" i="28"/>
  <c r="J61" i="28" s="1"/>
  <c r="F60" i="28"/>
  <c r="G63" i="28"/>
  <c r="AR56" i="1"/>
  <c r="AS56" i="1"/>
  <c r="AQ55" i="1"/>
  <c r="AS55" i="1"/>
  <c r="K56" i="1"/>
  <c r="AD56" i="1"/>
  <c r="AL56" i="1"/>
  <c r="K55" i="1"/>
  <c r="K54" i="1"/>
  <c r="B76" i="1"/>
  <c r="AK55" i="1"/>
  <c r="U58" i="1"/>
  <c r="V57" i="1"/>
  <c r="AU57" i="1"/>
  <c r="S56" i="1"/>
  <c r="J54" i="1"/>
  <c r="T56" i="1"/>
  <c r="AG57" i="1"/>
  <c r="AO57" i="1"/>
  <c r="AU54" i="1"/>
  <c r="M58" i="1"/>
  <c r="R54" i="1"/>
  <c r="AE55" i="1"/>
  <c r="M56" i="1"/>
  <c r="U56" i="1"/>
  <c r="G58" i="1"/>
  <c r="O58" i="1"/>
  <c r="W58" i="1"/>
  <c r="V55" i="1"/>
  <c r="AJ54" i="1"/>
  <c r="AT56" i="1"/>
  <c r="H58" i="1"/>
  <c r="P58" i="1"/>
  <c r="X58" i="1"/>
  <c r="AF58" i="1"/>
  <c r="AN58" i="1"/>
  <c r="V54" i="1"/>
  <c r="AQ56" i="1"/>
  <c r="AS58" i="1"/>
  <c r="AC55" i="1"/>
  <c r="AM57" i="1"/>
  <c r="L56" i="1"/>
  <c r="S54" i="1"/>
  <c r="AC54" i="1"/>
  <c r="AK54" i="1"/>
  <c r="J55" i="1"/>
  <c r="R55" i="1"/>
  <c r="AE56" i="1"/>
  <c r="AM56" i="1"/>
  <c r="L57" i="1"/>
  <c r="T57" i="1"/>
  <c r="AG58" i="1"/>
  <c r="AO58" i="1"/>
  <c r="W54" i="1"/>
  <c r="K58" i="1"/>
  <c r="AE57" i="1"/>
  <c r="AM55" i="1"/>
  <c r="AD54" i="1"/>
  <c r="AL54" i="1"/>
  <c r="S55" i="1"/>
  <c r="AF56" i="1"/>
  <c r="AN56" i="1"/>
  <c r="M57" i="1"/>
  <c r="U57" i="1"/>
  <c r="AH58" i="1"/>
  <c r="AP58" i="1"/>
  <c r="AI54" i="1"/>
  <c r="AU58" i="1"/>
  <c r="AS54" i="1"/>
  <c r="AT54" i="1"/>
  <c r="AR55" i="1"/>
  <c r="AT58" i="1"/>
  <c r="AT55" i="1"/>
  <c r="AU55" i="1"/>
  <c r="AQ57" i="1"/>
  <c r="AQ54" i="1"/>
  <c r="AU56" i="1"/>
  <c r="AS57" i="1"/>
  <c r="AQ58" i="1"/>
  <c r="AR54" i="1"/>
  <c r="AR58" i="1"/>
  <c r="K51" i="28" l="1"/>
  <c r="K58" i="28" s="1"/>
  <c r="K61" i="28" s="1"/>
  <c r="G60" i="28"/>
  <c r="H63" i="28"/>
  <c r="B23" i="22"/>
  <c r="B56" i="22" s="1"/>
  <c r="B63" i="22" s="1"/>
  <c r="B70" i="22" s="1"/>
  <c r="B24" i="22"/>
  <c r="B57" i="22" s="1"/>
  <c r="B64" i="22" s="1"/>
  <c r="B71" i="22" s="1"/>
  <c r="B25" i="22"/>
  <c r="B58" i="22" s="1"/>
  <c r="B65" i="22" s="1"/>
  <c r="B72" i="22" s="1"/>
  <c r="B22" i="22"/>
  <c r="B55" i="22" s="1"/>
  <c r="B62" i="22" s="1"/>
  <c r="B69" i="22" s="1"/>
  <c r="B21" i="22"/>
  <c r="B54" i="22" s="1"/>
  <c r="B61" i="22" s="1"/>
  <c r="B68" i="22" s="1"/>
  <c r="I63" i="28" l="1"/>
  <c r="H60" i="28"/>
  <c r="B76" i="22"/>
  <c r="G21" i="22"/>
  <c r="G54" i="22" s="1"/>
  <c r="I60" i="28" l="1"/>
  <c r="J63" i="28"/>
  <c r="K21" i="22"/>
  <c r="K54" i="22" s="1"/>
  <c r="H21" i="22"/>
  <c r="H54" i="22" s="1"/>
  <c r="I21" i="22"/>
  <c r="I54" i="22" s="1"/>
  <c r="D21" i="22"/>
  <c r="D54" i="22" s="1"/>
  <c r="C21" i="22"/>
  <c r="C54" i="22" s="1"/>
  <c r="K24" i="22"/>
  <c r="K57" i="22" s="1"/>
  <c r="K25" i="22"/>
  <c r="K58" i="22" s="1"/>
  <c r="K22" i="22"/>
  <c r="K55" i="22" s="1"/>
  <c r="K23" i="22"/>
  <c r="K56" i="22" s="1"/>
  <c r="D25" i="22"/>
  <c r="D58" i="22" s="1"/>
  <c r="D22" i="22"/>
  <c r="D55" i="22" s="1"/>
  <c r="D23" i="22"/>
  <c r="D56" i="22" s="1"/>
  <c r="D24" i="22"/>
  <c r="D57" i="22" s="1"/>
  <c r="F22" i="22"/>
  <c r="F55" i="22" s="1"/>
  <c r="F23" i="22"/>
  <c r="F56" i="22" s="1"/>
  <c r="F24" i="22"/>
  <c r="F57" i="22" s="1"/>
  <c r="F25" i="22"/>
  <c r="F58" i="22" s="1"/>
  <c r="C24" i="22"/>
  <c r="C57" i="22" s="1"/>
  <c r="C25" i="22"/>
  <c r="C58" i="22" s="1"/>
  <c r="C22" i="22"/>
  <c r="C55" i="22" s="1"/>
  <c r="C23" i="22"/>
  <c r="C56" i="22" s="1"/>
  <c r="L25" i="22"/>
  <c r="L58" i="22" s="1"/>
  <c r="L22" i="22"/>
  <c r="L55" i="22" s="1"/>
  <c r="L23" i="22"/>
  <c r="L56" i="22" s="1"/>
  <c r="L24" i="22"/>
  <c r="L57" i="22" s="1"/>
  <c r="J21" i="22"/>
  <c r="J54" i="22" s="1"/>
  <c r="E21" i="22"/>
  <c r="E54" i="22" s="1"/>
  <c r="F21" i="22"/>
  <c r="F54" i="22" s="1"/>
  <c r="G22" i="22"/>
  <c r="G55" i="22" s="1"/>
  <c r="G23" i="22"/>
  <c r="G56" i="22" s="1"/>
  <c r="G24" i="22"/>
  <c r="G57" i="22" s="1"/>
  <c r="G25" i="22"/>
  <c r="G58" i="22" s="1"/>
  <c r="E22" i="22"/>
  <c r="E55" i="22" s="1"/>
  <c r="E23" i="22"/>
  <c r="E56" i="22" s="1"/>
  <c r="E24" i="22"/>
  <c r="E57" i="22" s="1"/>
  <c r="E25" i="22"/>
  <c r="E58" i="22" s="1"/>
  <c r="H22" i="22"/>
  <c r="H55" i="22" s="1"/>
  <c r="H23" i="22"/>
  <c r="H56" i="22" s="1"/>
  <c r="H24" i="22"/>
  <c r="H57" i="22" s="1"/>
  <c r="H25" i="22"/>
  <c r="H58" i="22" s="1"/>
  <c r="J23" i="22"/>
  <c r="J56" i="22" s="1"/>
  <c r="J24" i="22"/>
  <c r="J57" i="22" s="1"/>
  <c r="J25" i="22"/>
  <c r="J58" i="22" s="1"/>
  <c r="J22" i="22"/>
  <c r="J55" i="22" s="1"/>
  <c r="L21" i="22"/>
  <c r="L54" i="22" s="1"/>
  <c r="I22" i="22"/>
  <c r="I55" i="22" s="1"/>
  <c r="I23" i="22"/>
  <c r="I56" i="22" s="1"/>
  <c r="I24" i="22"/>
  <c r="I57" i="22" s="1"/>
  <c r="I25" i="22"/>
  <c r="I58" i="22" s="1"/>
  <c r="J60" i="28" l="1"/>
  <c r="K63" i="28"/>
  <c r="S29" i="11"/>
  <c r="K60" i="28" l="1"/>
  <c r="F11" i="16"/>
  <c r="G9" i="16" l="1"/>
  <c r="G8" i="16"/>
  <c r="G10" i="16"/>
  <c r="G7" i="16"/>
  <c r="G6" i="16"/>
  <c r="B8" i="20" l="1"/>
  <c r="B7" i="20"/>
  <c r="B6" i="20"/>
  <c r="B5" i="20"/>
  <c r="B4" i="20"/>
  <c r="W42" i="21" l="1"/>
  <c r="BG42" i="1"/>
  <c r="N30" i="24"/>
  <c r="N33" i="24"/>
  <c r="N31" i="24"/>
  <c r="N32" i="24"/>
  <c r="BG43" i="1"/>
  <c r="BG45" i="1"/>
  <c r="W46" i="21"/>
  <c r="W43" i="21"/>
  <c r="BG44" i="1"/>
  <c r="BG46" i="1"/>
  <c r="W44" i="21"/>
  <c r="W45" i="21"/>
  <c r="BG29" i="11"/>
  <c r="BG42" i="11" s="1"/>
  <c r="BG32" i="11"/>
  <c r="BG45" i="11" s="1"/>
  <c r="BG33" i="11"/>
  <c r="BG46" i="11" s="1"/>
  <c r="BG30" i="11"/>
  <c r="BG43" i="11" s="1"/>
  <c r="BG31" i="11"/>
  <c r="BG44" i="11" s="1"/>
  <c r="BG21" i="1" l="1"/>
  <c r="BG54" i="1" s="1"/>
  <c r="X23" i="22" l="1"/>
  <c r="X44" i="22"/>
  <c r="X22" i="22"/>
  <c r="X43" i="22"/>
  <c r="X24" i="22"/>
  <c r="X45" i="22"/>
  <c r="X25" i="22"/>
  <c r="X46" i="22"/>
  <c r="BG24" i="1"/>
  <c r="BG57" i="1" s="1"/>
  <c r="BG23" i="1"/>
  <c r="BG56" i="1" s="1"/>
  <c r="BG22" i="1"/>
  <c r="BG55" i="1" s="1"/>
  <c r="BG25" i="1"/>
  <c r="BG58" i="1" s="1"/>
  <c r="X21" i="22"/>
  <c r="X42" i="22"/>
  <c r="AK29" i="20"/>
  <c r="AK33" i="20"/>
  <c r="AK32" i="20"/>
  <c r="AK31" i="20"/>
  <c r="AK30" i="20"/>
  <c r="X54" i="22" l="1"/>
  <c r="X57" i="22"/>
  <c r="X55" i="22"/>
  <c r="X58" i="22"/>
  <c r="X56" i="22"/>
  <c r="AK45" i="20"/>
  <c r="AK41" i="20"/>
  <c r="AK42" i="20"/>
  <c r="AK43" i="20"/>
  <c r="AK44" i="20"/>
  <c r="B64" i="24" l="1"/>
  <c r="BG55" i="11" l="1"/>
  <c r="I29" i="24" l="1"/>
  <c r="AH33" i="20"/>
  <c r="AH29" i="20"/>
  <c r="Z32" i="20"/>
  <c r="AG29" i="20"/>
  <c r="AE30" i="20"/>
  <c r="H29" i="24"/>
  <c r="F30" i="24"/>
  <c r="AF30" i="20"/>
  <c r="G30" i="24"/>
  <c r="I33" i="24"/>
  <c r="AG30" i="20"/>
  <c r="AE31" i="20"/>
  <c r="H30" i="24"/>
  <c r="E31" i="24"/>
  <c r="I30" i="24"/>
  <c r="Z33" i="20"/>
  <c r="D29" i="24"/>
  <c r="H31" i="24"/>
  <c r="AC29" i="20"/>
  <c r="AG31" i="20"/>
  <c r="L29" i="24"/>
  <c r="Z29" i="20"/>
  <c r="AD29" i="20"/>
  <c r="AB30" i="20"/>
  <c r="AJ30" i="20"/>
  <c r="AH31" i="20"/>
  <c r="AF32" i="20"/>
  <c r="AD33" i="20"/>
  <c r="E29" i="24"/>
  <c r="M29" i="24"/>
  <c r="K30" i="24"/>
  <c r="I31" i="24"/>
  <c r="AC30" i="20"/>
  <c r="AI31" i="20"/>
  <c r="D30" i="24"/>
  <c r="L30" i="24"/>
  <c r="H32" i="24"/>
  <c r="AD31" i="20"/>
  <c r="M31" i="24"/>
  <c r="Z30" i="20"/>
  <c r="AE29" i="20"/>
  <c r="AA31" i="20"/>
  <c r="AG32" i="20"/>
  <c r="F29" i="24"/>
  <c r="J31" i="24"/>
  <c r="Z31" i="20"/>
  <c r="AF29" i="20"/>
  <c r="AH32" i="20"/>
  <c r="C29" i="24"/>
  <c r="G29" i="24"/>
  <c r="I32" i="24"/>
  <c r="F41" i="26"/>
  <c r="D42" i="26"/>
  <c r="H44" i="26"/>
  <c r="F45" i="26"/>
  <c r="G41" i="26"/>
  <c r="E42" i="26"/>
  <c r="C43" i="26"/>
  <c r="I44" i="26"/>
  <c r="G45" i="26"/>
  <c r="H41" i="26"/>
  <c r="F42" i="26"/>
  <c r="D43" i="26"/>
  <c r="H45" i="26"/>
  <c r="AH30" i="20"/>
  <c r="AF31" i="20"/>
  <c r="AD32" i="20"/>
  <c r="G31" i="24"/>
  <c r="E32" i="24"/>
  <c r="M32" i="24"/>
  <c r="I41" i="26"/>
  <c r="G42" i="26"/>
  <c r="E43" i="26"/>
  <c r="C44" i="26"/>
  <c r="I45" i="26"/>
  <c r="H42" i="26"/>
  <c r="F43" i="26"/>
  <c r="D44" i="26"/>
  <c r="G32" i="24"/>
  <c r="E33" i="24"/>
  <c r="M33" i="24"/>
  <c r="N42" i="21"/>
  <c r="C41" i="26"/>
  <c r="V42" i="21"/>
  <c r="I42" i="26"/>
  <c r="G43" i="26"/>
  <c r="E44" i="26"/>
  <c r="C45" i="26"/>
  <c r="AE33" i="20"/>
  <c r="F33" i="24"/>
  <c r="O42" i="21"/>
  <c r="D41" i="26"/>
  <c r="H43" i="26"/>
  <c r="F44" i="26"/>
  <c r="D45" i="26"/>
  <c r="AV42" i="1"/>
  <c r="AZ42" i="1"/>
  <c r="AD30" i="20"/>
  <c r="AF33" i="20"/>
  <c r="E30" i="24"/>
  <c r="M30" i="24"/>
  <c r="G33" i="24"/>
  <c r="E41" i="26"/>
  <c r="C42" i="26"/>
  <c r="I43" i="26"/>
  <c r="G44" i="26"/>
  <c r="E45" i="26"/>
  <c r="AJ31" i="20"/>
  <c r="K31" i="24"/>
  <c r="AC31" i="20"/>
  <c r="AA32" i="20"/>
  <c r="AI32" i="20"/>
  <c r="AG33" i="20"/>
  <c r="C30" i="24"/>
  <c r="D31" i="24"/>
  <c r="L31" i="24"/>
  <c r="J32" i="24"/>
  <c r="H33" i="24"/>
  <c r="AB32" i="20"/>
  <c r="AJ32" i="20"/>
  <c r="C31" i="24"/>
  <c r="K32" i="24"/>
  <c r="AA29" i="20"/>
  <c r="AI29" i="20"/>
  <c r="AC32" i="20"/>
  <c r="AA33" i="20"/>
  <c r="AI33" i="20"/>
  <c r="C32" i="24"/>
  <c r="J29" i="24"/>
  <c r="F31" i="24"/>
  <c r="D32" i="24"/>
  <c r="L32" i="24"/>
  <c r="J33" i="24"/>
  <c r="AB31" i="20"/>
  <c r="AJ29" i="20"/>
  <c r="AB33" i="20"/>
  <c r="AJ33" i="20"/>
  <c r="C33" i="24"/>
  <c r="K29" i="24"/>
  <c r="K33" i="24"/>
  <c r="AB29" i="20"/>
  <c r="AA30" i="20"/>
  <c r="AI30" i="20"/>
  <c r="AE32" i="20"/>
  <c r="AC33" i="20"/>
  <c r="J30" i="24"/>
  <c r="F32" i="24"/>
  <c r="D33" i="24"/>
  <c r="L33" i="24"/>
  <c r="M42" i="21"/>
  <c r="S43" i="21"/>
  <c r="Q44" i="21"/>
  <c r="O45" i="21"/>
  <c r="M46" i="21"/>
  <c r="U46" i="21"/>
  <c r="AX42" i="1"/>
  <c r="BF42" i="1"/>
  <c r="BD43" i="1"/>
  <c r="BB44" i="1"/>
  <c r="AZ45" i="1"/>
  <c r="AX46" i="1"/>
  <c r="BF46" i="1"/>
  <c r="T43" i="21"/>
  <c r="R44" i="21"/>
  <c r="P45" i="21"/>
  <c r="N46" i="21"/>
  <c r="V46" i="21"/>
  <c r="AY42" i="1"/>
  <c r="AW43" i="1"/>
  <c r="BE43" i="1"/>
  <c r="BC44" i="1"/>
  <c r="BA45" i="1"/>
  <c r="AY46" i="1"/>
  <c r="M43" i="21"/>
  <c r="U43" i="21"/>
  <c r="S44" i="21"/>
  <c r="Q45" i="21"/>
  <c r="O46" i="21"/>
  <c r="AX43" i="1"/>
  <c r="BF43" i="1"/>
  <c r="BD44" i="1"/>
  <c r="BB45" i="1"/>
  <c r="AZ46" i="1"/>
  <c r="L42" i="21"/>
  <c r="P42" i="21"/>
  <c r="N43" i="21"/>
  <c r="V43" i="21"/>
  <c r="T44" i="21"/>
  <c r="R45" i="21"/>
  <c r="P46" i="21"/>
  <c r="AV43" i="1"/>
  <c r="BA42" i="1"/>
  <c r="AY43" i="1"/>
  <c r="AW44" i="1"/>
  <c r="BE44" i="1"/>
  <c r="BC45" i="1"/>
  <c r="BA46" i="1"/>
  <c r="L43" i="21"/>
  <c r="Q42" i="21"/>
  <c r="O43" i="21"/>
  <c r="M44" i="21"/>
  <c r="U44" i="21"/>
  <c r="S45" i="21"/>
  <c r="Q46" i="21"/>
  <c r="AV44" i="1"/>
  <c r="BB42" i="1"/>
  <c r="AZ43" i="1"/>
  <c r="AX44" i="1"/>
  <c r="BF44" i="1"/>
  <c r="BD45" i="1"/>
  <c r="BB46" i="1"/>
  <c r="L44" i="21"/>
  <c r="R42" i="21"/>
  <c r="P43" i="21"/>
  <c r="N44" i="21"/>
  <c r="V44" i="21"/>
  <c r="T45" i="21"/>
  <c r="R46" i="21"/>
  <c r="AV45" i="1"/>
  <c r="BC42" i="1"/>
  <c r="BA43" i="1"/>
  <c r="AY44" i="1"/>
  <c r="AW45" i="1"/>
  <c r="BE45" i="1"/>
  <c r="BC46" i="1"/>
  <c r="L45" i="21"/>
  <c r="S42" i="21"/>
  <c r="Q43" i="21"/>
  <c r="O44" i="21"/>
  <c r="M45" i="21"/>
  <c r="U45" i="21"/>
  <c r="S46" i="21"/>
  <c r="AV46" i="1"/>
  <c r="BD42" i="1"/>
  <c r="BB43" i="1"/>
  <c r="AZ44" i="1"/>
  <c r="AX45" i="1"/>
  <c r="BF45" i="1"/>
  <c r="BD46" i="1"/>
  <c r="L46" i="21"/>
  <c r="T42" i="21"/>
  <c r="R43" i="21"/>
  <c r="P44" i="21"/>
  <c r="N45" i="21"/>
  <c r="V45" i="21"/>
  <c r="T46" i="21"/>
  <c r="AW42" i="1"/>
  <c r="BE42" i="1"/>
  <c r="BC43" i="1"/>
  <c r="BA44" i="1"/>
  <c r="AY45" i="1"/>
  <c r="AW46" i="1"/>
  <c r="BE46" i="1"/>
  <c r="U42" i="21"/>
  <c r="BB29" i="11"/>
  <c r="BB42" i="11" s="1"/>
  <c r="BD32" i="11"/>
  <c r="BD45" i="11" s="1"/>
  <c r="BD29" i="11"/>
  <c r="BD42" i="11" s="1"/>
  <c r="BB30" i="11"/>
  <c r="BB43" i="11" s="1"/>
  <c r="AX32" i="11"/>
  <c r="AX45" i="11" s="1"/>
  <c r="BF32" i="11"/>
  <c r="BF45" i="11" s="1"/>
  <c r="BD33" i="11"/>
  <c r="BD46" i="11" s="1"/>
  <c r="AX29" i="11"/>
  <c r="AX42" i="11" s="1"/>
  <c r="BD30" i="11"/>
  <c r="BD43" i="11" s="1"/>
  <c r="BB31" i="11"/>
  <c r="BB44" i="11" s="1"/>
  <c r="AX30" i="11"/>
  <c r="AX43" i="11" s="1"/>
  <c r="BF30" i="11"/>
  <c r="BF43" i="11" s="1"/>
  <c r="AZ32" i="11"/>
  <c r="AZ45" i="11" s="1"/>
  <c r="BB33" i="11"/>
  <c r="BB46" i="11" s="1"/>
  <c r="BD31" i="11"/>
  <c r="BD44" i="11" s="1"/>
  <c r="BF31" i="11"/>
  <c r="BF44" i="11" s="1"/>
  <c r="AX31" i="11"/>
  <c r="AX44" i="11" s="1"/>
  <c r="BA29" i="11"/>
  <c r="BA42" i="11" s="1"/>
  <c r="AX33" i="11"/>
  <c r="AX46" i="11" s="1"/>
  <c r="BF29" i="11"/>
  <c r="BF42" i="11" s="1"/>
  <c r="BF33" i="11"/>
  <c r="BF46" i="11" s="1"/>
  <c r="AY32" i="11"/>
  <c r="AY45" i="11" s="1"/>
  <c r="BE33" i="11"/>
  <c r="BE46" i="11" s="1"/>
  <c r="AW29" i="11"/>
  <c r="AW42" i="11" s="1"/>
  <c r="BB32" i="11"/>
  <c r="BB45" i="11" s="1"/>
  <c r="BC32" i="11"/>
  <c r="BC45" i="11" s="1"/>
  <c r="BC33" i="11"/>
  <c r="BC46" i="11" s="1"/>
  <c r="AY31" i="11"/>
  <c r="AY44" i="11" s="1"/>
  <c r="BC29" i="11"/>
  <c r="BC42" i="11" s="1"/>
  <c r="BC30" i="11"/>
  <c r="BC43" i="11" s="1"/>
  <c r="BC31" i="11"/>
  <c r="BC44" i="11" s="1"/>
  <c r="BA32" i="11"/>
  <c r="BA45" i="11" s="1"/>
  <c r="BA33" i="11"/>
  <c r="BA46" i="11" s="1"/>
  <c r="AZ31" i="11"/>
  <c r="AZ44" i="11" s="1"/>
  <c r="BE29" i="11"/>
  <c r="BE42" i="11" s="1"/>
  <c r="BE30" i="11"/>
  <c r="BE43" i="11" s="1"/>
  <c r="BE31" i="11"/>
  <c r="BE44" i="11" s="1"/>
  <c r="AW30" i="11"/>
  <c r="AW43" i="11" s="1"/>
  <c r="AW31" i="11"/>
  <c r="AW44" i="11" s="1"/>
  <c r="AW32" i="11"/>
  <c r="AW45" i="11" s="1"/>
  <c r="BE32" i="11"/>
  <c r="BE45" i="11" s="1"/>
  <c r="BA30" i="11"/>
  <c r="BA43" i="11" s="1"/>
  <c r="BA31" i="11"/>
  <c r="BA44" i="11" s="1"/>
  <c r="AW33" i="11"/>
  <c r="AW46" i="11" s="1"/>
  <c r="AV29" i="11"/>
  <c r="AY29" i="11"/>
  <c r="AY42" i="11" s="1"/>
  <c r="AY33" i="11"/>
  <c r="AY46" i="11" s="1"/>
  <c r="AZ29" i="11"/>
  <c r="AZ42" i="11" s="1"/>
  <c r="AZ33" i="11"/>
  <c r="AZ46" i="11" s="1"/>
  <c r="AY30" i="11"/>
  <c r="AY43" i="11" s="1"/>
  <c r="AZ30" i="11"/>
  <c r="AZ43" i="11" s="1"/>
  <c r="AV32" i="11"/>
  <c r="AV30" i="11"/>
  <c r="AV43" i="11" s="1"/>
  <c r="AV33" i="11"/>
  <c r="AV46" i="11" s="1"/>
  <c r="AV31" i="11"/>
  <c r="N54" i="24"/>
  <c r="P42" i="22" l="1"/>
  <c r="R43" i="22"/>
  <c r="W44" i="22"/>
  <c r="M44" i="22"/>
  <c r="S45" i="22"/>
  <c r="W46" i="22"/>
  <c r="U43" i="22"/>
  <c r="N46" i="22"/>
  <c r="S43" i="22"/>
  <c r="T45" i="22"/>
  <c r="N43" i="22"/>
  <c r="P44" i="22"/>
  <c r="M42" i="22"/>
  <c r="N42" i="22"/>
  <c r="O44" i="22"/>
  <c r="R42" i="22"/>
  <c r="U44" i="22"/>
  <c r="O46" i="22"/>
  <c r="W42" i="22"/>
  <c r="P45" i="22"/>
  <c r="M45" i="22"/>
  <c r="T42" i="22"/>
  <c r="T46" i="22"/>
  <c r="P46" i="22"/>
  <c r="W45" i="22"/>
  <c r="S46" i="22"/>
  <c r="Q43" i="22"/>
  <c r="M43" i="22"/>
  <c r="Q45" i="22"/>
  <c r="O42" i="22"/>
  <c r="R44" i="22"/>
  <c r="U46" i="22"/>
  <c r="M46" i="22"/>
  <c r="W43" i="22"/>
  <c r="V45" i="22"/>
  <c r="V44" i="22"/>
  <c r="O43" i="22"/>
  <c r="R45" i="22"/>
  <c r="Q44" i="22"/>
  <c r="R46" i="22"/>
  <c r="T44" i="22"/>
  <c r="U45" i="22"/>
  <c r="S42" i="22"/>
  <c r="Q46" i="22"/>
  <c r="S44" i="22"/>
  <c r="V46" i="22"/>
  <c r="T43" i="22"/>
  <c r="O45" i="22"/>
  <c r="P43" i="22"/>
  <c r="V43" i="22"/>
  <c r="N45" i="22"/>
  <c r="N44" i="22"/>
  <c r="Q42" i="22"/>
  <c r="V42" i="22"/>
  <c r="U42" i="22"/>
  <c r="AV42" i="11"/>
  <c r="Y41" i="20" l="1"/>
  <c r="AJ41" i="20"/>
  <c r="AJ45" i="20"/>
  <c r="AI45" i="20"/>
  <c r="AH45" i="20"/>
  <c r="AG45" i="20"/>
  <c r="AF45" i="20"/>
  <c r="AE45" i="20"/>
  <c r="AD45" i="20"/>
  <c r="AC45" i="20"/>
  <c r="AB45" i="20"/>
  <c r="AA45" i="20"/>
  <c r="AJ44" i="20"/>
  <c r="AI44" i="20"/>
  <c r="AH44" i="20"/>
  <c r="AG44" i="20"/>
  <c r="AF44" i="20"/>
  <c r="AE44" i="20"/>
  <c r="AD44" i="20"/>
  <c r="AC44" i="20"/>
  <c r="AB44" i="20"/>
  <c r="AA44" i="20"/>
  <c r="AJ43" i="20"/>
  <c r="AI43" i="20"/>
  <c r="AH43" i="20"/>
  <c r="AG43" i="20"/>
  <c r="AF43" i="20"/>
  <c r="AE43" i="20"/>
  <c r="AD43" i="20"/>
  <c r="AC43" i="20"/>
  <c r="AB43" i="20"/>
  <c r="AA43" i="20"/>
  <c r="AJ42" i="20"/>
  <c r="AI42" i="20"/>
  <c r="AH42" i="20"/>
  <c r="AG42" i="20"/>
  <c r="AF42" i="20"/>
  <c r="AE42" i="20"/>
  <c r="AD42" i="20"/>
  <c r="AC42" i="20"/>
  <c r="AB42" i="20"/>
  <c r="AA42" i="20"/>
  <c r="AI41" i="20"/>
  <c r="AH41" i="20"/>
  <c r="AG41" i="20"/>
  <c r="AF41" i="20"/>
  <c r="AE41" i="20"/>
  <c r="AD41" i="20"/>
  <c r="AC41" i="20"/>
  <c r="AB41" i="20"/>
  <c r="AA41" i="20"/>
  <c r="AK54" i="20"/>
  <c r="AH54" i="20" l="1"/>
  <c r="AG54" i="20"/>
  <c r="AI54" i="20"/>
  <c r="AD54" i="20"/>
  <c r="Z54" i="20"/>
  <c r="AB54" i="20"/>
  <c r="AC54" i="20"/>
  <c r="AA54" i="20"/>
  <c r="BF55" i="11"/>
  <c r="M54" i="24"/>
  <c r="BA55" i="11"/>
  <c r="H54" i="24"/>
  <c r="AY55" i="11"/>
  <c r="F54" i="24"/>
  <c r="BB55" i="11"/>
  <c r="I54" i="24"/>
  <c r="BC55" i="11"/>
  <c r="J54" i="24"/>
  <c r="AX55" i="11"/>
  <c r="E54" i="24"/>
  <c r="AZ55" i="11"/>
  <c r="G54" i="24"/>
  <c r="BD55" i="11"/>
  <c r="K54" i="24"/>
  <c r="AE54" i="20"/>
  <c r="AJ54" i="20"/>
  <c r="AV55" i="11"/>
  <c r="C54" i="24"/>
  <c r="AW55" i="11"/>
  <c r="D54" i="24"/>
  <c r="BE55" i="11"/>
  <c r="L54" i="24"/>
  <c r="AF54" i="20"/>
  <c r="Z41" i="20"/>
  <c r="Z44" i="20"/>
  <c r="Z42" i="20"/>
  <c r="Z45" i="20"/>
  <c r="Z43" i="20"/>
  <c r="M45" i="24" l="1"/>
  <c r="M44" i="24"/>
  <c r="M43" i="24"/>
  <c r="M42" i="24"/>
  <c r="M41" i="24"/>
  <c r="L45" i="24"/>
  <c r="L44" i="24"/>
  <c r="L43" i="24"/>
  <c r="L42" i="24"/>
  <c r="L41" i="24"/>
  <c r="K45" i="24"/>
  <c r="K44" i="24"/>
  <c r="K43" i="24"/>
  <c r="K42" i="24"/>
  <c r="K41" i="24"/>
  <c r="J45" i="24"/>
  <c r="J44" i="24"/>
  <c r="J43" i="24"/>
  <c r="J42" i="24"/>
  <c r="J41" i="24"/>
  <c r="I45" i="24"/>
  <c r="I44" i="24"/>
  <c r="I43" i="24"/>
  <c r="I42" i="24"/>
  <c r="I41" i="24"/>
  <c r="H45" i="24"/>
  <c r="H44" i="24"/>
  <c r="H43" i="24"/>
  <c r="H42" i="24"/>
  <c r="H41" i="24"/>
  <c r="G45" i="24"/>
  <c r="G44" i="24"/>
  <c r="G43" i="24"/>
  <c r="G42" i="24"/>
  <c r="G41" i="24"/>
  <c r="F45" i="24"/>
  <c r="F44" i="24"/>
  <c r="F43" i="24"/>
  <c r="F42" i="24"/>
  <c r="F41" i="24"/>
  <c r="E45" i="24"/>
  <c r="E44" i="24"/>
  <c r="E43" i="24"/>
  <c r="E42" i="24"/>
  <c r="E41" i="24"/>
  <c r="D45" i="24"/>
  <c r="D44" i="24"/>
  <c r="D43" i="24"/>
  <c r="D42" i="24"/>
  <c r="D41" i="24"/>
  <c r="C45" i="24"/>
  <c r="C44" i="24"/>
  <c r="C43" i="24"/>
  <c r="C42" i="24"/>
  <c r="N42" i="24" l="1"/>
  <c r="N43" i="24"/>
  <c r="N44" i="24"/>
  <c r="N45" i="24"/>
  <c r="D4" i="24"/>
  <c r="C41" i="24"/>
  <c r="G11" i="16" l="1"/>
  <c r="F30" i="11" l="1"/>
  <c r="Q29" i="11"/>
  <c r="G29" i="11"/>
  <c r="H20" i="13" l="1"/>
  <c r="F31" i="13" l="1"/>
  <c r="G10" i="13" l="1"/>
  <c r="H10" i="13" s="1"/>
  <c r="G31" i="13" l="1"/>
  <c r="AU67" i="1" l="1"/>
  <c r="H5" i="4" l="1"/>
  <c r="H7" i="4"/>
  <c r="H8" i="4"/>
  <c r="H4" i="4"/>
  <c r="I4" i="4" l="1"/>
  <c r="F9" i="4"/>
  <c r="I8" i="4"/>
  <c r="I7" i="4"/>
  <c r="I6" i="4"/>
  <c r="I5" i="4"/>
  <c r="H9" i="4" l="1"/>
  <c r="G9" i="4"/>
  <c r="I9" i="4"/>
  <c r="B54" i="24" l="1"/>
  <c r="A36" i="24"/>
  <c r="B45" i="24"/>
  <c r="B44" i="24"/>
  <c r="B43" i="24"/>
  <c r="B42" i="24"/>
  <c r="B41" i="24"/>
  <c r="D8" i="24"/>
  <c r="D7" i="24"/>
  <c r="D6" i="24"/>
  <c r="D5" i="24"/>
  <c r="E31" i="13"/>
  <c r="G31" i="23"/>
  <c r="D9" i="23"/>
  <c r="C9" i="23"/>
  <c r="J21" i="23" s="1"/>
  <c r="G8" i="23"/>
  <c r="G7" i="23"/>
  <c r="G6" i="23"/>
  <c r="G5" i="23"/>
  <c r="D31" i="13" l="1"/>
  <c r="D9" i="24"/>
  <c r="B58" i="24" l="1"/>
  <c r="C51" i="24" l="1"/>
  <c r="C58" i="24" s="1"/>
  <c r="D51" i="24" s="1"/>
  <c r="D58" i="24" s="1"/>
  <c r="E51" i="24" s="1"/>
  <c r="E58" i="24" s="1"/>
  <c r="F51" i="24" s="1"/>
  <c r="F58" i="24" s="1"/>
  <c r="G51" i="24" s="1"/>
  <c r="G58" i="24" s="1"/>
  <c r="H51" i="24" s="1"/>
  <c r="H58" i="24" s="1"/>
  <c r="I51" i="24" s="1"/>
  <c r="I58" i="24" s="1"/>
  <c r="J51" i="24" s="1"/>
  <c r="J58" i="24" s="1"/>
  <c r="K51" i="24" s="1"/>
  <c r="K58" i="24" s="1"/>
  <c r="L51" i="24" s="1"/>
  <c r="L58" i="24" s="1"/>
  <c r="M51" i="24" s="1"/>
  <c r="M58" i="24" s="1"/>
  <c r="N51" i="24" s="1"/>
  <c r="B57" i="24"/>
  <c r="C50" i="24" s="1"/>
  <c r="N58" i="24" l="1"/>
  <c r="O51" i="24" s="1"/>
  <c r="C57" i="24"/>
  <c r="D50" i="24" s="1"/>
  <c r="D57" i="24" s="1"/>
  <c r="E50" i="24" s="1"/>
  <c r="E57" i="24" s="1"/>
  <c r="F50" i="24" s="1"/>
  <c r="F57" i="24" s="1"/>
  <c r="G50" i="24" s="1"/>
  <c r="G57" i="24" s="1"/>
  <c r="H50" i="24" s="1"/>
  <c r="H57" i="24" s="1"/>
  <c r="I50" i="24" s="1"/>
  <c r="I57" i="24" s="1"/>
  <c r="J50" i="24" s="1"/>
  <c r="J57" i="24" s="1"/>
  <c r="K50" i="24" s="1"/>
  <c r="K57" i="24" s="1"/>
  <c r="L50" i="24" s="1"/>
  <c r="L57" i="24" s="1"/>
  <c r="M50" i="24" s="1"/>
  <c r="B56" i="24"/>
  <c r="C49" i="24" s="1"/>
  <c r="M57" i="24" l="1"/>
  <c r="N50" i="24" s="1"/>
  <c r="C56" i="24"/>
  <c r="B59" i="24"/>
  <c r="Y54" i="20"/>
  <c r="O58" i="24" l="1"/>
  <c r="P51" i="24" s="1"/>
  <c r="C52" i="24"/>
  <c r="C59" i="24" s="1"/>
  <c r="D52" i="24" s="1"/>
  <c r="D59" i="24" s="1"/>
  <c r="E52" i="24" s="1"/>
  <c r="E59" i="24" s="1"/>
  <c r="F52" i="24" s="1"/>
  <c r="F59" i="24" s="1"/>
  <c r="G52" i="24" s="1"/>
  <c r="G59" i="24" s="1"/>
  <c r="H52" i="24" s="1"/>
  <c r="H59" i="24" s="1"/>
  <c r="I52" i="24" s="1"/>
  <c r="I59" i="24" s="1"/>
  <c r="J52" i="24" s="1"/>
  <c r="J59" i="24" s="1"/>
  <c r="K52" i="24" s="1"/>
  <c r="K59" i="24" s="1"/>
  <c r="L52" i="24" s="1"/>
  <c r="L59" i="24" s="1"/>
  <c r="M52" i="24" s="1"/>
  <c r="M59" i="24" s="1"/>
  <c r="N52" i="24" s="1"/>
  <c r="N57" i="24"/>
  <c r="O50" i="24" s="1"/>
  <c r="D49" i="24"/>
  <c r="D56" i="24" s="1"/>
  <c r="E49" i="24" s="1"/>
  <c r="E56" i="24" s="1"/>
  <c r="F49" i="24" s="1"/>
  <c r="F56" i="24" s="1"/>
  <c r="G49" i="24" s="1"/>
  <c r="G56" i="24" s="1"/>
  <c r="H49" i="24" s="1"/>
  <c r="H56" i="24" s="1"/>
  <c r="I49" i="24" s="1"/>
  <c r="I56" i="24" s="1"/>
  <c r="J49" i="24" s="1"/>
  <c r="J56" i="24" s="1"/>
  <c r="K49" i="24" s="1"/>
  <c r="K56" i="24" s="1"/>
  <c r="L49" i="24" s="1"/>
  <c r="L56" i="24" s="1"/>
  <c r="M49" i="24" s="1"/>
  <c r="F42" i="21"/>
  <c r="AU55" i="11"/>
  <c r="N59" i="24" l="1"/>
  <c r="O52" i="24" s="1"/>
  <c r="M56" i="24"/>
  <c r="N49" i="24" s="1"/>
  <c r="O57" i="24" l="1"/>
  <c r="P50" i="24" s="1"/>
  <c r="P58" i="24"/>
  <c r="Q51" i="24" s="1"/>
  <c r="N56" i="24"/>
  <c r="B55" i="24"/>
  <c r="C48" i="24" s="1"/>
  <c r="C55" i="24" s="1"/>
  <c r="O49" i="24" l="1"/>
  <c r="O56" i="24" s="1"/>
  <c r="O59" i="24"/>
  <c r="P52" i="24" s="1"/>
  <c r="D48" i="24"/>
  <c r="C61" i="24"/>
  <c r="B63" i="24"/>
  <c r="C63" i="24" s="1"/>
  <c r="C60" i="24" s="1"/>
  <c r="B61" i="24"/>
  <c r="P49" i="24" l="1"/>
  <c r="Q58" i="24"/>
  <c r="R51" i="24" s="1"/>
  <c r="P59" i="24"/>
  <c r="Q52" i="24" s="1"/>
  <c r="P57" i="24"/>
  <c r="Q50" i="24" s="1"/>
  <c r="B60" i="24"/>
  <c r="D55" i="24"/>
  <c r="D63" i="24" s="1"/>
  <c r="C14" i="22"/>
  <c r="D14" i="22" s="1"/>
  <c r="E14" i="22" s="1"/>
  <c r="F14" i="22" s="1"/>
  <c r="G14" i="22" s="1"/>
  <c r="H14" i="22" s="1"/>
  <c r="I14" i="22" s="1"/>
  <c r="J14" i="22" s="1"/>
  <c r="K14" i="22" s="1"/>
  <c r="L14" i="22" s="1"/>
  <c r="M14" i="22" s="1"/>
  <c r="N14" i="22" s="1"/>
  <c r="O14" i="22" s="1"/>
  <c r="P14" i="22" s="1"/>
  <c r="Q14" i="22" s="1"/>
  <c r="R14" i="22" s="1"/>
  <c r="S14" i="22" s="1"/>
  <c r="T14" i="22" s="1"/>
  <c r="U14" i="22" s="1"/>
  <c r="V14" i="22" s="1"/>
  <c r="W14" i="22" s="1"/>
  <c r="X14" i="22" s="1"/>
  <c r="R58" i="24" l="1"/>
  <c r="S51" i="24" s="1"/>
  <c r="P56" i="24"/>
  <c r="Q49" i="24" s="1"/>
  <c r="Y14" i="22"/>
  <c r="Z14" i="22" s="1"/>
  <c r="AA14" i="22" s="1"/>
  <c r="AB14" i="22" s="1"/>
  <c r="AC14" i="22" s="1"/>
  <c r="AD14" i="22" s="1"/>
  <c r="AE14" i="22" s="1"/>
  <c r="AF14" i="22" s="1"/>
  <c r="AG14" i="22" s="1"/>
  <c r="AH14" i="22" s="1"/>
  <c r="AI14" i="22" s="1"/>
  <c r="AJ14" i="22" s="1"/>
  <c r="AK14" i="22" s="1"/>
  <c r="AL14" i="22" s="1"/>
  <c r="AM14" i="22" s="1"/>
  <c r="AN14" i="22" s="1"/>
  <c r="AO14" i="22" s="1"/>
  <c r="AP14" i="22" s="1"/>
  <c r="AQ14" i="22" s="1"/>
  <c r="AR14" i="22" s="1"/>
  <c r="AS14" i="22" s="1"/>
  <c r="AT14" i="22" s="1"/>
  <c r="AU14" i="22" s="1"/>
  <c r="AV14" i="22" s="1"/>
  <c r="AW14" i="22" s="1"/>
  <c r="E48" i="24"/>
  <c r="E55" i="24" s="1"/>
  <c r="D60" i="24"/>
  <c r="D61" i="24"/>
  <c r="Q56" i="24" l="1"/>
  <c r="R49" i="24" s="1"/>
  <c r="Q59" i="24"/>
  <c r="R52" i="24" s="1"/>
  <c r="Q57" i="24"/>
  <c r="R50" i="24" s="1"/>
  <c r="S58" i="24"/>
  <c r="T51" i="24" s="1"/>
  <c r="E63" i="24"/>
  <c r="E60" i="24" s="1"/>
  <c r="F48" i="24"/>
  <c r="F55" i="24" s="1"/>
  <c r="F61" i="24" s="1"/>
  <c r="E61" i="24"/>
  <c r="AT67" i="1"/>
  <c r="AS67" i="1"/>
  <c r="AR67" i="1"/>
  <c r="AQ67" i="1"/>
  <c r="AP67" i="1"/>
  <c r="AO67" i="1"/>
  <c r="AN67" i="1"/>
  <c r="AM67" i="1"/>
  <c r="AL67" i="1"/>
  <c r="AK67" i="1"/>
  <c r="AJ67" i="1"/>
  <c r="R57" i="24" l="1"/>
  <c r="S50" i="24" s="1"/>
  <c r="R59" i="24"/>
  <c r="S52" i="24" s="1"/>
  <c r="R56" i="24"/>
  <c r="S49" i="24" s="1"/>
  <c r="T58" i="24"/>
  <c r="U51" i="24" s="1"/>
  <c r="U54" i="20"/>
  <c r="AQ55" i="11"/>
  <c r="V54" i="20"/>
  <c r="AR55" i="11"/>
  <c r="X54" i="20"/>
  <c r="AT55" i="11"/>
  <c r="O54" i="20"/>
  <c r="AK55" i="11"/>
  <c r="S54" i="20"/>
  <c r="AO55" i="11"/>
  <c r="N54" i="20"/>
  <c r="AJ55" i="11"/>
  <c r="W54" i="20"/>
  <c r="AS55" i="11"/>
  <c r="P54" i="20"/>
  <c r="AL55" i="11"/>
  <c r="Q54" i="20"/>
  <c r="AM55" i="11"/>
  <c r="R54" i="20"/>
  <c r="AN55" i="11"/>
  <c r="T54" i="20"/>
  <c r="AP55" i="11"/>
  <c r="F63" i="24"/>
  <c r="F60" i="24" s="1"/>
  <c r="G48" i="24"/>
  <c r="G55" i="24" s="1"/>
  <c r="AJ29" i="11"/>
  <c r="AJ42" i="11" s="1"/>
  <c r="AK29" i="11"/>
  <c r="AK42" i="11" s="1"/>
  <c r="AL29" i="11"/>
  <c r="AL42" i="11" s="1"/>
  <c r="AM29" i="11"/>
  <c r="AM42" i="11" s="1"/>
  <c r="AN29" i="11"/>
  <c r="AN42" i="11" s="1"/>
  <c r="AO29" i="11"/>
  <c r="AO42" i="11" s="1"/>
  <c r="AP29" i="11"/>
  <c r="AP42" i="11" s="1"/>
  <c r="AQ29" i="11"/>
  <c r="AQ42" i="11" s="1"/>
  <c r="AR29" i="11"/>
  <c r="AR42" i="11" s="1"/>
  <c r="AS29" i="11"/>
  <c r="AS42" i="11" s="1"/>
  <c r="AT29" i="11"/>
  <c r="AT42" i="11" s="1"/>
  <c r="AU29" i="11"/>
  <c r="AU42" i="11" s="1"/>
  <c r="AJ30" i="11"/>
  <c r="AJ43" i="11" s="1"/>
  <c r="AK30" i="11"/>
  <c r="AK43" i="11" s="1"/>
  <c r="AL30" i="11"/>
  <c r="AL43" i="11" s="1"/>
  <c r="AM30" i="11"/>
  <c r="AM43" i="11" s="1"/>
  <c r="AN30" i="11"/>
  <c r="AN43" i="11" s="1"/>
  <c r="AO30" i="11"/>
  <c r="AO43" i="11" s="1"/>
  <c r="AP30" i="11"/>
  <c r="AP43" i="11" s="1"/>
  <c r="AQ30" i="11"/>
  <c r="AQ43" i="11" s="1"/>
  <c r="AR30" i="11"/>
  <c r="AR43" i="11" s="1"/>
  <c r="AS30" i="11"/>
  <c r="AS43" i="11" s="1"/>
  <c r="AT30" i="11"/>
  <c r="AT43" i="11" s="1"/>
  <c r="AU30" i="11"/>
  <c r="AU43" i="11" s="1"/>
  <c r="AJ31" i="11"/>
  <c r="AJ44" i="11" s="1"/>
  <c r="AK31" i="11"/>
  <c r="AK44" i="11" s="1"/>
  <c r="AL31" i="11"/>
  <c r="AL44" i="11" s="1"/>
  <c r="AM31" i="11"/>
  <c r="AM44" i="11" s="1"/>
  <c r="AN31" i="11"/>
  <c r="AN44" i="11" s="1"/>
  <c r="AO31" i="11"/>
  <c r="AO44" i="11" s="1"/>
  <c r="AP31" i="11"/>
  <c r="AP44" i="11" s="1"/>
  <c r="AQ31" i="11"/>
  <c r="AQ44" i="11" s="1"/>
  <c r="AR31" i="11"/>
  <c r="AR44" i="11" s="1"/>
  <c r="AS31" i="11"/>
  <c r="AS44" i="11" s="1"/>
  <c r="AT31" i="11"/>
  <c r="AT44" i="11" s="1"/>
  <c r="AU31" i="11"/>
  <c r="AU44" i="11" s="1"/>
  <c r="AJ32" i="11"/>
  <c r="AJ45" i="11" s="1"/>
  <c r="AK32" i="11"/>
  <c r="AK45" i="11" s="1"/>
  <c r="AL32" i="11"/>
  <c r="AL45" i="11" s="1"/>
  <c r="AM32" i="11"/>
  <c r="AM45" i="11" s="1"/>
  <c r="AN32" i="11"/>
  <c r="AN45" i="11" s="1"/>
  <c r="AO32" i="11"/>
  <c r="AO45" i="11" s="1"/>
  <c r="AP32" i="11"/>
  <c r="AP45" i="11" s="1"/>
  <c r="AQ32" i="11"/>
  <c r="AQ45" i="11" s="1"/>
  <c r="AR32" i="11"/>
  <c r="AR45" i="11" s="1"/>
  <c r="AS32" i="11"/>
  <c r="AS45" i="11" s="1"/>
  <c r="AT32" i="11"/>
  <c r="AT45" i="11" s="1"/>
  <c r="AU32" i="11"/>
  <c r="AU45" i="11" s="1"/>
  <c r="AJ33" i="11"/>
  <c r="AJ46" i="11" s="1"/>
  <c r="AK33" i="11"/>
  <c r="AK46" i="11" s="1"/>
  <c r="AL33" i="11"/>
  <c r="AL46" i="11" s="1"/>
  <c r="AM33" i="11"/>
  <c r="AM46" i="11" s="1"/>
  <c r="AN33" i="11"/>
  <c r="AN46" i="11" s="1"/>
  <c r="AO33" i="11"/>
  <c r="AO46" i="11" s="1"/>
  <c r="AP33" i="11"/>
  <c r="AP46" i="11" s="1"/>
  <c r="AQ33" i="11"/>
  <c r="AQ46" i="11" s="1"/>
  <c r="AR33" i="11"/>
  <c r="AR46" i="11" s="1"/>
  <c r="AS33" i="11"/>
  <c r="AS46" i="11" s="1"/>
  <c r="AT33" i="11"/>
  <c r="AT46" i="11" s="1"/>
  <c r="AU33" i="11"/>
  <c r="AU46" i="11" s="1"/>
  <c r="O41" i="20"/>
  <c r="P41" i="20"/>
  <c r="Q41" i="20"/>
  <c r="V41" i="20"/>
  <c r="W41" i="20"/>
  <c r="X41" i="20"/>
  <c r="N42" i="20"/>
  <c r="P42" i="20"/>
  <c r="Q42" i="20"/>
  <c r="R42" i="20"/>
  <c r="S42" i="20"/>
  <c r="T42" i="20"/>
  <c r="U42" i="20"/>
  <c r="X42" i="20"/>
  <c r="Y42" i="20"/>
  <c r="N43" i="20"/>
  <c r="O43" i="20"/>
  <c r="Q43" i="20"/>
  <c r="T43" i="20"/>
  <c r="U43" i="20"/>
  <c r="V43" i="20"/>
  <c r="W43" i="20"/>
  <c r="Y43" i="20"/>
  <c r="N44" i="20"/>
  <c r="P44" i="20"/>
  <c r="Q44" i="20"/>
  <c r="R44" i="20"/>
  <c r="S44" i="20"/>
  <c r="T44" i="20"/>
  <c r="U44" i="20"/>
  <c r="V44" i="20"/>
  <c r="X44" i="20"/>
  <c r="Y44" i="20"/>
  <c r="N45" i="20"/>
  <c r="O45" i="20"/>
  <c r="Q45" i="20"/>
  <c r="R45" i="20"/>
  <c r="T45" i="20"/>
  <c r="U45" i="20"/>
  <c r="V45" i="20"/>
  <c r="W45" i="20"/>
  <c r="X45" i="20"/>
  <c r="Y45" i="20"/>
  <c r="R41" i="20"/>
  <c r="S41" i="20"/>
  <c r="T41" i="20"/>
  <c r="U41" i="20"/>
  <c r="O42" i="20"/>
  <c r="V42" i="20"/>
  <c r="W42" i="20"/>
  <c r="P43" i="20"/>
  <c r="R43" i="20"/>
  <c r="S43" i="20"/>
  <c r="X43" i="20"/>
  <c r="O44" i="20"/>
  <c r="W44" i="20"/>
  <c r="P45" i="20"/>
  <c r="S45" i="20"/>
  <c r="C65" i="22"/>
  <c r="C72" i="22" s="1"/>
  <c r="C63" i="22"/>
  <c r="C70" i="22" s="1"/>
  <c r="A39" i="22"/>
  <c r="A38" i="22"/>
  <c r="A37" i="22"/>
  <c r="A36" i="22"/>
  <c r="A35" i="22"/>
  <c r="A49" i="22" s="1"/>
  <c r="E46" i="21"/>
  <c r="D46" i="21"/>
  <c r="C46" i="21"/>
  <c r="B46" i="21"/>
  <c r="B53" i="21" s="1"/>
  <c r="B60" i="21" s="1"/>
  <c r="E45" i="21"/>
  <c r="D45" i="21"/>
  <c r="C45" i="21"/>
  <c r="B45" i="21"/>
  <c r="B52" i="21" s="1"/>
  <c r="E44" i="21"/>
  <c r="D44" i="21"/>
  <c r="C44" i="21"/>
  <c r="B44" i="21"/>
  <c r="B51" i="21" s="1"/>
  <c r="E43" i="21"/>
  <c r="D43" i="21"/>
  <c r="C43" i="21"/>
  <c r="B43" i="21"/>
  <c r="B50" i="21" s="1"/>
  <c r="E42" i="21"/>
  <c r="D42" i="21"/>
  <c r="C42" i="21"/>
  <c r="B42" i="21"/>
  <c r="B49" i="21" s="1"/>
  <c r="B56" i="21" s="1"/>
  <c r="A36" i="21"/>
  <c r="K46" i="21"/>
  <c r="J46" i="21"/>
  <c r="I46" i="21"/>
  <c r="H46" i="21"/>
  <c r="G46" i="21"/>
  <c r="F46" i="21"/>
  <c r="K45" i="21"/>
  <c r="J45" i="21"/>
  <c r="I45" i="21"/>
  <c r="H45" i="21"/>
  <c r="G45" i="21"/>
  <c r="F45" i="21"/>
  <c r="K44" i="21"/>
  <c r="J44" i="21"/>
  <c r="I44" i="21"/>
  <c r="H44" i="21"/>
  <c r="F44" i="21"/>
  <c r="K43" i="21"/>
  <c r="J43" i="21"/>
  <c r="I43" i="21"/>
  <c r="H43" i="21"/>
  <c r="G43" i="21"/>
  <c r="F43" i="21"/>
  <c r="K42" i="21"/>
  <c r="J42" i="21"/>
  <c r="H42" i="21"/>
  <c r="G42" i="21"/>
  <c r="C14" i="21"/>
  <c r="D14" i="21" s="1"/>
  <c r="E14" i="21" s="1"/>
  <c r="F14" i="21" s="1"/>
  <c r="G14" i="21" s="1"/>
  <c r="H14" i="21" s="1"/>
  <c r="I14" i="21" s="1"/>
  <c r="J14" i="21" s="1"/>
  <c r="U58" i="24" l="1"/>
  <c r="V51" i="24" s="1"/>
  <c r="S59" i="24"/>
  <c r="T52" i="24" s="1"/>
  <c r="S57" i="24"/>
  <c r="T50" i="24" s="1"/>
  <c r="S56" i="24"/>
  <c r="T49" i="24" s="1"/>
  <c r="G63" i="24"/>
  <c r="G60" i="24" s="1"/>
  <c r="H48" i="24"/>
  <c r="H55" i="24" s="1"/>
  <c r="G61" i="24"/>
  <c r="K14" i="21"/>
  <c r="AY67" i="22"/>
  <c r="AX14" i="22"/>
  <c r="AY14" i="22" s="1"/>
  <c r="D63" i="22"/>
  <c r="D70" i="22" s="1"/>
  <c r="C62" i="22"/>
  <c r="C69" i="22" s="1"/>
  <c r="C61" i="22"/>
  <c r="C68" i="22" s="1"/>
  <c r="C64" i="22"/>
  <c r="C71" i="22" s="1"/>
  <c r="B57" i="21"/>
  <c r="C50" i="21" s="1"/>
  <c r="I42" i="21"/>
  <c r="G44" i="21"/>
  <c r="B59" i="21"/>
  <c r="C52" i="21" s="1"/>
  <c r="C49" i="21"/>
  <c r="B58" i="21"/>
  <c r="C51" i="21" s="1"/>
  <c r="C53" i="21"/>
  <c r="T57" i="24" l="1"/>
  <c r="U50" i="24" s="1"/>
  <c r="T59" i="24"/>
  <c r="U52" i="24" s="1"/>
  <c r="V58" i="24"/>
  <c r="W51" i="24" s="1"/>
  <c r="T56" i="24"/>
  <c r="U49" i="24" s="1"/>
  <c r="L14" i="21"/>
  <c r="M14" i="21" s="1"/>
  <c r="N14" i="21" s="1"/>
  <c r="O14" i="21" s="1"/>
  <c r="P14" i="21" s="1"/>
  <c r="Q14" i="21" s="1"/>
  <c r="R14" i="21" s="1"/>
  <c r="S14" i="21" s="1"/>
  <c r="T14" i="21" s="1"/>
  <c r="U14" i="21" s="1"/>
  <c r="V14" i="21" s="1"/>
  <c r="W14" i="21" s="1"/>
  <c r="C76" i="22"/>
  <c r="D61" i="22"/>
  <c r="D68" i="22" s="1"/>
  <c r="H63" i="24"/>
  <c r="H60" i="24" s="1"/>
  <c r="I48" i="24"/>
  <c r="I55" i="24" s="1"/>
  <c r="H61" i="24"/>
  <c r="D62" i="22"/>
  <c r="D69" i="22" s="1"/>
  <c r="E63" i="22"/>
  <c r="E70" i="22" s="1"/>
  <c r="D65" i="22"/>
  <c r="D72" i="22" s="1"/>
  <c r="B74" i="22"/>
  <c r="C58" i="21"/>
  <c r="D51" i="21" s="1"/>
  <c r="C57" i="21"/>
  <c r="D50" i="21" s="1"/>
  <c r="B62" i="21"/>
  <c r="C60" i="21"/>
  <c r="D53" i="21" s="1"/>
  <c r="C59" i="21"/>
  <c r="D52" i="21" s="1"/>
  <c r="B64" i="21"/>
  <c r="C56" i="21"/>
  <c r="D49" i="21" s="1"/>
  <c r="D56" i="21" s="1"/>
  <c r="U56" i="24" l="1"/>
  <c r="V49" i="24" s="1"/>
  <c r="W58" i="24"/>
  <c r="X51" i="24" s="1"/>
  <c r="U59" i="24"/>
  <c r="V52" i="24" s="1"/>
  <c r="U57" i="24"/>
  <c r="V50" i="24" s="1"/>
  <c r="X14" i="21"/>
  <c r="Y14" i="21" s="1"/>
  <c r="Z14" i="21" s="1"/>
  <c r="AA14" i="21" s="1"/>
  <c r="AB14" i="21" s="1"/>
  <c r="AC14" i="21" s="1"/>
  <c r="AD14" i="21" s="1"/>
  <c r="AE14" i="21" s="1"/>
  <c r="AF14" i="21" s="1"/>
  <c r="AG14" i="21" s="1"/>
  <c r="AH14" i="21" s="1"/>
  <c r="AI14" i="21" s="1"/>
  <c r="I63" i="24"/>
  <c r="I60" i="24" s="1"/>
  <c r="B73" i="22"/>
  <c r="I61" i="24"/>
  <c r="J48" i="24"/>
  <c r="J55" i="24" s="1"/>
  <c r="F63" i="22"/>
  <c r="F70" i="22" s="1"/>
  <c r="E61" i="22"/>
  <c r="E68" i="22" s="1"/>
  <c r="E62" i="22"/>
  <c r="E69" i="22" s="1"/>
  <c r="D57" i="21"/>
  <c r="E50" i="21" s="1"/>
  <c r="D59" i="21"/>
  <c r="E52" i="21" s="1"/>
  <c r="C62" i="21"/>
  <c r="D60" i="21"/>
  <c r="E53" i="21" s="1"/>
  <c r="D58" i="21"/>
  <c r="E51" i="21" s="1"/>
  <c r="E49" i="21"/>
  <c r="B61" i="21"/>
  <c r="C64" i="21"/>
  <c r="AJ14" i="21" l="1"/>
  <c r="AK14" i="21" s="1"/>
  <c r="AL14" i="21" s="1"/>
  <c r="AM14" i="21" s="1"/>
  <c r="AN14" i="21" s="1"/>
  <c r="AO14" i="21" s="1"/>
  <c r="AP14" i="21" s="1"/>
  <c r="AQ14" i="21" s="1"/>
  <c r="AR14" i="21" s="1"/>
  <c r="AS14" i="21" s="1"/>
  <c r="AT14" i="21" s="1"/>
  <c r="AU14" i="21" s="1"/>
  <c r="AV14" i="21" s="1"/>
  <c r="AW14" i="21" s="1"/>
  <c r="AX14" i="21" s="1"/>
  <c r="V57" i="24"/>
  <c r="W50" i="24" s="1"/>
  <c r="V59" i="24"/>
  <c r="W52" i="24" s="1"/>
  <c r="X58" i="24"/>
  <c r="Y51" i="24" s="1"/>
  <c r="V56" i="24"/>
  <c r="W49" i="24" s="1"/>
  <c r="J63" i="24"/>
  <c r="J60" i="24" s="1"/>
  <c r="C74" i="22"/>
  <c r="D64" i="22"/>
  <c r="D71" i="22" s="1"/>
  <c r="D76" i="22" s="1"/>
  <c r="K48" i="24"/>
  <c r="K55" i="24" s="1"/>
  <c r="J61" i="24"/>
  <c r="D62" i="21"/>
  <c r="E65" i="22"/>
  <c r="E72" i="22" s="1"/>
  <c r="F61" i="22"/>
  <c r="F68" i="22" s="1"/>
  <c r="F62" i="22"/>
  <c r="F69" i="22" s="1"/>
  <c r="G63" i="22"/>
  <c r="G70" i="22" s="1"/>
  <c r="E56" i="21"/>
  <c r="F49" i="21" s="1"/>
  <c r="E60" i="21"/>
  <c r="F53" i="21" s="1"/>
  <c r="E59" i="21"/>
  <c r="F52" i="21" s="1"/>
  <c r="C61" i="21"/>
  <c r="D64" i="21"/>
  <c r="E58" i="21"/>
  <c r="F51" i="21" s="1"/>
  <c r="E57" i="21"/>
  <c r="W56" i="24" l="1"/>
  <c r="X49" i="24" s="1"/>
  <c r="W57" i="24"/>
  <c r="X50" i="24" s="1"/>
  <c r="Y58" i="24"/>
  <c r="W59" i="24"/>
  <c r="X52" i="24" s="1"/>
  <c r="K63" i="24"/>
  <c r="K60" i="24" s="1"/>
  <c r="G62" i="22"/>
  <c r="G69" i="22" s="1"/>
  <c r="E64" i="22"/>
  <c r="E71" i="22" s="1"/>
  <c r="E76" i="22" s="1"/>
  <c r="C73" i="22"/>
  <c r="L48" i="24"/>
  <c r="L55" i="24" s="1"/>
  <c r="K61" i="24"/>
  <c r="G61" i="22"/>
  <c r="G68" i="22" s="1"/>
  <c r="E62" i="21"/>
  <c r="D74" i="22"/>
  <c r="H63" i="22"/>
  <c r="H70" i="22" s="1"/>
  <c r="D61" i="21"/>
  <c r="E64" i="21"/>
  <c r="F50" i="21"/>
  <c r="F58" i="21"/>
  <c r="G51" i="21" s="1"/>
  <c r="F59" i="21"/>
  <c r="G52" i="21" s="1"/>
  <c r="F56" i="21"/>
  <c r="F60" i="21"/>
  <c r="G53" i="21" s="1"/>
  <c r="Z51" i="24" l="1"/>
  <c r="Z58" i="24" s="1"/>
  <c r="X59" i="24"/>
  <c r="Y52" i="24" s="1"/>
  <c r="X56" i="24"/>
  <c r="Y49" i="24" s="1"/>
  <c r="X57" i="24"/>
  <c r="Y50" i="24" s="1"/>
  <c r="L63" i="24"/>
  <c r="L60" i="24" s="1"/>
  <c r="F64" i="22"/>
  <c r="F71" i="22" s="1"/>
  <c r="D73" i="22"/>
  <c r="M48" i="24"/>
  <c r="L61" i="24"/>
  <c r="G49" i="21"/>
  <c r="G56" i="21" s="1"/>
  <c r="H49" i="21" s="1"/>
  <c r="I63" i="22"/>
  <c r="I70" i="22" s="1"/>
  <c r="H62" i="22"/>
  <c r="H69" i="22" s="1"/>
  <c r="H61" i="22"/>
  <c r="H68" i="22" s="1"/>
  <c r="G59" i="21"/>
  <c r="H52" i="21" s="1"/>
  <c r="G60" i="21"/>
  <c r="H53" i="21" s="1"/>
  <c r="G58" i="21"/>
  <c r="H51" i="21" s="1"/>
  <c r="E61" i="21"/>
  <c r="F57" i="21"/>
  <c r="F64" i="21" s="1"/>
  <c r="Y57" i="24" l="1"/>
  <c r="Y56" i="24"/>
  <c r="Z49" i="24" s="1"/>
  <c r="Y59" i="24"/>
  <c r="G64" i="22"/>
  <c r="G71" i="22" s="1"/>
  <c r="E74" i="22"/>
  <c r="F65" i="22"/>
  <c r="F72" i="22" s="1"/>
  <c r="F76" i="22" s="1"/>
  <c r="M55" i="24"/>
  <c r="M63" i="24" s="1"/>
  <c r="F62" i="21"/>
  <c r="G50" i="21"/>
  <c r="G57" i="21" s="1"/>
  <c r="G62" i="21" s="1"/>
  <c r="I62" i="22"/>
  <c r="I69" i="22" s="1"/>
  <c r="J63" i="22"/>
  <c r="J70" i="22" s="1"/>
  <c r="I61" i="22"/>
  <c r="I68" i="22" s="1"/>
  <c r="H58" i="21"/>
  <c r="I51" i="21" s="1"/>
  <c r="F61" i="21"/>
  <c r="H60" i="21"/>
  <c r="I53" i="21" s="1"/>
  <c r="H56" i="21"/>
  <c r="I49" i="21" s="1"/>
  <c r="H59" i="21"/>
  <c r="I52" i="21" s="1"/>
  <c r="N48" i="24" l="1"/>
  <c r="Z56" i="24"/>
  <c r="Z52" i="24"/>
  <c r="Z59" i="24" s="1"/>
  <c r="Z50" i="24"/>
  <c r="Z57" i="24" s="1"/>
  <c r="H64" i="22"/>
  <c r="H71" i="22" s="1"/>
  <c r="G65" i="22"/>
  <c r="G72" i="22" s="1"/>
  <c r="G76" i="22" s="1"/>
  <c r="M61" i="24"/>
  <c r="M60" i="24"/>
  <c r="H50" i="21"/>
  <c r="H57" i="21" s="1"/>
  <c r="H62" i="21" s="1"/>
  <c r="G64" i="21"/>
  <c r="E73" i="22"/>
  <c r="K63" i="22"/>
  <c r="K70" i="22" s="1"/>
  <c r="J61" i="22"/>
  <c r="J68" i="22" s="1"/>
  <c r="J62" i="22"/>
  <c r="J69" i="22" s="1"/>
  <c r="F74" i="22"/>
  <c r="I59" i="21"/>
  <c r="J52" i="21" s="1"/>
  <c r="I56" i="21"/>
  <c r="J49" i="21" s="1"/>
  <c r="I60" i="21"/>
  <c r="J53" i="21" s="1"/>
  <c r="I58" i="21"/>
  <c r="J51" i="21" s="1"/>
  <c r="N55" i="24" l="1"/>
  <c r="N63" i="24" s="1"/>
  <c r="G61" i="21"/>
  <c r="I64" i="22"/>
  <c r="I71" i="22" s="1"/>
  <c r="H65" i="22"/>
  <c r="H72" i="22" s="1"/>
  <c r="H76" i="22" s="1"/>
  <c r="I50" i="21"/>
  <c r="I57" i="21" s="1"/>
  <c r="J50" i="21" s="1"/>
  <c r="H64" i="21"/>
  <c r="L63" i="22"/>
  <c r="L70" i="22" s="1"/>
  <c r="G74" i="22"/>
  <c r="K62" i="22"/>
  <c r="K69" i="22" s="1"/>
  <c r="J58" i="21"/>
  <c r="K51" i="21" s="1"/>
  <c r="J56" i="21"/>
  <c r="K49" i="21" s="1"/>
  <c r="J59" i="21"/>
  <c r="K52" i="21" s="1"/>
  <c r="J60" i="21"/>
  <c r="K53" i="21" s="1"/>
  <c r="N61" i="24" l="1"/>
  <c r="O48" i="24"/>
  <c r="O55" i="24" s="1"/>
  <c r="N60" i="24"/>
  <c r="H61" i="21"/>
  <c r="J64" i="22"/>
  <c r="J71" i="22" s="1"/>
  <c r="F73" i="22"/>
  <c r="K56" i="21"/>
  <c r="L49" i="21" s="1"/>
  <c r="L56" i="21" s="1"/>
  <c r="M49" i="21" s="1"/>
  <c r="I62" i="21"/>
  <c r="I64" i="21"/>
  <c r="L62" i="22"/>
  <c r="L69" i="22" s="1"/>
  <c r="H74" i="22"/>
  <c r="K61" i="22"/>
  <c r="K68" i="22" s="1"/>
  <c r="J57" i="21"/>
  <c r="K50" i="21" s="1"/>
  <c r="O61" i="24" l="1"/>
  <c r="P48" i="24"/>
  <c r="O63" i="24"/>
  <c r="I61" i="21"/>
  <c r="K64" i="22"/>
  <c r="K71" i="22" s="1"/>
  <c r="I65" i="22"/>
  <c r="I72" i="22" s="1"/>
  <c r="I76" i="22" s="1"/>
  <c r="L61" i="22"/>
  <c r="L68" i="22" s="1"/>
  <c r="G73" i="22"/>
  <c r="J64" i="21"/>
  <c r="J62" i="21"/>
  <c r="O60" i="24" l="1"/>
  <c r="P55" i="24"/>
  <c r="J61" i="21"/>
  <c r="L64" i="22"/>
  <c r="L71" i="22" s="1"/>
  <c r="J65" i="22"/>
  <c r="J72" i="22" s="1"/>
  <c r="J76" i="22" s="1"/>
  <c r="H73" i="22"/>
  <c r="P63" i="24" l="1"/>
  <c r="Q48" i="24"/>
  <c r="P61" i="24"/>
  <c r="K65" i="22"/>
  <c r="K72" i="22" s="1"/>
  <c r="K76" i="22" s="1"/>
  <c r="J74" i="22"/>
  <c r="I74" i="22"/>
  <c r="P60" i="24" l="1"/>
  <c r="Q55" i="24"/>
  <c r="R48" i="24" s="1"/>
  <c r="I73" i="22"/>
  <c r="Q61" i="24" l="1"/>
  <c r="Q63" i="24"/>
  <c r="J73" i="22"/>
  <c r="R55" i="24" l="1"/>
  <c r="Q60" i="24"/>
  <c r="K74" i="22"/>
  <c r="L65" i="22"/>
  <c r="L72" i="22" s="1"/>
  <c r="L76" i="22" s="1"/>
  <c r="R63" i="24" l="1"/>
  <c r="S48" i="24"/>
  <c r="R61" i="24"/>
  <c r="L74" i="22"/>
  <c r="K73" i="22"/>
  <c r="R60" i="24" l="1"/>
  <c r="S55" i="24"/>
  <c r="T48" i="24" s="1"/>
  <c r="AB49" i="1"/>
  <c r="AA49" i="1"/>
  <c r="Z49" i="1"/>
  <c r="S61" i="24" l="1"/>
  <c r="S63" i="24"/>
  <c r="AA46" i="1"/>
  <c r="AA58" i="1" s="1"/>
  <c r="AA42" i="1"/>
  <c r="AA54" i="1" s="1"/>
  <c r="AA45" i="1"/>
  <c r="AA57" i="1" s="1"/>
  <c r="AA44" i="1"/>
  <c r="AA56" i="1" s="1"/>
  <c r="AA43" i="1"/>
  <c r="AA55" i="1" s="1"/>
  <c r="Z43" i="1"/>
  <c r="Z55" i="1" s="1"/>
  <c r="Z46" i="1"/>
  <c r="Z58" i="1" s="1"/>
  <c r="Z42" i="1"/>
  <c r="Z45" i="1"/>
  <c r="Z57" i="1" s="1"/>
  <c r="Z44" i="1"/>
  <c r="Z56" i="1" s="1"/>
  <c r="AB46" i="1"/>
  <c r="AB58" i="1" s="1"/>
  <c r="AB42" i="1"/>
  <c r="AB54" i="1" s="1"/>
  <c r="AB45" i="1"/>
  <c r="AB57" i="1" s="1"/>
  <c r="AB44" i="1"/>
  <c r="AB56" i="1" s="1"/>
  <c r="AB43" i="1"/>
  <c r="AB55" i="1" s="1"/>
  <c r="L73" i="22"/>
  <c r="C4" i="1" l="1"/>
  <c r="T55" i="24"/>
  <c r="S60" i="24"/>
  <c r="Z54" i="1"/>
  <c r="K60" i="21"/>
  <c r="K58" i="21"/>
  <c r="K59" i="21"/>
  <c r="G4" i="23"/>
  <c r="T61" i="24" l="1"/>
  <c r="U48" i="24"/>
  <c r="T63" i="24"/>
  <c r="L52" i="21"/>
  <c r="L59" i="21" s="1"/>
  <c r="L51" i="21"/>
  <c r="L58" i="21" s="1"/>
  <c r="L53" i="21"/>
  <c r="L60" i="21" s="1"/>
  <c r="B4" i="11"/>
  <c r="T60" i="24" l="1"/>
  <c r="U55" i="24"/>
  <c r="V48" i="24" s="1"/>
  <c r="M51" i="21"/>
  <c r="M58" i="21" s="1"/>
  <c r="N51" i="21" s="1"/>
  <c r="M53" i="21"/>
  <c r="M60" i="21" s="1"/>
  <c r="N53" i="21" s="1"/>
  <c r="M52" i="21"/>
  <c r="M59" i="21" s="1"/>
  <c r="N52" i="21" s="1"/>
  <c r="K57" i="21"/>
  <c r="G31" i="5"/>
  <c r="J31" i="23" s="1"/>
  <c r="G21" i="5"/>
  <c r="U61" i="24" l="1"/>
  <c r="U63" i="24"/>
  <c r="N58" i="21"/>
  <c r="O51" i="21" s="1"/>
  <c r="N59" i="21"/>
  <c r="O52" i="21" s="1"/>
  <c r="N60" i="21"/>
  <c r="O53" i="21" s="1"/>
  <c r="O60" i="21" s="1"/>
  <c r="L50" i="21"/>
  <c r="L57" i="21" s="1"/>
  <c r="K64" i="21"/>
  <c r="K62" i="21"/>
  <c r="V55" i="24" l="1"/>
  <c r="U60" i="24"/>
  <c r="K61" i="21"/>
  <c r="L64" i="21"/>
  <c r="L62" i="21"/>
  <c r="M56" i="21"/>
  <c r="N49" i="21" s="1"/>
  <c r="P53" i="21"/>
  <c r="O59" i="21"/>
  <c r="P52" i="21" s="1"/>
  <c r="O58" i="21"/>
  <c r="P51" i="21" s="1"/>
  <c r="V61" i="24" l="1"/>
  <c r="W48" i="24"/>
  <c r="V63" i="24"/>
  <c r="W55" i="24"/>
  <c r="W61" i="24" s="1"/>
  <c r="N56" i="21"/>
  <c r="L61" i="21"/>
  <c r="M50" i="21"/>
  <c r="M57" i="21" s="1"/>
  <c r="M62" i="21" s="1"/>
  <c r="P59" i="21"/>
  <c r="Q52" i="21" s="1"/>
  <c r="P60" i="21"/>
  <c r="Q53" i="21" s="1"/>
  <c r="P58" i="21"/>
  <c r="Q51" i="21" s="1"/>
  <c r="V60" i="24" l="1"/>
  <c r="X48" i="24"/>
  <c r="W63" i="24"/>
  <c r="O49" i="21"/>
  <c r="O56" i="21" s="1"/>
  <c r="N50" i="21"/>
  <c r="N57" i="21" s="1"/>
  <c r="N62" i="21" s="1"/>
  <c r="M64" i="21"/>
  <c r="Q58" i="21"/>
  <c r="R51" i="21" s="1"/>
  <c r="Q60" i="21"/>
  <c r="R53" i="21" s="1"/>
  <c r="Q59" i="21"/>
  <c r="R52" i="21" s="1"/>
  <c r="AI67" i="1"/>
  <c r="W60" i="24" l="1"/>
  <c r="X55" i="24"/>
  <c r="X61" i="24" s="1"/>
  <c r="M54" i="20"/>
  <c r="N64" i="21"/>
  <c r="M61" i="21"/>
  <c r="O50" i="21"/>
  <c r="R59" i="21"/>
  <c r="S52" i="21" s="1"/>
  <c r="R60" i="21"/>
  <c r="S53" i="21" s="1"/>
  <c r="R58" i="21"/>
  <c r="S51" i="21" s="1"/>
  <c r="Y48" i="24" l="1"/>
  <c r="X63" i="24"/>
  <c r="N61" i="21"/>
  <c r="P49" i="21"/>
  <c r="S60" i="21"/>
  <c r="T53" i="21" s="1"/>
  <c r="S59" i="21"/>
  <c r="T52" i="21" s="1"/>
  <c r="S58" i="21"/>
  <c r="T51" i="21" s="1"/>
  <c r="O57" i="21"/>
  <c r="O64" i="21" s="1"/>
  <c r="C29" i="20"/>
  <c r="C33" i="20" s="1"/>
  <c r="C30" i="20"/>
  <c r="C31" i="20"/>
  <c r="C32" i="20"/>
  <c r="B31" i="20"/>
  <c r="B32" i="20"/>
  <c r="B30" i="20"/>
  <c r="B29" i="20"/>
  <c r="X60" i="24" l="1"/>
  <c r="Y55" i="24"/>
  <c r="Y61" i="24" s="1"/>
  <c r="B41" i="20"/>
  <c r="O62" i="21"/>
  <c r="P56" i="21"/>
  <c r="Q49" i="21" s="1"/>
  <c r="P50" i="21"/>
  <c r="T59" i="21"/>
  <c r="U52" i="21" s="1"/>
  <c r="T58" i="21"/>
  <c r="U51" i="21" s="1"/>
  <c r="T60" i="21"/>
  <c r="U53" i="21" s="1"/>
  <c r="O61" i="21"/>
  <c r="B33" i="20"/>
  <c r="L41" i="20"/>
  <c r="M41" i="20"/>
  <c r="L42" i="20"/>
  <c r="M42" i="20"/>
  <c r="L43" i="20"/>
  <c r="M43" i="20"/>
  <c r="L44" i="20"/>
  <c r="M44" i="20"/>
  <c r="L45" i="20"/>
  <c r="M45" i="20"/>
  <c r="Z48" i="24" l="1"/>
  <c r="Z55" i="24" s="1"/>
  <c r="Z61" i="24" s="1"/>
  <c r="Y63" i="24"/>
  <c r="Q56" i="21"/>
  <c r="R49" i="21" s="1"/>
  <c r="U60" i="21"/>
  <c r="V53" i="21" s="1"/>
  <c r="U58" i="21"/>
  <c r="V51" i="21" s="1"/>
  <c r="U59" i="21"/>
  <c r="V52" i="21" s="1"/>
  <c r="P57" i="21"/>
  <c r="P62" i="21" s="1"/>
  <c r="A36" i="20"/>
  <c r="K45" i="20"/>
  <c r="J45" i="20"/>
  <c r="I45" i="20"/>
  <c r="H45" i="20"/>
  <c r="G45" i="20"/>
  <c r="F45" i="20"/>
  <c r="E45" i="20"/>
  <c r="C45" i="20"/>
  <c r="B45" i="20"/>
  <c r="B52" i="20" s="1"/>
  <c r="K44" i="20"/>
  <c r="J44" i="20"/>
  <c r="I44" i="20"/>
  <c r="H44" i="20"/>
  <c r="G44" i="20"/>
  <c r="F44" i="20"/>
  <c r="E44" i="20"/>
  <c r="C44" i="20"/>
  <c r="B44" i="20"/>
  <c r="B51" i="20" s="1"/>
  <c r="K43" i="20"/>
  <c r="J43" i="20"/>
  <c r="I43" i="20"/>
  <c r="H43" i="20"/>
  <c r="G43" i="20"/>
  <c r="F43" i="20"/>
  <c r="E43" i="20"/>
  <c r="C43" i="20"/>
  <c r="B43" i="20"/>
  <c r="B50" i="20" s="1"/>
  <c r="K42" i="20"/>
  <c r="J42" i="20"/>
  <c r="I42" i="20"/>
  <c r="H42" i="20"/>
  <c r="G42" i="20"/>
  <c r="F42" i="20"/>
  <c r="E42" i="20"/>
  <c r="C42" i="20"/>
  <c r="B42" i="20"/>
  <c r="B49" i="20" s="1"/>
  <c r="K41" i="20"/>
  <c r="J41" i="20"/>
  <c r="I41" i="20"/>
  <c r="H41" i="20"/>
  <c r="G41" i="20"/>
  <c r="F41" i="20"/>
  <c r="E41" i="20"/>
  <c r="C41" i="20"/>
  <c r="C14" i="20"/>
  <c r="D14" i="20" s="1"/>
  <c r="E14" i="20" s="1"/>
  <c r="F14" i="20" s="1"/>
  <c r="G14" i="20" s="1"/>
  <c r="H14" i="20" s="1"/>
  <c r="I14" i="20" s="1"/>
  <c r="J14" i="20" s="1"/>
  <c r="K14" i="20" s="1"/>
  <c r="L14" i="20" s="1"/>
  <c r="M14" i="20" s="1"/>
  <c r="N14" i="20" s="1"/>
  <c r="O14" i="20" s="1"/>
  <c r="P14" i="20" s="1"/>
  <c r="Q14" i="20" s="1"/>
  <c r="R14" i="20" s="1"/>
  <c r="S14" i="20" s="1"/>
  <c r="T14" i="20" s="1"/>
  <c r="U14" i="20" s="1"/>
  <c r="V14" i="20" s="1"/>
  <c r="W14" i="20" s="1"/>
  <c r="X14" i="20" s="1"/>
  <c r="Y14" i="20" s="1"/>
  <c r="Z63" i="24" l="1"/>
  <c r="Y60" i="24"/>
  <c r="Z14" i="20"/>
  <c r="AA14" i="20" s="1"/>
  <c r="AB14" i="20" s="1"/>
  <c r="AC14" i="20" s="1"/>
  <c r="AD14" i="20" s="1"/>
  <c r="AE14" i="20" s="1"/>
  <c r="AF14" i="20" s="1"/>
  <c r="AG14" i="20" s="1"/>
  <c r="AH14" i="20" s="1"/>
  <c r="AI14" i="20" s="1"/>
  <c r="AJ14" i="20" s="1"/>
  <c r="AK14" i="20" s="1"/>
  <c r="Q50" i="21"/>
  <c r="P64" i="21"/>
  <c r="V59" i="21"/>
  <c r="V58" i="21"/>
  <c r="V60" i="21"/>
  <c r="R56" i="21"/>
  <c r="S49" i="21" s="1"/>
  <c r="D43" i="20"/>
  <c r="D45" i="20"/>
  <c r="D41" i="20"/>
  <c r="D42" i="20"/>
  <c r="D44" i="20"/>
  <c r="B48" i="20"/>
  <c r="B9" i="20"/>
  <c r="Z60" i="24" l="1"/>
  <c r="AL14" i="20"/>
  <c r="AM14" i="20" s="1"/>
  <c r="AN14" i="20" s="1"/>
  <c r="AO14" i="20" s="1"/>
  <c r="AP14" i="20" s="1"/>
  <c r="AQ14" i="20" s="1"/>
  <c r="AR14" i="20" s="1"/>
  <c r="AS14" i="20" s="1"/>
  <c r="AT14" i="20" s="1"/>
  <c r="AU14" i="20" s="1"/>
  <c r="AV14" i="20" s="1"/>
  <c r="AW14" i="20" s="1"/>
  <c r="AX14" i="20" s="1"/>
  <c r="AY14" i="20" s="1"/>
  <c r="AZ14" i="20" s="1"/>
  <c r="P61" i="21"/>
  <c r="W51" i="21"/>
  <c r="W52" i="21"/>
  <c r="W53" i="21"/>
  <c r="Q57" i="21"/>
  <c r="R50" i="21" s="1"/>
  <c r="W60" i="21" l="1"/>
  <c r="X53" i="21" s="1"/>
  <c r="X60" i="21" s="1"/>
  <c r="W59" i="21"/>
  <c r="X52" i="21" s="1"/>
  <c r="X59" i="21" s="1"/>
  <c r="W58" i="21"/>
  <c r="X51" i="21" s="1"/>
  <c r="X58" i="21" s="1"/>
  <c r="S56" i="21"/>
  <c r="T49" i="21" s="1"/>
  <c r="Q62" i="21"/>
  <c r="Q64" i="21"/>
  <c r="Y51" i="21" l="1"/>
  <c r="Y52" i="21"/>
  <c r="Y53" i="21"/>
  <c r="R57" i="21"/>
  <c r="R64" i="21" s="1"/>
  <c r="Q61" i="21"/>
  <c r="Y59" i="21" l="1"/>
  <c r="Z52" i="21" s="1"/>
  <c r="Y60" i="21"/>
  <c r="Z53" i="21" s="1"/>
  <c r="Y58" i="21"/>
  <c r="Z51" i="21" s="1"/>
  <c r="R62" i="21"/>
  <c r="S50" i="21"/>
  <c r="T56" i="21"/>
  <c r="U49" i="21" s="1"/>
  <c r="R61" i="21"/>
  <c r="AI29" i="11"/>
  <c r="AI42" i="11" s="1"/>
  <c r="AI30" i="11"/>
  <c r="AI43" i="11" s="1"/>
  <c r="AI31" i="11"/>
  <c r="AI44" i="11" s="1"/>
  <c r="AI32" i="11"/>
  <c r="AI45" i="11" s="1"/>
  <c r="AI33" i="11"/>
  <c r="AI46" i="11" s="1"/>
  <c r="AI55" i="11"/>
  <c r="X29" i="11"/>
  <c r="X42" i="11" s="1"/>
  <c r="Y29" i="11"/>
  <c r="Y42" i="11" s="1"/>
  <c r="Z29" i="11"/>
  <c r="Z42" i="11" s="1"/>
  <c r="AA29" i="11"/>
  <c r="AA42" i="11" s="1"/>
  <c r="AB29" i="11"/>
  <c r="AB42" i="11" s="1"/>
  <c r="AC29" i="11"/>
  <c r="AC42" i="11" s="1"/>
  <c r="AD29" i="11"/>
  <c r="AD42" i="11" s="1"/>
  <c r="AE29" i="11"/>
  <c r="AE42" i="11" s="1"/>
  <c r="AF29" i="11"/>
  <c r="AF42" i="11" s="1"/>
  <c r="AG29" i="11"/>
  <c r="AG42" i="11" s="1"/>
  <c r="AH29" i="11"/>
  <c r="AH42" i="11" s="1"/>
  <c r="X30" i="11"/>
  <c r="X43" i="11" s="1"/>
  <c r="Y30" i="11"/>
  <c r="Y43" i="11" s="1"/>
  <c r="Z30" i="11"/>
  <c r="Z43" i="11" s="1"/>
  <c r="AA30" i="11"/>
  <c r="AA43" i="11" s="1"/>
  <c r="AB30" i="11"/>
  <c r="AB43" i="11" s="1"/>
  <c r="AC30" i="11"/>
  <c r="AC43" i="11" s="1"/>
  <c r="AD30" i="11"/>
  <c r="AD43" i="11" s="1"/>
  <c r="AE30" i="11"/>
  <c r="AE43" i="11" s="1"/>
  <c r="AF30" i="11"/>
  <c r="AF43" i="11" s="1"/>
  <c r="AG30" i="11"/>
  <c r="AG43" i="11" s="1"/>
  <c r="AH30" i="11"/>
  <c r="AH43" i="11" s="1"/>
  <c r="X31" i="11"/>
  <c r="X44" i="11" s="1"/>
  <c r="Y31" i="11"/>
  <c r="Y44" i="11" s="1"/>
  <c r="Z31" i="11"/>
  <c r="Z44" i="11" s="1"/>
  <c r="AA31" i="11"/>
  <c r="AA44" i="11" s="1"/>
  <c r="AB31" i="11"/>
  <c r="AB44" i="11" s="1"/>
  <c r="AC31" i="11"/>
  <c r="AC44" i="11" s="1"/>
  <c r="AD31" i="11"/>
  <c r="AD44" i="11" s="1"/>
  <c r="AE31" i="11"/>
  <c r="AE44" i="11" s="1"/>
  <c r="AF31" i="11"/>
  <c r="AF44" i="11" s="1"/>
  <c r="AG31" i="11"/>
  <c r="AG44" i="11" s="1"/>
  <c r="AH31" i="11"/>
  <c r="AH44" i="11" s="1"/>
  <c r="X32" i="11"/>
  <c r="X45" i="11" s="1"/>
  <c r="Y32" i="11"/>
  <c r="Y45" i="11" s="1"/>
  <c r="Z32" i="11"/>
  <c r="Z45" i="11" s="1"/>
  <c r="AA32" i="11"/>
  <c r="AA45" i="11" s="1"/>
  <c r="AB32" i="11"/>
  <c r="AB45" i="11" s="1"/>
  <c r="AC32" i="11"/>
  <c r="AC45" i="11" s="1"/>
  <c r="AD32" i="11"/>
  <c r="AD45" i="11" s="1"/>
  <c r="AE32" i="11"/>
  <c r="AE45" i="11" s="1"/>
  <c r="AF32" i="11"/>
  <c r="AF45" i="11" s="1"/>
  <c r="AG32" i="11"/>
  <c r="AG45" i="11" s="1"/>
  <c r="AH32" i="11"/>
  <c r="AH45" i="11" s="1"/>
  <c r="X33" i="11"/>
  <c r="X46" i="11" s="1"/>
  <c r="Y33" i="11"/>
  <c r="Y46" i="11" s="1"/>
  <c r="Z33" i="11"/>
  <c r="Z46" i="11" s="1"/>
  <c r="AA33" i="11"/>
  <c r="AA46" i="11" s="1"/>
  <c r="AB33" i="11"/>
  <c r="AB46" i="11" s="1"/>
  <c r="AC33" i="11"/>
  <c r="AC46" i="11" s="1"/>
  <c r="AD33" i="11"/>
  <c r="AD46" i="11" s="1"/>
  <c r="AE33" i="11"/>
  <c r="AE46" i="11" s="1"/>
  <c r="AF33" i="11"/>
  <c r="AF46" i="11" s="1"/>
  <c r="AG33" i="11"/>
  <c r="AG46" i="11" s="1"/>
  <c r="AH33" i="11"/>
  <c r="AH46" i="11" s="1"/>
  <c r="AH67" i="1"/>
  <c r="AG67" i="1"/>
  <c r="AF67" i="1"/>
  <c r="AE67" i="1"/>
  <c r="AE55" i="11" s="1"/>
  <c r="AD67" i="1"/>
  <c r="AC67" i="1"/>
  <c r="AC55" i="11" s="1"/>
  <c r="AB67" i="1"/>
  <c r="AB55" i="11" s="1"/>
  <c r="AA67" i="1"/>
  <c r="AA55" i="11" s="1"/>
  <c r="Z67" i="1"/>
  <c r="Z55" i="11" s="1"/>
  <c r="Y67" i="1"/>
  <c r="X67" i="1"/>
  <c r="Z58" i="21" l="1"/>
  <c r="AA51" i="21" s="1"/>
  <c r="Z60" i="21"/>
  <c r="AA53" i="21" s="1"/>
  <c r="Z59" i="21"/>
  <c r="AA52" i="21" s="1"/>
  <c r="I54" i="20"/>
  <c r="B54" i="20"/>
  <c r="H54" i="20"/>
  <c r="J54" i="20"/>
  <c r="C54" i="20"/>
  <c r="K54" i="20"/>
  <c r="L54" i="20"/>
  <c r="E54" i="20"/>
  <c r="F54" i="20"/>
  <c r="AG55" i="11"/>
  <c r="Y55" i="11"/>
  <c r="AD55" i="11"/>
  <c r="D54" i="20"/>
  <c r="AH55" i="11"/>
  <c r="G54" i="20"/>
  <c r="AF55" i="11"/>
  <c r="X55" i="11"/>
  <c r="S57" i="21"/>
  <c r="T50" i="21" s="1"/>
  <c r="AA59" i="21" l="1"/>
  <c r="AB52" i="21" s="1"/>
  <c r="AA60" i="21"/>
  <c r="AB53" i="21" s="1"/>
  <c r="AA58" i="21"/>
  <c r="AB51" i="21" s="1"/>
  <c r="B59" i="20"/>
  <c r="C52" i="20" s="1"/>
  <c r="C59" i="20" s="1"/>
  <c r="D52" i="20" s="1"/>
  <c r="D59" i="20" s="1"/>
  <c r="E52" i="20" s="1"/>
  <c r="E59" i="20" s="1"/>
  <c r="F52" i="20" s="1"/>
  <c r="B57" i="20"/>
  <c r="C50" i="20" s="1"/>
  <c r="C57" i="20" s="1"/>
  <c r="D50" i="20" s="1"/>
  <c r="B58" i="20"/>
  <c r="C51" i="20" s="1"/>
  <c r="C58" i="20" s="1"/>
  <c r="D51" i="20" s="1"/>
  <c r="D58" i="20" s="1"/>
  <c r="E51" i="20" s="1"/>
  <c r="E58" i="20" s="1"/>
  <c r="F51" i="20" s="1"/>
  <c r="F58" i="20" s="1"/>
  <c r="G51" i="20" s="1"/>
  <c r="G58" i="20" s="1"/>
  <c r="H51" i="20" s="1"/>
  <c r="B56" i="20"/>
  <c r="C49" i="20" s="1"/>
  <c r="C56" i="20" s="1"/>
  <c r="D49" i="20" s="1"/>
  <c r="B55" i="20"/>
  <c r="U56" i="21"/>
  <c r="V49" i="21" s="1"/>
  <c r="S62" i="21"/>
  <c r="S64" i="21"/>
  <c r="AB58" i="21" l="1"/>
  <c r="AC51" i="21" s="1"/>
  <c r="AB60" i="21"/>
  <c r="AC53" i="21" s="1"/>
  <c r="AB59" i="21"/>
  <c r="AC52" i="21" s="1"/>
  <c r="D57" i="20"/>
  <c r="E50" i="20" s="1"/>
  <c r="F59" i="20"/>
  <c r="G52" i="20" s="1"/>
  <c r="G59" i="20" s="1"/>
  <c r="H52" i="20" s="1"/>
  <c r="H59" i="20" s="1"/>
  <c r="I52" i="20" s="1"/>
  <c r="B63" i="20"/>
  <c r="B60" i="20" s="1"/>
  <c r="B61" i="20"/>
  <c r="C48" i="20"/>
  <c r="C55" i="20" s="1"/>
  <c r="D56" i="20"/>
  <c r="E49" i="20" s="1"/>
  <c r="E56" i="20" s="1"/>
  <c r="F49" i="20" s="1"/>
  <c r="F56" i="20" s="1"/>
  <c r="G49" i="20" s="1"/>
  <c r="G56" i="20" s="1"/>
  <c r="H49" i="20" s="1"/>
  <c r="H56" i="20" s="1"/>
  <c r="I49" i="20" s="1"/>
  <c r="S61" i="21"/>
  <c r="T57" i="21"/>
  <c r="H58" i="20"/>
  <c r="I51" i="20" s="1"/>
  <c r="AC60" i="21" l="1"/>
  <c r="AD53" i="21" s="1"/>
  <c r="AC58" i="21"/>
  <c r="AD51" i="21" s="1"/>
  <c r="AC59" i="21"/>
  <c r="AD52" i="21" s="1"/>
  <c r="D48" i="20"/>
  <c r="D55" i="20" s="1"/>
  <c r="C63" i="20"/>
  <c r="C60" i="20" s="1"/>
  <c r="C61" i="20"/>
  <c r="E57" i="20"/>
  <c r="F50" i="20" s="1"/>
  <c r="T62" i="21"/>
  <c r="U50" i="21"/>
  <c r="V56" i="21"/>
  <c r="W49" i="21" s="1"/>
  <c r="T64" i="21"/>
  <c r="I56" i="20"/>
  <c r="J49" i="20" s="1"/>
  <c r="I59" i="20"/>
  <c r="J52" i="20" s="1"/>
  <c r="I58" i="20"/>
  <c r="J51" i="20" s="1"/>
  <c r="AD59" i="21" l="1"/>
  <c r="AE52" i="21" s="1"/>
  <c r="AD58" i="21"/>
  <c r="AE51" i="21" s="1"/>
  <c r="AD60" i="21"/>
  <c r="AE53" i="21" s="1"/>
  <c r="E48" i="20"/>
  <c r="E55" i="20" s="1"/>
  <c r="D63" i="20"/>
  <c r="D60" i="20" s="1"/>
  <c r="D61" i="20"/>
  <c r="F57" i="20"/>
  <c r="G50" i="20" s="1"/>
  <c r="T61" i="21"/>
  <c r="U57" i="21"/>
  <c r="U62" i="21" s="1"/>
  <c r="W56" i="21"/>
  <c r="X49" i="21" s="1"/>
  <c r="X56" i="21" s="1"/>
  <c r="J56" i="20"/>
  <c r="K49" i="20" s="1"/>
  <c r="J59" i="20"/>
  <c r="K52" i="20" s="1"/>
  <c r="J58" i="20"/>
  <c r="K51" i="20" s="1"/>
  <c r="Y49" i="21" l="1"/>
  <c r="AE60" i="21"/>
  <c r="AF53" i="21" s="1"/>
  <c r="AE58" i="21"/>
  <c r="AF51" i="21" s="1"/>
  <c r="AE59" i="21"/>
  <c r="AF52" i="21" s="1"/>
  <c r="F48" i="20"/>
  <c r="F55" i="20" s="1"/>
  <c r="E61" i="20"/>
  <c r="E63" i="20"/>
  <c r="E60" i="20" s="1"/>
  <c r="G57" i="20"/>
  <c r="H50" i="20" s="1"/>
  <c r="V50" i="21"/>
  <c r="U64" i="21"/>
  <c r="K59" i="20"/>
  <c r="L52" i="20" s="1"/>
  <c r="K58" i="20"/>
  <c r="K56" i="20"/>
  <c r="L49" i="20" s="1"/>
  <c r="L56" i="20" s="1"/>
  <c r="M49" i="20" s="1"/>
  <c r="AF59" i="21" l="1"/>
  <c r="AG52" i="21" s="1"/>
  <c r="AF58" i="21"/>
  <c r="AG51" i="21" s="1"/>
  <c r="AF60" i="21"/>
  <c r="AG53" i="21" s="1"/>
  <c r="Y56" i="21"/>
  <c r="Z49" i="21" s="1"/>
  <c r="G48" i="20"/>
  <c r="G55" i="20" s="1"/>
  <c r="F61" i="20"/>
  <c r="F63" i="20"/>
  <c r="F60" i="20" s="1"/>
  <c r="H57" i="20"/>
  <c r="I50" i="20" s="1"/>
  <c r="I57" i="20" s="1"/>
  <c r="J50" i="20" s="1"/>
  <c r="J57" i="20" s="1"/>
  <c r="U61" i="21"/>
  <c r="V57" i="21"/>
  <c r="W50" i="21" s="1"/>
  <c r="M56" i="20"/>
  <c r="N49" i="20" s="1"/>
  <c r="N56" i="20" s="1"/>
  <c r="O49" i="20" s="1"/>
  <c r="O56" i="20" s="1"/>
  <c r="P49" i="20" s="1"/>
  <c r="P56" i="20" s="1"/>
  <c r="Q49" i="20" s="1"/>
  <c r="Q56" i="20" s="1"/>
  <c r="R49" i="20" s="1"/>
  <c r="L59" i="20"/>
  <c r="M52" i="20" s="1"/>
  <c r="L51" i="20"/>
  <c r="Z56" i="21" l="1"/>
  <c r="AG59" i="21"/>
  <c r="AH52" i="21" s="1"/>
  <c r="AG60" i="21"/>
  <c r="AH53" i="21" s="1"/>
  <c r="AG58" i="21"/>
  <c r="AH51" i="21" s="1"/>
  <c r="H48" i="20"/>
  <c r="H55" i="20" s="1"/>
  <c r="G63" i="20"/>
  <c r="G60" i="20" s="1"/>
  <c r="G61" i="20"/>
  <c r="V62" i="21"/>
  <c r="V64" i="21"/>
  <c r="W57" i="21"/>
  <c r="X50" i="21" s="1"/>
  <c r="X57" i="21" s="1"/>
  <c r="X62" i="21" s="1"/>
  <c r="R56" i="20"/>
  <c r="S49" i="20" s="1"/>
  <c r="S56" i="20" s="1"/>
  <c r="T49" i="20" s="1"/>
  <c r="T56" i="20" s="1"/>
  <c r="U49" i="20" s="1"/>
  <c r="U56" i="20" s="1"/>
  <c r="V49" i="20" s="1"/>
  <c r="V56" i="20" s="1"/>
  <c r="W49" i="20" s="1"/>
  <c r="W56" i="20" s="1"/>
  <c r="X49" i="20" s="1"/>
  <c r="X56" i="20" s="1"/>
  <c r="Y49" i="20" s="1"/>
  <c r="M59" i="20"/>
  <c r="N52" i="20" s="1"/>
  <c r="L58" i="20"/>
  <c r="M51" i="20" s="1"/>
  <c r="K50" i="20"/>
  <c r="AH60" i="21" l="1"/>
  <c r="AH59" i="21"/>
  <c r="AH58" i="21"/>
  <c r="AA49" i="21"/>
  <c r="I48" i="20"/>
  <c r="I55" i="20" s="1"/>
  <c r="H63" i="20"/>
  <c r="H60" i="20" s="1"/>
  <c r="H61" i="20"/>
  <c r="W62" i="21"/>
  <c r="W64" i="21"/>
  <c r="V61" i="21"/>
  <c r="N59" i="20"/>
  <c r="O52" i="20" s="1"/>
  <c r="O59" i="20" s="1"/>
  <c r="P52" i="20" s="1"/>
  <c r="P59" i="20" s="1"/>
  <c r="Q52" i="20" s="1"/>
  <c r="Q59" i="20" s="1"/>
  <c r="R52" i="20" s="1"/>
  <c r="Y56" i="20"/>
  <c r="M58" i="20"/>
  <c r="N51" i="20" s="1"/>
  <c r="N58" i="20" s="1"/>
  <c r="O51" i="20" s="1"/>
  <c r="O58" i="20" s="1"/>
  <c r="P51" i="20" s="1"/>
  <c r="P58" i="20" s="1"/>
  <c r="Q51" i="20" s="1"/>
  <c r="Q58" i="20" s="1"/>
  <c r="R51" i="20" s="1"/>
  <c r="K57" i="20"/>
  <c r="Y50" i="21" l="1"/>
  <c r="X64" i="21"/>
  <c r="AA56" i="21"/>
  <c r="J48" i="20"/>
  <c r="J55" i="20" s="1"/>
  <c r="I61" i="20"/>
  <c r="I63" i="20"/>
  <c r="I60" i="20" s="1"/>
  <c r="W61" i="21"/>
  <c r="Z49" i="20"/>
  <c r="Z56" i="20" s="1"/>
  <c r="R58" i="20"/>
  <c r="S51" i="20" s="1"/>
  <c r="S58" i="20" s="1"/>
  <c r="T51" i="20" s="1"/>
  <c r="T58" i="20" s="1"/>
  <c r="U51" i="20" s="1"/>
  <c r="U58" i="20" s="1"/>
  <c r="V51" i="20" s="1"/>
  <c r="R59" i="20"/>
  <c r="S52" i="20" s="1"/>
  <c r="S59" i="20" s="1"/>
  <c r="T52" i="20" s="1"/>
  <c r="T59" i="20" s="1"/>
  <c r="U52" i="20" s="1"/>
  <c r="U59" i="20" s="1"/>
  <c r="V52" i="20" s="1"/>
  <c r="V59" i="20" s="1"/>
  <c r="W52" i="20" s="1"/>
  <c r="W59" i="20" s="1"/>
  <c r="X52" i="20" s="1"/>
  <c r="X59" i="20" s="1"/>
  <c r="Y52" i="20" s="1"/>
  <c r="L50" i="20"/>
  <c r="X61" i="21" l="1"/>
  <c r="AB49" i="21"/>
  <c r="Y57" i="21"/>
  <c r="Y62" i="21" s="1"/>
  <c r="K48" i="20"/>
  <c r="K55" i="20" s="1"/>
  <c r="J61" i="20"/>
  <c r="J63" i="20"/>
  <c r="J60" i="20" s="1"/>
  <c r="AA49" i="20"/>
  <c r="AA56" i="20" s="1"/>
  <c r="V58" i="20"/>
  <c r="W51" i="20" s="1"/>
  <c r="W58" i="20" s="1"/>
  <c r="X51" i="20" s="1"/>
  <c r="X58" i="20" s="1"/>
  <c r="Y51" i="20" s="1"/>
  <c r="Y59" i="20"/>
  <c r="L57" i="20"/>
  <c r="Z50" i="21" l="1"/>
  <c r="Y64" i="21"/>
  <c r="AB56" i="21"/>
  <c r="L48" i="20"/>
  <c r="L55" i="20" s="1"/>
  <c r="M48" i="20" s="1"/>
  <c r="M55" i="20" s="1"/>
  <c r="N48" i="20" s="1"/>
  <c r="K63" i="20"/>
  <c r="K60" i="20" s="1"/>
  <c r="K61" i="20"/>
  <c r="AB49" i="20"/>
  <c r="AB56" i="20" s="1"/>
  <c r="Z52" i="20"/>
  <c r="Y58" i="20"/>
  <c r="M50" i="20"/>
  <c r="Y61" i="21" l="1"/>
  <c r="AC49" i="21"/>
  <c r="Z57" i="21"/>
  <c r="Z62" i="21" s="1"/>
  <c r="L61" i="20"/>
  <c r="L63" i="20"/>
  <c r="L60" i="20" s="1"/>
  <c r="N55" i="20"/>
  <c r="O48" i="20" s="1"/>
  <c r="O55" i="20" s="1"/>
  <c r="P48" i="20" s="1"/>
  <c r="P55" i="20" s="1"/>
  <c r="Q48" i="20" s="1"/>
  <c r="Z59" i="20"/>
  <c r="AA52" i="20" s="1"/>
  <c r="Z51" i="20"/>
  <c r="Z58" i="20" s="1"/>
  <c r="AC49" i="20"/>
  <c r="AC56" i="20" s="1"/>
  <c r="M57" i="20"/>
  <c r="M61" i="20" s="1"/>
  <c r="AC56" i="21" l="1"/>
  <c r="AA50" i="21"/>
  <c r="Z64" i="21"/>
  <c r="Q55" i="20"/>
  <c r="R48" i="20" s="1"/>
  <c r="R55" i="20" s="1"/>
  <c r="S48" i="20" s="1"/>
  <c r="S55" i="20" s="1"/>
  <c r="T48" i="20" s="1"/>
  <c r="AA51" i="20"/>
  <c r="AA58" i="20" s="1"/>
  <c r="AB51" i="20" s="1"/>
  <c r="AB58" i="20" s="1"/>
  <c r="AC51" i="20" s="1"/>
  <c r="AC58" i="20" s="1"/>
  <c r="AD51" i="20" s="1"/>
  <c r="AD58" i="20" s="1"/>
  <c r="AE51" i="20" s="1"/>
  <c r="AE58" i="20" s="1"/>
  <c r="AF51" i="20" s="1"/>
  <c r="AF58" i="20" s="1"/>
  <c r="AG51" i="20" s="1"/>
  <c r="AG58" i="20" s="1"/>
  <c r="AH51" i="20" s="1"/>
  <c r="AH58" i="20" s="1"/>
  <c r="AI51" i="20" s="1"/>
  <c r="AI58" i="20" s="1"/>
  <c r="AJ51" i="20" s="1"/>
  <c r="AA59" i="20"/>
  <c r="AB52" i="20" s="1"/>
  <c r="AD49" i="20"/>
  <c r="AD56" i="20" s="1"/>
  <c r="N50" i="20"/>
  <c r="N57" i="20" s="1"/>
  <c r="O50" i="20" s="1"/>
  <c r="O57" i="20" s="1"/>
  <c r="M63" i="20"/>
  <c r="Z61" i="21" l="1"/>
  <c r="AA57" i="21"/>
  <c r="AA62" i="21" s="1"/>
  <c r="AD49" i="21"/>
  <c r="AJ58" i="20"/>
  <c r="AK51" i="20" s="1"/>
  <c r="AE49" i="20"/>
  <c r="AE56" i="20" s="1"/>
  <c r="AB59" i="20"/>
  <c r="AC52" i="20" s="1"/>
  <c r="N61" i="20"/>
  <c r="P50" i="20"/>
  <c r="O61" i="20"/>
  <c r="M60" i="20"/>
  <c r="N63" i="20"/>
  <c r="T55" i="20"/>
  <c r="AB50" i="21" l="1"/>
  <c r="AB57" i="21" s="1"/>
  <c r="AD56" i="21"/>
  <c r="AA64" i="21"/>
  <c r="AK58" i="20"/>
  <c r="AC59" i="20"/>
  <c r="AD52" i="20" s="1"/>
  <c r="AF49" i="20"/>
  <c r="AF56" i="20" s="1"/>
  <c r="P57" i="20"/>
  <c r="P61" i="20" s="1"/>
  <c r="U48" i="20"/>
  <c r="N60" i="20"/>
  <c r="O63" i="20"/>
  <c r="AL51" i="20" l="1"/>
  <c r="AB62" i="21"/>
  <c r="AC50" i="21"/>
  <c r="AC57" i="21" s="1"/>
  <c r="AC62" i="21" s="1"/>
  <c r="AA61" i="21"/>
  <c r="AB64" i="21"/>
  <c r="AE49" i="21"/>
  <c r="AG49" i="20"/>
  <c r="AG56" i="20" s="1"/>
  <c r="AD59" i="20"/>
  <c r="AE52" i="20" s="1"/>
  <c r="Q50" i="20"/>
  <c r="Q57" i="20" s="1"/>
  <c r="Q61" i="20" s="1"/>
  <c r="O60" i="20"/>
  <c r="P63" i="20"/>
  <c r="U55" i="20"/>
  <c r="V48" i="20" s="1"/>
  <c r="AL58" i="20" l="1"/>
  <c r="AM51" i="20" s="1"/>
  <c r="AB61" i="21"/>
  <c r="AC64" i="21"/>
  <c r="AE56" i="21"/>
  <c r="AF49" i="21" s="1"/>
  <c r="AD50" i="21"/>
  <c r="AE59" i="20"/>
  <c r="AF52" i="20" s="1"/>
  <c r="AH49" i="20"/>
  <c r="AH56" i="20" s="1"/>
  <c r="R50" i="20"/>
  <c r="R57" i="20" s="1"/>
  <c r="R61" i="20" s="1"/>
  <c r="Q63" i="20"/>
  <c r="P60" i="20"/>
  <c r="V55" i="20"/>
  <c r="AM58" i="20" l="1"/>
  <c r="AN51" i="20" s="1"/>
  <c r="AF56" i="21"/>
  <c r="AG49" i="21" s="1"/>
  <c r="AD57" i="21"/>
  <c r="AD62" i="21" s="1"/>
  <c r="AC61" i="21"/>
  <c r="AI49" i="20"/>
  <c r="AI56" i="20" s="1"/>
  <c r="AF59" i="20"/>
  <c r="AG52" i="20" s="1"/>
  <c r="S50" i="20"/>
  <c r="S57" i="20" s="1"/>
  <c r="W48" i="20"/>
  <c r="Q60" i="20"/>
  <c r="R63" i="20"/>
  <c r="AN58" i="20" l="1"/>
  <c r="AO51" i="20" s="1"/>
  <c r="AD64" i="21"/>
  <c r="AG56" i="21"/>
  <c r="AE50" i="21"/>
  <c r="AG59" i="20"/>
  <c r="AH52" i="20" s="1"/>
  <c r="AJ49" i="20"/>
  <c r="T50" i="20"/>
  <c r="T57" i="20" s="1"/>
  <c r="S61" i="20"/>
  <c r="W55" i="20"/>
  <c r="X48" i="20" s="1"/>
  <c r="R60" i="20"/>
  <c r="S63" i="20"/>
  <c r="W29" i="11"/>
  <c r="W42" i="11" s="1"/>
  <c r="R29" i="11"/>
  <c r="R42" i="11" s="1"/>
  <c r="S42" i="11"/>
  <c r="T29" i="11"/>
  <c r="T42" i="11" s="1"/>
  <c r="U29" i="11"/>
  <c r="U42" i="11" s="1"/>
  <c r="V29" i="11"/>
  <c r="R30" i="11"/>
  <c r="R43" i="11" s="1"/>
  <c r="S30" i="11"/>
  <c r="S43" i="11" s="1"/>
  <c r="T30" i="11"/>
  <c r="T43" i="11" s="1"/>
  <c r="U30" i="11"/>
  <c r="U43" i="11" s="1"/>
  <c r="V30" i="11"/>
  <c r="V43" i="11" s="1"/>
  <c r="W30" i="11"/>
  <c r="W43" i="11" s="1"/>
  <c r="R31" i="11"/>
  <c r="R44" i="11" s="1"/>
  <c r="S31" i="11"/>
  <c r="S44" i="11" s="1"/>
  <c r="T31" i="11"/>
  <c r="T44" i="11" s="1"/>
  <c r="U31" i="11"/>
  <c r="U44" i="11" s="1"/>
  <c r="V31" i="11"/>
  <c r="V44" i="11" s="1"/>
  <c r="W31" i="11"/>
  <c r="W44" i="11" s="1"/>
  <c r="R32" i="11"/>
  <c r="R45" i="11" s="1"/>
  <c r="S32" i="11"/>
  <c r="S45" i="11" s="1"/>
  <c r="T32" i="11"/>
  <c r="U32" i="11"/>
  <c r="U45" i="11" s="1"/>
  <c r="V32" i="11"/>
  <c r="V45" i="11" s="1"/>
  <c r="W32" i="11"/>
  <c r="W45" i="11" s="1"/>
  <c r="R33" i="11"/>
  <c r="R46" i="11" s="1"/>
  <c r="S33" i="11"/>
  <c r="S46" i="11" s="1"/>
  <c r="T33" i="11"/>
  <c r="T46" i="11" s="1"/>
  <c r="U33" i="11"/>
  <c r="U46" i="11" s="1"/>
  <c r="V33" i="11"/>
  <c r="V46" i="11" s="1"/>
  <c r="W33" i="11"/>
  <c r="W46" i="11" s="1"/>
  <c r="Q33" i="11"/>
  <c r="Q32" i="11"/>
  <c r="Q31" i="11"/>
  <c r="Q30" i="11"/>
  <c r="Q43" i="11" s="1"/>
  <c r="C42" i="11"/>
  <c r="D42" i="11"/>
  <c r="E42" i="11"/>
  <c r="F42" i="11"/>
  <c r="G42" i="11"/>
  <c r="C43" i="11"/>
  <c r="D43" i="11"/>
  <c r="E43" i="11"/>
  <c r="F43" i="11"/>
  <c r="C44" i="11"/>
  <c r="D44" i="11"/>
  <c r="E44" i="11"/>
  <c r="C45" i="11"/>
  <c r="D45" i="11"/>
  <c r="E45" i="11"/>
  <c r="C46" i="11"/>
  <c r="D46" i="11"/>
  <c r="E46" i="11"/>
  <c r="B43" i="11"/>
  <c r="B44" i="11"/>
  <c r="B45" i="11"/>
  <c r="B46" i="11"/>
  <c r="B42" i="11"/>
  <c r="P33" i="11"/>
  <c r="P46" i="11" s="1"/>
  <c r="O33" i="11"/>
  <c r="O46" i="11" s="1"/>
  <c r="N33" i="11"/>
  <c r="N46" i="11" s="1"/>
  <c r="M33" i="11"/>
  <c r="M46" i="11" s="1"/>
  <c r="L33" i="11"/>
  <c r="L46" i="11" s="1"/>
  <c r="K33" i="11"/>
  <c r="K46" i="11" s="1"/>
  <c r="J33" i="11"/>
  <c r="J46" i="11" s="1"/>
  <c r="I33" i="11"/>
  <c r="I46" i="11" s="1"/>
  <c r="H33" i="11"/>
  <c r="H46" i="11" s="1"/>
  <c r="G33" i="11"/>
  <c r="G46" i="11" s="1"/>
  <c r="F33" i="11"/>
  <c r="F46" i="11" s="1"/>
  <c r="T45" i="11"/>
  <c r="P32" i="11"/>
  <c r="P45" i="11" s="1"/>
  <c r="O32" i="11"/>
  <c r="O45" i="11" s="1"/>
  <c r="N32" i="11"/>
  <c r="N45" i="11" s="1"/>
  <c r="M32" i="11"/>
  <c r="M45" i="11" s="1"/>
  <c r="L32" i="11"/>
  <c r="L45" i="11" s="1"/>
  <c r="K32" i="11"/>
  <c r="K45" i="11" s="1"/>
  <c r="J32" i="11"/>
  <c r="J45" i="11" s="1"/>
  <c r="I32" i="11"/>
  <c r="I45" i="11" s="1"/>
  <c r="H32" i="11"/>
  <c r="H45" i="11" s="1"/>
  <c r="G32" i="11"/>
  <c r="G45" i="11" s="1"/>
  <c r="F32" i="11"/>
  <c r="F45" i="11" s="1"/>
  <c r="P31" i="11"/>
  <c r="P44" i="11" s="1"/>
  <c r="O31" i="11"/>
  <c r="O44" i="11" s="1"/>
  <c r="N31" i="11"/>
  <c r="N44" i="11" s="1"/>
  <c r="M31" i="11"/>
  <c r="M44" i="11" s="1"/>
  <c r="L31" i="11"/>
  <c r="L44" i="11" s="1"/>
  <c r="K31" i="11"/>
  <c r="K44" i="11" s="1"/>
  <c r="J31" i="11"/>
  <c r="J44" i="11" s="1"/>
  <c r="I31" i="11"/>
  <c r="I44" i="11" s="1"/>
  <c r="H31" i="11"/>
  <c r="H44" i="11" s="1"/>
  <c r="G31" i="11"/>
  <c r="G44" i="11" s="1"/>
  <c r="F31" i="11"/>
  <c r="F44" i="11" s="1"/>
  <c r="P30" i="11"/>
  <c r="P43" i="11" s="1"/>
  <c r="O30" i="11"/>
  <c r="O43" i="11" s="1"/>
  <c r="N30" i="11"/>
  <c r="N43" i="11" s="1"/>
  <c r="M30" i="11"/>
  <c r="M43" i="11" s="1"/>
  <c r="L30" i="11"/>
  <c r="L43" i="11" s="1"/>
  <c r="K30" i="11"/>
  <c r="K43" i="11" s="1"/>
  <c r="J30" i="11"/>
  <c r="J43" i="11" s="1"/>
  <c r="I30" i="11"/>
  <c r="I43" i="11" s="1"/>
  <c r="H30" i="11"/>
  <c r="H43" i="11" s="1"/>
  <c r="G30" i="11"/>
  <c r="G43" i="11" s="1"/>
  <c r="V42" i="11"/>
  <c r="P29" i="11"/>
  <c r="P42" i="11" s="1"/>
  <c r="O29" i="11"/>
  <c r="O42" i="11" s="1"/>
  <c r="N29" i="11"/>
  <c r="N42" i="11" s="1"/>
  <c r="M29" i="11"/>
  <c r="M42" i="11" s="1"/>
  <c r="L29" i="11"/>
  <c r="L42" i="11" s="1"/>
  <c r="K29" i="11"/>
  <c r="K42" i="11" s="1"/>
  <c r="J29" i="11"/>
  <c r="J42" i="11" s="1"/>
  <c r="I29" i="11"/>
  <c r="I42" i="11" s="1"/>
  <c r="H29" i="11"/>
  <c r="H42" i="11" s="1"/>
  <c r="A36" i="11"/>
  <c r="AO58" i="20" l="1"/>
  <c r="AP51" i="20" s="1"/>
  <c r="AD61" i="21"/>
  <c r="AE57" i="21"/>
  <c r="AH49" i="21"/>
  <c r="X55" i="20"/>
  <c r="Y48" i="20" s="1"/>
  <c r="AJ56" i="20"/>
  <c r="AH59" i="20"/>
  <c r="AI52" i="20" s="1"/>
  <c r="U50" i="20"/>
  <c r="U57" i="20" s="1"/>
  <c r="T61" i="20"/>
  <c r="S60" i="20"/>
  <c r="T63" i="20"/>
  <c r="Q42" i="11"/>
  <c r="Q46" i="11"/>
  <c r="Q45" i="11"/>
  <c r="Q44" i="11"/>
  <c r="AP58" i="20" l="1"/>
  <c r="AQ51" i="20" s="1"/>
  <c r="AH56" i="21"/>
  <c r="AE62" i="21"/>
  <c r="AE64" i="21"/>
  <c r="AF50" i="21"/>
  <c r="Y55" i="20"/>
  <c r="Z48" i="20" s="1"/>
  <c r="AK49" i="20"/>
  <c r="AI59" i="20"/>
  <c r="AJ52" i="20" s="1"/>
  <c r="V50" i="20"/>
  <c r="V57" i="20" s="1"/>
  <c r="U61" i="20"/>
  <c r="T60" i="20"/>
  <c r="U63" i="20"/>
  <c r="AQ58" i="20" l="1"/>
  <c r="AR51" i="20" s="1"/>
  <c r="AF57" i="21"/>
  <c r="AF62" i="21" s="1"/>
  <c r="AE61" i="21"/>
  <c r="Z55" i="20"/>
  <c r="AA48" i="20" s="1"/>
  <c r="AK56" i="20"/>
  <c r="AJ59" i="20"/>
  <c r="AK52" i="20" s="1"/>
  <c r="W50" i="20"/>
  <c r="W57" i="20" s="1"/>
  <c r="V61" i="20"/>
  <c r="U60" i="20"/>
  <c r="V63" i="20"/>
  <c r="AL49" i="20" l="1"/>
  <c r="AR58" i="20"/>
  <c r="AS51" i="20" s="1"/>
  <c r="AF64" i="21"/>
  <c r="AG50" i="21"/>
  <c r="AA55" i="20"/>
  <c r="AB48" i="20" s="1"/>
  <c r="AB55" i="20" s="1"/>
  <c r="AC48" i="20" s="1"/>
  <c r="AK59" i="20"/>
  <c r="X50" i="20"/>
  <c r="X57" i="20" s="1"/>
  <c r="W61" i="20"/>
  <c r="V60" i="20"/>
  <c r="W63" i="20"/>
  <c r="AS58" i="20" l="1"/>
  <c r="AT51" i="20" s="1"/>
  <c r="AL56" i="20"/>
  <c r="AM49" i="20" s="1"/>
  <c r="AL52" i="20"/>
  <c r="AF61" i="21"/>
  <c r="AG57" i="21"/>
  <c r="AC55" i="20"/>
  <c r="AD48" i="20" s="1"/>
  <c r="Y50" i="20"/>
  <c r="X61" i="20"/>
  <c r="W60" i="20"/>
  <c r="X63" i="20"/>
  <c r="AM56" i="20" l="1"/>
  <c r="AN49" i="20" s="1"/>
  <c r="AT58" i="20"/>
  <c r="AU51" i="20" s="1"/>
  <c r="AL59" i="20"/>
  <c r="AM52" i="20" s="1"/>
  <c r="AG62" i="21"/>
  <c r="AG64" i="21"/>
  <c r="AH50" i="21"/>
  <c r="AD55" i="20"/>
  <c r="AE48" i="20" s="1"/>
  <c r="AE55" i="20" s="1"/>
  <c r="AF48" i="20" s="1"/>
  <c r="AF55" i="20" s="1"/>
  <c r="AG48" i="20" s="1"/>
  <c r="Y57" i="20"/>
  <c r="X60" i="20"/>
  <c r="AM59" i="20" l="1"/>
  <c r="AN52" i="20" s="1"/>
  <c r="AU58" i="20"/>
  <c r="AV51" i="20" s="1"/>
  <c r="AN56" i="20"/>
  <c r="AO49" i="20" s="1"/>
  <c r="AH57" i="21"/>
  <c r="AH62" i="21" s="1"/>
  <c r="AG61" i="21"/>
  <c r="AG55" i="20"/>
  <c r="AH48" i="20" s="1"/>
  <c r="Y61" i="20"/>
  <c r="Z50" i="20"/>
  <c r="Z57" i="20" s="1"/>
  <c r="Y63" i="20"/>
  <c r="Y60" i="20" s="1"/>
  <c r="AH64" i="21" l="1"/>
  <c r="AO56" i="20"/>
  <c r="AP49" i="20" s="1"/>
  <c r="AV58" i="20"/>
  <c r="AW51" i="20" s="1"/>
  <c r="AN59" i="20"/>
  <c r="AO52" i="20" s="1"/>
  <c r="AH55" i="20"/>
  <c r="AI48" i="20" s="1"/>
  <c r="AI55" i="20" s="1"/>
  <c r="AJ48" i="20" s="1"/>
  <c r="AA50" i="20"/>
  <c r="AA57" i="20" s="1"/>
  <c r="Z61" i="20"/>
  <c r="Z63" i="20"/>
  <c r="Z60" i="20" s="1"/>
  <c r="W67" i="1"/>
  <c r="AH61" i="21" l="1"/>
  <c r="AW58" i="20"/>
  <c r="AX51" i="20" s="1"/>
  <c r="AO59" i="20"/>
  <c r="AP52" i="20" s="1"/>
  <c r="AP56" i="20"/>
  <c r="AQ49" i="20" s="1"/>
  <c r="AJ55" i="20"/>
  <c r="AK48" i="20" s="1"/>
  <c r="AB50" i="20"/>
  <c r="AB57" i="20" s="1"/>
  <c r="AA63" i="20"/>
  <c r="AA60" i="20" s="1"/>
  <c r="AA61" i="20"/>
  <c r="AP59" i="20" l="1"/>
  <c r="AQ52" i="20" s="1"/>
  <c r="AQ56" i="20"/>
  <c r="AR49" i="20" s="1"/>
  <c r="AK55" i="20"/>
  <c r="AL48" i="20" s="1"/>
  <c r="AC50" i="20"/>
  <c r="AC57" i="20" s="1"/>
  <c r="AB61" i="20"/>
  <c r="AB63" i="20"/>
  <c r="AB60" i="20" s="1"/>
  <c r="AR56" i="20" l="1"/>
  <c r="AS49" i="20" s="1"/>
  <c r="AQ59" i="20"/>
  <c r="AR52" i="20" s="1"/>
  <c r="AL55" i="20"/>
  <c r="AM48" i="20" s="1"/>
  <c r="AD50" i="20"/>
  <c r="AD57" i="20" s="1"/>
  <c r="AC61" i="20"/>
  <c r="AC63" i="20"/>
  <c r="AC60" i="20" s="1"/>
  <c r="AR59" i="20" l="1"/>
  <c r="AS52" i="20" s="1"/>
  <c r="AS56" i="20"/>
  <c r="AT49" i="20" s="1"/>
  <c r="AM55" i="20"/>
  <c r="AN48" i="20" s="1"/>
  <c r="AE50" i="20"/>
  <c r="AE57" i="20" s="1"/>
  <c r="AD61" i="20"/>
  <c r="AD63" i="20"/>
  <c r="AD60" i="20" s="1"/>
  <c r="W55" i="11"/>
  <c r="AN55" i="20" l="1"/>
  <c r="AT56" i="20"/>
  <c r="AU49" i="20" s="1"/>
  <c r="AS59" i="20"/>
  <c r="AT52" i="20" s="1"/>
  <c r="AF50" i="20"/>
  <c r="AF57" i="20" s="1"/>
  <c r="AE61" i="20"/>
  <c r="AE63" i="20"/>
  <c r="AE60" i="20" s="1"/>
  <c r="V67" i="1"/>
  <c r="U67" i="1"/>
  <c r="T67" i="1"/>
  <c r="AU56" i="20" l="1"/>
  <c r="AV49" i="20" s="1"/>
  <c r="AT59" i="20"/>
  <c r="AU52" i="20" s="1"/>
  <c r="AO48" i="20"/>
  <c r="AG50" i="20"/>
  <c r="AG57" i="20" s="1"/>
  <c r="AF61" i="20"/>
  <c r="AF63" i="20"/>
  <c r="AF60" i="20" s="1"/>
  <c r="T55" i="11"/>
  <c r="U55" i="11"/>
  <c r="V55" i="11"/>
  <c r="S67" i="1"/>
  <c r="R67" i="1"/>
  <c r="Q67" i="1"/>
  <c r="P67" i="1"/>
  <c r="O67" i="1"/>
  <c r="N67" i="1"/>
  <c r="M67" i="1"/>
  <c r="M55" i="11" s="1"/>
  <c r="K67" i="1"/>
  <c r="L67" i="1"/>
  <c r="L55" i="11" s="1"/>
  <c r="AV56" i="20" l="1"/>
  <c r="AW49" i="20" s="1"/>
  <c r="AO55" i="20"/>
  <c r="AU59" i="20"/>
  <c r="AV52" i="20" s="1"/>
  <c r="AH50" i="20"/>
  <c r="AH57" i="20" s="1"/>
  <c r="AG61" i="20"/>
  <c r="AG63" i="20"/>
  <c r="AG60" i="20" s="1"/>
  <c r="R55" i="11"/>
  <c r="S55" i="11"/>
  <c r="N55" i="11"/>
  <c r="O55" i="11"/>
  <c r="P55" i="11"/>
  <c r="Q55" i="11"/>
  <c r="AW56" i="20" l="1"/>
  <c r="AX49" i="20" s="1"/>
  <c r="AV59" i="20"/>
  <c r="AW52" i="20" s="1"/>
  <c r="AP48" i="20"/>
  <c r="AI50" i="20"/>
  <c r="AI57" i="20" s="1"/>
  <c r="AH61" i="20"/>
  <c r="AH63" i="20"/>
  <c r="AH60" i="20" s="1"/>
  <c r="AW59" i="20" l="1"/>
  <c r="AX52" i="20" s="1"/>
  <c r="AP55" i="20"/>
  <c r="AJ50" i="20"/>
  <c r="AI61" i="20"/>
  <c r="AI63" i="20"/>
  <c r="AI60" i="20" s="1"/>
  <c r="AQ48" i="20" l="1"/>
  <c r="AJ57" i="20"/>
  <c r="AJ63" i="20" s="1"/>
  <c r="AQ55" i="20" l="1"/>
  <c r="AJ60" i="20"/>
  <c r="AJ61" i="20"/>
  <c r="AK50" i="20"/>
  <c r="D67" i="1"/>
  <c r="D55" i="11" s="1"/>
  <c r="E67" i="1"/>
  <c r="E55" i="11" s="1"/>
  <c r="F67" i="1"/>
  <c r="F55" i="11" s="1"/>
  <c r="G67" i="1"/>
  <c r="G55" i="11" s="1"/>
  <c r="H67" i="1"/>
  <c r="H55" i="11" s="1"/>
  <c r="I67" i="1"/>
  <c r="I55" i="11" s="1"/>
  <c r="J67" i="1"/>
  <c r="J55" i="11" s="1"/>
  <c r="B55" i="11"/>
  <c r="C55" i="11"/>
  <c r="K55" i="11"/>
  <c r="C62" i="1"/>
  <c r="C69" i="1" s="1"/>
  <c r="C9" i="5"/>
  <c r="D9" i="5"/>
  <c r="G8" i="5"/>
  <c r="G7" i="5"/>
  <c r="G6" i="5"/>
  <c r="G5" i="5"/>
  <c r="B53" i="11"/>
  <c r="B52" i="11"/>
  <c r="B51" i="11"/>
  <c r="B50" i="11"/>
  <c r="B49" i="11"/>
  <c r="C14" i="11"/>
  <c r="D14" i="11" s="1"/>
  <c r="E14" i="11" s="1"/>
  <c r="F14" i="11" s="1"/>
  <c r="G14" i="11" s="1"/>
  <c r="H14" i="11" s="1"/>
  <c r="I14" i="11" s="1"/>
  <c r="J14" i="11" s="1"/>
  <c r="K14" i="11" s="1"/>
  <c r="A35" i="1"/>
  <c r="A49" i="1" s="1"/>
  <c r="A39" i="1"/>
  <c r="A38" i="1"/>
  <c r="A37" i="1"/>
  <c r="A36" i="1"/>
  <c r="C14" i="1"/>
  <c r="D14" i="1" s="1"/>
  <c r="E14" i="1" s="1"/>
  <c r="F14" i="1" s="1"/>
  <c r="G14" i="1" s="1"/>
  <c r="H14" i="1" s="1"/>
  <c r="I14" i="1" s="1"/>
  <c r="J14" i="1" s="1"/>
  <c r="K14" i="1" s="1"/>
  <c r="B10" i="4"/>
  <c r="AR48" i="20" l="1"/>
  <c r="AK57" i="20"/>
  <c r="AK61" i="20" s="1"/>
  <c r="B58" i="11"/>
  <c r="C51" i="11" s="1"/>
  <c r="C58" i="11" s="1"/>
  <c r="D51" i="11" s="1"/>
  <c r="B60" i="11"/>
  <c r="C53" i="11" s="1"/>
  <c r="C60" i="11" s="1"/>
  <c r="D53" i="11" s="1"/>
  <c r="L14" i="11"/>
  <c r="M14" i="11" s="1"/>
  <c r="N14" i="11" s="1"/>
  <c r="O14" i="11" s="1"/>
  <c r="P14" i="11" s="1"/>
  <c r="Q14" i="11" s="1"/>
  <c r="R14" i="11" s="1"/>
  <c r="S14" i="11" s="1"/>
  <c r="T14" i="11" s="1"/>
  <c r="U14" i="11" s="1"/>
  <c r="V14" i="11" s="1"/>
  <c r="W14" i="11" s="1"/>
  <c r="B56" i="11"/>
  <c r="J21" i="5"/>
  <c r="B57" i="11"/>
  <c r="C50" i="11" s="1"/>
  <c r="C57" i="11" s="1"/>
  <c r="B59" i="11"/>
  <c r="C52" i="11" s="1"/>
  <c r="C59" i="11" s="1"/>
  <c r="D52" i="11" s="1"/>
  <c r="D62" i="1"/>
  <c r="D69" i="1" s="1"/>
  <c r="L14" i="1"/>
  <c r="M14" i="1" s="1"/>
  <c r="N14" i="1" s="1"/>
  <c r="O14" i="1" s="1"/>
  <c r="P14" i="1" s="1"/>
  <c r="Q14" i="1" s="1"/>
  <c r="R14" i="1" s="1"/>
  <c r="S14" i="1" s="1"/>
  <c r="T14" i="1" s="1"/>
  <c r="U14" i="1" s="1"/>
  <c r="V14" i="1" s="1"/>
  <c r="W14" i="1" s="1"/>
  <c r="G4" i="5"/>
  <c r="C63" i="1"/>
  <c r="C70" i="1" s="1"/>
  <c r="C64" i="1"/>
  <c r="C71" i="1" s="1"/>
  <c r="C65" i="1"/>
  <c r="C72" i="1" s="1"/>
  <c r="H31" i="13"/>
  <c r="C61" i="1"/>
  <c r="C68" i="1" s="1"/>
  <c r="C76" i="1" l="1"/>
  <c r="AR55" i="20"/>
  <c r="AL50" i="20"/>
  <c r="D64" i="1"/>
  <c r="D71" i="1" s="1"/>
  <c r="AK63" i="20"/>
  <c r="X14" i="11"/>
  <c r="Y14" i="11" s="1"/>
  <c r="Z14" i="11" s="1"/>
  <c r="AA14" i="11" s="1"/>
  <c r="AB14" i="11" s="1"/>
  <c r="AC14" i="11" s="1"/>
  <c r="AD14" i="11" s="1"/>
  <c r="AE14" i="11" s="1"/>
  <c r="AF14" i="11" s="1"/>
  <c r="AG14" i="11" s="1"/>
  <c r="AH14" i="11" s="1"/>
  <c r="AI14" i="11" s="1"/>
  <c r="X14" i="1"/>
  <c r="Y14" i="1" s="1"/>
  <c r="Z14" i="1" s="1"/>
  <c r="AA14" i="1" s="1"/>
  <c r="AB14" i="1" s="1"/>
  <c r="AC14" i="1" s="1"/>
  <c r="AD14" i="1" s="1"/>
  <c r="AE14" i="1" s="1"/>
  <c r="AF14" i="1" s="1"/>
  <c r="AG14" i="1" s="1"/>
  <c r="AH14" i="1" s="1"/>
  <c r="AI14" i="1" s="1"/>
  <c r="C49" i="11"/>
  <c r="C56" i="11" s="1"/>
  <c r="C62" i="11" s="1"/>
  <c r="B64" i="11"/>
  <c r="B61" i="11" s="1"/>
  <c r="B73" i="1"/>
  <c r="D50" i="11"/>
  <c r="D57" i="11" s="1"/>
  <c r="E50" i="11" s="1"/>
  <c r="B62" i="11"/>
  <c r="E62" i="1"/>
  <c r="E69" i="1" s="1"/>
  <c r="D61" i="1"/>
  <c r="D68" i="1" s="1"/>
  <c r="D63" i="1"/>
  <c r="D70" i="1" s="1"/>
  <c r="B74" i="1"/>
  <c r="D65" i="1"/>
  <c r="D72" i="1" s="1"/>
  <c r="D59" i="11"/>
  <c r="D58" i="11"/>
  <c r="D60" i="11"/>
  <c r="AK60" i="20" l="1"/>
  <c r="AL57" i="20"/>
  <c r="AL61" i="20" s="1"/>
  <c r="AS48" i="20"/>
  <c r="D76" i="1"/>
  <c r="E65" i="1"/>
  <c r="E72" i="1" s="1"/>
  <c r="E64" i="1"/>
  <c r="E71" i="1" s="1"/>
  <c r="AJ14" i="1"/>
  <c r="AK14" i="1" s="1"/>
  <c r="AL14" i="1" s="1"/>
  <c r="AM14" i="1" s="1"/>
  <c r="AN14" i="1" s="1"/>
  <c r="AO14" i="1" s="1"/>
  <c r="AP14" i="1" s="1"/>
  <c r="AQ14" i="1" s="1"/>
  <c r="AR14" i="1" s="1"/>
  <c r="AS14" i="1" s="1"/>
  <c r="AT14" i="1" s="1"/>
  <c r="AU14" i="1" s="1"/>
  <c r="AV14" i="1" s="1"/>
  <c r="AW14" i="1" s="1"/>
  <c r="AX14" i="1" s="1"/>
  <c r="AY14" i="1" s="1"/>
  <c r="AZ14" i="1" s="1"/>
  <c r="BA14" i="1" s="1"/>
  <c r="BB14" i="1" s="1"/>
  <c r="BC14" i="1" s="1"/>
  <c r="BD14" i="1" s="1"/>
  <c r="BE14" i="1" s="1"/>
  <c r="BF14" i="1" s="1"/>
  <c r="BG14" i="1" s="1"/>
  <c r="AJ14" i="11"/>
  <c r="AK14" i="11" s="1"/>
  <c r="AL14" i="11" s="1"/>
  <c r="AM14" i="11" s="1"/>
  <c r="AN14" i="11" s="1"/>
  <c r="AO14" i="11" s="1"/>
  <c r="AP14" i="11" s="1"/>
  <c r="AQ14" i="11" s="1"/>
  <c r="AR14" i="11" s="1"/>
  <c r="AS14" i="11" s="1"/>
  <c r="AT14" i="11" s="1"/>
  <c r="AU14" i="11" s="1"/>
  <c r="AV14" i="11" s="1"/>
  <c r="AW14" i="11" s="1"/>
  <c r="AX14" i="11" s="1"/>
  <c r="AY14" i="11" s="1"/>
  <c r="AZ14" i="11" s="1"/>
  <c r="BA14" i="11" s="1"/>
  <c r="BB14" i="11" s="1"/>
  <c r="BC14" i="11" s="1"/>
  <c r="BD14" i="11" s="1"/>
  <c r="BE14" i="11" s="1"/>
  <c r="BF14" i="11" s="1"/>
  <c r="BG14" i="11" s="1"/>
  <c r="D49" i="11"/>
  <c r="D56" i="11" s="1"/>
  <c r="E49" i="11" s="1"/>
  <c r="E56" i="11" s="1"/>
  <c r="F49" i="11" s="1"/>
  <c r="C64" i="11"/>
  <c r="C61" i="11" s="1"/>
  <c r="E61" i="1"/>
  <c r="E68" i="1" s="1"/>
  <c r="F62" i="1"/>
  <c r="F69" i="1" s="1"/>
  <c r="C74" i="1"/>
  <c r="E63" i="1"/>
  <c r="E70" i="1" s="1"/>
  <c r="E52" i="11"/>
  <c r="E57" i="11"/>
  <c r="F50" i="11" s="1"/>
  <c r="E53" i="11"/>
  <c r="E51" i="11"/>
  <c r="AS55" i="20" l="1"/>
  <c r="AT48" i="20" s="1"/>
  <c r="AM50" i="20"/>
  <c r="AL63" i="20"/>
  <c r="BH14" i="11"/>
  <c r="BI14" i="11" s="1"/>
  <c r="BJ14" i="11" s="1"/>
  <c r="BK14" i="11" s="1"/>
  <c r="BL14" i="11" s="1"/>
  <c r="BM14" i="11" s="1"/>
  <c r="BN14" i="11" s="1"/>
  <c r="BO14" i="11" s="1"/>
  <c r="BP14" i="11" s="1"/>
  <c r="BQ14" i="11" s="1"/>
  <c r="BR14" i="11" s="1"/>
  <c r="BS14" i="11" s="1"/>
  <c r="BH14" i="1"/>
  <c r="BI14" i="1" s="1"/>
  <c r="BJ14" i="1" s="1"/>
  <c r="BK14" i="1" s="1"/>
  <c r="BL14" i="1" s="1"/>
  <c r="BM14" i="1" s="1"/>
  <c r="BN14" i="1" s="1"/>
  <c r="BO14" i="1" s="1"/>
  <c r="BP14" i="1" s="1"/>
  <c r="BQ14" i="1" s="1"/>
  <c r="BR14" i="1" s="1"/>
  <c r="BS14" i="1" s="1"/>
  <c r="BT14" i="1" s="1"/>
  <c r="E76" i="1"/>
  <c r="F64" i="1"/>
  <c r="F71" i="1" s="1"/>
  <c r="F61" i="1"/>
  <c r="F68" i="1" s="1"/>
  <c r="D74" i="1"/>
  <c r="D62" i="11"/>
  <c r="D64" i="11"/>
  <c r="D61" i="11" s="1"/>
  <c r="F63" i="1"/>
  <c r="F70" i="1" s="1"/>
  <c r="G62" i="1"/>
  <c r="G69" i="1" s="1"/>
  <c r="C73" i="1"/>
  <c r="E60" i="11"/>
  <c r="F53" i="11" s="1"/>
  <c r="F57" i="11"/>
  <c r="G50" i="11" s="1"/>
  <c r="E58" i="11"/>
  <c r="F51" i="11" s="1"/>
  <c r="E59" i="11"/>
  <c r="F52" i="11" s="1"/>
  <c r="F56" i="11"/>
  <c r="G49" i="11" s="1"/>
  <c r="BT14" i="11" l="1"/>
  <c r="BU14" i="11" s="1"/>
  <c r="BV14" i="11" s="1"/>
  <c r="BW14" i="11" s="1"/>
  <c r="BX14" i="11" s="1"/>
  <c r="BY14" i="11" s="1"/>
  <c r="BZ14" i="11" s="1"/>
  <c r="CA14" i="11" s="1"/>
  <c r="CB14" i="11" s="1"/>
  <c r="CC14" i="11" s="1"/>
  <c r="CD14" i="11" s="1"/>
  <c r="CE14" i="11" s="1"/>
  <c r="CF14" i="11" s="1"/>
  <c r="CG14" i="11" s="1"/>
  <c r="CH14" i="11" s="1"/>
  <c r="BU14" i="1"/>
  <c r="BV14" i="1" s="1"/>
  <c r="AL60" i="20"/>
  <c r="AM57" i="20"/>
  <c r="AM61" i="20" s="1"/>
  <c r="AT55" i="20"/>
  <c r="H62" i="1"/>
  <c r="H69" i="1" s="1"/>
  <c r="F65" i="1"/>
  <c r="F72" i="1" s="1"/>
  <c r="F76" i="1" s="1"/>
  <c r="E74" i="1"/>
  <c r="D73" i="1"/>
  <c r="G63" i="1"/>
  <c r="G70" i="1" s="1"/>
  <c r="E62" i="11"/>
  <c r="G57" i="11"/>
  <c r="H50" i="11" s="1"/>
  <c r="F58" i="11"/>
  <c r="G51" i="11" s="1"/>
  <c r="F59" i="11"/>
  <c r="E64" i="11"/>
  <c r="F60" i="11"/>
  <c r="G53" i="11" s="1"/>
  <c r="G56" i="11"/>
  <c r="AN50" i="20" l="1"/>
  <c r="AN57" i="20" s="1"/>
  <c r="AO50" i="20" s="1"/>
  <c r="AU48" i="20"/>
  <c r="AM63" i="20"/>
  <c r="G64" i="1"/>
  <c r="G71" i="1" s="1"/>
  <c r="G65" i="1"/>
  <c r="G72" i="1" s="1"/>
  <c r="I62" i="1"/>
  <c r="I69" i="1" s="1"/>
  <c r="B6" i="24"/>
  <c r="E73" i="1"/>
  <c r="F62" i="11"/>
  <c r="E61" i="11"/>
  <c r="F64" i="11"/>
  <c r="G58" i="11"/>
  <c r="H51" i="11" s="1"/>
  <c r="H57" i="11"/>
  <c r="I50" i="11" s="1"/>
  <c r="G52" i="11"/>
  <c r="H49" i="11"/>
  <c r="G60" i="11"/>
  <c r="H53" i="11" s="1"/>
  <c r="AO57" i="20" l="1"/>
  <c r="AO61" i="20" s="1"/>
  <c r="AU55" i="20"/>
  <c r="AN63" i="20"/>
  <c r="AM60" i="20"/>
  <c r="AN61" i="20"/>
  <c r="J62" i="1"/>
  <c r="J69" i="1" s="1"/>
  <c r="H64" i="1"/>
  <c r="H71" i="1" s="1"/>
  <c r="F74" i="1"/>
  <c r="G61" i="1"/>
  <c r="G68" i="1" s="1"/>
  <c r="G76" i="1" s="1"/>
  <c r="H63" i="1"/>
  <c r="H70" i="1" s="1"/>
  <c r="H60" i="11"/>
  <c r="I53" i="11" s="1"/>
  <c r="G59" i="11"/>
  <c r="G62" i="11" s="1"/>
  <c r="H58" i="11"/>
  <c r="I51" i="11" s="1"/>
  <c r="F61" i="11"/>
  <c r="H56" i="11"/>
  <c r="I49" i="11" s="1"/>
  <c r="I57" i="11"/>
  <c r="J50" i="11" s="1"/>
  <c r="AO63" i="20" l="1"/>
  <c r="AN60" i="20"/>
  <c r="AV48" i="20"/>
  <c r="AP50" i="20"/>
  <c r="I64" i="1"/>
  <c r="I71" i="1" s="1"/>
  <c r="K62" i="1"/>
  <c r="K69" i="1" s="1"/>
  <c r="H65" i="1"/>
  <c r="H72" i="1" s="1"/>
  <c r="I63" i="1"/>
  <c r="I70" i="1" s="1"/>
  <c r="G74" i="1"/>
  <c r="H61" i="1"/>
  <c r="H68" i="1" s="1"/>
  <c r="G64" i="11"/>
  <c r="F73" i="1"/>
  <c r="H52" i="11"/>
  <c r="H59" i="11" s="1"/>
  <c r="I60" i="11"/>
  <c r="J53" i="11" s="1"/>
  <c r="I56" i="11"/>
  <c r="J49" i="11" s="1"/>
  <c r="I58" i="11"/>
  <c r="J51" i="11" s="1"/>
  <c r="J57" i="11"/>
  <c r="K50" i="11" s="1"/>
  <c r="H76" i="1" l="1"/>
  <c r="AP57" i="20"/>
  <c r="AP63" i="20" s="1"/>
  <c r="AV55" i="20"/>
  <c r="AW48" i="20" s="1"/>
  <c r="AO60" i="20"/>
  <c r="L62" i="1"/>
  <c r="L69" i="1" s="1"/>
  <c r="J63" i="1"/>
  <c r="J70" i="1" s="1"/>
  <c r="I61" i="1"/>
  <c r="I68" i="1" s="1"/>
  <c r="I65" i="1"/>
  <c r="I72" i="1" s="1"/>
  <c r="J64" i="1"/>
  <c r="J71" i="1" s="1"/>
  <c r="G61" i="11"/>
  <c r="B5" i="24"/>
  <c r="H64" i="11"/>
  <c r="G73" i="1"/>
  <c r="I52" i="11"/>
  <c r="I59" i="11" s="1"/>
  <c r="J52" i="11" s="1"/>
  <c r="H62" i="11"/>
  <c r="J58" i="11"/>
  <c r="K51" i="11" s="1"/>
  <c r="J56" i="11"/>
  <c r="K49" i="11" s="1"/>
  <c r="J60" i="11"/>
  <c r="K53" i="11" s="1"/>
  <c r="K57" i="11"/>
  <c r="AW55" i="20" l="1"/>
  <c r="AX48" i="20" s="1"/>
  <c r="AP60" i="20"/>
  <c r="AP61" i="20"/>
  <c r="AQ50" i="20"/>
  <c r="I76" i="1"/>
  <c r="K63" i="1"/>
  <c r="K70" i="1" s="1"/>
  <c r="K64" i="1"/>
  <c r="K71" i="1" s="1"/>
  <c r="M62" i="1"/>
  <c r="M69" i="1" s="1"/>
  <c r="J65" i="1"/>
  <c r="J72" i="1" s="1"/>
  <c r="H61" i="11"/>
  <c r="B8" i="24"/>
  <c r="L50" i="11"/>
  <c r="L57" i="11" s="1"/>
  <c r="M50" i="11" s="1"/>
  <c r="H74" i="1"/>
  <c r="J61" i="1"/>
  <c r="J68" i="1" s="1"/>
  <c r="J59" i="11"/>
  <c r="K52" i="11" s="1"/>
  <c r="I64" i="11"/>
  <c r="K56" i="11"/>
  <c r="L49" i="11" s="1"/>
  <c r="I62" i="11"/>
  <c r="K58" i="11"/>
  <c r="K60" i="11"/>
  <c r="AQ57" i="20" l="1"/>
  <c r="J76" i="1"/>
  <c r="N62" i="1"/>
  <c r="L64" i="1"/>
  <c r="L71" i="1" s="1"/>
  <c r="L63" i="1"/>
  <c r="L70" i="1" s="1"/>
  <c r="K65" i="1"/>
  <c r="K72" i="1" s="1"/>
  <c r="H73" i="1"/>
  <c r="L53" i="11"/>
  <c r="L60" i="11" s="1"/>
  <c r="M53" i="11" s="1"/>
  <c r="M60" i="11" s="1"/>
  <c r="N53" i="11" s="1"/>
  <c r="L56" i="11"/>
  <c r="M49" i="11" s="1"/>
  <c r="M57" i="11"/>
  <c r="N50" i="11" s="1"/>
  <c r="L51" i="11"/>
  <c r="L58" i="11" s="1"/>
  <c r="M51" i="11" s="1"/>
  <c r="K61" i="1"/>
  <c r="K68" i="1" s="1"/>
  <c r="I74" i="1"/>
  <c r="J62" i="11"/>
  <c r="K59" i="11"/>
  <c r="I61" i="11"/>
  <c r="J64" i="11"/>
  <c r="AQ61" i="20" l="1"/>
  <c r="AQ63" i="20"/>
  <c r="AR50" i="20"/>
  <c r="K76" i="1"/>
  <c r="N69" i="1"/>
  <c r="O62" i="1" s="1"/>
  <c r="M64" i="1"/>
  <c r="M71" i="1" s="1"/>
  <c r="L65" i="1"/>
  <c r="L72" i="1" s="1"/>
  <c r="N57" i="11"/>
  <c r="N60" i="11"/>
  <c r="M58" i="11"/>
  <c r="N51" i="11" s="1"/>
  <c r="M56" i="11"/>
  <c r="N49" i="11" s="1"/>
  <c r="L52" i="11"/>
  <c r="L59" i="11" s="1"/>
  <c r="M52" i="11" s="1"/>
  <c r="M59" i="11" s="1"/>
  <c r="N52" i="11" s="1"/>
  <c r="I73" i="1"/>
  <c r="K74" i="1"/>
  <c r="J74" i="1"/>
  <c r="K62" i="11"/>
  <c r="M63" i="1"/>
  <c r="M70" i="1" s="1"/>
  <c r="J61" i="11"/>
  <c r="K64" i="11"/>
  <c r="AR57" i="20" l="1"/>
  <c r="AR63" i="20" s="1"/>
  <c r="AQ60" i="20"/>
  <c r="O69" i="1"/>
  <c r="P62" i="1" s="1"/>
  <c r="M65" i="1"/>
  <c r="M72" i="1" s="1"/>
  <c r="N64" i="1"/>
  <c r="L61" i="1"/>
  <c r="L68" i="1" s="1"/>
  <c r="L76" i="1" s="1"/>
  <c r="L62" i="11"/>
  <c r="L64" i="11"/>
  <c r="N56" i="11"/>
  <c r="N58" i="11"/>
  <c r="N59" i="11"/>
  <c r="M62" i="11"/>
  <c r="J73" i="1"/>
  <c r="K61" i="11"/>
  <c r="AR60" i="20" l="1"/>
  <c r="AR61" i="20"/>
  <c r="AS50" i="20"/>
  <c r="N71" i="1"/>
  <c r="O64" i="1" s="1"/>
  <c r="N65" i="1"/>
  <c r="M61" i="1"/>
  <c r="L61" i="11"/>
  <c r="N63" i="1"/>
  <c r="M64" i="11"/>
  <c r="N62" i="11"/>
  <c r="AS57" i="20" l="1"/>
  <c r="AT50" i="20" s="1"/>
  <c r="O71" i="1"/>
  <c r="P64" i="1" s="1"/>
  <c r="N70" i="1"/>
  <c r="O63" i="1" s="1"/>
  <c r="M68" i="1"/>
  <c r="M76" i="1" s="1"/>
  <c r="N72" i="1"/>
  <c r="O65" i="1" s="1"/>
  <c r="M61" i="11"/>
  <c r="K73" i="1"/>
  <c r="N64" i="11"/>
  <c r="L74" i="1"/>
  <c r="AT57" i="20" l="1"/>
  <c r="AT61" i="20" s="1"/>
  <c r="AS61" i="20"/>
  <c r="AS63" i="20"/>
  <c r="N61" i="1"/>
  <c r="N68" i="1" s="1"/>
  <c r="N76" i="1" s="1"/>
  <c r="O72" i="1"/>
  <c r="P65" i="1" s="1"/>
  <c r="O70" i="1"/>
  <c r="P63" i="1" s="1"/>
  <c r="N61" i="11"/>
  <c r="L73" i="1"/>
  <c r="M74" i="1"/>
  <c r="AU50" i="20" l="1"/>
  <c r="AU57" i="20" s="1"/>
  <c r="AU61" i="20" s="1"/>
  <c r="AT63" i="20"/>
  <c r="AS60" i="20"/>
  <c r="O61" i="1"/>
  <c r="N74" i="1"/>
  <c r="P72" i="1"/>
  <c r="Q65" i="1" s="1"/>
  <c r="M73" i="1"/>
  <c r="AV50" i="20" l="1"/>
  <c r="AV57" i="20" s="1"/>
  <c r="AV61" i="20" s="1"/>
  <c r="AU63" i="20"/>
  <c r="AT60" i="20"/>
  <c r="O68" i="1"/>
  <c r="N73" i="1"/>
  <c r="B7" i="24"/>
  <c r="AV63" i="20" l="1"/>
  <c r="AU60" i="20"/>
  <c r="AW50" i="20"/>
  <c r="O76" i="1"/>
  <c r="O73" i="1" s="1"/>
  <c r="O74" i="1"/>
  <c r="P61" i="1"/>
  <c r="B8" i="1"/>
  <c r="B7" i="1"/>
  <c r="AW57" i="20" l="1"/>
  <c r="AW63" i="20" s="1"/>
  <c r="AV60" i="20"/>
  <c r="P71" i="1"/>
  <c r="Q64" i="1" s="1"/>
  <c r="Q72" i="1"/>
  <c r="R65" i="1" s="1"/>
  <c r="P70" i="1"/>
  <c r="Q63" i="1" s="1"/>
  <c r="B6" i="1"/>
  <c r="AX50" i="20" l="1"/>
  <c r="AW60" i="20"/>
  <c r="AW61" i="20"/>
  <c r="R72" i="1"/>
  <c r="S65" i="1" s="1"/>
  <c r="Q71" i="1" l="1"/>
  <c r="R64" i="1" s="1"/>
  <c r="Q70" i="1"/>
  <c r="R63" i="1" s="1"/>
  <c r="P69" i="1" l="1"/>
  <c r="Q62" i="1" s="1"/>
  <c r="S72" i="1"/>
  <c r="T65" i="1" s="1"/>
  <c r="R71" i="1" l="1"/>
  <c r="S64" i="1" s="1"/>
  <c r="Q69" i="1"/>
  <c r="R62" i="1" s="1"/>
  <c r="B8" i="11"/>
  <c r="R70" i="1" l="1"/>
  <c r="S63" i="1" s="1"/>
  <c r="S71" i="1"/>
  <c r="T64" i="1" s="1"/>
  <c r="T72" i="1"/>
  <c r="U65" i="1" s="1"/>
  <c r="O53" i="11"/>
  <c r="O60" i="11" s="1"/>
  <c r="B5" i="11"/>
  <c r="O50" i="11"/>
  <c r="O57" i="11" s="1"/>
  <c r="S70" i="1" l="1"/>
  <c r="T63" i="1" s="1"/>
  <c r="R69" i="1"/>
  <c r="S62" i="1" s="1"/>
  <c r="P53" i="11"/>
  <c r="P60" i="11" s="1"/>
  <c r="Q53" i="11" s="1"/>
  <c r="Q60" i="11" s="1"/>
  <c r="R53" i="11" s="1"/>
  <c r="R60" i="11" s="1"/>
  <c r="S53" i="11" s="1"/>
  <c r="S60" i="11" s="1"/>
  <c r="T53" i="11" s="1"/>
  <c r="T60" i="11" s="1"/>
  <c r="U53" i="11" s="1"/>
  <c r="U60" i="11" s="1"/>
  <c r="V53" i="11" s="1"/>
  <c r="V60" i="11" s="1"/>
  <c r="W53" i="11" s="1"/>
  <c r="B7" i="11"/>
  <c r="O52" i="11"/>
  <c r="O59" i="11" s="1"/>
  <c r="P52" i="11" s="1"/>
  <c r="P59" i="11" s="1"/>
  <c r="Q52" i="11" s="1"/>
  <c r="Q59" i="11" s="1"/>
  <c r="R52" i="11" s="1"/>
  <c r="R59" i="11" s="1"/>
  <c r="S52" i="11" s="1"/>
  <c r="S59" i="11" s="1"/>
  <c r="T52" i="11" s="1"/>
  <c r="T59" i="11" s="1"/>
  <c r="U52" i="11" s="1"/>
  <c r="U59" i="11" s="1"/>
  <c r="V52" i="11" s="1"/>
  <c r="P50" i="11"/>
  <c r="T70" i="1" l="1"/>
  <c r="U63" i="1" s="1"/>
  <c r="U72" i="1"/>
  <c r="V65" i="1" s="1"/>
  <c r="T71" i="1"/>
  <c r="U64" i="1" s="1"/>
  <c r="W60" i="11"/>
  <c r="X53" i="11" s="1"/>
  <c r="V59" i="11"/>
  <c r="W52" i="11" s="1"/>
  <c r="P57" i="11"/>
  <c r="Q50" i="11" s="1"/>
  <c r="Q57" i="11" s="1"/>
  <c r="R50" i="11" s="1"/>
  <c r="R57" i="11" s="1"/>
  <c r="S50" i="11" s="1"/>
  <c r="S57" i="11" s="1"/>
  <c r="T50" i="11" s="1"/>
  <c r="T57" i="11" s="1"/>
  <c r="U50" i="11" s="1"/>
  <c r="U70" i="1" l="1"/>
  <c r="V63" i="1" s="1"/>
  <c r="S69" i="1"/>
  <c r="T62" i="1" s="1"/>
  <c r="X60" i="11"/>
  <c r="W59" i="11"/>
  <c r="X52" i="11" s="1"/>
  <c r="U57" i="11"/>
  <c r="V50" i="11" s="1"/>
  <c r="V57" i="11" s="1"/>
  <c r="W50" i="11" s="1"/>
  <c r="V70" i="1" l="1"/>
  <c r="W63" i="1" s="1"/>
  <c r="U71" i="1"/>
  <c r="V64" i="1" s="1"/>
  <c r="V72" i="1"/>
  <c r="W65" i="1" s="1"/>
  <c r="X59" i="11"/>
  <c r="Y52" i="11" s="1"/>
  <c r="Y59" i="11" s="1"/>
  <c r="Z52" i="11" s="1"/>
  <c r="Z59" i="11" s="1"/>
  <c r="AA52" i="11" s="1"/>
  <c r="Y53" i="11"/>
  <c r="W57" i="11"/>
  <c r="W70" i="1" l="1"/>
  <c r="X63" i="1" s="1"/>
  <c r="V71" i="1"/>
  <c r="W64" i="1" s="1"/>
  <c r="T69" i="1"/>
  <c r="U62" i="1" s="1"/>
  <c r="W72" i="1"/>
  <c r="X65" i="1" s="1"/>
  <c r="X50" i="11"/>
  <c r="AA59" i="11"/>
  <c r="AB52" i="11" s="1"/>
  <c r="Y60" i="11"/>
  <c r="Z53" i="11" s="1"/>
  <c r="Z60" i="11" s="1"/>
  <c r="AA53" i="11" s="1"/>
  <c r="AA60" i="11" s="1"/>
  <c r="AB53" i="11" s="1"/>
  <c r="X70" i="1" l="1"/>
  <c r="Y63" i="1" s="1"/>
  <c r="X72" i="1"/>
  <c r="Y65" i="1" s="1"/>
  <c r="U69" i="1"/>
  <c r="V62" i="1" s="1"/>
  <c r="W71" i="1"/>
  <c r="X64" i="1" s="1"/>
  <c r="B4" i="24"/>
  <c r="B9" i="24" s="1"/>
  <c r="AB60" i="11"/>
  <c r="AC53" i="11" s="1"/>
  <c r="X57" i="11"/>
  <c r="Y50" i="11" s="1"/>
  <c r="Y57" i="11" s="1"/>
  <c r="Z50" i="11" s="1"/>
  <c r="AB59" i="11"/>
  <c r="AC52" i="11" s="1"/>
  <c r="AC59" i="11" s="1"/>
  <c r="AD52" i="11" s="1"/>
  <c r="AD59" i="11" s="1"/>
  <c r="AE52" i="11" s="1"/>
  <c r="X71" i="1" l="1"/>
  <c r="Y64" i="1" s="1"/>
  <c r="Y72" i="1"/>
  <c r="Z65" i="1" s="1"/>
  <c r="Y70" i="1"/>
  <c r="Z63" i="1" s="1"/>
  <c r="V69" i="1"/>
  <c r="W62" i="1" s="1"/>
  <c r="Z57" i="11"/>
  <c r="AA50" i="11" s="1"/>
  <c r="AA57" i="11" s="1"/>
  <c r="AB50" i="11" s="1"/>
  <c r="AB57" i="11" s="1"/>
  <c r="AC50" i="11" s="1"/>
  <c r="AE59" i="11"/>
  <c r="AC60" i="11"/>
  <c r="AD53" i="11" s="1"/>
  <c r="W69" i="1" l="1"/>
  <c r="X62" i="1" s="1"/>
  <c r="AC57" i="11"/>
  <c r="AD50" i="11" s="1"/>
  <c r="AD60" i="11"/>
  <c r="AE53" i="11" s="1"/>
  <c r="AE60" i="11" s="1"/>
  <c r="AF53" i="11" s="1"/>
  <c r="AF52" i="11"/>
  <c r="X69" i="1" l="1"/>
  <c r="Y62" i="1" s="1"/>
  <c r="Y71" i="1"/>
  <c r="Z64" i="1" s="1"/>
  <c r="Z72" i="1"/>
  <c r="AA65" i="1" s="1"/>
  <c r="Z70" i="1"/>
  <c r="AA63" i="1" s="1"/>
  <c r="AF59" i="11"/>
  <c r="AG52" i="11" s="1"/>
  <c r="AG59" i="11" s="1"/>
  <c r="AH52" i="11" s="1"/>
  <c r="AD57" i="11"/>
  <c r="AF60" i="11"/>
  <c r="AG53" i="11" s="1"/>
  <c r="AA70" i="1" l="1"/>
  <c r="AB63" i="1" s="1"/>
  <c r="AA72" i="1"/>
  <c r="AB65" i="1" s="1"/>
  <c r="AH59" i="11"/>
  <c r="AI52" i="11" s="1"/>
  <c r="AG60" i="11"/>
  <c r="AH53" i="11" s="1"/>
  <c r="AE50" i="11"/>
  <c r="AE57" i="11" s="1"/>
  <c r="AF50" i="11" s="1"/>
  <c r="AF57" i="11" s="1"/>
  <c r="AG50" i="11" s="1"/>
  <c r="Z71" i="1" l="1"/>
  <c r="AA64" i="1" s="1"/>
  <c r="Y69" i="1"/>
  <c r="Z62" i="1" s="1"/>
  <c r="AI59" i="11"/>
  <c r="AJ52" i="11" s="1"/>
  <c r="AH60" i="11"/>
  <c r="AI53" i="11" s="1"/>
  <c r="AG57" i="11"/>
  <c r="AH50" i="11" s="1"/>
  <c r="AB72" i="1" l="1"/>
  <c r="AC65" i="1" s="1"/>
  <c r="AB70" i="1"/>
  <c r="AC63" i="1" s="1"/>
  <c r="AJ59" i="11"/>
  <c r="AK52" i="11" s="1"/>
  <c r="AI60" i="11"/>
  <c r="AJ53" i="11" s="1"/>
  <c r="AH57" i="11"/>
  <c r="AI50" i="11" s="1"/>
  <c r="O49" i="11"/>
  <c r="O56" i="11" s="1"/>
  <c r="P49" i="11" s="1"/>
  <c r="AA71" i="1" l="1"/>
  <c r="AB64" i="1" s="1"/>
  <c r="Z69" i="1"/>
  <c r="AA62" i="1" s="1"/>
  <c r="AJ60" i="11"/>
  <c r="AK53" i="11" s="1"/>
  <c r="AK59" i="11"/>
  <c r="AI57" i="11"/>
  <c r="AJ50" i="11" s="1"/>
  <c r="P56" i="11"/>
  <c r="Q49" i="11" s="1"/>
  <c r="Q56" i="11" s="1"/>
  <c r="AA69" i="1" l="1"/>
  <c r="AB62" i="1" s="1"/>
  <c r="AC70" i="1"/>
  <c r="AD63" i="1" s="1"/>
  <c r="AC72" i="1"/>
  <c r="AD65" i="1" s="1"/>
  <c r="AK60" i="11"/>
  <c r="AL53" i="11" s="1"/>
  <c r="AL52" i="11"/>
  <c r="AJ57" i="11"/>
  <c r="AK50" i="11" s="1"/>
  <c r="R49" i="11"/>
  <c r="AB71" i="1" l="1"/>
  <c r="AC64" i="1" s="1"/>
  <c r="AD72" i="1"/>
  <c r="AE65" i="1" s="1"/>
  <c r="AB69" i="1"/>
  <c r="AC62" i="1" s="1"/>
  <c r="AK57" i="11"/>
  <c r="AL50" i="11" s="1"/>
  <c r="AL60" i="11"/>
  <c r="AL59" i="11"/>
  <c r="R56" i="11"/>
  <c r="S49" i="11" s="1"/>
  <c r="S56" i="11" s="1"/>
  <c r="AD70" i="1" l="1"/>
  <c r="AE63" i="1" s="1"/>
  <c r="AL57" i="11"/>
  <c r="AM53" i="11"/>
  <c r="AM52" i="11"/>
  <c r="T49" i="11"/>
  <c r="T56" i="11" s="1"/>
  <c r="AC71" i="1" l="1"/>
  <c r="AD64" i="1" s="1"/>
  <c r="AE72" i="1"/>
  <c r="AF65" i="1" s="1"/>
  <c r="AC69" i="1"/>
  <c r="AD62" i="1" s="1"/>
  <c r="AM59" i="11"/>
  <c r="AM60" i="11"/>
  <c r="AN53" i="11" s="1"/>
  <c r="AM50" i="11"/>
  <c r="U49" i="11"/>
  <c r="U56" i="11" s="1"/>
  <c r="AE70" i="1" l="1"/>
  <c r="AF63" i="1" s="1"/>
  <c r="AN60" i="11"/>
  <c r="AM57" i="11"/>
  <c r="AN50" i="11" s="1"/>
  <c r="AN52" i="11"/>
  <c r="V49" i="11"/>
  <c r="AD71" i="1" l="1"/>
  <c r="AE64" i="1" s="1"/>
  <c r="AF72" i="1"/>
  <c r="AG65" i="1" s="1"/>
  <c r="AD69" i="1"/>
  <c r="AE62" i="1" s="1"/>
  <c r="AN57" i="11"/>
  <c r="AO50" i="11" s="1"/>
  <c r="AN59" i="11"/>
  <c r="AO52" i="11" s="1"/>
  <c r="AO53" i="11"/>
  <c r="V56" i="11"/>
  <c r="W49" i="11" s="1"/>
  <c r="P68" i="1" l="1"/>
  <c r="P76" i="1" s="1"/>
  <c r="AE69" i="1"/>
  <c r="AF62" i="1" s="1"/>
  <c r="AF70" i="1"/>
  <c r="AG63" i="1" s="1"/>
  <c r="AE71" i="1"/>
  <c r="AF64" i="1" s="1"/>
  <c r="AO59" i="11"/>
  <c r="AP52" i="11" s="1"/>
  <c r="AO57" i="11"/>
  <c r="AO60" i="11"/>
  <c r="B9" i="1"/>
  <c r="W56" i="11"/>
  <c r="Q61" i="1" l="1"/>
  <c r="Q68" i="1" s="1"/>
  <c r="Q76" i="1" s="1"/>
  <c r="AG70" i="1"/>
  <c r="AH63" i="1" s="1"/>
  <c r="AF71" i="1"/>
  <c r="AG64" i="1" s="1"/>
  <c r="AG72" i="1"/>
  <c r="AH65" i="1" s="1"/>
  <c r="AP59" i="11"/>
  <c r="AQ52" i="11" s="1"/>
  <c r="AP50" i="11"/>
  <c r="AP53" i="11"/>
  <c r="X49" i="11"/>
  <c r="R61" i="1" l="1"/>
  <c r="AF69" i="1"/>
  <c r="AG62" i="1" s="1"/>
  <c r="AH70" i="1"/>
  <c r="AI63" i="1" s="1"/>
  <c r="AH72" i="1"/>
  <c r="AI65" i="1" s="1"/>
  <c r="AQ59" i="11"/>
  <c r="AR52" i="11" s="1"/>
  <c r="AP60" i="11"/>
  <c r="AP57" i="11"/>
  <c r="AQ50" i="11" s="1"/>
  <c r="X56" i="11"/>
  <c r="Y49" i="11" s="1"/>
  <c r="Q74" i="1"/>
  <c r="P74" i="1"/>
  <c r="P73" i="1"/>
  <c r="R68" i="1" l="1"/>
  <c r="R76" i="1" s="1"/>
  <c r="AI72" i="1"/>
  <c r="AJ65" i="1" s="1"/>
  <c r="AG69" i="1"/>
  <c r="AH62" i="1" s="1"/>
  <c r="AI70" i="1"/>
  <c r="AJ63" i="1" s="1"/>
  <c r="AG71" i="1"/>
  <c r="AH64" i="1" s="1"/>
  <c r="AQ57" i="11"/>
  <c r="AR50" i="11" s="1"/>
  <c r="AR57" i="11" s="1"/>
  <c r="AR59" i="11"/>
  <c r="AS52" i="11" s="1"/>
  <c r="AQ53" i="11"/>
  <c r="Y56" i="11"/>
  <c r="S61" i="1" l="1"/>
  <c r="AJ70" i="1"/>
  <c r="AK63" i="1" s="1"/>
  <c r="AJ72" i="1"/>
  <c r="AK65" i="1" s="1"/>
  <c r="AH69" i="1"/>
  <c r="AI62" i="1" s="1"/>
  <c r="AH71" i="1"/>
  <c r="AI64" i="1" s="1"/>
  <c r="Q73" i="1"/>
  <c r="AS59" i="11"/>
  <c r="AT52" i="11" s="1"/>
  <c r="AS50" i="11"/>
  <c r="AQ60" i="11"/>
  <c r="AR53" i="11" s="1"/>
  <c r="Z49" i="11"/>
  <c r="B6" i="11"/>
  <c r="B9" i="11" s="1"/>
  <c r="O51" i="11"/>
  <c r="O58" i="11" s="1"/>
  <c r="R74" i="1"/>
  <c r="S68" i="1" l="1"/>
  <c r="AK72" i="1"/>
  <c r="AL65" i="1" s="1"/>
  <c r="AI71" i="1"/>
  <c r="AJ64" i="1" s="1"/>
  <c r="AI69" i="1"/>
  <c r="AJ62" i="1" s="1"/>
  <c r="R73" i="1"/>
  <c r="AR60" i="11"/>
  <c r="AS53" i="11" s="1"/>
  <c r="AS57" i="11"/>
  <c r="AT50" i="11" s="1"/>
  <c r="AT59" i="11"/>
  <c r="AU52" i="11" s="1"/>
  <c r="Z56" i="11"/>
  <c r="AA49" i="11" s="1"/>
  <c r="O64" i="11"/>
  <c r="P51" i="11"/>
  <c r="P58" i="11" s="1"/>
  <c r="O62" i="11"/>
  <c r="T61" i="1" l="1"/>
  <c r="T68" i="1" s="1"/>
  <c r="S76" i="1"/>
  <c r="S74" i="1"/>
  <c r="AJ69" i="1"/>
  <c r="AK62" i="1" s="1"/>
  <c r="AJ71" i="1"/>
  <c r="AK64" i="1" s="1"/>
  <c r="AK70" i="1"/>
  <c r="AL63" i="1" s="1"/>
  <c r="O61" i="11"/>
  <c r="AU59" i="11"/>
  <c r="AT57" i="11"/>
  <c r="AU50" i="11" s="1"/>
  <c r="AS60" i="11"/>
  <c r="AT53" i="11" s="1"/>
  <c r="AA56" i="11"/>
  <c r="AB49" i="11" s="1"/>
  <c r="Q51" i="11"/>
  <c r="Q58" i="11" s="1"/>
  <c r="P62" i="11"/>
  <c r="P64" i="11"/>
  <c r="U61" i="1" l="1"/>
  <c r="U68" i="1" s="1"/>
  <c r="T74" i="1"/>
  <c r="T76" i="1"/>
  <c r="S73" i="1"/>
  <c r="AK71" i="1"/>
  <c r="AL64" i="1" s="1"/>
  <c r="AK69" i="1"/>
  <c r="AL62" i="1" s="1"/>
  <c r="AL72" i="1"/>
  <c r="AM65" i="1" s="1"/>
  <c r="AL70" i="1"/>
  <c r="AM63" i="1" s="1"/>
  <c r="AU57" i="11"/>
  <c r="AT60" i="11"/>
  <c r="AU53" i="11" s="1"/>
  <c r="AB56" i="11"/>
  <c r="P61" i="11"/>
  <c r="Q64" i="11"/>
  <c r="R51" i="11"/>
  <c r="Q62" i="11"/>
  <c r="V61" i="1" l="1"/>
  <c r="V68" i="1" s="1"/>
  <c r="W61" i="1" s="1"/>
  <c r="U74" i="1"/>
  <c r="U76" i="1"/>
  <c r="T73" i="1"/>
  <c r="AM72" i="1"/>
  <c r="AN65" i="1" s="1"/>
  <c r="AM70" i="1"/>
  <c r="AN63" i="1" s="1"/>
  <c r="U73" i="1"/>
  <c r="AV50" i="11"/>
  <c r="AV57" i="11" s="1"/>
  <c r="AW50" i="11" s="1"/>
  <c r="AW57" i="11" s="1"/>
  <c r="AX50" i="11" s="1"/>
  <c r="AX57" i="11" s="1"/>
  <c r="AY50" i="11" s="1"/>
  <c r="AY57" i="11" s="1"/>
  <c r="AZ50" i="11" s="1"/>
  <c r="AZ57" i="11" s="1"/>
  <c r="BA50" i="11" s="1"/>
  <c r="BA57" i="11" s="1"/>
  <c r="BB50" i="11" s="1"/>
  <c r="BB57" i="11" s="1"/>
  <c r="BC50" i="11" s="1"/>
  <c r="BC57" i="11" s="1"/>
  <c r="BD50" i="11" s="1"/>
  <c r="BD57" i="11" s="1"/>
  <c r="BE50" i="11" s="1"/>
  <c r="BE57" i="11" s="1"/>
  <c r="BF50" i="11" s="1"/>
  <c r="AU60" i="11"/>
  <c r="AC49" i="11"/>
  <c r="R58" i="11"/>
  <c r="S51" i="11" s="1"/>
  <c r="S58" i="11" s="1"/>
  <c r="Q61" i="11"/>
  <c r="R64" i="11" l="1"/>
  <c r="R61" i="11" s="1"/>
  <c r="V76" i="1"/>
  <c r="W68" i="1"/>
  <c r="X61" i="1" s="1"/>
  <c r="AL71" i="1"/>
  <c r="AM64" i="1" s="1"/>
  <c r="AN70" i="1"/>
  <c r="AO63" i="1" s="1"/>
  <c r="AL69" i="1"/>
  <c r="AM62" i="1" s="1"/>
  <c r="BF57" i="11"/>
  <c r="BG50" i="11" s="1"/>
  <c r="AV53" i="11"/>
  <c r="AV60" i="11" s="1"/>
  <c r="AW53" i="11" s="1"/>
  <c r="AW60" i="11" s="1"/>
  <c r="AX53" i="11" s="1"/>
  <c r="AX60" i="11" s="1"/>
  <c r="AY53" i="11" s="1"/>
  <c r="AY60" i="11" s="1"/>
  <c r="AZ53" i="11" s="1"/>
  <c r="AZ60" i="11" s="1"/>
  <c r="BA53" i="11" s="1"/>
  <c r="BA60" i="11" s="1"/>
  <c r="BB53" i="11" s="1"/>
  <c r="BB60" i="11" s="1"/>
  <c r="BC53" i="11" s="1"/>
  <c r="BC60" i="11" s="1"/>
  <c r="BD53" i="11" s="1"/>
  <c r="BD60" i="11" s="1"/>
  <c r="BE53" i="11" s="1"/>
  <c r="BE60" i="11" s="1"/>
  <c r="BF53" i="11" s="1"/>
  <c r="AC56" i="11"/>
  <c r="AD49" i="11" s="1"/>
  <c r="V74" i="1"/>
  <c r="T51" i="11"/>
  <c r="T58" i="11" s="1"/>
  <c r="S62" i="11"/>
  <c r="R62" i="11"/>
  <c r="S64" i="11" l="1"/>
  <c r="T64" i="11" s="1"/>
  <c r="W76" i="1"/>
  <c r="V73" i="1"/>
  <c r="AO70" i="1"/>
  <c r="AP63" i="1" s="1"/>
  <c r="AM69" i="1"/>
  <c r="AN62" i="1" s="1"/>
  <c r="AN72" i="1"/>
  <c r="AO65" i="1" s="1"/>
  <c r="BG57" i="11"/>
  <c r="BF60" i="11"/>
  <c r="BG53" i="11" s="1"/>
  <c r="AD56" i="11"/>
  <c r="AE49" i="11" s="1"/>
  <c r="U51" i="11"/>
  <c r="U58" i="11" s="1"/>
  <c r="T62" i="11"/>
  <c r="S61" i="11" l="1"/>
  <c r="BH50" i="11"/>
  <c r="X68" i="1"/>
  <c r="X76" i="1" s="1"/>
  <c r="AP70" i="1"/>
  <c r="AQ63" i="1" s="1"/>
  <c r="AO72" i="1"/>
  <c r="AP65" i="1" s="1"/>
  <c r="AM71" i="1"/>
  <c r="AN64" i="1" s="1"/>
  <c r="BG60" i="11"/>
  <c r="BH53" i="11" s="1"/>
  <c r="W74" i="1"/>
  <c r="AE56" i="11"/>
  <c r="AF49" i="11" s="1"/>
  <c r="T61" i="11"/>
  <c r="U64" i="11"/>
  <c r="V51" i="11"/>
  <c r="V58" i="11" s="1"/>
  <c r="U62" i="11"/>
  <c r="BH60" i="11" l="1"/>
  <c r="BI53" i="11" s="1"/>
  <c r="BH57" i="11"/>
  <c r="BI50" i="11" s="1"/>
  <c r="Y61" i="1"/>
  <c r="Y68" i="1" s="1"/>
  <c r="Y76" i="1" s="1"/>
  <c r="AQ70" i="1"/>
  <c r="AR63" i="1" s="1"/>
  <c r="AN69" i="1"/>
  <c r="AO62" i="1" s="1"/>
  <c r="W73" i="1"/>
  <c r="AF56" i="11"/>
  <c r="AG49" i="11" s="1"/>
  <c r="W51" i="11"/>
  <c r="V62" i="11"/>
  <c r="U61" i="11"/>
  <c r="V64" i="11"/>
  <c r="BI60" i="11" l="1"/>
  <c r="BJ53" i="11" s="1"/>
  <c r="BI57" i="11"/>
  <c r="BJ50" i="11" s="1"/>
  <c r="Z61" i="1"/>
  <c r="Y74" i="1"/>
  <c r="AR70" i="1"/>
  <c r="AS63" i="1" s="1"/>
  <c r="X74" i="1"/>
  <c r="AN71" i="1"/>
  <c r="AO64" i="1" s="1"/>
  <c r="AO69" i="1"/>
  <c r="AP62" i="1" s="1"/>
  <c r="AP72" i="1"/>
  <c r="AQ65" i="1" s="1"/>
  <c r="AG56" i="11"/>
  <c r="AH49" i="11" s="1"/>
  <c r="X73" i="1"/>
  <c r="W58" i="11"/>
  <c r="X51" i="11" s="1"/>
  <c r="X58" i="11" s="1"/>
  <c r="X62" i="11" s="1"/>
  <c r="V61" i="11"/>
  <c r="BJ57" i="11" l="1"/>
  <c r="BK50" i="11" s="1"/>
  <c r="BJ60" i="11"/>
  <c r="BK53" i="11" s="1"/>
  <c r="AP69" i="1"/>
  <c r="AQ62" i="1" s="1"/>
  <c r="Z68" i="1"/>
  <c r="Z76" i="1" s="1"/>
  <c r="Y73" i="1"/>
  <c r="AH56" i="11"/>
  <c r="AI49" i="11" s="1"/>
  <c r="Y51" i="11"/>
  <c r="Y58" i="11" s="1"/>
  <c r="W62" i="11"/>
  <c r="W64" i="11"/>
  <c r="BK60" i="11" l="1"/>
  <c r="BL53" i="11" s="1"/>
  <c r="BK57" i="11"/>
  <c r="BL50" i="11" s="1"/>
  <c r="AA61" i="1"/>
  <c r="AA68" i="1" s="1"/>
  <c r="AA76" i="1" s="1"/>
  <c r="AQ72" i="1"/>
  <c r="AR65" i="1" s="1"/>
  <c r="AO71" i="1"/>
  <c r="AP64" i="1" s="1"/>
  <c r="AS70" i="1"/>
  <c r="AT63" i="1" s="1"/>
  <c r="W61" i="11"/>
  <c r="AI56" i="11"/>
  <c r="AJ49" i="11" s="1"/>
  <c r="X64" i="11"/>
  <c r="Z51" i="11"/>
  <c r="Z58" i="11" s="1"/>
  <c r="Y62" i="11"/>
  <c r="BL57" i="11" l="1"/>
  <c r="BM50" i="11" s="1"/>
  <c r="BL60" i="11"/>
  <c r="BM53" i="11" s="1"/>
  <c r="AB61" i="1"/>
  <c r="AP71" i="1"/>
  <c r="AQ64" i="1" s="1"/>
  <c r="AR72" i="1"/>
  <c r="AS65" i="1" s="1"/>
  <c r="AT70" i="1"/>
  <c r="AU63" i="1" s="1"/>
  <c r="Z74" i="1"/>
  <c r="AQ69" i="1"/>
  <c r="AR62" i="1" s="1"/>
  <c r="X61" i="11"/>
  <c r="AJ56" i="11"/>
  <c r="AK49" i="11" s="1"/>
  <c r="Y64" i="11"/>
  <c r="AA51" i="11"/>
  <c r="Z62" i="11"/>
  <c r="BM57" i="11" l="1"/>
  <c r="BN50" i="11" s="1"/>
  <c r="BM60" i="11"/>
  <c r="BN53" i="11" s="1"/>
  <c r="AB68" i="1"/>
  <c r="AB76" i="1" s="1"/>
  <c r="AS72" i="1"/>
  <c r="AT65" i="1" s="1"/>
  <c r="AR69" i="1"/>
  <c r="AS62" i="1" s="1"/>
  <c r="Z73" i="1"/>
  <c r="AA74" i="1"/>
  <c r="AU70" i="1"/>
  <c r="Y61" i="11"/>
  <c r="Z64" i="11"/>
  <c r="AK56" i="11"/>
  <c r="AA58" i="11"/>
  <c r="AB51" i="11" s="1"/>
  <c r="BN60" i="11" l="1"/>
  <c r="BO53" i="11" s="1"/>
  <c r="BN57" i="11"/>
  <c r="BO50" i="11" s="1"/>
  <c r="AC61" i="1"/>
  <c r="AB74" i="1"/>
  <c r="AC68" i="1"/>
  <c r="AC76" i="1" s="1"/>
  <c r="AA73" i="1"/>
  <c r="AQ71" i="1"/>
  <c r="AR64" i="1" s="1"/>
  <c r="Z61" i="11"/>
  <c r="AL49" i="11"/>
  <c r="AB58" i="11"/>
  <c r="AC51" i="11" s="1"/>
  <c r="AC58" i="11" s="1"/>
  <c r="AA64" i="11"/>
  <c r="AA62" i="11"/>
  <c r="BO57" i="11" l="1"/>
  <c r="BP50" i="11" s="1"/>
  <c r="BO60" i="11"/>
  <c r="BP53" i="11" s="1"/>
  <c r="AD61" i="1"/>
  <c r="AR71" i="1"/>
  <c r="AS64" i="1" s="1"/>
  <c r="AS69" i="1"/>
  <c r="AT62" i="1" s="1"/>
  <c r="AB73" i="1"/>
  <c r="AD68" i="1"/>
  <c r="AD76" i="1" s="1"/>
  <c r="AT72" i="1"/>
  <c r="AU65" i="1" s="1"/>
  <c r="AA61" i="11"/>
  <c r="AL56" i="11"/>
  <c r="AD51" i="11"/>
  <c r="AC62" i="11"/>
  <c r="AB62" i="11"/>
  <c r="AB64" i="11"/>
  <c r="BP60" i="11" l="1"/>
  <c r="BQ53" i="11" s="1"/>
  <c r="BP57" i="11"/>
  <c r="BQ50" i="11" s="1"/>
  <c r="AE61" i="1"/>
  <c r="AT69" i="1"/>
  <c r="AU62" i="1" s="1"/>
  <c r="AU72" i="1"/>
  <c r="AC74" i="1"/>
  <c r="AB61" i="11"/>
  <c r="AM49" i="11"/>
  <c r="AC64" i="11"/>
  <c r="AD58" i="11"/>
  <c r="AE51" i="11" s="1"/>
  <c r="BQ60" i="11" l="1"/>
  <c r="BR53" i="11" s="1"/>
  <c r="BQ57" i="11"/>
  <c r="BR50" i="11" s="1"/>
  <c r="AC73" i="1"/>
  <c r="AD74" i="1"/>
  <c r="AS71" i="1"/>
  <c r="AT64" i="1" s="1"/>
  <c r="AU69" i="1"/>
  <c r="AE68" i="1"/>
  <c r="AE76" i="1" s="1"/>
  <c r="AC61" i="11"/>
  <c r="AM56" i="11"/>
  <c r="AE58" i="11"/>
  <c r="AD64" i="11"/>
  <c r="AD62" i="11"/>
  <c r="BR57" i="11" l="1"/>
  <c r="BR60" i="11"/>
  <c r="AF61" i="1"/>
  <c r="AD73" i="1"/>
  <c r="AD61" i="11"/>
  <c r="AN49" i="11"/>
  <c r="AE64" i="11"/>
  <c r="AE62" i="11"/>
  <c r="AF51" i="11"/>
  <c r="AF58" i="11" s="1"/>
  <c r="AE74" i="1" l="1"/>
  <c r="AE73" i="1"/>
  <c r="AF68" i="1"/>
  <c r="AF76" i="1" s="1"/>
  <c r="AT71" i="1"/>
  <c r="AU64" i="1" s="1"/>
  <c r="AE61" i="11"/>
  <c r="AN56" i="11"/>
  <c r="AG51" i="11"/>
  <c r="AG58" i="11" s="1"/>
  <c r="AF64" i="11"/>
  <c r="AF62" i="11"/>
  <c r="AG61" i="1" l="1"/>
  <c r="AU71" i="1"/>
  <c r="AF61" i="11"/>
  <c r="AO49" i="11"/>
  <c r="AH51" i="11"/>
  <c r="AG62" i="11"/>
  <c r="AG64" i="11"/>
  <c r="AF74" i="1" l="1"/>
  <c r="AG68" i="1"/>
  <c r="AG76" i="1" s="1"/>
  <c r="AG61" i="11"/>
  <c r="AO56" i="11"/>
  <c r="AH58" i="11"/>
  <c r="AI51" i="11" s="1"/>
  <c r="AH61" i="1" l="1"/>
  <c r="AF73" i="1"/>
  <c r="AH64" i="11"/>
  <c r="AH61" i="11" s="1"/>
  <c r="AH62" i="11"/>
  <c r="AP49" i="11"/>
  <c r="AI58" i="11"/>
  <c r="AJ51" i="11" s="1"/>
  <c r="AI62" i="11" l="1"/>
  <c r="AG74" i="1"/>
  <c r="AH68" i="1"/>
  <c r="AH76" i="1" s="1"/>
  <c r="AI64" i="11"/>
  <c r="AP56" i="11"/>
  <c r="AJ58" i="11"/>
  <c r="AK51" i="11" s="1"/>
  <c r="AI61" i="1" l="1"/>
  <c r="AI61" i="11"/>
  <c r="AG73" i="1"/>
  <c r="AJ62" i="11"/>
  <c r="AJ64" i="11"/>
  <c r="AK58" i="11"/>
  <c r="AL51" i="11" s="1"/>
  <c r="AQ49" i="11"/>
  <c r="AH74" i="1" l="1"/>
  <c r="AI68" i="1"/>
  <c r="AI76" i="1" s="1"/>
  <c r="AJ61" i="11"/>
  <c r="AL58" i="11"/>
  <c r="AQ56" i="11"/>
  <c r="AK62" i="11"/>
  <c r="AK64" i="11"/>
  <c r="AJ61" i="1" l="1"/>
  <c r="AH73" i="1"/>
  <c r="AK61" i="11"/>
  <c r="AL64" i="11"/>
  <c r="AL62" i="11"/>
  <c r="AR49" i="11"/>
  <c r="AM51" i="11"/>
  <c r="AI74" i="1" l="1"/>
  <c r="AJ68" i="1"/>
  <c r="AJ76" i="1" s="1"/>
  <c r="AL61" i="11"/>
  <c r="AR56" i="11"/>
  <c r="AS49" i="11" s="1"/>
  <c r="AS56" i="11" s="1"/>
  <c r="AM58" i="11"/>
  <c r="AK61" i="1" l="1"/>
  <c r="AI73" i="1"/>
  <c r="AM64" i="11"/>
  <c r="AM62" i="11"/>
  <c r="AN51" i="11"/>
  <c r="AJ74" i="1" l="1"/>
  <c r="AK68" i="1"/>
  <c r="AK76" i="1" s="1"/>
  <c r="AM61" i="11"/>
  <c r="AN58" i="11"/>
  <c r="AT49" i="11"/>
  <c r="AL61" i="1" l="1"/>
  <c r="AJ73" i="1"/>
  <c r="AN64" i="11"/>
  <c r="AN62" i="11"/>
  <c r="AO51" i="11"/>
  <c r="AT56" i="11"/>
  <c r="AK74" i="1" l="1"/>
  <c r="AK73" i="1"/>
  <c r="AL68" i="1"/>
  <c r="AL76" i="1" s="1"/>
  <c r="AN61" i="11"/>
  <c r="AO58" i="11"/>
  <c r="AU49" i="11"/>
  <c r="AM61" i="1" l="1"/>
  <c r="AU56" i="11"/>
  <c r="AV49" i="11" s="1"/>
  <c r="AO64" i="11"/>
  <c r="AO62" i="11"/>
  <c r="AP51" i="11"/>
  <c r="AL74" i="1" l="1"/>
  <c r="AL73" i="1"/>
  <c r="AM68" i="1"/>
  <c r="AM76" i="1" s="1"/>
  <c r="AO61" i="11"/>
  <c r="AV56" i="11"/>
  <c r="AW49" i="11" s="1"/>
  <c r="AP58" i="11"/>
  <c r="AN61" i="1" l="1"/>
  <c r="AW56" i="11"/>
  <c r="AX49" i="11" s="1"/>
  <c r="AX56" i="11" s="1"/>
  <c r="AP62" i="11"/>
  <c r="AP64" i="11"/>
  <c r="AQ51" i="11"/>
  <c r="AM74" i="1" l="1"/>
  <c r="AM73" i="1"/>
  <c r="AN68" i="1"/>
  <c r="AN76" i="1" s="1"/>
  <c r="AP61" i="11"/>
  <c r="AY49" i="11"/>
  <c r="AQ58" i="11"/>
  <c r="AO61" i="1" l="1"/>
  <c r="AY56" i="11"/>
  <c r="AZ49" i="11" s="1"/>
  <c r="AQ64" i="11"/>
  <c r="AQ62" i="11"/>
  <c r="AR51" i="11"/>
  <c r="AN74" i="1" l="1"/>
  <c r="AO68" i="1"/>
  <c r="AO76" i="1" s="1"/>
  <c r="AQ61" i="11"/>
  <c r="AZ56" i="11"/>
  <c r="BA49" i="11" s="1"/>
  <c r="AR58" i="11"/>
  <c r="AR62" i="11" s="1"/>
  <c r="AP61" i="1" l="1"/>
  <c r="AN73" i="1"/>
  <c r="BA56" i="11"/>
  <c r="BB49" i="11" s="1"/>
  <c r="AR64" i="11"/>
  <c r="AS51" i="11"/>
  <c r="AO74" i="1" l="1"/>
  <c r="AP68" i="1"/>
  <c r="AP76" i="1" s="1"/>
  <c r="AR61" i="11"/>
  <c r="BB56" i="11"/>
  <c r="BC49" i="11" s="1"/>
  <c r="AS58" i="11"/>
  <c r="AQ61" i="1" l="1"/>
  <c r="AO73" i="1"/>
  <c r="BC56" i="11"/>
  <c r="BD49" i="11" s="1"/>
  <c r="AS62" i="11"/>
  <c r="AS64" i="11"/>
  <c r="AT51" i="11"/>
  <c r="AP74" i="1" l="1"/>
  <c r="AP73" i="1"/>
  <c r="AQ68" i="1"/>
  <c r="AQ76" i="1" s="1"/>
  <c r="AS61" i="11"/>
  <c r="BD56" i="11"/>
  <c r="BE49" i="11" s="1"/>
  <c r="AT58" i="11"/>
  <c r="AR61" i="1" l="1"/>
  <c r="BE56" i="11"/>
  <c r="BF49" i="11" s="1"/>
  <c r="AT62" i="11"/>
  <c r="AT64" i="11"/>
  <c r="AU51" i="11"/>
  <c r="AQ74" i="1" l="1"/>
  <c r="AQ73" i="1"/>
  <c r="AR68" i="1"/>
  <c r="AR76" i="1" s="1"/>
  <c r="BF56" i="11"/>
  <c r="BG49" i="11" s="1"/>
  <c r="AU58" i="11"/>
  <c r="AU64" i="11" s="1"/>
  <c r="AT61" i="11"/>
  <c r="AS61" i="1" l="1"/>
  <c r="BG56" i="11"/>
  <c r="BH49" i="11" s="1"/>
  <c r="AU62" i="11"/>
  <c r="AU61" i="11"/>
  <c r="BH56" i="11" l="1"/>
  <c r="AR74" i="1"/>
  <c r="AR73" i="1"/>
  <c r="AS68" i="1"/>
  <c r="AS76" i="1" s="1"/>
  <c r="BI49" i="11" l="1"/>
  <c r="AT61" i="1"/>
  <c r="V21" i="22"/>
  <c r="V54" i="22" s="1"/>
  <c r="U21" i="22"/>
  <c r="U54" i="22" s="1"/>
  <c r="BI56" i="11" l="1"/>
  <c r="R22" i="22"/>
  <c r="R55" i="22" s="1"/>
  <c r="R24" i="22"/>
  <c r="R57" i="22" s="1"/>
  <c r="R23" i="22"/>
  <c r="R56" i="22" s="1"/>
  <c r="R25" i="22"/>
  <c r="R58" i="22" s="1"/>
  <c r="S25" i="22"/>
  <c r="S58" i="22" s="1"/>
  <c r="S24" i="22"/>
  <c r="S57" i="22" s="1"/>
  <c r="S22" i="22"/>
  <c r="S55" i="22" s="1"/>
  <c r="S23" i="22"/>
  <c r="S56" i="22" s="1"/>
  <c r="T24" i="22"/>
  <c r="T57" i="22" s="1"/>
  <c r="T23" i="22"/>
  <c r="T56" i="22" s="1"/>
  <c r="T22" i="22"/>
  <c r="T55" i="22" s="1"/>
  <c r="T25" i="22"/>
  <c r="T58" i="22" s="1"/>
  <c r="M25" i="22"/>
  <c r="M58" i="22" s="1"/>
  <c r="M65" i="22" s="1"/>
  <c r="M72" i="22" s="1"/>
  <c r="M24" i="22"/>
  <c r="M57" i="22" s="1"/>
  <c r="M64" i="22" s="1"/>
  <c r="M71" i="22" s="1"/>
  <c r="M23" i="22"/>
  <c r="M56" i="22" s="1"/>
  <c r="M63" i="22" s="1"/>
  <c r="M70" i="22" s="1"/>
  <c r="M22" i="22"/>
  <c r="M55" i="22" s="1"/>
  <c r="M62" i="22" s="1"/>
  <c r="M69" i="22" s="1"/>
  <c r="U22" i="22"/>
  <c r="U55" i="22" s="1"/>
  <c r="U24" i="22"/>
  <c r="U57" i="22" s="1"/>
  <c r="U23" i="22"/>
  <c r="U56" i="22" s="1"/>
  <c r="U25" i="22"/>
  <c r="U58" i="22" s="1"/>
  <c r="V25" i="22"/>
  <c r="V58" i="22" s="1"/>
  <c r="V22" i="22"/>
  <c r="V55" i="22" s="1"/>
  <c r="V24" i="22"/>
  <c r="V57" i="22" s="1"/>
  <c r="V23" i="22"/>
  <c r="V56" i="22" s="1"/>
  <c r="P24" i="22"/>
  <c r="P57" i="22" s="1"/>
  <c r="P23" i="22"/>
  <c r="P56" i="22" s="1"/>
  <c r="P25" i="22"/>
  <c r="P58" i="22" s="1"/>
  <c r="P22" i="22"/>
  <c r="P55" i="22" s="1"/>
  <c r="Q24" i="22"/>
  <c r="Q57" i="22" s="1"/>
  <c r="Q23" i="22"/>
  <c r="Q56" i="22" s="1"/>
  <c r="Q22" i="22"/>
  <c r="Q55" i="22" s="1"/>
  <c r="Q25" i="22"/>
  <c r="Q58" i="22" s="1"/>
  <c r="N22" i="22"/>
  <c r="N55" i="22" s="1"/>
  <c r="N24" i="22"/>
  <c r="N57" i="22" s="1"/>
  <c r="N25" i="22"/>
  <c r="N58" i="22" s="1"/>
  <c r="N23" i="22"/>
  <c r="N56" i="22" s="1"/>
  <c r="O23" i="22"/>
  <c r="O56" i="22" s="1"/>
  <c r="O22" i="22"/>
  <c r="O55" i="22" s="1"/>
  <c r="O25" i="22"/>
  <c r="O58" i="22" s="1"/>
  <c r="O24" i="22"/>
  <c r="O57" i="22" s="1"/>
  <c r="W25" i="22"/>
  <c r="W58" i="22" s="1"/>
  <c r="W24" i="22"/>
  <c r="W57" i="22" s="1"/>
  <c r="W23" i="22"/>
  <c r="W56" i="22" s="1"/>
  <c r="W22" i="22"/>
  <c r="W55" i="22" s="1"/>
  <c r="AS74" i="1"/>
  <c r="AT68" i="1"/>
  <c r="AT76" i="1" s="1"/>
  <c r="N21" i="22"/>
  <c r="N54" i="22" s="1"/>
  <c r="O21" i="22"/>
  <c r="O54" i="22" s="1"/>
  <c r="P21" i="22"/>
  <c r="P54" i="22" s="1"/>
  <c r="Q21" i="22"/>
  <c r="Q54" i="22" s="1"/>
  <c r="R21" i="22"/>
  <c r="R54" i="22" s="1"/>
  <c r="S21" i="22"/>
  <c r="S54" i="22" s="1"/>
  <c r="W21" i="22"/>
  <c r="W54" i="22" s="1"/>
  <c r="T21" i="22"/>
  <c r="T54" i="22" s="1"/>
  <c r="M21" i="22"/>
  <c r="M54" i="22" s="1"/>
  <c r="M61" i="22" s="1"/>
  <c r="M68" i="22" s="1"/>
  <c r="BF21" i="1"/>
  <c r="BF54" i="1" s="1"/>
  <c r="AW21" i="1"/>
  <c r="AW54" i="1" s="1"/>
  <c r="BJ49" i="11" l="1"/>
  <c r="AU61" i="1"/>
  <c r="AX21" i="1"/>
  <c r="AX54" i="1" s="1"/>
  <c r="BB24" i="1"/>
  <c r="BB57" i="1" s="1"/>
  <c r="BB25" i="1"/>
  <c r="BB58" i="1" s="1"/>
  <c r="BB22" i="1"/>
  <c r="BB55" i="1" s="1"/>
  <c r="BB23" i="1"/>
  <c r="BB56" i="1" s="1"/>
  <c r="M76" i="22"/>
  <c r="BC22" i="1"/>
  <c r="BC55" i="1" s="1"/>
  <c r="BC24" i="1"/>
  <c r="BC57" i="1" s="1"/>
  <c r="BC23" i="1"/>
  <c r="BC56" i="1" s="1"/>
  <c r="BC25" i="1"/>
  <c r="BC58" i="1" s="1"/>
  <c r="AX22" i="1"/>
  <c r="AX55" i="1" s="1"/>
  <c r="AX23" i="1"/>
  <c r="AX56" i="1" s="1"/>
  <c r="AX24" i="1"/>
  <c r="AX57" i="1" s="1"/>
  <c r="AX25" i="1"/>
  <c r="AX58" i="1" s="1"/>
  <c r="AY22" i="1"/>
  <c r="AY55" i="1" s="1"/>
  <c r="BD24" i="1"/>
  <c r="BD57" i="1" s="1"/>
  <c r="BD22" i="1"/>
  <c r="BD55" i="1" s="1"/>
  <c r="BD25" i="1"/>
  <c r="BD58" i="1" s="1"/>
  <c r="BD23" i="1"/>
  <c r="BD56" i="1" s="1"/>
  <c r="BA21" i="1"/>
  <c r="BA54" i="1" s="1"/>
  <c r="BE25" i="1"/>
  <c r="BE58" i="1" s="1"/>
  <c r="BE23" i="1"/>
  <c r="BE56" i="1" s="1"/>
  <c r="BE22" i="1"/>
  <c r="BE55" i="1" s="1"/>
  <c r="BE24" i="1"/>
  <c r="BE57" i="1" s="1"/>
  <c r="BF24" i="1"/>
  <c r="BF57" i="1" s="1"/>
  <c r="BF25" i="1"/>
  <c r="BF58" i="1" s="1"/>
  <c r="BF22" i="1"/>
  <c r="BF55" i="1" s="1"/>
  <c r="BF23" i="1"/>
  <c r="BF56" i="1" s="1"/>
  <c r="AS73" i="1"/>
  <c r="BB21" i="1"/>
  <c r="BB54" i="1" s="1"/>
  <c r="AZ25" i="1"/>
  <c r="AZ58" i="1" s="1"/>
  <c r="AY21" i="1"/>
  <c r="AY54" i="1" s="1"/>
  <c r="BC21" i="1"/>
  <c r="BC54" i="1" s="1"/>
  <c r="BD21" i="1"/>
  <c r="BD54" i="1" s="1"/>
  <c r="BE21" i="1"/>
  <c r="BE54" i="1" s="1"/>
  <c r="N62" i="22"/>
  <c r="N69" i="22" s="1"/>
  <c r="N63" i="22"/>
  <c r="N70" i="22" s="1"/>
  <c r="BJ56" i="11" l="1"/>
  <c r="AZ21" i="1"/>
  <c r="AZ54" i="1" s="1"/>
  <c r="AY24" i="1"/>
  <c r="AY57" i="1" s="1"/>
  <c r="AY25" i="1"/>
  <c r="AY58" i="1" s="1"/>
  <c r="AZ24" i="1"/>
  <c r="AZ57" i="1" s="1"/>
  <c r="AY23" i="1"/>
  <c r="AY56" i="1" s="1"/>
  <c r="AZ23" i="1"/>
  <c r="AZ56" i="1" s="1"/>
  <c r="BA23" i="1"/>
  <c r="BA56" i="1" s="1"/>
  <c r="BA25" i="1"/>
  <c r="BA58" i="1" s="1"/>
  <c r="BA22" i="1"/>
  <c r="BA55" i="1" s="1"/>
  <c r="BA24" i="1"/>
  <c r="BA57" i="1" s="1"/>
  <c r="AZ22" i="1"/>
  <c r="AZ55" i="1" s="1"/>
  <c r="AW23" i="1"/>
  <c r="AW56" i="1" s="1"/>
  <c r="AW22" i="1"/>
  <c r="AW55" i="1" s="1"/>
  <c r="AW24" i="1"/>
  <c r="AW57" i="1" s="1"/>
  <c r="AW25" i="1"/>
  <c r="AW58" i="1" s="1"/>
  <c r="AT74" i="1"/>
  <c r="AT73" i="1"/>
  <c r="AU68" i="1"/>
  <c r="AU76" i="1" s="1"/>
  <c r="N65" i="22"/>
  <c r="N72" i="22" s="1"/>
  <c r="BK49" i="11" l="1"/>
  <c r="N64" i="22"/>
  <c r="N71" i="22" s="1"/>
  <c r="N61" i="22"/>
  <c r="N68" i="22" s="1"/>
  <c r="O65" i="22"/>
  <c r="O72" i="22" s="1"/>
  <c r="BK56" i="11" l="1"/>
  <c r="BL49" i="11" s="1"/>
  <c r="N76" i="22"/>
  <c r="AU74" i="1"/>
  <c r="AU73" i="1"/>
  <c r="O62" i="22"/>
  <c r="O69" i="22" s="1"/>
  <c r="O61" i="22"/>
  <c r="O68" i="22" s="1"/>
  <c r="O63" i="22"/>
  <c r="O70" i="22" s="1"/>
  <c r="O64" i="22"/>
  <c r="O71" i="22" s="1"/>
  <c r="M74" i="22"/>
  <c r="P65" i="22"/>
  <c r="P72" i="22" s="1"/>
  <c r="BL56" i="11" l="1"/>
  <c r="BM49" i="11" s="1"/>
  <c r="O76" i="22"/>
  <c r="N74" i="22"/>
  <c r="M73" i="22"/>
  <c r="Q65" i="22"/>
  <c r="Q72" i="22" s="1"/>
  <c r="BM56" i="11" l="1"/>
  <c r="P62" i="22"/>
  <c r="P69" i="22" s="1"/>
  <c r="P63" i="22"/>
  <c r="P70" i="22" s="1"/>
  <c r="P64" i="22"/>
  <c r="P71" i="22" s="1"/>
  <c r="N73" i="22"/>
  <c r="P61" i="22"/>
  <c r="P68" i="22" s="1"/>
  <c r="R65" i="22"/>
  <c r="R72" i="22" s="1"/>
  <c r="BN49" i="11" l="1"/>
  <c r="P76" i="22"/>
  <c r="Q61" i="22"/>
  <c r="Q68" i="22" s="1"/>
  <c r="Q64" i="22"/>
  <c r="Q71" i="22" s="1"/>
  <c r="Q63" i="22"/>
  <c r="Q70" i="22" s="1"/>
  <c r="Q62" i="22"/>
  <c r="Q69" i="22" s="1"/>
  <c r="S65" i="22"/>
  <c r="S72" i="22" s="1"/>
  <c r="O74" i="22"/>
  <c r="BN56" i="11" l="1"/>
  <c r="Q76" i="22"/>
  <c r="R64" i="22"/>
  <c r="R71" i="22" s="1"/>
  <c r="O73" i="22"/>
  <c r="T65" i="22"/>
  <c r="T72" i="22" s="1"/>
  <c r="P74" i="22"/>
  <c r="BO49" i="11" l="1"/>
  <c r="R63" i="22"/>
  <c r="R70" i="22" s="1"/>
  <c r="R62" i="22"/>
  <c r="R69" i="22" s="1"/>
  <c r="S64" i="22"/>
  <c r="S71" i="22" s="1"/>
  <c r="P73" i="22"/>
  <c r="U65" i="22"/>
  <c r="U72" i="22" s="1"/>
  <c r="BO56" i="11" l="1"/>
  <c r="S63" i="22"/>
  <c r="S70" i="22" s="1"/>
  <c r="R61" i="22"/>
  <c r="R68" i="22" s="1"/>
  <c r="Q74" i="22"/>
  <c r="V65" i="22"/>
  <c r="V72" i="22" s="1"/>
  <c r="BP49" i="11" l="1"/>
  <c r="R74" i="22"/>
  <c r="R76" i="22"/>
  <c r="S61" i="22"/>
  <c r="S68" i="22" s="1"/>
  <c r="S62" i="22"/>
  <c r="S69" i="22" s="1"/>
  <c r="T64" i="22"/>
  <c r="T71" i="22" s="1"/>
  <c r="Q73" i="22"/>
  <c r="W65" i="22"/>
  <c r="W72" i="22" s="1"/>
  <c r="BP56" i="11" l="1"/>
  <c r="S76" i="22"/>
  <c r="T62" i="22"/>
  <c r="T69" i="22" s="1"/>
  <c r="T61" i="22"/>
  <c r="T68" i="22" s="1"/>
  <c r="U64" i="22"/>
  <c r="U71" i="22" s="1"/>
  <c r="T63" i="22"/>
  <c r="T70" i="22" s="1"/>
  <c r="R73" i="22"/>
  <c r="X65" i="22"/>
  <c r="S74" i="22"/>
  <c r="BQ49" i="11" l="1"/>
  <c r="X72" i="22"/>
  <c r="Y65" i="22" s="1"/>
  <c r="T76" i="22"/>
  <c r="U61" i="22"/>
  <c r="U68" i="22" s="1"/>
  <c r="S73" i="22"/>
  <c r="BQ56" i="11" l="1"/>
  <c r="Y72" i="22"/>
  <c r="Z65" i="22" s="1"/>
  <c r="T73" i="22"/>
  <c r="T74" i="22"/>
  <c r="V61" i="22"/>
  <c r="V68" i="22" s="1"/>
  <c r="V64" i="22"/>
  <c r="V71" i="22" s="1"/>
  <c r="U63" i="22"/>
  <c r="U70" i="22" s="1"/>
  <c r="U62" i="22"/>
  <c r="U69" i="22" s="1"/>
  <c r="AV21" i="1"/>
  <c r="AV54" i="1" s="1"/>
  <c r="BR49" i="11" l="1"/>
  <c r="Z72" i="22"/>
  <c r="AA65" i="22" s="1"/>
  <c r="AV61" i="1"/>
  <c r="AV68" i="1" s="1"/>
  <c r="AW61" i="1" s="1"/>
  <c r="U76" i="22"/>
  <c r="AV22" i="1"/>
  <c r="AV55" i="1" s="1"/>
  <c r="AV24" i="1"/>
  <c r="AV57" i="1" s="1"/>
  <c r="AV23" i="1"/>
  <c r="AV56" i="1" s="1"/>
  <c r="AV25" i="1"/>
  <c r="AV58" i="1" s="1"/>
  <c r="W64" i="22"/>
  <c r="W71" i="22" s="1"/>
  <c r="W61" i="22"/>
  <c r="W68" i="22" s="1"/>
  <c r="V62" i="22"/>
  <c r="V69" i="22" s="1"/>
  <c r="U74" i="22"/>
  <c r="BR56" i="11" l="1"/>
  <c r="AA72" i="22"/>
  <c r="AB65" i="22" s="1"/>
  <c r="AV65" i="1"/>
  <c r="AV72" i="1" s="1"/>
  <c r="AW65" i="1" s="1"/>
  <c r="AW72" i="1" s="1"/>
  <c r="AX65" i="1" s="1"/>
  <c r="AV64" i="1"/>
  <c r="AV71" i="1" s="1"/>
  <c r="AW64" i="1" s="1"/>
  <c r="AW71" i="1" s="1"/>
  <c r="AX64" i="1" s="1"/>
  <c r="AV63" i="1"/>
  <c r="AV70" i="1" s="1"/>
  <c r="AW63" i="1" s="1"/>
  <c r="AW70" i="1" s="1"/>
  <c r="AX63" i="1" s="1"/>
  <c r="AV62" i="1"/>
  <c r="AV69" i="1" s="1"/>
  <c r="X64" i="22"/>
  <c r="U73" i="22"/>
  <c r="V63" i="22"/>
  <c r="V70" i="22" s="1"/>
  <c r="V76" i="22" s="1"/>
  <c r="BS49" i="11" l="1"/>
  <c r="AB72" i="22"/>
  <c r="AC65" i="22" s="1"/>
  <c r="AC72" i="22" s="1"/>
  <c r="X71" i="22"/>
  <c r="Y64" i="22" s="1"/>
  <c r="AW62" i="1"/>
  <c r="AV76" i="1"/>
  <c r="W62" i="22"/>
  <c r="W69" i="22" s="1"/>
  <c r="X61" i="22"/>
  <c r="AW68" i="1"/>
  <c r="AX71" i="1"/>
  <c r="AY64" i="1" s="1"/>
  <c r="AX70" i="1"/>
  <c r="AY63" i="1" s="1"/>
  <c r="BS56" i="11" l="1"/>
  <c r="Y71" i="22"/>
  <c r="Z64" i="22" s="1"/>
  <c r="X68" i="22"/>
  <c r="Y61" i="22" s="1"/>
  <c r="AW69" i="1"/>
  <c r="AW76" i="1" s="1"/>
  <c r="AX61" i="1"/>
  <c r="AX72" i="1"/>
  <c r="AY65" i="1" s="1"/>
  <c r="W63" i="22"/>
  <c r="W70" i="22" s="1"/>
  <c r="W76" i="22" s="1"/>
  <c r="V74" i="22"/>
  <c r="V73" i="22"/>
  <c r="AV74" i="1"/>
  <c r="Z71" i="22" l="1"/>
  <c r="AA64" i="22" s="1"/>
  <c r="Y68" i="22"/>
  <c r="Z61" i="22" s="1"/>
  <c r="AX62" i="1"/>
  <c r="AX69" i="1" s="1"/>
  <c r="AX68" i="1"/>
  <c r="AY70" i="1"/>
  <c r="AZ63" i="1" s="1"/>
  <c r="AY72" i="1"/>
  <c r="AZ65" i="1" s="1"/>
  <c r="AY71" i="1"/>
  <c r="AZ64" i="1" s="1"/>
  <c r="X63" i="22"/>
  <c r="W74" i="22"/>
  <c r="X62" i="22"/>
  <c r="AV73" i="1"/>
  <c r="AW74" i="1"/>
  <c r="AA71" i="22" l="1"/>
  <c r="AB64" i="22" s="1"/>
  <c r="X69" i="22"/>
  <c r="Y62" i="22" s="1"/>
  <c r="X70" i="22"/>
  <c r="Y63" i="22" s="1"/>
  <c r="AY61" i="1"/>
  <c r="AY68" i="1" s="1"/>
  <c r="AX76" i="1"/>
  <c r="AY62" i="1"/>
  <c r="AZ70" i="1"/>
  <c r="BA63" i="1" s="1"/>
  <c r="AZ71" i="1"/>
  <c r="BA64" i="1" s="1"/>
  <c r="W73" i="22"/>
  <c r="AW73" i="1"/>
  <c r="Y70" i="22" l="1"/>
  <c r="Z63" i="22" s="1"/>
  <c r="AB71" i="22"/>
  <c r="AC64" i="22" s="1"/>
  <c r="AC71" i="22" s="1"/>
  <c r="X76" i="22"/>
  <c r="Y69" i="22"/>
  <c r="Z68" i="22"/>
  <c r="AA61" i="22" s="1"/>
  <c r="AZ61" i="1"/>
  <c r="AZ68" i="1" s="1"/>
  <c r="AY69" i="1"/>
  <c r="AZ62" i="1" s="1"/>
  <c r="BA71" i="1"/>
  <c r="BB64" i="1" s="1"/>
  <c r="BA70" i="1"/>
  <c r="BB63" i="1" s="1"/>
  <c r="AZ72" i="1"/>
  <c r="BA65" i="1" s="1"/>
  <c r="X74" i="22"/>
  <c r="AX74" i="1"/>
  <c r="Y76" i="22" l="1"/>
  <c r="Y74" i="22"/>
  <c r="Z62" i="22"/>
  <c r="Z69" i="22" s="1"/>
  <c r="AA62" i="22" s="1"/>
  <c r="X73" i="22"/>
  <c r="Z70" i="22"/>
  <c r="AA63" i="22" s="1"/>
  <c r="AY76" i="1"/>
  <c r="AZ69" i="1"/>
  <c r="BA62" i="1" s="1"/>
  <c r="BA61" i="1"/>
  <c r="BA68" i="1" s="1"/>
  <c r="BB71" i="1"/>
  <c r="BC64" i="1" s="1"/>
  <c r="BA72" i="1"/>
  <c r="BB65" i="1" s="1"/>
  <c r="AX73" i="1"/>
  <c r="AY74" i="1"/>
  <c r="Y73" i="22" l="1"/>
  <c r="Z76" i="22"/>
  <c r="Z74" i="22"/>
  <c r="AA68" i="22"/>
  <c r="AB61" i="22" s="1"/>
  <c r="AA70" i="22"/>
  <c r="AB63" i="22" s="1"/>
  <c r="AZ76" i="1"/>
  <c r="BA69" i="1"/>
  <c r="BB62" i="1" s="1"/>
  <c r="BB61" i="1"/>
  <c r="BC71" i="1"/>
  <c r="BD64" i="1" s="1"/>
  <c r="BB70" i="1"/>
  <c r="BC63" i="1" s="1"/>
  <c r="AY73" i="1"/>
  <c r="AZ74" i="1"/>
  <c r="Z73" i="22" l="1"/>
  <c r="AB70" i="22"/>
  <c r="AC63" i="22" s="1"/>
  <c r="AC70" i="22" s="1"/>
  <c r="AA69" i="22"/>
  <c r="AB62" i="22" s="1"/>
  <c r="BA76" i="1"/>
  <c r="BB69" i="1"/>
  <c r="BC62" i="1" s="1"/>
  <c r="BB68" i="1"/>
  <c r="BC61" i="1" s="1"/>
  <c r="BB72" i="1"/>
  <c r="BC70" i="1"/>
  <c r="BD63" i="1" s="1"/>
  <c r="BD71" i="1"/>
  <c r="BE64" i="1" s="1"/>
  <c r="AZ73" i="1"/>
  <c r="BA74" i="1"/>
  <c r="AA76" i="22" l="1"/>
  <c r="AA74" i="22"/>
  <c r="AB69" i="22"/>
  <c r="AC62" i="22" s="1"/>
  <c r="AC69" i="22" s="1"/>
  <c r="AB68" i="22"/>
  <c r="AC61" i="22" s="1"/>
  <c r="AC68" i="22" s="1"/>
  <c r="BB76" i="1"/>
  <c r="BC68" i="1"/>
  <c r="BD61" i="1" s="1"/>
  <c r="BC69" i="1"/>
  <c r="BD62" i="1" s="1"/>
  <c r="BC65" i="1"/>
  <c r="BE71" i="1"/>
  <c r="BF64" i="1" s="1"/>
  <c r="BB74" i="1"/>
  <c r="BA73" i="1"/>
  <c r="AA73" i="22" l="1"/>
  <c r="AB76" i="22"/>
  <c r="AB74" i="22"/>
  <c r="BD68" i="1"/>
  <c r="BE61" i="1" s="1"/>
  <c r="BF71" i="1"/>
  <c r="BG64" i="1" s="1"/>
  <c r="BC72" i="1"/>
  <c r="BC76" i="1" s="1"/>
  <c r="BD70" i="1"/>
  <c r="BE63" i="1" s="1"/>
  <c r="BD69" i="1"/>
  <c r="BE62" i="1" s="1"/>
  <c r="BB73" i="1"/>
  <c r="AB73" i="22" l="1"/>
  <c r="BE68" i="1"/>
  <c r="BF61" i="1" s="1"/>
  <c r="BD65" i="1"/>
  <c r="BE69" i="1"/>
  <c r="BF62" i="1" s="1"/>
  <c r="BF68" i="1" l="1"/>
  <c r="BG61" i="1" s="1"/>
  <c r="BG71" i="1"/>
  <c r="BC74" i="1"/>
  <c r="BD72" i="1"/>
  <c r="BD76" i="1" s="1"/>
  <c r="BF69" i="1"/>
  <c r="BG62" i="1" s="1"/>
  <c r="BE70" i="1"/>
  <c r="BF63" i="1" s="1"/>
  <c r="BH64" i="1" l="1"/>
  <c r="BE65" i="1"/>
  <c r="BG68" i="1"/>
  <c r="BD74" i="1"/>
  <c r="BC73" i="1"/>
  <c r="BF70" i="1"/>
  <c r="BG63" i="1" s="1"/>
  <c r="BH61" i="1" l="1"/>
  <c r="BE72" i="1"/>
  <c r="BE76" i="1" s="1"/>
  <c r="BH71" i="1"/>
  <c r="BI64" i="1" s="1"/>
  <c r="BD73" i="1"/>
  <c r="BG69" i="1"/>
  <c r="BE74" i="1" l="1"/>
  <c r="BF65" i="1"/>
  <c r="BH62" i="1"/>
  <c r="BI71" i="1"/>
  <c r="BJ64" i="1" s="1"/>
  <c r="BH68" i="1"/>
  <c r="BE73" i="1"/>
  <c r="BI61" i="1" l="1"/>
  <c r="BF72" i="1"/>
  <c r="BJ71" i="1"/>
  <c r="BK64" i="1" s="1"/>
  <c r="BH69" i="1"/>
  <c r="BG70" i="1"/>
  <c r="BG65" i="1" l="1"/>
  <c r="BG72" i="1" s="1"/>
  <c r="BG74" i="1" s="1"/>
  <c r="BF76" i="1"/>
  <c r="BF73" i="1" s="1"/>
  <c r="BI62" i="1"/>
  <c r="BI69" i="1" s="1"/>
  <c r="BF74" i="1"/>
  <c r="BH63" i="1"/>
  <c r="BH70" i="1" s="1"/>
  <c r="BK71" i="1"/>
  <c r="BL64" i="1" s="1"/>
  <c r="BL71" i="1" s="1"/>
  <c r="BI68" i="1"/>
  <c r="BJ61" i="1" s="1"/>
  <c r="BG76" i="1" l="1"/>
  <c r="BJ62" i="1"/>
  <c r="BH65" i="1"/>
  <c r="BI63" i="1"/>
  <c r="BI70" i="1" l="1"/>
  <c r="BJ69" i="1"/>
  <c r="BK62" i="1" s="1"/>
  <c r="BH72" i="1"/>
  <c r="BH76" i="1" s="1"/>
  <c r="BJ68" i="1"/>
  <c r="BK61" i="1" s="1"/>
  <c r="BG73" i="1"/>
  <c r="BK69" i="1" l="1"/>
  <c r="BL62" i="1" s="1"/>
  <c r="BL69" i="1" s="1"/>
  <c r="BI65" i="1"/>
  <c r="BJ63" i="1"/>
  <c r="BH74" i="1"/>
  <c r="G21" i="23"/>
  <c r="BJ70" i="1" l="1"/>
  <c r="BK63" i="1" s="1"/>
  <c r="BI72" i="1"/>
  <c r="BI76" i="1" s="1"/>
  <c r="BH73" i="1"/>
  <c r="BK68" i="1"/>
  <c r="BL61" i="1" s="1"/>
  <c r="BL68" i="1" s="1"/>
  <c r="K31" i="23"/>
  <c r="L31" i="23" s="1"/>
  <c r="BI74" i="1" l="1"/>
  <c r="BK70" i="1"/>
  <c r="BL63" i="1" s="1"/>
  <c r="BL70" i="1" s="1"/>
  <c r="BJ65" i="1"/>
  <c r="BI73" i="1"/>
  <c r="BJ72" i="1" l="1"/>
  <c r="BJ76" i="1" s="1"/>
  <c r="BJ74" i="1" l="1"/>
  <c r="BK65" i="1"/>
  <c r="BK72" i="1" l="1"/>
  <c r="BK76" i="1" s="1"/>
  <c r="BJ73" i="1"/>
  <c r="BK74" i="1" l="1"/>
  <c r="BL65" i="1"/>
  <c r="BL72" i="1" s="1"/>
  <c r="BL74" i="1" l="1"/>
  <c r="BK73" i="1"/>
  <c r="AV45" i="11" l="1"/>
  <c r="AV52" i="11" s="1"/>
  <c r="AV59" i="11" s="1"/>
  <c r="AV44" i="11"/>
  <c r="AV51" i="11" s="1"/>
  <c r="AW52" i="11" l="1"/>
  <c r="AW59" i="11" s="1"/>
  <c r="AX52" i="11" s="1"/>
  <c r="AX59" i="11" s="1"/>
  <c r="AY52" i="11" s="1"/>
  <c r="AY59" i="11" s="1"/>
  <c r="AZ52" i="11" s="1"/>
  <c r="AZ59" i="11" s="1"/>
  <c r="BA52" i="11" s="1"/>
  <c r="BA59" i="11" s="1"/>
  <c r="BB52" i="11" s="1"/>
  <c r="BB59" i="11" s="1"/>
  <c r="BC52" i="11" s="1"/>
  <c r="BC59" i="11" s="1"/>
  <c r="BD52" i="11" s="1"/>
  <c r="BD59" i="11" s="1"/>
  <c r="BE52" i="11" s="1"/>
  <c r="BE59" i="11" s="1"/>
  <c r="BF52" i="11" s="1"/>
  <c r="BF59" i="11" s="1"/>
  <c r="BG52" i="11" s="1"/>
  <c r="AV58" i="11"/>
  <c r="AW51" i="11" s="1"/>
  <c r="BG59" i="11" l="1"/>
  <c r="BH52" i="11" s="1"/>
  <c r="AW58" i="11"/>
  <c r="AX51" i="11" s="1"/>
  <c r="AV62" i="11"/>
  <c r="AV64" i="11"/>
  <c r="BH59" i="11" l="1"/>
  <c r="BI52" i="11" s="1"/>
  <c r="AW64" i="11"/>
  <c r="AV61" i="11"/>
  <c r="AX58" i="11"/>
  <c r="AY51" i="11" s="1"/>
  <c r="AW62" i="11"/>
  <c r="BI59" i="11" l="1"/>
  <c r="BJ52" i="11" s="1"/>
  <c r="AW61" i="11"/>
  <c r="AX62" i="11"/>
  <c r="AX64" i="11"/>
  <c r="AY58" i="11"/>
  <c r="AZ51" i="11" s="1"/>
  <c r="BJ59" i="11" l="1"/>
  <c r="AX61" i="11"/>
  <c r="AZ58" i="11"/>
  <c r="BA51" i="11" s="1"/>
  <c r="AY62" i="11"/>
  <c r="AY64" i="11"/>
  <c r="BK52" i="11" l="1"/>
  <c r="AY61" i="11"/>
  <c r="BA58" i="11"/>
  <c r="BB51" i="11" s="1"/>
  <c r="AZ62" i="11"/>
  <c r="AZ64" i="11"/>
  <c r="BK59" i="11" l="1"/>
  <c r="AZ61" i="11"/>
  <c r="BB58" i="11"/>
  <c r="BC51" i="11" s="1"/>
  <c r="BA62" i="11"/>
  <c r="BA64" i="11"/>
  <c r="BL52" i="11" l="1"/>
  <c r="BA61" i="11"/>
  <c r="BC58" i="11"/>
  <c r="BD51" i="11" s="1"/>
  <c r="BB62" i="11"/>
  <c r="BB64" i="11"/>
  <c r="BL59" i="11" l="1"/>
  <c r="BB61" i="11"/>
  <c r="BD58" i="11"/>
  <c r="BE51" i="11" s="1"/>
  <c r="BC62" i="11"/>
  <c r="BC64" i="11"/>
  <c r="BM52" i="11" l="1"/>
  <c r="BC61" i="11"/>
  <c r="BE58" i="11"/>
  <c r="BF51" i="11" s="1"/>
  <c r="BF58" i="11" s="1"/>
  <c r="BD62" i="11"/>
  <c r="BD64" i="11"/>
  <c r="BM59" i="11" l="1"/>
  <c r="BN52" i="11" s="1"/>
  <c r="BD61" i="11"/>
  <c r="BG51" i="11"/>
  <c r="BF62" i="11"/>
  <c r="BE62" i="11"/>
  <c r="BE64" i="11"/>
  <c r="BN59" i="11" l="1"/>
  <c r="BO52" i="11" s="1"/>
  <c r="BE61" i="11"/>
  <c r="BF64" i="11"/>
  <c r="BG58" i="11"/>
  <c r="BO59" i="11" l="1"/>
  <c r="BP52" i="11" s="1"/>
  <c r="BH51" i="11"/>
  <c r="BF61" i="11"/>
  <c r="BG62" i="11"/>
  <c r="BG64" i="11"/>
  <c r="BH58" i="11" l="1"/>
  <c r="BH62" i="11" s="1"/>
  <c r="BP59" i="11"/>
  <c r="BQ52" i="11" s="1"/>
  <c r="BG61" i="11"/>
  <c r="BH64" i="11" l="1"/>
  <c r="BQ59" i="11"/>
  <c r="BR52" i="11" s="1"/>
  <c r="BI51" i="11"/>
  <c r="BH61" i="11" l="1"/>
  <c r="BR59" i="11"/>
  <c r="BI58" i="11"/>
  <c r="BI62" i="11" l="1"/>
  <c r="BI64" i="11"/>
  <c r="BJ51" i="11"/>
  <c r="BI61" i="11" l="1"/>
  <c r="BJ58" i="11"/>
  <c r="BK51" i="11" s="1"/>
  <c r="BJ64" i="11" l="1"/>
  <c r="BK58" i="11"/>
  <c r="BK62" i="11" s="1"/>
  <c r="BJ62" i="11"/>
  <c r="BJ61" i="11" l="1"/>
  <c r="BK64" i="11"/>
  <c r="BL51" i="11"/>
  <c r="BL58" i="11" s="1"/>
  <c r="BK61" i="11" l="1"/>
  <c r="BL62" i="11"/>
  <c r="BM51" i="11"/>
  <c r="BL64" i="11"/>
  <c r="BM58" i="11" l="1"/>
  <c r="BM64" i="11" s="1"/>
  <c r="BL61" i="11"/>
  <c r="BM61" i="11" l="1"/>
  <c r="BM62" i="11"/>
  <c r="BN51" i="11"/>
  <c r="BN58" i="11" l="1"/>
  <c r="BN62" i="11" l="1"/>
  <c r="BN64" i="11"/>
  <c r="BO51" i="11"/>
  <c r="BO58" i="11" l="1"/>
  <c r="BO62" i="11" s="1"/>
  <c r="BN61" i="11"/>
  <c r="BO64" i="11" l="1"/>
  <c r="BP51" i="11"/>
  <c r="BO61" i="11" l="1"/>
  <c r="BP58" i="11"/>
  <c r="BP62" i="11" l="1"/>
  <c r="BP64" i="11"/>
  <c r="BQ51" i="11"/>
  <c r="BQ58" i="11" l="1"/>
  <c r="BQ62" i="11" s="1"/>
  <c r="BP61" i="11"/>
  <c r="BQ64" i="11" l="1"/>
  <c r="BR51" i="11"/>
  <c r="BQ61" i="11" l="1"/>
  <c r="BR58" i="11"/>
  <c r="BR62" i="11" l="1"/>
  <c r="BR64" i="11"/>
  <c r="BR61" i="11" l="1"/>
  <c r="AI45" i="21" l="1"/>
  <c r="AI52" i="21" s="1"/>
  <c r="BS50" i="11"/>
  <c r="AI42" i="21"/>
  <c r="AI49" i="21" s="1"/>
  <c r="AI46" i="21"/>
  <c r="AI53" i="21" s="1"/>
  <c r="BS44" i="11"/>
  <c r="BS51" i="11" s="1"/>
  <c r="AI44" i="21"/>
  <c r="AI51" i="21" s="1"/>
  <c r="AI43" i="21"/>
  <c r="AI50" i="21" s="1"/>
  <c r="BS45" i="11"/>
  <c r="BS52" i="11" s="1"/>
  <c r="BS46" i="11"/>
  <c r="BS53" i="11" s="1"/>
  <c r="AI57" i="21" l="1"/>
  <c r="AI56" i="21"/>
  <c r="AI58" i="21"/>
  <c r="BS60" i="11"/>
  <c r="BS58" i="11"/>
  <c r="BS57" i="11"/>
  <c r="BS59" i="11"/>
  <c r="AI60" i="21"/>
  <c r="AI59" i="21"/>
  <c r="AI62" i="21" l="1"/>
  <c r="AI64" i="21"/>
  <c r="BS62" i="11"/>
  <c r="BS64" i="11"/>
  <c r="BS61" i="11" l="1"/>
  <c r="AI61" i="21"/>
  <c r="F14" i="4" l="1"/>
  <c r="F15" i="4"/>
  <c r="F11" i="4"/>
  <c r="F12" i="4"/>
  <c r="F13" i="4"/>
  <c r="H15" i="4"/>
  <c r="H12" i="4"/>
  <c r="H13" i="4"/>
  <c r="H14" i="4"/>
  <c r="H11" i="4"/>
  <c r="I11" i="4"/>
  <c r="I12" i="4"/>
  <c r="I13" i="4"/>
  <c r="I14" i="4"/>
  <c r="I15" i="4"/>
  <c r="G13" i="4"/>
  <c r="G11" i="4"/>
  <c r="G15" i="4"/>
  <c r="G14" i="4"/>
  <c r="C8" i="4" l="1"/>
  <c r="C19" i="23" s="1"/>
  <c r="C5" i="4"/>
  <c r="C16" i="23" s="1"/>
  <c r="C9" i="4"/>
  <c r="C20" i="23" s="1"/>
  <c r="C7" i="4"/>
  <c r="C18" i="23" s="1"/>
  <c r="C6" i="4"/>
  <c r="C17" i="23" s="1"/>
  <c r="C22" i="23" l="1"/>
  <c r="C10" i="4"/>
  <c r="C11" i="4" s="1"/>
  <c r="AD61" i="22" l="1"/>
  <c r="AD64" i="22"/>
  <c r="AD71" i="22" s="1"/>
  <c r="AE64" i="22" s="1"/>
  <c r="AE71" i="22" s="1"/>
  <c r="AF64" i="22" s="1"/>
  <c r="AF71" i="22" s="1"/>
  <c r="AG64" i="22" s="1"/>
  <c r="AG71" i="22" s="1"/>
  <c r="AH64" i="22" s="1"/>
  <c r="AH71" i="22" s="1"/>
  <c r="AI64" i="22" s="1"/>
  <c r="AI71" i="22" s="1"/>
  <c r="AJ64" i="22" s="1"/>
  <c r="AD63" i="22"/>
  <c r="AD70" i="22" s="1"/>
  <c r="AE63" i="22" s="1"/>
  <c r="AE70" i="22" s="1"/>
  <c r="AF63" i="22" s="1"/>
  <c r="AF70" i="22" s="1"/>
  <c r="AG63" i="22" s="1"/>
  <c r="AG70" i="22" s="1"/>
  <c r="AH63" i="22" s="1"/>
  <c r="AH70" i="22" s="1"/>
  <c r="AI63" i="22" s="1"/>
  <c r="AD62" i="22"/>
  <c r="AD69" i="22" s="1"/>
  <c r="AE62" i="22" s="1"/>
  <c r="AE69" i="22" s="1"/>
  <c r="AF62" i="22" s="1"/>
  <c r="AF69" i="22" s="1"/>
  <c r="AG62" i="22" s="1"/>
  <c r="AG69" i="22" s="1"/>
  <c r="AH62" i="22" s="1"/>
  <c r="AH69" i="22" s="1"/>
  <c r="AI62" i="22" s="1"/>
  <c r="AI69" i="22" s="1"/>
  <c r="AJ62" i="22" s="1"/>
  <c r="AD65" i="22"/>
  <c r="AD72" i="22" l="1"/>
  <c r="AE65" i="22" s="1"/>
  <c r="AE72" i="22" s="1"/>
  <c r="AF65" i="22" s="1"/>
  <c r="AF72" i="22" s="1"/>
  <c r="AG65" i="22" s="1"/>
  <c r="AG72" i="22" s="1"/>
  <c r="AH65" i="22" s="1"/>
  <c r="AH72" i="22" s="1"/>
  <c r="AI65" i="22" s="1"/>
  <c r="AI72" i="22" s="1"/>
  <c r="AJ65" i="22" s="1"/>
  <c r="AJ69" i="22"/>
  <c r="BM62" i="1"/>
  <c r="BM69" i="1" s="1"/>
  <c r="BN62" i="1" s="1"/>
  <c r="BN69" i="1" s="1"/>
  <c r="BO62" i="1" s="1"/>
  <c r="BO69" i="1" s="1"/>
  <c r="BP62" i="1" s="1"/>
  <c r="BP69" i="1" s="1"/>
  <c r="BQ62" i="1" s="1"/>
  <c r="BQ69" i="1" s="1"/>
  <c r="BR62" i="1" s="1"/>
  <c r="BR69" i="1" s="1"/>
  <c r="BS62" i="1" s="1"/>
  <c r="BM64" i="1"/>
  <c r="BM71" i="1" s="1"/>
  <c r="BN64" i="1" s="1"/>
  <c r="BN71" i="1" s="1"/>
  <c r="BO64" i="1" s="1"/>
  <c r="BO71" i="1" s="1"/>
  <c r="BP64" i="1" s="1"/>
  <c r="BP71" i="1" s="1"/>
  <c r="BQ64" i="1" s="1"/>
  <c r="BQ71" i="1" s="1"/>
  <c r="BR64" i="1" s="1"/>
  <c r="BM65" i="1"/>
  <c r="BM72" i="1" s="1"/>
  <c r="BN65" i="1" s="1"/>
  <c r="BN72" i="1" s="1"/>
  <c r="BO65" i="1" s="1"/>
  <c r="BO72" i="1" s="1"/>
  <c r="BP65" i="1" s="1"/>
  <c r="BP72" i="1" s="1"/>
  <c r="BQ65" i="1" s="1"/>
  <c r="BQ72" i="1" s="1"/>
  <c r="BR65" i="1" s="1"/>
  <c r="BM63" i="1"/>
  <c r="BM70" i="1" s="1"/>
  <c r="BN63" i="1" s="1"/>
  <c r="BN70" i="1" s="1"/>
  <c r="BO63" i="1" s="1"/>
  <c r="BO70" i="1" s="1"/>
  <c r="BP63" i="1" s="1"/>
  <c r="BP70" i="1" s="1"/>
  <c r="BQ63" i="1" s="1"/>
  <c r="BQ70" i="1" s="1"/>
  <c r="BR63" i="1" s="1"/>
  <c r="BR70" i="1" s="1"/>
  <c r="BS63" i="1" s="1"/>
  <c r="AI70" i="22"/>
  <c r="AJ63" i="22" s="1"/>
  <c r="BM61" i="1"/>
  <c r="BM68" i="1" s="1"/>
  <c r="AD68" i="22"/>
  <c r="AE61" i="22" s="1"/>
  <c r="AJ71" i="22"/>
  <c r="AC74" i="22"/>
  <c r="AC76" i="22"/>
  <c r="AE68" i="22" l="1"/>
  <c r="AE74" i="22" s="1"/>
  <c r="BS69" i="1"/>
  <c r="BT62" i="1" s="1"/>
  <c r="BT69" i="1" s="1"/>
  <c r="BU62" i="1" s="1"/>
  <c r="BU69" i="1" s="1"/>
  <c r="BV62" i="1" s="1"/>
  <c r="BR72" i="1"/>
  <c r="BS65" i="1" s="1"/>
  <c r="AC73" i="22"/>
  <c r="BR71" i="1"/>
  <c r="BS64" i="1" s="1"/>
  <c r="BN61" i="1"/>
  <c r="BM74" i="1"/>
  <c r="BS70" i="1"/>
  <c r="BT63" i="1" s="1"/>
  <c r="BT70" i="1" s="1"/>
  <c r="BU63" i="1" s="1"/>
  <c r="BU70" i="1" s="1"/>
  <c r="BV63" i="1" s="1"/>
  <c r="AD74" i="22"/>
  <c r="AJ72" i="22"/>
  <c r="BL76" i="1"/>
  <c r="AJ70" i="22"/>
  <c r="AD76" i="22"/>
  <c r="BV69" i="1" l="1"/>
  <c r="AM79" i="22" s="1"/>
  <c r="B5" i="22" s="1"/>
  <c r="BV70" i="1"/>
  <c r="AM80" i="22" s="1"/>
  <c r="B6" i="22" s="1"/>
  <c r="BS72" i="1"/>
  <c r="BT65" i="1" s="1"/>
  <c r="BT72" i="1" s="1"/>
  <c r="BU65" i="1" s="1"/>
  <c r="BU72" i="1" s="1"/>
  <c r="BV65" i="1" s="1"/>
  <c r="BL73" i="1"/>
  <c r="BM76" i="1"/>
  <c r="AD73" i="22"/>
  <c r="AE76" i="22"/>
  <c r="BN68" i="1"/>
  <c r="BO61" i="1" s="1"/>
  <c r="BS71" i="1"/>
  <c r="BT64" i="1" s="1"/>
  <c r="AF61" i="22"/>
  <c r="BV72" i="1" l="1"/>
  <c r="AM82" i="22" s="1"/>
  <c r="B8" i="22" s="1"/>
  <c r="BT71" i="1"/>
  <c r="BU64" i="1" s="1"/>
  <c r="BU71" i="1" s="1"/>
  <c r="BV64" i="1" s="1"/>
  <c r="BN76" i="1"/>
  <c r="BM73" i="1"/>
  <c r="BO68" i="1"/>
  <c r="BO74" i="1" s="1"/>
  <c r="BN74" i="1"/>
  <c r="AE73" i="22"/>
  <c r="AF68" i="22"/>
  <c r="AG61" i="22" s="1"/>
  <c r="AG68" i="22" s="1"/>
  <c r="BV71" i="1" l="1"/>
  <c r="AM81" i="22" s="1"/>
  <c r="B7" i="22" s="1"/>
  <c r="AF76" i="22"/>
  <c r="BP61" i="1"/>
  <c r="BP68" i="1" s="1"/>
  <c r="BQ61" i="1" s="1"/>
  <c r="AH61" i="22"/>
  <c r="AG74" i="22"/>
  <c r="BN73" i="1"/>
  <c r="BO76" i="1"/>
  <c r="AF74" i="22"/>
  <c r="AG76" i="22" l="1"/>
  <c r="AF73" i="22"/>
  <c r="BP76" i="1"/>
  <c r="BO73" i="1"/>
  <c r="BQ68" i="1"/>
  <c r="BQ74" i="1" s="1"/>
  <c r="BP74" i="1"/>
  <c r="AH68" i="22"/>
  <c r="AI61" i="22" s="1"/>
  <c r="AG73" i="22" l="1"/>
  <c r="BR61" i="1"/>
  <c r="BR68" i="1" s="1"/>
  <c r="AH74" i="22"/>
  <c r="AI68" i="22"/>
  <c r="AI74" i="22" s="1"/>
  <c r="AH76" i="22"/>
  <c r="BP73" i="1"/>
  <c r="BQ76" i="1"/>
  <c r="BR74" i="1" l="1"/>
  <c r="AI76" i="22"/>
  <c r="AH73" i="22"/>
  <c r="BS61" i="1"/>
  <c r="AJ61" i="22"/>
  <c r="BQ73" i="1"/>
  <c r="BR76" i="1"/>
  <c r="AJ68" i="22" l="1"/>
  <c r="AJ74" i="22" s="1"/>
  <c r="BR73" i="1"/>
  <c r="BS68" i="1"/>
  <c r="BS76" i="1" s="1"/>
  <c r="AI73" i="22"/>
  <c r="BT61" i="1" l="1"/>
  <c r="BT68" i="1" s="1"/>
  <c r="AJ76" i="22"/>
  <c r="AJ73" i="22" s="1"/>
  <c r="BS74" i="1"/>
  <c r="BS73" i="1"/>
  <c r="BU61" i="1" l="1"/>
  <c r="BT76" i="1"/>
  <c r="BT74" i="1"/>
  <c r="M44" i="28"/>
  <c r="AY44" i="20"/>
  <c r="L44" i="26"/>
  <c r="BU45" i="11"/>
  <c r="AB44" i="24"/>
  <c r="AK45" i="21"/>
  <c r="AX59" i="20"/>
  <c r="K45" i="26"/>
  <c r="L45" i="28"/>
  <c r="L52" i="28" s="1"/>
  <c r="L59" i="28" s="1"/>
  <c r="AA45" i="24"/>
  <c r="AA52" i="24" s="1"/>
  <c r="AA59" i="24" s="1"/>
  <c r="BT46" i="11"/>
  <c r="BT53" i="11" s="1"/>
  <c r="BT60" i="11" s="1"/>
  <c r="AJ46" i="21"/>
  <c r="AJ53" i="21" s="1"/>
  <c r="AJ60" i="21" s="1"/>
  <c r="BT45" i="11"/>
  <c r="BT52" i="11" s="1"/>
  <c r="AJ45" i="21"/>
  <c r="AJ52" i="21" s="1"/>
  <c r="AJ59" i="21" s="1"/>
  <c r="K44" i="26"/>
  <c r="AA44" i="24"/>
  <c r="AA51" i="24" s="1"/>
  <c r="AA58" i="24" s="1"/>
  <c r="L44" i="28"/>
  <c r="L51" i="28" s="1"/>
  <c r="L58" i="28" s="1"/>
  <c r="AZ44" i="20"/>
  <c r="N44" i="28"/>
  <c r="M44" i="26"/>
  <c r="AL45" i="21"/>
  <c r="AC44" i="24"/>
  <c r="BV45" i="11"/>
  <c r="M42" i="26"/>
  <c r="AL43" i="21"/>
  <c r="AZ42" i="20"/>
  <c r="AC42" i="24"/>
  <c r="BV43" i="11"/>
  <c r="N42" i="28"/>
  <c r="AL42" i="21"/>
  <c r="M41" i="26"/>
  <c r="AC41" i="24"/>
  <c r="BV42" i="11"/>
  <c r="N41" i="28"/>
  <c r="AZ41" i="20"/>
  <c r="AK46" i="21"/>
  <c r="BU46" i="11"/>
  <c r="M45" i="28"/>
  <c r="L45" i="26"/>
  <c r="AY45" i="20"/>
  <c r="AB45" i="24"/>
  <c r="K43" i="26"/>
  <c r="L43" i="28"/>
  <c r="L50" i="28" s="1"/>
  <c r="L57" i="28" s="1"/>
  <c r="AA43" i="24"/>
  <c r="AA50" i="24" s="1"/>
  <c r="AA57" i="24" s="1"/>
  <c r="BT44" i="11"/>
  <c r="BT51" i="11" s="1"/>
  <c r="BT58" i="11" s="1"/>
  <c r="AJ44" i="21"/>
  <c r="AJ51" i="21" s="1"/>
  <c r="AJ58" i="21" s="1"/>
  <c r="AX57" i="20"/>
  <c r="AL46" i="21"/>
  <c r="AC45" i="24"/>
  <c r="M45" i="26"/>
  <c r="AZ45" i="20"/>
  <c r="BV46" i="11"/>
  <c r="N45" i="28"/>
  <c r="AK44" i="21"/>
  <c r="M43" i="28"/>
  <c r="L43" i="26"/>
  <c r="AY43" i="20"/>
  <c r="AB43" i="24"/>
  <c r="BU44" i="11"/>
  <c r="AK42" i="21"/>
  <c r="L41" i="26"/>
  <c r="M41" i="28"/>
  <c r="AY41" i="20"/>
  <c r="BU42" i="11"/>
  <c r="AB41" i="24"/>
  <c r="BT43" i="11"/>
  <c r="BT50" i="11" s="1"/>
  <c r="K42" i="26"/>
  <c r="AJ43" i="21"/>
  <c r="AJ50" i="21" s="1"/>
  <c r="AJ57" i="21" s="1"/>
  <c r="L42" i="28"/>
  <c r="L49" i="28" s="1"/>
  <c r="AA42" i="24"/>
  <c r="AA49" i="24" s="1"/>
  <c r="AA56" i="24" s="1"/>
  <c r="AB42" i="24"/>
  <c r="M42" i="28"/>
  <c r="L42" i="26"/>
  <c r="BU43" i="11"/>
  <c r="AK43" i="21"/>
  <c r="AY42" i="20"/>
  <c r="K41" i="26"/>
  <c r="AA41" i="24"/>
  <c r="AA48" i="24" s="1"/>
  <c r="BT42" i="11"/>
  <c r="BT49" i="11" s="1"/>
  <c r="AX55" i="20"/>
  <c r="L41" i="28"/>
  <c r="L48" i="28" s="1"/>
  <c r="AJ42" i="21"/>
  <c r="AJ49" i="21" s="1"/>
  <c r="AC43" i="24"/>
  <c r="M43" i="26"/>
  <c r="BV44" i="11"/>
  <c r="AL44" i="21"/>
  <c r="N43" i="28"/>
  <c r="AZ43" i="20"/>
  <c r="AX37" i="22"/>
  <c r="AX23" i="22"/>
  <c r="D5" i="1"/>
  <c r="AY37" i="22"/>
  <c r="AY23" i="22"/>
  <c r="AW37" i="22"/>
  <c r="AW23" i="22"/>
  <c r="AW24" i="22"/>
  <c r="D6" i="1"/>
  <c r="AX38" i="22"/>
  <c r="AX24" i="22"/>
  <c r="AW39" i="22"/>
  <c r="AW46" i="22" s="1"/>
  <c r="AW25" i="22"/>
  <c r="D7" i="1"/>
  <c r="AX49" i="22"/>
  <c r="AX35" i="22" s="1"/>
  <c r="AX21" i="22"/>
  <c r="AX39" i="22"/>
  <c r="AX25" i="22"/>
  <c r="AY49" i="22"/>
  <c r="AY35" i="22" s="1"/>
  <c r="AY21" i="22"/>
  <c r="AY39" i="22"/>
  <c r="AY25" i="22"/>
  <c r="AY38" i="22"/>
  <c r="AY24" i="22"/>
  <c r="D4" i="1"/>
  <c r="D8" i="1"/>
  <c r="AX36" i="22"/>
  <c r="AX22" i="22"/>
  <c r="X41" i="26"/>
  <c r="AY36" i="22"/>
  <c r="AY22" i="22"/>
  <c r="Y41" i="26"/>
  <c r="AW44" i="22" l="1"/>
  <c r="M51" i="28"/>
  <c r="M58" i="28" s="1"/>
  <c r="N51" i="28" s="1"/>
  <c r="N58" i="28" s="1"/>
  <c r="AX42" i="22"/>
  <c r="AX54" i="22" s="1"/>
  <c r="AW43" i="22"/>
  <c r="AW55" i="22" s="1"/>
  <c r="BT73" i="1"/>
  <c r="BU68" i="1"/>
  <c r="BV61" i="1" s="1"/>
  <c r="AB51" i="24"/>
  <c r="AB58" i="24" s="1"/>
  <c r="AK50" i="21"/>
  <c r="AK57" i="21" s="1"/>
  <c r="AL50" i="21" s="1"/>
  <c r="AL57" i="21" s="1"/>
  <c r="AM50" i="21" s="1"/>
  <c r="AM57" i="21" s="1"/>
  <c r="AN50" i="21" s="1"/>
  <c r="AN57" i="21" s="1"/>
  <c r="AO50" i="21" s="1"/>
  <c r="AO57" i="21" s="1"/>
  <c r="AP50" i="21" s="1"/>
  <c r="AP57" i="21" s="1"/>
  <c r="AQ50" i="21" s="1"/>
  <c r="M50" i="28"/>
  <c r="M57" i="28" s="1"/>
  <c r="N50" i="28" s="1"/>
  <c r="N57" i="28" s="1"/>
  <c r="AK51" i="21"/>
  <c r="AK58" i="21" s="1"/>
  <c r="AK42" i="22"/>
  <c r="AK54" i="22" s="1"/>
  <c r="AK61" i="22" s="1"/>
  <c r="AK68" i="22" s="1"/>
  <c r="AB50" i="24"/>
  <c r="BT59" i="11"/>
  <c r="BU52" i="11" s="1"/>
  <c r="BU59" i="11" s="1"/>
  <c r="BV52" i="11" s="1"/>
  <c r="BV59" i="11" s="1"/>
  <c r="BW52" i="11" s="1"/>
  <c r="BW59" i="11" s="1"/>
  <c r="BX52" i="11" s="1"/>
  <c r="BX59" i="11" s="1"/>
  <c r="BY52" i="11" s="1"/>
  <c r="BY59" i="11" s="1"/>
  <c r="BZ52" i="11" s="1"/>
  <c r="BZ59" i="11" s="1"/>
  <c r="CA52" i="11" s="1"/>
  <c r="AK46" i="22"/>
  <c r="AK25" i="22"/>
  <c r="AJ56" i="21"/>
  <c r="L56" i="28"/>
  <c r="M49" i="28" s="1"/>
  <c r="M56" i="28" s="1"/>
  <c r="N49" i="28" s="1"/>
  <c r="N56" i="28" s="1"/>
  <c r="AM22" i="22"/>
  <c r="AM43" i="22"/>
  <c r="AK53" i="21"/>
  <c r="AK60" i="21" s="1"/>
  <c r="AL53" i="21" s="1"/>
  <c r="AL60" i="21" s="1"/>
  <c r="AM53" i="21" s="1"/>
  <c r="L55" i="28"/>
  <c r="M48" i="28" s="1"/>
  <c r="AM21" i="22"/>
  <c r="AM42" i="22"/>
  <c r="BU53" i="11"/>
  <c r="BU60" i="11" s="1"/>
  <c r="BV53" i="11" s="1"/>
  <c r="BV60" i="11" s="1"/>
  <c r="BW53" i="11" s="1"/>
  <c r="AY48" i="20"/>
  <c r="CF44" i="11"/>
  <c r="AL25" i="22"/>
  <c r="AL46" i="22"/>
  <c r="AB52" i="24"/>
  <c r="BT56" i="11"/>
  <c r="BU49" i="11" s="1"/>
  <c r="AK43" i="22"/>
  <c r="AK22" i="22"/>
  <c r="AM25" i="22"/>
  <c r="AM46" i="22"/>
  <c r="AK23" i="22"/>
  <c r="AK44" i="22"/>
  <c r="AK24" i="22"/>
  <c r="AK45" i="22"/>
  <c r="M52" i="28"/>
  <c r="M59" i="28" s="1"/>
  <c r="N52" i="28" s="1"/>
  <c r="AA55" i="24"/>
  <c r="AL22" i="22"/>
  <c r="AX56" i="20"/>
  <c r="AY49" i="20" s="1"/>
  <c r="AL44" i="22"/>
  <c r="AL23" i="22"/>
  <c r="AY50" i="20"/>
  <c r="AY57" i="20" s="1"/>
  <c r="AZ50" i="20" s="1"/>
  <c r="CF45" i="11"/>
  <c r="AL24" i="22"/>
  <c r="AL45" i="22"/>
  <c r="CF43" i="11"/>
  <c r="AL21" i="22"/>
  <c r="AL42" i="22"/>
  <c r="AK52" i="21"/>
  <c r="AY52" i="20"/>
  <c r="AY59" i="20" s="1"/>
  <c r="AZ52" i="20" s="1"/>
  <c r="AM44" i="22"/>
  <c r="AM23" i="22"/>
  <c r="CF42" i="11"/>
  <c r="AB49" i="24"/>
  <c r="AB56" i="24" s="1"/>
  <c r="AC49" i="24" s="1"/>
  <c r="BT57" i="11"/>
  <c r="BU51" i="11"/>
  <c r="BU58" i="11" s="1"/>
  <c r="BV51" i="11" s="1"/>
  <c r="BV58" i="11" s="1"/>
  <c r="BW51" i="11" s="1"/>
  <c r="AM45" i="22"/>
  <c r="AM24" i="22"/>
  <c r="AX58" i="20"/>
  <c r="CF46" i="11"/>
  <c r="AX43" i="22"/>
  <c r="AX55" i="22" s="1"/>
  <c r="AY45" i="22"/>
  <c r="AY57" i="22" s="1"/>
  <c r="AW57" i="22"/>
  <c r="Z45" i="28"/>
  <c r="W44" i="26"/>
  <c r="Y45" i="28"/>
  <c r="W43" i="26"/>
  <c r="W42" i="26"/>
  <c r="AW58" i="22"/>
  <c r="AW56" i="22"/>
  <c r="W45" i="26"/>
  <c r="Z43" i="28"/>
  <c r="Y42" i="28"/>
  <c r="X42" i="28"/>
  <c r="X45" i="28"/>
  <c r="Y43" i="26"/>
  <c r="E4" i="1"/>
  <c r="F4" i="1" s="1"/>
  <c r="AX45" i="22"/>
  <c r="AX57" i="22" s="1"/>
  <c r="AY46" i="22"/>
  <c r="AY58" i="22" s="1"/>
  <c r="AX46" i="22"/>
  <c r="AX58" i="22" s="1"/>
  <c r="E6" i="1"/>
  <c r="AY44" i="22"/>
  <c r="AY56" i="22" s="1"/>
  <c r="E5" i="1"/>
  <c r="Z41" i="28"/>
  <c r="E7" i="1"/>
  <c r="Y44" i="28"/>
  <c r="X44" i="26"/>
  <c r="E8" i="1"/>
  <c r="AY43" i="22"/>
  <c r="Y41" i="28"/>
  <c r="Y44" i="26"/>
  <c r="X43" i="26"/>
  <c r="X42" i="26"/>
  <c r="Y43" i="28"/>
  <c r="Y42" i="26"/>
  <c r="AY42" i="22"/>
  <c r="AY54" i="22" s="1"/>
  <c r="Y45" i="26"/>
  <c r="Z44" i="28"/>
  <c r="X45" i="26"/>
  <c r="D9" i="1"/>
  <c r="Z42" i="28"/>
  <c r="AX44" i="22"/>
  <c r="AX56" i="22" s="1"/>
  <c r="AW51" i="22" l="1"/>
  <c r="AX63" i="20"/>
  <c r="AZ57" i="20"/>
  <c r="M67" i="26" s="1"/>
  <c r="B6" i="26" s="1"/>
  <c r="E6" i="26" s="1"/>
  <c r="E4" i="22"/>
  <c r="AC56" i="24"/>
  <c r="N66" i="28" s="1"/>
  <c r="C6" i="22"/>
  <c r="C8" i="22"/>
  <c r="E5" i="22"/>
  <c r="C7" i="22"/>
  <c r="E8" i="22"/>
  <c r="C5" i="22"/>
  <c r="E7" i="22"/>
  <c r="E6" i="22"/>
  <c r="C4" i="22"/>
  <c r="AW54" i="22"/>
  <c r="AC51" i="24"/>
  <c r="BV68" i="1"/>
  <c r="AM78" i="22" s="1"/>
  <c r="BU74" i="1"/>
  <c r="BU76" i="1"/>
  <c r="AL51" i="21"/>
  <c r="AL58" i="21" s="1"/>
  <c r="AM51" i="21" s="1"/>
  <c r="AM58" i="21" s="1"/>
  <c r="AN51" i="21" s="1"/>
  <c r="AM54" i="22"/>
  <c r="AL56" i="22"/>
  <c r="C8" i="1"/>
  <c r="F8" i="1" s="1"/>
  <c r="D9" i="22"/>
  <c r="BT62" i="11"/>
  <c r="BU50" i="11"/>
  <c r="BU57" i="11" s="1"/>
  <c r="BV50" i="11" s="1"/>
  <c r="BV57" i="11" s="1"/>
  <c r="BW50" i="11" s="1"/>
  <c r="BW57" i="11" s="1"/>
  <c r="BX50" i="11" s="1"/>
  <c r="BX57" i="11" s="1"/>
  <c r="BY50" i="11" s="1"/>
  <c r="BY57" i="11" s="1"/>
  <c r="BZ50" i="11" s="1"/>
  <c r="BZ57" i="11" s="1"/>
  <c r="CA50" i="11" s="1"/>
  <c r="CA57" i="11" s="1"/>
  <c r="CB50" i="11" s="1"/>
  <c r="CB57" i="11" s="1"/>
  <c r="CC50" i="11" s="1"/>
  <c r="CC57" i="11" s="1"/>
  <c r="CD50" i="11" s="1"/>
  <c r="CD57" i="11" s="1"/>
  <c r="CE50" i="11" s="1"/>
  <c r="CE57" i="11" s="1"/>
  <c r="AK58" i="22"/>
  <c r="AK65" i="22" s="1"/>
  <c r="AK56" i="22"/>
  <c r="AK63" i="22" s="1"/>
  <c r="AL58" i="22"/>
  <c r="C6" i="1"/>
  <c r="F6" i="1" s="1"/>
  <c r="AL55" i="22"/>
  <c r="AL57" i="22"/>
  <c r="AY51" i="20"/>
  <c r="AY58" i="20" s="1"/>
  <c r="AL54" i="22"/>
  <c r="AY56" i="20"/>
  <c r="AZ49" i="20" s="1"/>
  <c r="M55" i="28"/>
  <c r="N48" i="28" s="1"/>
  <c r="CA59" i="11"/>
  <c r="CB52" i="11" s="1"/>
  <c r="AB59" i="24"/>
  <c r="AC52" i="24" s="1"/>
  <c r="AJ62" i="21"/>
  <c r="AJ64" i="21"/>
  <c r="BW58" i="11"/>
  <c r="BX51" i="11" s="1"/>
  <c r="BX58" i="11" s="1"/>
  <c r="BY51" i="11" s="1"/>
  <c r="BY58" i="11" s="1"/>
  <c r="BZ51" i="11" s="1"/>
  <c r="BZ58" i="11" s="1"/>
  <c r="CA51" i="11" s="1"/>
  <c r="CA58" i="11" s="1"/>
  <c r="CB51" i="11" s="1"/>
  <c r="CB58" i="11" s="1"/>
  <c r="CC51" i="11" s="1"/>
  <c r="CC58" i="11" s="1"/>
  <c r="CD51" i="11" s="1"/>
  <c r="CD58" i="11" s="1"/>
  <c r="CE51" i="11" s="1"/>
  <c r="CE58" i="11" s="1"/>
  <c r="AQ57" i="21"/>
  <c r="AR50" i="21" s="1"/>
  <c r="AM55" i="22"/>
  <c r="AZ59" i="20"/>
  <c r="M69" i="26" s="1"/>
  <c r="B8" i="26" s="1"/>
  <c r="E8" i="26" s="1"/>
  <c r="AA61" i="24"/>
  <c r="AA63" i="24"/>
  <c r="AM58" i="22"/>
  <c r="AK59" i="21"/>
  <c r="AL52" i="21" s="1"/>
  <c r="AL59" i="21" s="1"/>
  <c r="AM52" i="21" s="1"/>
  <c r="AM59" i="21" s="1"/>
  <c r="AN52" i="21" s="1"/>
  <c r="AN59" i="21" s="1"/>
  <c r="AO52" i="21" s="1"/>
  <c r="AO59" i="21" s="1"/>
  <c r="AP52" i="21" s="1"/>
  <c r="AP59" i="21" s="1"/>
  <c r="AQ52" i="21" s="1"/>
  <c r="AB48" i="24"/>
  <c r="AK55" i="22"/>
  <c r="N59" i="28"/>
  <c r="AX61" i="20"/>
  <c r="L61" i="28"/>
  <c r="L63" i="28"/>
  <c r="AB57" i="24"/>
  <c r="AC50" i="24" s="1"/>
  <c r="BU56" i="11"/>
  <c r="AY55" i="20"/>
  <c r="AZ48" i="20" s="1"/>
  <c r="AM60" i="21"/>
  <c r="AN53" i="21" s="1"/>
  <c r="AN60" i="21" s="1"/>
  <c r="AO53" i="21" s="1"/>
  <c r="AO60" i="21" s="1"/>
  <c r="AP53" i="21" s="1"/>
  <c r="AP60" i="21" s="1"/>
  <c r="AQ53" i="21" s="1"/>
  <c r="AQ60" i="21" s="1"/>
  <c r="AR53" i="21" s="1"/>
  <c r="AR60" i="21" s="1"/>
  <c r="AS53" i="21" s="1"/>
  <c r="AS60" i="21" s="1"/>
  <c r="AT53" i="21" s="1"/>
  <c r="AT60" i="21" s="1"/>
  <c r="AU53" i="21" s="1"/>
  <c r="AM57" i="22"/>
  <c r="AM56" i="22"/>
  <c r="AK57" i="22"/>
  <c r="AK64" i="22" s="1"/>
  <c r="BT64" i="11"/>
  <c r="BW60" i="11"/>
  <c r="BX53" i="11" s="1"/>
  <c r="BX60" i="11" s="1"/>
  <c r="BY53" i="11" s="1"/>
  <c r="BY60" i="11" s="1"/>
  <c r="BZ53" i="11" s="1"/>
  <c r="BZ60" i="11" s="1"/>
  <c r="CA53" i="11" s="1"/>
  <c r="CA60" i="11" s="1"/>
  <c r="CB53" i="11" s="1"/>
  <c r="CB60" i="11" s="1"/>
  <c r="CC53" i="11" s="1"/>
  <c r="CC60" i="11" s="1"/>
  <c r="CD53" i="11" s="1"/>
  <c r="CD60" i="11" s="1"/>
  <c r="CE53" i="11" s="1"/>
  <c r="CE60" i="11" s="1"/>
  <c r="AK49" i="21"/>
  <c r="C8" i="28"/>
  <c r="C6" i="11"/>
  <c r="C7" i="11"/>
  <c r="C5" i="1"/>
  <c r="F5" i="1" s="1"/>
  <c r="C5" i="28"/>
  <c r="AY55" i="22"/>
  <c r="C8" i="11"/>
  <c r="C7" i="1"/>
  <c r="F7" i="1" s="1"/>
  <c r="C4" i="28"/>
  <c r="X41" i="28"/>
  <c r="B4" i="21"/>
  <c r="W41" i="26"/>
  <c r="X43" i="28"/>
  <c r="C6" i="28"/>
  <c r="B8" i="21"/>
  <c r="C7" i="28"/>
  <c r="X44" i="28"/>
  <c r="B6" i="21"/>
  <c r="C5" i="24"/>
  <c r="E5" i="24" s="1"/>
  <c r="C7" i="24"/>
  <c r="E7" i="24" s="1"/>
  <c r="C4" i="20"/>
  <c r="D4" i="20" s="1"/>
  <c r="C5" i="11"/>
  <c r="B5" i="21"/>
  <c r="C6" i="24"/>
  <c r="E6" i="24" s="1"/>
  <c r="E9" i="1"/>
  <c r="C8" i="20"/>
  <c r="D8" i="20" s="1"/>
  <c r="C5" i="20"/>
  <c r="D5" i="20" s="1"/>
  <c r="C7" i="20"/>
  <c r="D7" i="20" s="1"/>
  <c r="C4" i="24"/>
  <c r="E4" i="24" s="1"/>
  <c r="G5" i="1"/>
  <c r="B7" i="21"/>
  <c r="C8" i="24"/>
  <c r="E8" i="24" s="1"/>
  <c r="C6" i="20"/>
  <c r="D6" i="20" s="1"/>
  <c r="AX51" i="22" l="1"/>
  <c r="F8" i="22"/>
  <c r="AZ56" i="20"/>
  <c r="M66" i="26" s="1"/>
  <c r="B5" i="26" s="1"/>
  <c r="E5" i="26" s="1"/>
  <c r="F5" i="22"/>
  <c r="AX60" i="20"/>
  <c r="AC57" i="24"/>
  <c r="N67" i="28" s="1"/>
  <c r="AC59" i="24"/>
  <c r="N69" i="28" s="1"/>
  <c r="O49" i="28"/>
  <c r="O56" i="28" s="1"/>
  <c r="P49" i="28" s="1"/>
  <c r="P56" i="28" s="1"/>
  <c r="Q49" i="28" s="1"/>
  <c r="Q56" i="28" s="1"/>
  <c r="R49" i="28" s="1"/>
  <c r="R56" i="28" s="1"/>
  <c r="S49" i="28" s="1"/>
  <c r="S56" i="28" s="1"/>
  <c r="T49" i="28" s="1"/>
  <c r="T56" i="28" s="1"/>
  <c r="U49" i="28" s="1"/>
  <c r="U56" i="28" s="1"/>
  <c r="V49" i="28" s="1"/>
  <c r="V56" i="28" s="1"/>
  <c r="W49" i="28" s="1"/>
  <c r="B5" i="28"/>
  <c r="E5" i="28" s="1"/>
  <c r="AC58" i="24"/>
  <c r="N68" i="28" s="1"/>
  <c r="F6" i="22"/>
  <c r="AU60" i="21"/>
  <c r="F7" i="22"/>
  <c r="CF53" i="11"/>
  <c r="CF60" i="11" s="1"/>
  <c r="CF50" i="11"/>
  <c r="CF57" i="11" s="1"/>
  <c r="AL61" i="22"/>
  <c r="AK62" i="22"/>
  <c r="AK69" i="22" s="1"/>
  <c r="CF51" i="11"/>
  <c r="CF58" i="11" s="1"/>
  <c r="AK71" i="22"/>
  <c r="AL64" i="22" s="1"/>
  <c r="AL71" i="22" s="1"/>
  <c r="AK72" i="22"/>
  <c r="AL65" i="22" s="1"/>
  <c r="AL72" i="22" s="1"/>
  <c r="AK70" i="22"/>
  <c r="AL63" i="22" s="1"/>
  <c r="B4" i="22"/>
  <c r="F4" i="22" s="1"/>
  <c r="C9" i="22"/>
  <c r="BU73" i="1"/>
  <c r="G6" i="1"/>
  <c r="H6" i="1" s="1"/>
  <c r="G8" i="1"/>
  <c r="H8" i="1" s="1"/>
  <c r="C8" i="5" s="1"/>
  <c r="BV74" i="1"/>
  <c r="BV76" i="1"/>
  <c r="AY61" i="20"/>
  <c r="AJ61" i="21"/>
  <c r="AN58" i="21"/>
  <c r="AO51" i="21" s="1"/>
  <c r="AO58" i="21" s="1"/>
  <c r="AP51" i="21" s="1"/>
  <c r="CB59" i="11"/>
  <c r="CC52" i="11" s="1"/>
  <c r="CC59" i="11" s="1"/>
  <c r="CD52" i="11" s="1"/>
  <c r="CD59" i="11" s="1"/>
  <c r="CE52" i="11" s="1"/>
  <c r="AQ59" i="21"/>
  <c r="AR52" i="21" s="1"/>
  <c r="AR59" i="21" s="1"/>
  <c r="AS52" i="21" s="1"/>
  <c r="AS59" i="21" s="1"/>
  <c r="AT52" i="21" s="1"/>
  <c r="AT59" i="21" s="1"/>
  <c r="AU52" i="21" s="1"/>
  <c r="AZ55" i="20"/>
  <c r="M65" i="26" s="1"/>
  <c r="B4" i="26" s="1"/>
  <c r="AR57" i="21"/>
  <c r="AS50" i="21" s="1"/>
  <c r="AS57" i="21" s="1"/>
  <c r="AT50" i="21" s="1"/>
  <c r="AT57" i="21" s="1"/>
  <c r="AU50" i="21" s="1"/>
  <c r="AK56" i="21"/>
  <c r="AL49" i="21" s="1"/>
  <c r="BU62" i="11"/>
  <c r="BU64" i="11"/>
  <c r="BT61" i="11"/>
  <c r="AB55" i="24"/>
  <c r="AC48" i="24" s="1"/>
  <c r="AA60" i="24"/>
  <c r="N55" i="28"/>
  <c r="M61" i="28"/>
  <c r="M63" i="28"/>
  <c r="AY63" i="20"/>
  <c r="BV49" i="11"/>
  <c r="L60" i="28"/>
  <c r="AZ51" i="20"/>
  <c r="C9" i="1"/>
  <c r="F9" i="1"/>
  <c r="H5" i="1"/>
  <c r="C5" i="5" s="1"/>
  <c r="C4" i="11"/>
  <c r="C9" i="11" s="1"/>
  <c r="E9" i="22"/>
  <c r="E9" i="24"/>
  <c r="C9" i="24"/>
  <c r="C9" i="20"/>
  <c r="B9" i="21"/>
  <c r="C9" i="28"/>
  <c r="AY51" i="22" l="1"/>
  <c r="E4" i="26"/>
  <c r="AM77" i="22"/>
  <c r="F8" i="24"/>
  <c r="G8" i="24" s="1"/>
  <c r="E8" i="5" s="1"/>
  <c r="L8" i="5" s="1"/>
  <c r="F6" i="24"/>
  <c r="G6" i="24" s="1"/>
  <c r="E6" i="5" s="1"/>
  <c r="AK74" i="22"/>
  <c r="B9" i="22"/>
  <c r="AL68" i="22"/>
  <c r="AM61" i="22" s="1"/>
  <c r="N63" i="28"/>
  <c r="O52" i="28"/>
  <c r="O59" i="28" s="1"/>
  <c r="B8" i="28"/>
  <c r="E8" i="28" s="1"/>
  <c r="B7" i="28"/>
  <c r="E7" i="28" s="1"/>
  <c r="O51" i="28"/>
  <c r="O58" i="28" s="1"/>
  <c r="P51" i="28" s="1"/>
  <c r="P58" i="28" s="1"/>
  <c r="Q51" i="28" s="1"/>
  <c r="Q58" i="28" s="1"/>
  <c r="R51" i="28" s="1"/>
  <c r="R58" i="28" s="1"/>
  <c r="S51" i="28" s="1"/>
  <c r="S58" i="28" s="1"/>
  <c r="T51" i="28" s="1"/>
  <c r="T58" i="28" s="1"/>
  <c r="U51" i="28" s="1"/>
  <c r="U58" i="28" s="1"/>
  <c r="V51" i="28" s="1"/>
  <c r="V58" i="28" s="1"/>
  <c r="W51" i="28" s="1"/>
  <c r="W58" i="28" s="1"/>
  <c r="O50" i="28"/>
  <c r="O57" i="28" s="1"/>
  <c r="P50" i="28" s="1"/>
  <c r="P57" i="28" s="1"/>
  <c r="Q50" i="28" s="1"/>
  <c r="Q57" i="28" s="1"/>
  <c r="R50" i="28" s="1"/>
  <c r="R57" i="28" s="1"/>
  <c r="S50" i="28" s="1"/>
  <c r="S57" i="28" s="1"/>
  <c r="T50" i="28" s="1"/>
  <c r="T57" i="28" s="1"/>
  <c r="U50" i="28" s="1"/>
  <c r="U57" i="28" s="1"/>
  <c r="V50" i="28" s="1"/>
  <c r="V57" i="28" s="1"/>
  <c r="W50" i="28" s="1"/>
  <c r="W57" i="28" s="1"/>
  <c r="X50" i="28" s="1"/>
  <c r="X57" i="28" s="1"/>
  <c r="Y50" i="28" s="1"/>
  <c r="Y57" i="28" s="1"/>
  <c r="Z50" i="28" s="1"/>
  <c r="Z57" i="28" s="1"/>
  <c r="F6" i="28" s="1"/>
  <c r="B6" i="28"/>
  <c r="E6" i="28" s="1"/>
  <c r="W56" i="28"/>
  <c r="X49" i="28" s="1"/>
  <c r="AU57" i="21"/>
  <c r="AU59" i="21"/>
  <c r="AL62" i="22"/>
  <c r="AK76" i="22"/>
  <c r="CE59" i="11"/>
  <c r="CF52" i="11" s="1"/>
  <c r="CF59" i="11" s="1"/>
  <c r="AL70" i="22"/>
  <c r="AM64" i="22"/>
  <c r="AM71" i="22" s="1"/>
  <c r="AM65" i="22"/>
  <c r="AM72" i="22" s="1"/>
  <c r="BV73" i="1"/>
  <c r="G7" i="1"/>
  <c r="H7" i="1" s="1"/>
  <c r="C7" i="5" s="1"/>
  <c r="E8" i="20"/>
  <c r="F8" i="20" s="1"/>
  <c r="F8" i="5" s="1"/>
  <c r="S8" i="5" s="1"/>
  <c r="G9" i="13" s="1"/>
  <c r="AC55" i="24"/>
  <c r="N65" i="28" s="1"/>
  <c r="O48" i="28" s="1"/>
  <c r="AP58" i="21"/>
  <c r="AQ51" i="21" s="1"/>
  <c r="AQ58" i="21" s="1"/>
  <c r="AR51" i="21" s="1"/>
  <c r="AR58" i="21" s="1"/>
  <c r="AS51" i="21" s="1"/>
  <c r="AS58" i="21" s="1"/>
  <c r="AT51" i="21" s="1"/>
  <c r="AT58" i="21" s="1"/>
  <c r="AU51" i="21" s="1"/>
  <c r="E5" i="20"/>
  <c r="F5" i="20" s="1"/>
  <c r="F5" i="5" s="1"/>
  <c r="M5" i="5" s="1"/>
  <c r="AL56" i="21"/>
  <c r="AM49" i="21" s="1"/>
  <c r="M60" i="28"/>
  <c r="AK62" i="21"/>
  <c r="AK64" i="21"/>
  <c r="AB61" i="24"/>
  <c r="AB63" i="24"/>
  <c r="AZ58" i="20"/>
  <c r="M68" i="26" s="1"/>
  <c r="B7" i="26" s="1"/>
  <c r="E7" i="26" s="1"/>
  <c r="N61" i="28"/>
  <c r="BU61" i="11"/>
  <c r="BV56" i="11"/>
  <c r="BW49" i="11" s="1"/>
  <c r="AY60" i="20"/>
  <c r="R8" i="5"/>
  <c r="F9" i="13" s="1"/>
  <c r="R6" i="5"/>
  <c r="F7" i="13" s="1"/>
  <c r="L6" i="5"/>
  <c r="C6" i="5"/>
  <c r="F5" i="24"/>
  <c r="G5" i="24" s="1"/>
  <c r="E5" i="5" s="1"/>
  <c r="F7" i="24"/>
  <c r="G7" i="24" s="1"/>
  <c r="E7" i="5" s="1"/>
  <c r="P5" i="5"/>
  <c r="J5" i="5"/>
  <c r="J8" i="5"/>
  <c r="P8" i="5"/>
  <c r="D9" i="20"/>
  <c r="AK73" i="22" l="1"/>
  <c r="E9" i="26"/>
  <c r="B9" i="26"/>
  <c r="G6" i="28"/>
  <c r="E28" i="23" s="1"/>
  <c r="P52" i="28"/>
  <c r="P59" i="28" s="1"/>
  <c r="Q52" i="28" s="1"/>
  <c r="Q59" i="28" s="1"/>
  <c r="R52" i="28" s="1"/>
  <c r="R59" i="28" s="1"/>
  <c r="S52" i="28" s="1"/>
  <c r="S59" i="28" s="1"/>
  <c r="T52" i="28" s="1"/>
  <c r="T59" i="28" s="1"/>
  <c r="U52" i="28" s="1"/>
  <c r="U59" i="28" s="1"/>
  <c r="V52" i="28" s="1"/>
  <c r="V59" i="28" s="1"/>
  <c r="W52" i="28" s="1"/>
  <c r="AM68" i="22"/>
  <c r="AN61" i="22" s="1"/>
  <c r="X51" i="28"/>
  <c r="X58" i="28" s="1"/>
  <c r="Y51" i="28" s="1"/>
  <c r="Y58" i="28" s="1"/>
  <c r="Z51" i="28" s="1"/>
  <c r="Z58" i="28" s="1"/>
  <c r="O55" i="28"/>
  <c r="O61" i="28" s="1"/>
  <c r="B4" i="28"/>
  <c r="E4" i="28" s="1"/>
  <c r="X56" i="28"/>
  <c r="AU58" i="21"/>
  <c r="AL69" i="22"/>
  <c r="AL74" i="22" s="1"/>
  <c r="AN64" i="22"/>
  <c r="AN71" i="22" s="1"/>
  <c r="AO64" i="22" s="1"/>
  <c r="AO71" i="22" s="1"/>
  <c r="AP64" i="22" s="1"/>
  <c r="AP71" i="22" s="1"/>
  <c r="AQ64" i="22" s="1"/>
  <c r="AQ71" i="22" s="1"/>
  <c r="AR64" i="22" s="1"/>
  <c r="AR71" i="22" s="1"/>
  <c r="AS64" i="22" s="1"/>
  <c r="AS71" i="22" s="1"/>
  <c r="AT64" i="22" s="1"/>
  <c r="AT71" i="22" s="1"/>
  <c r="AU64" i="22" s="1"/>
  <c r="AU71" i="22" s="1"/>
  <c r="AV64" i="22" s="1"/>
  <c r="AM63" i="22"/>
  <c r="AM70" i="22" s="1"/>
  <c r="AN63" i="22" s="1"/>
  <c r="AN70" i="22" s="1"/>
  <c r="AO63" i="22" s="1"/>
  <c r="AO70" i="22" s="1"/>
  <c r="AP63" i="22" s="1"/>
  <c r="AP70" i="22" s="1"/>
  <c r="AQ63" i="22" s="1"/>
  <c r="AQ70" i="22" s="1"/>
  <c r="AR63" i="22" s="1"/>
  <c r="AR70" i="22" s="1"/>
  <c r="AS63" i="22" s="1"/>
  <c r="AS70" i="22" s="1"/>
  <c r="AT63" i="22" s="1"/>
  <c r="AT70" i="22" s="1"/>
  <c r="AU63" i="22" s="1"/>
  <c r="AU70" i="22" s="1"/>
  <c r="AV63" i="22" s="1"/>
  <c r="AN65" i="22"/>
  <c r="AN72" i="22" s="1"/>
  <c r="AO65" i="22" s="1"/>
  <c r="AO72" i="22" s="1"/>
  <c r="AP65" i="22" s="1"/>
  <c r="AP72" i="22" s="1"/>
  <c r="AQ65" i="22" s="1"/>
  <c r="AQ72" i="22" s="1"/>
  <c r="AR65" i="22" s="1"/>
  <c r="AR72" i="22" s="1"/>
  <c r="AS65" i="22" s="1"/>
  <c r="AS72" i="22" s="1"/>
  <c r="AT65" i="22" s="1"/>
  <c r="AT72" i="22" s="1"/>
  <c r="AU65" i="22" s="1"/>
  <c r="AU72" i="22" s="1"/>
  <c r="AV65" i="22" s="1"/>
  <c r="P7" i="5"/>
  <c r="D8" i="13" s="1"/>
  <c r="J7" i="5"/>
  <c r="M8" i="5"/>
  <c r="S5" i="5"/>
  <c r="G6" i="13" s="1"/>
  <c r="E4" i="20"/>
  <c r="F4" i="20" s="1"/>
  <c r="AB60" i="24"/>
  <c r="N60" i="28"/>
  <c r="AZ61" i="20"/>
  <c r="BV62" i="11"/>
  <c r="BV64" i="11"/>
  <c r="BW56" i="11"/>
  <c r="BX49" i="11" s="1"/>
  <c r="AM56" i="21"/>
  <c r="AN49" i="21" s="1"/>
  <c r="AC61" i="24"/>
  <c r="AC63" i="24"/>
  <c r="AZ63" i="20"/>
  <c r="AL62" i="21"/>
  <c r="AL64" i="21"/>
  <c r="AK61" i="21"/>
  <c r="J45" i="26"/>
  <c r="J44" i="26"/>
  <c r="B45" i="26"/>
  <c r="B44" i="26"/>
  <c r="J43" i="26"/>
  <c r="J42" i="26"/>
  <c r="D9" i="13"/>
  <c r="R7" i="5"/>
  <c r="F8" i="13" s="1"/>
  <c r="L7" i="5"/>
  <c r="L5" i="5"/>
  <c r="R5" i="5"/>
  <c r="F6" i="13" s="1"/>
  <c r="E6" i="20"/>
  <c r="F6" i="20" s="1"/>
  <c r="F6" i="5" s="1"/>
  <c r="J6" i="5"/>
  <c r="P6" i="5"/>
  <c r="D6" i="13"/>
  <c r="AL76" i="22" l="1"/>
  <c r="B51" i="26"/>
  <c r="B58" i="26" s="1"/>
  <c r="C51" i="26" s="1"/>
  <c r="C58" i="26" s="1"/>
  <c r="D51" i="26" s="1"/>
  <c r="D58" i="26" s="1"/>
  <c r="E51" i="26" s="1"/>
  <c r="E58" i="26" s="1"/>
  <c r="F51" i="26" s="1"/>
  <c r="F58" i="26" s="1"/>
  <c r="G51" i="26" s="1"/>
  <c r="G58" i="26" s="1"/>
  <c r="H51" i="26" s="1"/>
  <c r="H58" i="26" s="1"/>
  <c r="I51" i="26" s="1"/>
  <c r="I58" i="26" s="1"/>
  <c r="B52" i="26"/>
  <c r="B59" i="26" s="1"/>
  <c r="C52" i="26" s="1"/>
  <c r="C59" i="26" s="1"/>
  <c r="D52" i="26" s="1"/>
  <c r="D59" i="26" s="1"/>
  <c r="E52" i="26" s="1"/>
  <c r="E59" i="26" s="1"/>
  <c r="F52" i="26" s="1"/>
  <c r="F59" i="26" s="1"/>
  <c r="G52" i="26" s="1"/>
  <c r="G59" i="26" s="1"/>
  <c r="H52" i="26" s="1"/>
  <c r="H59" i="26" s="1"/>
  <c r="I52" i="26" s="1"/>
  <c r="I59" i="26" s="1"/>
  <c r="P48" i="28"/>
  <c r="P55" i="28" s="1"/>
  <c r="AN68" i="22"/>
  <c r="AO61" i="22" s="1"/>
  <c r="AO68" i="22" s="1"/>
  <c r="AP61" i="22" s="1"/>
  <c r="AP68" i="22" s="1"/>
  <c r="M64" i="26"/>
  <c r="F7" i="28"/>
  <c r="G7" i="28" s="1"/>
  <c r="E29" i="23" s="1"/>
  <c r="N64" i="28"/>
  <c r="O63" i="28" s="1"/>
  <c r="B9" i="28"/>
  <c r="E9" i="28"/>
  <c r="W59" i="28"/>
  <c r="X52" i="28" s="1"/>
  <c r="Y49" i="28"/>
  <c r="Y56" i="28" s="1"/>
  <c r="Z49" i="28" s="1"/>
  <c r="Z56" i="28" s="1"/>
  <c r="AM62" i="22"/>
  <c r="AM69" i="22" s="1"/>
  <c r="AN62" i="22" s="1"/>
  <c r="AN69" i="22" s="1"/>
  <c r="AV70" i="22"/>
  <c r="AW63" i="22" s="1"/>
  <c r="AV72" i="22"/>
  <c r="AW65" i="22" s="1"/>
  <c r="AW72" i="22" s="1"/>
  <c r="AX65" i="22" s="1"/>
  <c r="AV71" i="22"/>
  <c r="AW64" i="22" s="1"/>
  <c r="F4" i="24"/>
  <c r="F9" i="24" s="1"/>
  <c r="AC60" i="24"/>
  <c r="BX56" i="11"/>
  <c r="AN56" i="21"/>
  <c r="AO49" i="21" s="1"/>
  <c r="AM62" i="21"/>
  <c r="AM64" i="21"/>
  <c r="AZ60" i="20"/>
  <c r="BW62" i="11"/>
  <c r="BW64" i="11"/>
  <c r="E7" i="20"/>
  <c r="F7" i="20" s="1"/>
  <c r="F7" i="5" s="1"/>
  <c r="AL61" i="21"/>
  <c r="BV61" i="11"/>
  <c r="F4" i="5"/>
  <c r="S4" i="5" s="1"/>
  <c r="G5" i="13" s="1"/>
  <c r="B43" i="26"/>
  <c r="B42" i="26"/>
  <c r="D7" i="13"/>
  <c r="M6" i="5"/>
  <c r="S6" i="5"/>
  <c r="G7" i="13" s="1"/>
  <c r="AL73" i="22" l="1"/>
  <c r="B49" i="26"/>
  <c r="B56" i="26" s="1"/>
  <c r="C49" i="26" s="1"/>
  <c r="C56" i="26" s="1"/>
  <c r="D49" i="26" s="1"/>
  <c r="D56" i="26" s="1"/>
  <c r="E49" i="26" s="1"/>
  <c r="E56" i="26" s="1"/>
  <c r="F49" i="26" s="1"/>
  <c r="F56" i="26" s="1"/>
  <c r="G49" i="26" s="1"/>
  <c r="G56" i="26" s="1"/>
  <c r="H49" i="26" s="1"/>
  <c r="H56" i="26" s="1"/>
  <c r="I49" i="26" s="1"/>
  <c r="I56" i="26" s="1"/>
  <c r="J49" i="26" s="1"/>
  <c r="J56" i="26" s="1"/>
  <c r="B50" i="26"/>
  <c r="B57" i="26" s="1"/>
  <c r="C50" i="26" s="1"/>
  <c r="C57" i="26" s="1"/>
  <c r="D50" i="26" s="1"/>
  <c r="D57" i="26" s="1"/>
  <c r="E50" i="26" s="1"/>
  <c r="E57" i="26" s="1"/>
  <c r="F50" i="26" s="1"/>
  <c r="F57" i="26" s="1"/>
  <c r="G50" i="26" s="1"/>
  <c r="G57" i="26" s="1"/>
  <c r="H50" i="26" s="1"/>
  <c r="H57" i="26" s="1"/>
  <c r="I50" i="26" s="1"/>
  <c r="I57" i="26" s="1"/>
  <c r="J50" i="26" s="1"/>
  <c r="J57" i="26" s="1"/>
  <c r="J52" i="26"/>
  <c r="J59" i="26" s="1"/>
  <c r="J51" i="26"/>
  <c r="J58" i="26" s="1"/>
  <c r="AN74" i="22"/>
  <c r="E9" i="20"/>
  <c r="F9" i="20"/>
  <c r="AM76" i="22"/>
  <c r="F32" i="5"/>
  <c r="O60" i="28"/>
  <c r="AO62" i="22"/>
  <c r="AO69" i="22" s="1"/>
  <c r="X59" i="28"/>
  <c r="Y52" i="28" s="1"/>
  <c r="Y59" i="28" s="1"/>
  <c r="Z52" i="28" s="1"/>
  <c r="Z59" i="28" s="1"/>
  <c r="F5" i="28"/>
  <c r="G5" i="28" s="1"/>
  <c r="E27" i="23" s="1"/>
  <c r="Q48" i="28"/>
  <c r="Q55" i="28" s="1"/>
  <c r="R48" i="28" s="1"/>
  <c r="AM74" i="22"/>
  <c r="G4" i="24"/>
  <c r="G9" i="24" s="1"/>
  <c r="AW71" i="22"/>
  <c r="AX64" i="22" s="1"/>
  <c r="AW70" i="22"/>
  <c r="AX72" i="22"/>
  <c r="AY65" i="22" s="1"/>
  <c r="M4" i="5"/>
  <c r="AM61" i="21"/>
  <c r="BW61" i="11"/>
  <c r="M7" i="5"/>
  <c r="S7" i="5"/>
  <c r="G8" i="13" s="1"/>
  <c r="AO56" i="21"/>
  <c r="AP49" i="21" s="1"/>
  <c r="AQ61" i="22"/>
  <c r="AQ68" i="22" s="1"/>
  <c r="P61" i="28"/>
  <c r="P63" i="28"/>
  <c r="AN62" i="21"/>
  <c r="AN64" i="21"/>
  <c r="BX62" i="11"/>
  <c r="BX64" i="11"/>
  <c r="BY49" i="11"/>
  <c r="AM73" i="22" l="1"/>
  <c r="K52" i="26"/>
  <c r="K49" i="26"/>
  <c r="AN76" i="22"/>
  <c r="L52" i="26"/>
  <c r="L59" i="26" s="1"/>
  <c r="AP62" i="22"/>
  <c r="AP69" i="22" s="1"/>
  <c r="AO74" i="22"/>
  <c r="F8" i="28"/>
  <c r="G8" i="28" s="1"/>
  <c r="E30" i="23" s="1"/>
  <c r="E32" i="5"/>
  <c r="AX63" i="22"/>
  <c r="AX71" i="22"/>
  <c r="AY64" i="22" s="1"/>
  <c r="AY72" i="22"/>
  <c r="G8" i="22" s="1"/>
  <c r="BX61" i="11"/>
  <c r="AN61" i="21"/>
  <c r="P60" i="28"/>
  <c r="R55" i="28"/>
  <c r="S48" i="28" s="1"/>
  <c r="Q61" i="28"/>
  <c r="Q63" i="28"/>
  <c r="BY56" i="11"/>
  <c r="AR61" i="22"/>
  <c r="AP56" i="21"/>
  <c r="AO62" i="21"/>
  <c r="AO64" i="21"/>
  <c r="K51" i="26"/>
  <c r="B41" i="26"/>
  <c r="B48" i="26" s="1"/>
  <c r="M52" i="26" l="1"/>
  <c r="M59" i="26" s="1"/>
  <c r="N52" i="26" s="1"/>
  <c r="AO76" i="22"/>
  <c r="AN73" i="22"/>
  <c r="L51" i="26"/>
  <c r="L58" i="26" s="1"/>
  <c r="AQ62" i="22"/>
  <c r="AQ69" i="22" s="1"/>
  <c r="AP74" i="22"/>
  <c r="E4" i="5"/>
  <c r="AY71" i="22"/>
  <c r="G7" i="22" s="1"/>
  <c r="H8" i="22"/>
  <c r="C30" i="23" s="1"/>
  <c r="C8" i="23" s="1"/>
  <c r="AX70" i="22"/>
  <c r="AY63" i="22" s="1"/>
  <c r="AO61" i="21"/>
  <c r="Q60" i="28"/>
  <c r="BY62" i="11"/>
  <c r="BY64" i="11"/>
  <c r="AP62" i="21"/>
  <c r="AP64" i="21"/>
  <c r="AR68" i="22"/>
  <c r="AS61" i="22" s="1"/>
  <c r="AS68" i="22" s="1"/>
  <c r="AT61" i="22" s="1"/>
  <c r="AT68" i="22" s="1"/>
  <c r="AU61" i="22" s="1"/>
  <c r="S55" i="28"/>
  <c r="T48" i="28" s="1"/>
  <c r="AQ49" i="21"/>
  <c r="BZ49" i="11"/>
  <c r="R61" i="28"/>
  <c r="R63" i="28"/>
  <c r="K50" i="26"/>
  <c r="L49" i="26"/>
  <c r="B55" i="26"/>
  <c r="B63" i="26" s="1"/>
  <c r="M51" i="26" l="1"/>
  <c r="M58" i="26" s="1"/>
  <c r="N51" i="26" s="1"/>
  <c r="C48" i="26"/>
  <c r="C55" i="26" s="1"/>
  <c r="C61" i="26" s="1"/>
  <c r="AO73" i="22"/>
  <c r="AP76" i="22"/>
  <c r="N59" i="26"/>
  <c r="O52" i="26" s="1"/>
  <c r="O59" i="26" s="1"/>
  <c r="P52" i="26" s="1"/>
  <c r="P59" i="26" s="1"/>
  <c r="Q52" i="26" s="1"/>
  <c r="Q59" i="26" s="1"/>
  <c r="R52" i="26" s="1"/>
  <c r="R59" i="26" s="1"/>
  <c r="S52" i="26" s="1"/>
  <c r="S59" i="26" s="1"/>
  <c r="T52" i="26" s="1"/>
  <c r="T59" i="26" s="1"/>
  <c r="U52" i="26" s="1"/>
  <c r="U59" i="26" s="1"/>
  <c r="V52" i="26" s="1"/>
  <c r="L50" i="26"/>
  <c r="L57" i="26" s="1"/>
  <c r="AR62" i="22"/>
  <c r="AR69" i="22" s="1"/>
  <c r="AS62" i="22" s="1"/>
  <c r="AS69" i="22" s="1"/>
  <c r="AT62" i="22" s="1"/>
  <c r="AT69" i="22" s="1"/>
  <c r="AU62" i="22" s="1"/>
  <c r="AU69" i="22" s="1"/>
  <c r="AV62" i="22" s="1"/>
  <c r="AV69" i="22" s="1"/>
  <c r="AW62" i="22" s="1"/>
  <c r="AW69" i="22" s="1"/>
  <c r="AX62" i="22" s="1"/>
  <c r="AQ74" i="22"/>
  <c r="L4" i="5"/>
  <c r="R4" i="5"/>
  <c r="F5" i="13" s="1"/>
  <c r="AY70" i="22"/>
  <c r="G6" i="22" s="1"/>
  <c r="J8" i="23"/>
  <c r="P8" i="23"/>
  <c r="D19" i="13" s="1"/>
  <c r="D30" i="13" s="1"/>
  <c r="H7" i="22"/>
  <c r="C29" i="23" s="1"/>
  <c r="C7" i="23" s="1"/>
  <c r="BY61" i="11"/>
  <c r="AP61" i="21"/>
  <c r="R60" i="28"/>
  <c r="T55" i="28"/>
  <c r="U48" i="28" s="1"/>
  <c r="BZ56" i="11"/>
  <c r="CA49" i="11" s="1"/>
  <c r="AQ56" i="21"/>
  <c r="S61" i="28"/>
  <c r="S63" i="28"/>
  <c r="AU68" i="22"/>
  <c r="AV61" i="22" s="1"/>
  <c r="L56" i="26"/>
  <c r="B61" i="26"/>
  <c r="M50" i="26" l="1"/>
  <c r="M49" i="26"/>
  <c r="AQ76" i="22"/>
  <c r="AP73" i="22"/>
  <c r="AS74" i="22"/>
  <c r="AT74" i="22"/>
  <c r="AR74" i="22"/>
  <c r="M57" i="26"/>
  <c r="N50" i="26" s="1"/>
  <c r="N58" i="26"/>
  <c r="O51" i="26" s="1"/>
  <c r="O58" i="26" s="1"/>
  <c r="P51" i="26" s="1"/>
  <c r="P58" i="26" s="1"/>
  <c r="Q51" i="26" s="1"/>
  <c r="Q58" i="26" s="1"/>
  <c r="R51" i="26" s="1"/>
  <c r="R58" i="26" s="1"/>
  <c r="S51" i="26" s="1"/>
  <c r="S58" i="26" s="1"/>
  <c r="T51" i="26" s="1"/>
  <c r="T58" i="26" s="1"/>
  <c r="U51" i="26" s="1"/>
  <c r="U58" i="26" s="1"/>
  <c r="V51" i="26" s="1"/>
  <c r="V58" i="26" s="1"/>
  <c r="W51" i="26" s="1"/>
  <c r="W58" i="26" s="1"/>
  <c r="V59" i="26"/>
  <c r="W52" i="26" s="1"/>
  <c r="W59" i="26" s="1"/>
  <c r="AX69" i="22"/>
  <c r="AY62" i="22" s="1"/>
  <c r="AY69" i="22" s="1"/>
  <c r="G5" i="22" s="1"/>
  <c r="AR49" i="21"/>
  <c r="AR56" i="21" s="1"/>
  <c r="AS49" i="21" s="1"/>
  <c r="AQ62" i="21"/>
  <c r="J7" i="23"/>
  <c r="P7" i="23"/>
  <c r="D18" i="13" s="1"/>
  <c r="D29" i="13" s="1"/>
  <c r="H6" i="22"/>
  <c r="C28" i="23" s="1"/>
  <c r="C6" i="23" s="1"/>
  <c r="AV68" i="22"/>
  <c r="AV74" i="22" s="1"/>
  <c r="F9" i="22"/>
  <c r="U55" i="28"/>
  <c r="AQ64" i="21"/>
  <c r="T61" i="28"/>
  <c r="T63" i="28"/>
  <c r="CA56" i="11"/>
  <c r="CB49" i="11" s="1"/>
  <c r="S60" i="28"/>
  <c r="BZ62" i="11"/>
  <c r="BZ64" i="11"/>
  <c r="AU74" i="22"/>
  <c r="C63" i="26"/>
  <c r="B60" i="26"/>
  <c r="D48" i="26"/>
  <c r="AR76" i="22" l="1"/>
  <c r="AQ73" i="22"/>
  <c r="X51" i="26"/>
  <c r="X58" i="26" s="1"/>
  <c r="Y51" i="26" s="1"/>
  <c r="Y58" i="26" s="1"/>
  <c r="M56" i="26"/>
  <c r="N57" i="26"/>
  <c r="H5" i="22"/>
  <c r="C27" i="23" s="1"/>
  <c r="C5" i="23" s="1"/>
  <c r="AW61" i="22"/>
  <c r="AW68" i="22" s="1"/>
  <c r="P6" i="23"/>
  <c r="D17" i="13" s="1"/>
  <c r="D28" i="13" s="1"/>
  <c r="J6" i="23"/>
  <c r="T60" i="28"/>
  <c r="BZ61" i="11"/>
  <c r="CB56" i="11"/>
  <c r="CC49" i="11" s="1"/>
  <c r="CA62" i="11"/>
  <c r="CA64" i="11"/>
  <c r="AQ61" i="21"/>
  <c r="U63" i="28"/>
  <c r="U61" i="28"/>
  <c r="V48" i="28"/>
  <c r="AS56" i="21"/>
  <c r="AR62" i="21"/>
  <c r="AR64" i="21"/>
  <c r="D55" i="26"/>
  <c r="C60" i="26"/>
  <c r="AR73" i="22" l="1"/>
  <c r="F7" i="26"/>
  <c r="G7" i="26" s="1"/>
  <c r="F29" i="23" s="1"/>
  <c r="E48" i="26"/>
  <c r="N49" i="26"/>
  <c r="N56" i="26" s="1"/>
  <c r="O49" i="26" s="1"/>
  <c r="O56" i="26" s="1"/>
  <c r="P49" i="26" s="1"/>
  <c r="P56" i="26" s="1"/>
  <c r="Q49" i="26" s="1"/>
  <c r="Q56" i="26" s="1"/>
  <c r="R49" i="26" s="1"/>
  <c r="R56" i="26" s="1"/>
  <c r="S49" i="26" s="1"/>
  <c r="S56" i="26" s="1"/>
  <c r="T49" i="26" s="1"/>
  <c r="T56" i="26" s="1"/>
  <c r="O50" i="26"/>
  <c r="O57" i="26" s="1"/>
  <c r="P50" i="26" s="1"/>
  <c r="P57" i="26" s="1"/>
  <c r="Q50" i="26" s="1"/>
  <c r="Q57" i="26" s="1"/>
  <c r="R50" i="26" s="1"/>
  <c r="R57" i="26" s="1"/>
  <c r="S50" i="26" s="1"/>
  <c r="S57" i="26" s="1"/>
  <c r="T50" i="26" s="1"/>
  <c r="T57" i="26" s="1"/>
  <c r="U50" i="26" s="1"/>
  <c r="U57" i="26" s="1"/>
  <c r="V50" i="26" s="1"/>
  <c r="V57" i="26" s="1"/>
  <c r="AS76" i="22"/>
  <c r="X52" i="26"/>
  <c r="D63" i="26"/>
  <c r="D60" i="26" s="1"/>
  <c r="J5" i="23"/>
  <c r="P5" i="23"/>
  <c r="D16" i="13" s="1"/>
  <c r="D27" i="13" s="1"/>
  <c r="AT49" i="21"/>
  <c r="AT56" i="21" s="1"/>
  <c r="AU49" i="21" s="1"/>
  <c r="AX61" i="22"/>
  <c r="G4" i="1"/>
  <c r="H4" i="1" s="1"/>
  <c r="U60" i="28"/>
  <c r="AR61" i="21"/>
  <c r="V55" i="28"/>
  <c r="CA61" i="11"/>
  <c r="AS62" i="21"/>
  <c r="AS64" i="21"/>
  <c r="CC56" i="11"/>
  <c r="CD49" i="11" s="1"/>
  <c r="CB62" i="11"/>
  <c r="CB64" i="11"/>
  <c r="E55" i="26"/>
  <c r="E61" i="26" s="1"/>
  <c r="D61" i="26"/>
  <c r="W50" i="26" l="1"/>
  <c r="W57" i="26" s="1"/>
  <c r="AT76" i="22"/>
  <c r="AS73" i="22"/>
  <c r="F7" i="23"/>
  <c r="X59" i="26"/>
  <c r="U49" i="26"/>
  <c r="U56" i="26" s="1"/>
  <c r="V49" i="26" s="1"/>
  <c r="W48" i="28"/>
  <c r="AS61" i="21"/>
  <c r="AU56" i="21"/>
  <c r="AX68" i="22"/>
  <c r="AY61" i="22" s="1"/>
  <c r="AY68" i="22" s="1"/>
  <c r="G4" i="22" s="1"/>
  <c r="G9" i="1"/>
  <c r="CB61" i="11"/>
  <c r="AT62" i="21"/>
  <c r="AT64" i="21"/>
  <c r="CD56" i="11"/>
  <c r="CE49" i="11" s="1"/>
  <c r="CC62" i="11"/>
  <c r="CC64" i="11"/>
  <c r="V61" i="28"/>
  <c r="V63" i="28"/>
  <c r="F48" i="26"/>
  <c r="F55" i="26" s="1"/>
  <c r="G48" i="26" s="1"/>
  <c r="E63" i="26"/>
  <c r="Y52" i="26" l="1"/>
  <c r="Y59" i="26" s="1"/>
  <c r="F8" i="26" s="1"/>
  <c r="G8" i="26" s="1"/>
  <c r="F30" i="23" s="1"/>
  <c r="F8" i="23" s="1"/>
  <c r="X50" i="26"/>
  <c r="X57" i="26" s="1"/>
  <c r="AT73" i="22"/>
  <c r="AU76" i="22"/>
  <c r="S7" i="23"/>
  <c r="G18" i="13" s="1"/>
  <c r="G29" i="13" s="1"/>
  <c r="M7" i="23"/>
  <c r="V56" i="26"/>
  <c r="W49" i="26" s="1"/>
  <c r="W56" i="26" s="1"/>
  <c r="W55" i="28"/>
  <c r="W63" i="28" s="1"/>
  <c r="AU62" i="21"/>
  <c r="AU64" i="21"/>
  <c r="H4" i="22"/>
  <c r="G9" i="22"/>
  <c r="H9" i="1"/>
  <c r="CC61" i="11"/>
  <c r="CD62" i="11"/>
  <c r="CD64" i="11"/>
  <c r="V60" i="28"/>
  <c r="AT61" i="21"/>
  <c r="E60" i="26"/>
  <c r="G55" i="26"/>
  <c r="G61" i="26" s="1"/>
  <c r="F61" i="26"/>
  <c r="F63" i="26"/>
  <c r="AU73" i="22" l="1"/>
  <c r="Y50" i="26"/>
  <c r="Y57" i="26" s="1"/>
  <c r="F6" i="26" s="1"/>
  <c r="AV76" i="22"/>
  <c r="H9" i="22"/>
  <c r="C26" i="23"/>
  <c r="C32" i="23" s="1"/>
  <c r="M8" i="23"/>
  <c r="S8" i="23"/>
  <c r="G19" i="13" s="1"/>
  <c r="G30" i="13" s="1"/>
  <c r="X49" i="26"/>
  <c r="W60" i="28"/>
  <c r="W61" i="28"/>
  <c r="X48" i="28"/>
  <c r="CE56" i="11"/>
  <c r="C32" i="5"/>
  <c r="C4" i="5"/>
  <c r="CD61" i="11"/>
  <c r="AU61" i="21"/>
  <c r="H48" i="26"/>
  <c r="H55" i="26" s="1"/>
  <c r="G63" i="26"/>
  <c r="F60" i="26"/>
  <c r="AW76" i="22" l="1"/>
  <c r="AX76" i="22" s="1"/>
  <c r="G6" i="26"/>
  <c r="F28" i="23" s="1"/>
  <c r="F6" i="23" s="1"/>
  <c r="AV73" i="22"/>
  <c r="C4" i="23"/>
  <c r="J4" i="23" s="1"/>
  <c r="X56" i="26"/>
  <c r="X55" i="28"/>
  <c r="CE64" i="11"/>
  <c r="CF49" i="11"/>
  <c r="CF56" i="11" s="1"/>
  <c r="CE62" i="11"/>
  <c r="P4" i="5"/>
  <c r="D5" i="13" s="1"/>
  <c r="J4" i="5"/>
  <c r="H61" i="26"/>
  <c r="G60" i="26"/>
  <c r="H63" i="26"/>
  <c r="I48" i="26"/>
  <c r="AY76" i="22" l="1"/>
  <c r="AW73" i="22"/>
  <c r="Y49" i="26"/>
  <c r="Y56" i="26" s="1"/>
  <c r="F5" i="26" s="1"/>
  <c r="G5" i="26" s="1"/>
  <c r="F27" i="23" s="1"/>
  <c r="F5" i="23" s="1"/>
  <c r="S6" i="23"/>
  <c r="G17" i="13" s="1"/>
  <c r="G28" i="13" s="1"/>
  <c r="M6" i="23"/>
  <c r="AX73" i="22"/>
  <c r="P4" i="23"/>
  <c r="D15" i="13" s="1"/>
  <c r="D26" i="13" s="1"/>
  <c r="CE61" i="11"/>
  <c r="X63" i="28"/>
  <c r="Y48" i="28"/>
  <c r="Y55" i="28" s="1"/>
  <c r="CF64" i="11"/>
  <c r="I55" i="26"/>
  <c r="J48" i="26" s="1"/>
  <c r="J55" i="26" s="1"/>
  <c r="H60" i="26"/>
  <c r="AY73" i="22" l="1"/>
  <c r="K48" i="26"/>
  <c r="S5" i="23"/>
  <c r="G16" i="13" s="1"/>
  <c r="G27" i="13" s="1"/>
  <c r="M5" i="23"/>
  <c r="X60" i="28"/>
  <c r="Z48" i="28"/>
  <c r="Z55" i="28" s="1"/>
  <c r="F4" i="28" s="1"/>
  <c r="G4" i="28" s="1"/>
  <c r="Y63" i="28"/>
  <c r="CF61" i="11"/>
  <c r="I63" i="26"/>
  <c r="I61" i="26"/>
  <c r="J61" i="26" l="1"/>
  <c r="L48" i="26"/>
  <c r="Y60" i="28"/>
  <c r="F9" i="28"/>
  <c r="Z63" i="28"/>
  <c r="I60" i="26"/>
  <c r="J63" i="26"/>
  <c r="K61" i="26" l="1"/>
  <c r="K63" i="26"/>
  <c r="Z60" i="28"/>
  <c r="G9" i="28"/>
  <c r="E26" i="23"/>
  <c r="J60" i="26"/>
  <c r="K60" i="26" l="1"/>
  <c r="E32" i="23"/>
  <c r="L55" i="26"/>
  <c r="M48" i="26" l="1"/>
  <c r="M55" i="26" s="1"/>
  <c r="L63" i="26"/>
  <c r="L61" i="26"/>
  <c r="M63" i="26" l="1"/>
  <c r="N48" i="26"/>
  <c r="N55" i="26" s="1"/>
  <c r="L60" i="26"/>
  <c r="M61" i="26"/>
  <c r="N63" i="26" l="1"/>
  <c r="M60" i="26"/>
  <c r="N61" i="26"/>
  <c r="O48" i="26"/>
  <c r="N60" i="26" l="1"/>
  <c r="O55" i="26"/>
  <c r="CG44" i="11"/>
  <c r="CG43" i="11"/>
  <c r="CG42" i="11"/>
  <c r="CG46" i="11"/>
  <c r="CG45" i="11"/>
  <c r="CH45" i="11"/>
  <c r="CH43" i="11"/>
  <c r="CH42" i="11"/>
  <c r="CH46" i="11"/>
  <c r="CH44" i="11"/>
  <c r="P48" i="26" l="1"/>
  <c r="P55" i="26" s="1"/>
  <c r="Q48" i="26" s="1"/>
  <c r="O61" i="26"/>
  <c r="O63" i="26"/>
  <c r="D4" i="11"/>
  <c r="CG49" i="11"/>
  <c r="CG56" i="11" s="1"/>
  <c r="CH49" i="11" s="1"/>
  <c r="CH56" i="11" s="1"/>
  <c r="F4" i="11" s="1"/>
  <c r="D6" i="11"/>
  <c r="E6" i="11" s="1"/>
  <c r="D5" i="11"/>
  <c r="E5" i="11" s="1"/>
  <c r="CG50" i="11"/>
  <c r="CG57" i="11" s="1"/>
  <c r="CH50" i="11" s="1"/>
  <c r="CH57" i="11" s="1"/>
  <c r="F5" i="11" s="1"/>
  <c r="D8" i="11"/>
  <c r="E8" i="11" s="1"/>
  <c r="D7" i="11"/>
  <c r="E7" i="11" s="1"/>
  <c r="O60" i="26" l="1"/>
  <c r="Q55" i="26"/>
  <c r="R48" i="26" s="1"/>
  <c r="P61" i="26"/>
  <c r="P63" i="26"/>
  <c r="G5" i="11"/>
  <c r="D27" i="5" s="1"/>
  <c r="G27" i="5" s="1"/>
  <c r="CG52" i="11"/>
  <c r="CG59" i="11" s="1"/>
  <c r="CH52" i="11" s="1"/>
  <c r="CH59" i="11" s="1"/>
  <c r="D9" i="11"/>
  <c r="E4" i="11"/>
  <c r="CG53" i="11"/>
  <c r="CG51" i="11"/>
  <c r="CG58" i="11" s="1"/>
  <c r="CH51" i="11" s="1"/>
  <c r="CH58" i="11" s="1"/>
  <c r="P60" i="26" l="1"/>
  <c r="Q61" i="26"/>
  <c r="Q63" i="26"/>
  <c r="R55" i="26"/>
  <c r="S48" i="26" s="1"/>
  <c r="E9" i="11"/>
  <c r="G4" i="11"/>
  <c r="D26" i="5" s="1"/>
  <c r="CG60" i="11"/>
  <c r="CG64" i="11" s="1"/>
  <c r="F6" i="11"/>
  <c r="F7" i="11"/>
  <c r="G7" i="11" s="1"/>
  <c r="D29" i="5" s="1"/>
  <c r="G29" i="5" s="1"/>
  <c r="S55" i="26" l="1"/>
  <c r="Q60" i="26"/>
  <c r="R61" i="26"/>
  <c r="R63" i="26"/>
  <c r="CH53" i="11"/>
  <c r="CH60" i="11" s="1"/>
  <c r="F8" i="11" s="1"/>
  <c r="G8" i="11" s="1"/>
  <c r="D30" i="5" s="1"/>
  <c r="G30" i="5" s="1"/>
  <c r="CG61" i="11"/>
  <c r="G6" i="11"/>
  <c r="D28" i="5" s="1"/>
  <c r="G28" i="5" s="1"/>
  <c r="F9" i="11" l="1"/>
  <c r="R60" i="26"/>
  <c r="S61" i="26"/>
  <c r="S63" i="26"/>
  <c r="CH64" i="11"/>
  <c r="T48" i="26"/>
  <c r="G26" i="5"/>
  <c r="D32" i="5"/>
  <c r="G9" i="11"/>
  <c r="G32" i="5" l="1"/>
  <c r="CH61" i="11"/>
  <c r="S60" i="26"/>
  <c r="T55" i="26"/>
  <c r="U48" i="26" s="1"/>
  <c r="U55" i="26" l="1"/>
  <c r="V48" i="26" s="1"/>
  <c r="V55" i="26" s="1"/>
  <c r="T61" i="26"/>
  <c r="T63" i="26"/>
  <c r="AV42" i="21"/>
  <c r="AV49" i="21" s="1"/>
  <c r="AV56" i="21" s="1"/>
  <c r="AW45" i="21"/>
  <c r="AW44" i="21"/>
  <c r="AW43" i="21"/>
  <c r="AW46" i="21"/>
  <c r="AW42" i="21"/>
  <c r="AX45" i="21"/>
  <c r="AX44" i="21"/>
  <c r="AX42" i="21"/>
  <c r="AX46" i="21"/>
  <c r="AX43" i="21"/>
  <c r="AW49" i="21" l="1"/>
  <c r="V61" i="26"/>
  <c r="W48" i="26"/>
  <c r="W55" i="26" s="1"/>
  <c r="T60" i="26"/>
  <c r="U61" i="26"/>
  <c r="U63" i="26"/>
  <c r="AV45" i="21"/>
  <c r="C7" i="21"/>
  <c r="D7" i="21" s="1"/>
  <c r="AV43" i="21"/>
  <c r="C5" i="21"/>
  <c r="D5" i="21" s="1"/>
  <c r="AV44" i="21"/>
  <c r="C6" i="21"/>
  <c r="D6" i="21" s="1"/>
  <c r="C8" i="21"/>
  <c r="D8" i="21" s="1"/>
  <c r="AV46" i="21"/>
  <c r="C4" i="21"/>
  <c r="D17" i="23"/>
  <c r="D19" i="23"/>
  <c r="D20" i="23"/>
  <c r="D18" i="23"/>
  <c r="AV53" i="21" l="1"/>
  <c r="AV60" i="21" s="1"/>
  <c r="AW53" i="21" s="1"/>
  <c r="AW60" i="21" s="1"/>
  <c r="AX53" i="21" s="1"/>
  <c r="AX60" i="21" s="1"/>
  <c r="E8" i="21" s="1"/>
  <c r="F8" i="21" s="1"/>
  <c r="D30" i="23" s="1"/>
  <c r="G30" i="23" s="1"/>
  <c r="J30" i="23" s="1"/>
  <c r="AV50" i="21"/>
  <c r="AV57" i="21" s="1"/>
  <c r="AW50" i="21" s="1"/>
  <c r="AV52" i="21"/>
  <c r="AV59" i="21" s="1"/>
  <c r="AV51" i="21"/>
  <c r="V63" i="26"/>
  <c r="AW56" i="21"/>
  <c r="U60" i="26"/>
  <c r="C9" i="21"/>
  <c r="D4" i="21"/>
  <c r="C10" i="12"/>
  <c r="D16" i="23"/>
  <c r="W63" i="26" l="1"/>
  <c r="D22" i="23"/>
  <c r="V60" i="26"/>
  <c r="AV58" i="21"/>
  <c r="AV64" i="21" s="1"/>
  <c r="AW52" i="21"/>
  <c r="AW59" i="21" s="1"/>
  <c r="AX52" i="21" s="1"/>
  <c r="AX59" i="21" s="1"/>
  <c r="E7" i="21" s="1"/>
  <c r="F7" i="21" s="1"/>
  <c r="D29" i="23" s="1"/>
  <c r="G29" i="23" s="1"/>
  <c r="J29" i="23" s="1"/>
  <c r="AW57" i="21"/>
  <c r="AX50" i="21" s="1"/>
  <c r="AX57" i="21" s="1"/>
  <c r="E5" i="21" s="1"/>
  <c r="F5" i="21" s="1"/>
  <c r="D27" i="23" s="1"/>
  <c r="X48" i="26"/>
  <c r="X55" i="26" s="1"/>
  <c r="AX49" i="21"/>
  <c r="AX56" i="21" s="1"/>
  <c r="E4" i="21" s="1"/>
  <c r="D8" i="23"/>
  <c r="Q8" i="23" s="1"/>
  <c r="D9" i="21"/>
  <c r="W60" i="26" l="1"/>
  <c r="X63" i="26"/>
  <c r="AW51" i="21"/>
  <c r="AV61" i="21"/>
  <c r="G27" i="23"/>
  <c r="J27" i="23" s="1"/>
  <c r="D5" i="23"/>
  <c r="Q5" i="23" s="1"/>
  <c r="E16" i="13" s="1"/>
  <c r="D7" i="23"/>
  <c r="K7" i="23" s="1"/>
  <c r="Y48" i="26"/>
  <c r="Y55" i="26" s="1"/>
  <c r="F4" i="26" s="1"/>
  <c r="K8" i="23"/>
  <c r="F4" i="21"/>
  <c r="D26" i="23" s="1"/>
  <c r="E19" i="13"/>
  <c r="X60" i="26" l="1"/>
  <c r="K5" i="23"/>
  <c r="AW58" i="21"/>
  <c r="AW64" i="21" s="1"/>
  <c r="Q7" i="23"/>
  <c r="E18" i="13" s="1"/>
  <c r="Y63" i="26"/>
  <c r="D4" i="23"/>
  <c r="F9" i="26" l="1"/>
  <c r="G4" i="26"/>
  <c r="AX51" i="21"/>
  <c r="AX58" i="21" s="1"/>
  <c r="E6" i="21" s="1"/>
  <c r="F6" i="21" s="1"/>
  <c r="AW61" i="21"/>
  <c r="Y60" i="26"/>
  <c r="K4" i="23"/>
  <c r="Q4" i="23"/>
  <c r="G9" i="26" l="1"/>
  <c r="F26" i="23"/>
  <c r="F32" i="23" s="1"/>
  <c r="AX64" i="21"/>
  <c r="E9" i="21"/>
  <c r="D28" i="23"/>
  <c r="F9" i="21"/>
  <c r="F4" i="23"/>
  <c r="E15" i="13"/>
  <c r="G26" i="23" l="1"/>
  <c r="J26" i="23" s="1"/>
  <c r="AX61" i="21"/>
  <c r="D6" i="23"/>
  <c r="G28" i="23"/>
  <c r="J28" i="23" s="1"/>
  <c r="D32" i="23"/>
  <c r="M4" i="23"/>
  <c r="S4" i="23"/>
  <c r="J32" i="23" l="1"/>
  <c r="G32" i="23"/>
  <c r="Q6" i="23"/>
  <c r="K6" i="23"/>
  <c r="G15" i="13"/>
  <c r="D6" i="5"/>
  <c r="G18" i="5"/>
  <c r="D5" i="5"/>
  <c r="G17" i="5"/>
  <c r="D8" i="5"/>
  <c r="G20" i="5"/>
  <c r="B10" i="12"/>
  <c r="D7" i="5"/>
  <c r="G19" i="5"/>
  <c r="E17" i="13" l="1"/>
  <c r="G26" i="13"/>
  <c r="Q8" i="5"/>
  <c r="K8" i="5"/>
  <c r="J20" i="5"/>
  <c r="H8" i="5"/>
  <c r="K7" i="5"/>
  <c r="Q7" i="5"/>
  <c r="H7" i="5"/>
  <c r="J19" i="5"/>
  <c r="D4" i="5"/>
  <c r="H4" i="5" s="1"/>
  <c r="G16" i="5"/>
  <c r="Q5" i="5"/>
  <c r="K5" i="5"/>
  <c r="H5" i="5"/>
  <c r="J17" i="5"/>
  <c r="Q6" i="5"/>
  <c r="K6" i="5"/>
  <c r="J18" i="5"/>
  <c r="H6" i="5"/>
  <c r="N8" i="5" l="1"/>
  <c r="N7" i="5"/>
  <c r="G22" i="5"/>
  <c r="N6" i="5"/>
  <c r="E6" i="13"/>
  <c r="T5" i="5"/>
  <c r="E8" i="13"/>
  <c r="T7" i="5"/>
  <c r="K4" i="5"/>
  <c r="Q4" i="5"/>
  <c r="J16" i="5"/>
  <c r="J22" i="5" s="1"/>
  <c r="E7" i="13"/>
  <c r="T6" i="5"/>
  <c r="N5" i="5"/>
  <c r="E9" i="13"/>
  <c r="T8" i="5"/>
  <c r="N4" i="5" l="1"/>
  <c r="E28" i="13"/>
  <c r="H7" i="13"/>
  <c r="E5" i="13"/>
  <c r="T4" i="5"/>
  <c r="E29" i="13"/>
  <c r="H8" i="13"/>
  <c r="E30" i="13"/>
  <c r="H9" i="13"/>
  <c r="E27" i="13"/>
  <c r="H6" i="13"/>
  <c r="E26" i="13" l="1"/>
  <c r="H5" i="13"/>
  <c r="F10" i="24" l="1"/>
  <c r="E10" i="20"/>
  <c r="G10" i="1" l="1"/>
  <c r="W61" i="26" l="1"/>
  <c r="X61" i="28" l="1"/>
  <c r="X61" i="26" l="1"/>
  <c r="Y61" i="28" l="1"/>
  <c r="Y61" i="26" l="1"/>
  <c r="F10" i="26"/>
  <c r="AV62" i="21"/>
  <c r="Z61" i="28" l="1"/>
  <c r="F10" i="28"/>
  <c r="CF62" i="11"/>
  <c r="CG62" i="11" l="1"/>
  <c r="AW62" i="21"/>
  <c r="CH62" i="11" l="1"/>
  <c r="F10" i="11"/>
  <c r="AX62" i="21"/>
  <c r="E10" i="21"/>
  <c r="AW74" i="22" l="1"/>
  <c r="AX74" i="22" l="1"/>
  <c r="AY74" i="22" l="1"/>
  <c r="G10" i="22"/>
  <c r="H6" i="16" l="1"/>
  <c r="H8" i="16"/>
  <c r="C14" i="16" s="1"/>
  <c r="E18" i="23" s="1"/>
  <c r="H9" i="16"/>
  <c r="C15" i="16" s="1"/>
  <c r="E19" i="23" s="1"/>
  <c r="H7" i="16"/>
  <c r="C13" i="16" s="1"/>
  <c r="E17" i="23" s="1"/>
  <c r="H10" i="16"/>
  <c r="C16" i="16" s="1"/>
  <c r="E20" i="23" s="1"/>
  <c r="E8" i="23" l="1"/>
  <c r="G20" i="23"/>
  <c r="K30" i="23" s="1"/>
  <c r="L30" i="23" s="1"/>
  <c r="E7" i="23"/>
  <c r="G19" i="23"/>
  <c r="K29" i="23" s="1"/>
  <c r="L29" i="23" s="1"/>
  <c r="E5" i="23"/>
  <c r="G17" i="23"/>
  <c r="K27" i="23" s="1"/>
  <c r="L27" i="23" s="1"/>
  <c r="E6" i="23"/>
  <c r="G18" i="23"/>
  <c r="K28" i="23" s="1"/>
  <c r="L28" i="23" s="1"/>
  <c r="C12" i="16"/>
  <c r="H11" i="16"/>
  <c r="L6" i="23" l="1"/>
  <c r="R6" i="23"/>
  <c r="H6" i="23"/>
  <c r="J18" i="23"/>
  <c r="R7" i="23"/>
  <c r="L7" i="23"/>
  <c r="H7" i="23"/>
  <c r="N7" i="23" s="1"/>
  <c r="J19" i="23"/>
  <c r="L5" i="23"/>
  <c r="R5" i="23"/>
  <c r="J17" i="23"/>
  <c r="H5" i="23"/>
  <c r="E16" i="23"/>
  <c r="C17" i="16"/>
  <c r="C18" i="16" s="1"/>
  <c r="R8" i="23"/>
  <c r="L8" i="23"/>
  <c r="H8" i="23"/>
  <c r="J20" i="23"/>
  <c r="N8" i="23" l="1"/>
  <c r="F18" i="13"/>
  <c r="T7" i="23"/>
  <c r="F19" i="13"/>
  <c r="T8" i="23"/>
  <c r="E22" i="23"/>
  <c r="E4" i="23"/>
  <c r="G16" i="23"/>
  <c r="F17" i="13"/>
  <c r="T6" i="23"/>
  <c r="F16" i="13"/>
  <c r="T5" i="23"/>
  <c r="N5" i="23"/>
  <c r="N6" i="23"/>
  <c r="G22" i="23" l="1"/>
  <c r="K26" i="23"/>
  <c r="L4" i="23"/>
  <c r="R4" i="23"/>
  <c r="J16" i="23"/>
  <c r="J22" i="23" s="1"/>
  <c r="H4" i="23"/>
  <c r="F27" i="13"/>
  <c r="H27" i="13" s="1"/>
  <c r="H16" i="13"/>
  <c r="F30" i="13"/>
  <c r="H30" i="13" s="1"/>
  <c r="H19" i="13"/>
  <c r="F28" i="13"/>
  <c r="H28" i="13" s="1"/>
  <c r="H17" i="13"/>
  <c r="F29" i="13"/>
  <c r="H29" i="13" s="1"/>
  <c r="H18" i="13"/>
  <c r="F15" i="13" l="1"/>
  <c r="T4" i="23"/>
  <c r="K32" i="23"/>
  <c r="L26" i="23"/>
  <c r="L32" i="23" s="1"/>
  <c r="N4" i="23"/>
  <c r="F26" i="13" l="1"/>
  <c r="H26" i="13" s="1"/>
  <c r="H1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BL15" authorId="0" shapeId="0" xr:uid="{00000000-0006-0000-0100-000001000000}">
      <text>
        <r>
          <rPr>
            <b/>
            <sz val="9"/>
            <color indexed="81"/>
            <rFont val="Tahoma"/>
            <family val="2"/>
          </rPr>
          <t>Filley, Kimberly S:</t>
        </r>
        <r>
          <rPr>
            <sz val="9"/>
            <color indexed="81"/>
            <rFont val="Tahoma"/>
            <family val="2"/>
          </rPr>
          <t xml:space="preserve">
includes on-top adjustment to PC of 
-$100.85 from Nov 21 rate filing wp CPA4 - tab PCR.1A (M2) 
</t>
        </r>
      </text>
    </comment>
    <comment ref="BL16" authorId="0" shapeId="0" xr:uid="{00000000-0006-0000-0100-000002000000}">
      <text>
        <r>
          <rPr>
            <b/>
            <sz val="9"/>
            <color indexed="81"/>
            <rFont val="Tahoma"/>
            <family val="2"/>
          </rPr>
          <t>Filley, Kimberly S:</t>
        </r>
        <r>
          <rPr>
            <sz val="9"/>
            <color indexed="81"/>
            <rFont val="Tahoma"/>
            <family val="2"/>
          </rPr>
          <t xml:space="preserve">
includes on-top adjustment to PC of 
-$3.3K from Nov 21 rate filing wp CPA4 - tab PCR.1A (M2) </t>
        </r>
      </text>
    </comment>
    <comment ref="BL17" authorId="0" shapeId="0" xr:uid="{00000000-0006-0000-0100-000003000000}">
      <text>
        <r>
          <rPr>
            <b/>
            <sz val="9"/>
            <color indexed="81"/>
            <rFont val="Tahoma"/>
            <family val="2"/>
          </rPr>
          <t>Filley, Kimberly S:</t>
        </r>
        <r>
          <rPr>
            <sz val="9"/>
            <color indexed="81"/>
            <rFont val="Tahoma"/>
            <family val="2"/>
          </rPr>
          <t xml:space="preserve">
includes on-top adjustment to PC of 
+$100.85 from Nov 21 rate filing wp CPA4 - tab PCR.1A (M2) </t>
        </r>
      </text>
    </comment>
    <comment ref="BL68" authorId="0" shapeId="0" xr:uid="{00000000-0006-0000-0100-000004000000}">
      <text>
        <r>
          <rPr>
            <b/>
            <sz val="9"/>
            <color indexed="81"/>
            <rFont val="Tahoma"/>
            <family val="2"/>
          </rPr>
          <t>Filley, Kimberly S:</t>
        </r>
        <r>
          <rPr>
            <sz val="9"/>
            <color indexed="81"/>
            <rFont val="Tahoma"/>
            <family val="2"/>
          </rPr>
          <t xml:space="preserve">
includes on-top adjustment to PC interest of  -$0.97  related to Nov 21 rate filing </t>
        </r>
      </text>
    </comment>
    <comment ref="BL69" authorId="0" shapeId="0" xr:uid="{00000000-0006-0000-0100-000005000000}">
      <text>
        <r>
          <rPr>
            <b/>
            <sz val="9"/>
            <color indexed="81"/>
            <rFont val="Tahoma"/>
            <family val="2"/>
          </rPr>
          <t>Filley, Kimberly S:</t>
        </r>
        <r>
          <rPr>
            <sz val="9"/>
            <color indexed="81"/>
            <rFont val="Tahoma"/>
            <family val="2"/>
          </rPr>
          <t xml:space="preserve">
includes on-top adjustment to PC interest of  -$16.19  related to Nov 21 rate filing </t>
        </r>
      </text>
    </comment>
    <comment ref="BL70" authorId="0" shapeId="0" xr:uid="{00000000-0006-0000-0100-000006000000}">
      <text>
        <r>
          <rPr>
            <b/>
            <sz val="9"/>
            <color indexed="81"/>
            <rFont val="Tahoma"/>
            <family val="2"/>
          </rPr>
          <t>Filley, Kimberly S:</t>
        </r>
        <r>
          <rPr>
            <sz val="9"/>
            <color indexed="81"/>
            <rFont val="Tahoma"/>
            <family val="2"/>
          </rPr>
          <t xml:space="preserve">
includes on-top adjustment to PC interest of  -$33.16 related to Nov 21 rate filing </t>
        </r>
      </text>
    </comment>
    <comment ref="BL71" authorId="0" shapeId="0" xr:uid="{00000000-0006-0000-0100-000007000000}">
      <text>
        <r>
          <rPr>
            <b/>
            <sz val="9"/>
            <color indexed="81"/>
            <rFont val="Tahoma"/>
            <family val="2"/>
          </rPr>
          <t>Filley, Kimberly S:</t>
        </r>
        <r>
          <rPr>
            <sz val="9"/>
            <color indexed="81"/>
            <rFont val="Tahoma"/>
            <family val="2"/>
          </rPr>
          <t xml:space="preserve">
includes on-top adjustment to PC interest of  -$13.19  related to Nov 21 rate filing </t>
        </r>
      </text>
    </comment>
    <comment ref="BL72" authorId="0" shapeId="0" xr:uid="{00000000-0006-0000-0100-000008000000}">
      <text>
        <r>
          <rPr>
            <b/>
            <sz val="9"/>
            <color indexed="81"/>
            <rFont val="Tahoma"/>
            <family val="2"/>
          </rPr>
          <t>Filley, Kimberly S:</t>
        </r>
        <r>
          <rPr>
            <sz val="9"/>
            <color indexed="81"/>
            <rFont val="Tahoma"/>
            <family val="2"/>
          </rPr>
          <t xml:space="preserve">
includes on-top adjustment to PC interest of  -$3.10  related to Nov 21 rate filing </t>
        </r>
      </text>
    </comment>
    <comment ref="N77" authorId="1" shapeId="0" xr:uid="{00000000-0006-0000-0100-000009000000}">
      <text>
        <r>
          <rPr>
            <b/>
            <sz val="9"/>
            <color indexed="81"/>
            <rFont val="Tahoma"/>
            <family val="2"/>
          </rPr>
          <t>Logan, Raysene:</t>
        </r>
        <r>
          <rPr>
            <sz val="9"/>
            <color indexed="81"/>
            <rFont val="Tahoma"/>
            <family val="2"/>
          </rPr>
          <t xml:space="preserve">
Effective Feb 1, 2017, ending MEEIA 1 balance rolled into MEEIA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AC15" authorId="0" shapeId="0" xr:uid="{00000000-0006-0000-0200-000001000000}">
      <text>
        <r>
          <rPr>
            <b/>
            <sz val="9"/>
            <color indexed="81"/>
            <rFont val="Tahoma"/>
            <family val="2"/>
          </rPr>
          <t>Filley, Kimberly S:</t>
        </r>
        <r>
          <rPr>
            <sz val="9"/>
            <color indexed="81"/>
            <rFont val="Tahoma"/>
            <family val="2"/>
          </rPr>
          <t xml:space="preserve">
includes on-top adjustment to PC of
-$13K from Nov 21 rate filing wp CPA4 - tab PCR.1A (M3)</t>
        </r>
      </text>
    </comment>
    <comment ref="AK15" authorId="0" shapeId="0" xr:uid="{00000000-0006-0000-0200-000002000000}">
      <text>
        <r>
          <rPr>
            <b/>
            <sz val="9"/>
            <color indexed="81"/>
            <rFont val="Tahoma"/>
            <family val="2"/>
          </rPr>
          <t>Filley, Kimberly S:</t>
        </r>
        <r>
          <rPr>
            <sz val="9"/>
            <color indexed="81"/>
            <rFont val="Tahoma"/>
            <family val="2"/>
          </rPr>
          <t xml:space="preserve">
includes on-top adjustment to PC from AML4 - tab PCR.1B (M3)</t>
        </r>
      </text>
    </comment>
    <comment ref="AC16" authorId="0" shapeId="0" xr:uid="{00000000-0006-0000-0200-000003000000}">
      <text>
        <r>
          <rPr>
            <b/>
            <sz val="9"/>
            <color indexed="81"/>
            <rFont val="Tahoma"/>
            <family val="2"/>
          </rPr>
          <t>Filley, Kimberly S:</t>
        </r>
        <r>
          <rPr>
            <sz val="9"/>
            <color indexed="81"/>
            <rFont val="Tahoma"/>
            <family val="2"/>
          </rPr>
          <t xml:space="preserve">
includes on-top adjustment to PC of
-$3.3K from Nov 21 rate filing wp CPA4 - tab PCR.1A (M3)</t>
        </r>
      </text>
    </comment>
    <comment ref="AC17" authorId="0" shapeId="0" xr:uid="{00000000-0006-0000-0200-000004000000}">
      <text>
        <r>
          <rPr>
            <b/>
            <sz val="9"/>
            <color indexed="81"/>
            <rFont val="Tahoma"/>
            <family val="2"/>
          </rPr>
          <t>Filley, Kimberly S:</t>
        </r>
        <r>
          <rPr>
            <sz val="9"/>
            <color indexed="81"/>
            <rFont val="Tahoma"/>
            <family val="2"/>
          </rPr>
          <t xml:space="preserve">
includes on-top adjustment to PC of
-$2.6K from Nov 21 rate filing wp CPA4 - tab PCR.1A (M3)</t>
        </r>
      </text>
    </comment>
    <comment ref="AC18" authorId="0" shapeId="0" xr:uid="{00000000-0006-0000-0200-000005000000}">
      <text>
        <r>
          <rPr>
            <b/>
            <sz val="9"/>
            <color indexed="81"/>
            <rFont val="Tahoma"/>
            <family val="2"/>
          </rPr>
          <t>Filley, Kimberly S:</t>
        </r>
        <r>
          <rPr>
            <sz val="9"/>
            <color indexed="81"/>
            <rFont val="Tahoma"/>
            <family val="2"/>
          </rPr>
          <t xml:space="preserve">
includes on-top adjustment to PC of
-$2.6K from Nov 21 rate filing wp CPA4 - tab PCR.1A (M3)</t>
        </r>
      </text>
    </comment>
    <comment ref="AC68" authorId="0" shapeId="0" xr:uid="{00000000-0006-0000-0200-000006000000}">
      <text>
        <r>
          <rPr>
            <b/>
            <sz val="9"/>
            <color indexed="81"/>
            <rFont val="Tahoma"/>
            <family val="2"/>
          </rPr>
          <t>Filley, Kimberly S:</t>
        </r>
        <r>
          <rPr>
            <sz val="9"/>
            <color indexed="81"/>
            <rFont val="Tahoma"/>
            <family val="2"/>
          </rPr>
          <t xml:space="preserve">
includes on-top adjustment to PC interest of  -$359.54  related to Nov 21 rate filing </t>
        </r>
      </text>
    </comment>
    <comment ref="AK68" authorId="0" shapeId="0" xr:uid="{00000000-0006-0000-0200-000007000000}">
      <text>
        <r>
          <rPr>
            <b/>
            <sz val="9"/>
            <color indexed="81"/>
            <rFont val="Tahoma"/>
            <family val="2"/>
          </rPr>
          <t>Filley, Kimberly S:</t>
        </r>
        <r>
          <rPr>
            <sz val="9"/>
            <color indexed="81"/>
            <rFont val="Tahoma"/>
            <family val="2"/>
          </rPr>
          <t xml:space="preserve">
formula changed to pick up on-top adjustment to PC interest from AML4- tab PCR.1b (M3) and allocate it all to res as pays is only related to res</t>
        </r>
      </text>
    </comment>
    <comment ref="AC69" authorId="0" shapeId="0" xr:uid="{00000000-0006-0000-0200-000008000000}">
      <text>
        <r>
          <rPr>
            <b/>
            <sz val="9"/>
            <color indexed="81"/>
            <rFont val="Tahoma"/>
            <family val="2"/>
          </rPr>
          <t>Filley, Kimberly S:</t>
        </r>
        <r>
          <rPr>
            <sz val="9"/>
            <color indexed="81"/>
            <rFont val="Tahoma"/>
            <family val="2"/>
          </rPr>
          <t xml:space="preserve">
includes on-top adjustment to PC interest of  -$32.66 related to Nov 21 rate filing </t>
        </r>
      </text>
    </comment>
    <comment ref="AC70" authorId="0" shapeId="0" xr:uid="{00000000-0006-0000-0200-000009000000}">
      <text>
        <r>
          <rPr>
            <b/>
            <sz val="9"/>
            <color indexed="81"/>
            <rFont val="Tahoma"/>
            <family val="2"/>
          </rPr>
          <t>Filley, Kimberly S:</t>
        </r>
        <r>
          <rPr>
            <sz val="9"/>
            <color indexed="81"/>
            <rFont val="Tahoma"/>
            <family val="2"/>
          </rPr>
          <t xml:space="preserve">
includes on-top adjustment to PC interest of  -$66.91  related to Nov 21 rate filing </t>
        </r>
      </text>
    </comment>
    <comment ref="AC71" authorId="0" shapeId="0" xr:uid="{00000000-0006-0000-0200-00000A000000}">
      <text>
        <r>
          <rPr>
            <b/>
            <sz val="9"/>
            <color indexed="81"/>
            <rFont val="Tahoma"/>
            <family val="2"/>
          </rPr>
          <t>Filley, Kimberly S:</t>
        </r>
        <r>
          <rPr>
            <sz val="9"/>
            <color indexed="81"/>
            <rFont val="Tahoma"/>
            <family val="2"/>
          </rPr>
          <t xml:space="preserve">
includes on-top adjustment to PC interest of  -$26.61  related to Nov 21 rate filing </t>
        </r>
      </text>
    </comment>
    <comment ref="AC72" authorId="0" shapeId="0" xr:uid="{00000000-0006-0000-0200-00000B000000}">
      <text>
        <r>
          <rPr>
            <b/>
            <sz val="9"/>
            <color indexed="81"/>
            <rFont val="Tahoma"/>
            <family val="2"/>
          </rPr>
          <t>Filley, Kimberly S:</t>
        </r>
        <r>
          <rPr>
            <sz val="9"/>
            <color indexed="81"/>
            <rFont val="Tahoma"/>
            <family val="2"/>
          </rPr>
          <t xml:space="preserve">
includes on-top adjustment to PC interest of  -$6.25  related to Nov 21 rate filing </t>
        </r>
      </text>
    </comment>
    <comment ref="AM77" authorId="1" shapeId="0" xr:uid="{00000000-0006-0000-0200-00000C000000}">
      <text>
        <r>
          <rPr>
            <b/>
            <sz val="9"/>
            <color indexed="81"/>
            <rFont val="Tahoma"/>
            <family val="2"/>
          </rPr>
          <t>Filley, Kim:</t>
        </r>
        <r>
          <rPr>
            <sz val="9"/>
            <color indexed="81"/>
            <rFont val="Tahoma"/>
            <family val="2"/>
          </rPr>
          <t xml:space="preserve">
Effective Feb 1, 2022, ending MEEIA 2 balance rolled into MEEIA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Raysene Logan</author>
    <author>Logan, Raysene</author>
  </authors>
  <commentList>
    <comment ref="AR56" authorId="0" shapeId="0" xr:uid="{00000000-0006-0000-0400-000001000000}">
      <text>
        <r>
          <rPr>
            <b/>
            <sz val="9"/>
            <color indexed="81"/>
            <rFont val="Tahoma"/>
            <family val="2"/>
          </rPr>
          <t>Raysene Logan:</t>
        </r>
        <r>
          <rPr>
            <sz val="9"/>
            <color indexed="81"/>
            <rFont val="Tahoma"/>
            <family val="2"/>
          </rPr>
          <t xml:space="preserve">
$9,652 Interest adj - interest on HER report adjustments booked in July 2019</t>
        </r>
      </text>
    </comment>
    <comment ref="N65" authorId="1" shapeId="0" xr:uid="{00000000-0006-0000-0400-000002000000}">
      <text>
        <r>
          <rPr>
            <b/>
            <sz val="9"/>
            <color indexed="81"/>
            <rFont val="Tahoma"/>
            <family val="2"/>
          </rPr>
          <t>Logan, Raysene:</t>
        </r>
        <r>
          <rPr>
            <sz val="9"/>
            <color indexed="81"/>
            <rFont val="Tahoma"/>
            <family val="2"/>
          </rPr>
          <t xml:space="preserve">
Effective Feb 1, 2017, ending MEEIA 1 balance rolled into MEEIA 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Filley, Kimberly S</author>
  </authors>
  <commentList>
    <comment ref="L56" authorId="0" shapeId="0" xr:uid="{00000000-0006-0000-0500-000001000000}">
      <text>
        <r>
          <rPr>
            <b/>
            <sz val="9"/>
            <color indexed="81"/>
            <rFont val="Tahoma"/>
            <family val="2"/>
          </rPr>
          <t>Filley, Kimberly S:</t>
        </r>
        <r>
          <rPr>
            <sz val="9"/>
            <color indexed="81"/>
            <rFont val="Tahoma"/>
            <family val="2"/>
          </rPr>
          <t xml:space="preserve">
interest adjustment of +$0.09 booked in Nov 19 as result of the air compressor margin rate being applied to all measures</t>
        </r>
      </text>
    </comment>
    <comment ref="L57" authorId="0" shapeId="0" xr:uid="{00000000-0006-0000-0500-000002000000}">
      <text>
        <r>
          <rPr>
            <b/>
            <sz val="9"/>
            <color indexed="81"/>
            <rFont val="Tahoma"/>
            <family val="2"/>
          </rPr>
          <t>Filley, Kimberly S:</t>
        </r>
        <r>
          <rPr>
            <sz val="9"/>
            <color indexed="81"/>
            <rFont val="Tahoma"/>
            <family val="2"/>
          </rPr>
          <t xml:space="preserve">
interest adjustment of +$0.02 booked in Nov 19 as result of the air compressor margin rate being applied to all measures</t>
        </r>
      </text>
    </comment>
    <comment ref="L58" authorId="0" shapeId="0" xr:uid="{00000000-0006-0000-0500-000003000000}">
      <text>
        <r>
          <rPr>
            <b/>
            <sz val="9"/>
            <color indexed="81"/>
            <rFont val="Tahoma"/>
            <family val="2"/>
          </rPr>
          <t>Filley, Kimberly S:</t>
        </r>
        <r>
          <rPr>
            <sz val="9"/>
            <color indexed="81"/>
            <rFont val="Tahoma"/>
            <family val="2"/>
          </rPr>
          <t xml:space="preserve">
interest adjustment of +$95.42 booked in Nov 19 as result of the air compressor margin rate being applied to all measures</t>
        </r>
      </text>
    </comment>
    <comment ref="L59" authorId="0" shapeId="0" xr:uid="{00000000-0006-0000-0500-000004000000}">
      <text>
        <r>
          <rPr>
            <b/>
            <sz val="9"/>
            <color indexed="81"/>
            <rFont val="Tahoma"/>
            <family val="2"/>
          </rPr>
          <t>Filley, Kimberly S:</t>
        </r>
        <r>
          <rPr>
            <sz val="9"/>
            <color indexed="81"/>
            <rFont val="Tahoma"/>
            <family val="2"/>
          </rPr>
          <t xml:space="preserve">
interest adjustment of +$46.57 booked in Nov 19 as result of the air compressor margin rate being applied to all measures</t>
        </r>
      </text>
    </comment>
    <comment ref="L60" authorId="0" shapeId="0" xr:uid="{00000000-0006-0000-0500-000005000000}">
      <text>
        <r>
          <rPr>
            <b/>
            <sz val="9"/>
            <color indexed="81"/>
            <rFont val="Tahoma"/>
            <family val="2"/>
          </rPr>
          <t>Filley, Kimberly S:</t>
        </r>
        <r>
          <rPr>
            <sz val="9"/>
            <color indexed="81"/>
            <rFont val="Tahoma"/>
            <family val="2"/>
          </rPr>
          <t xml:space="preserve">
interest adjustment of +$15.68 booked in Nov 19 as result of the air compressor margin rate being applied to all measures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Logan, Raysene</author>
  </authors>
  <commentList>
    <comment ref="B64" authorId="0" shapeId="0" xr:uid="{00000000-0006-0000-0700-000001000000}">
      <text>
        <r>
          <rPr>
            <b/>
            <sz val="9"/>
            <color indexed="81"/>
            <rFont val="Tahoma"/>
            <family val="2"/>
          </rPr>
          <t>Logan, Raysene:</t>
        </r>
        <r>
          <rPr>
            <sz val="9"/>
            <color indexed="81"/>
            <rFont val="Tahoma"/>
            <family val="2"/>
          </rPr>
          <t xml:space="preserve">
Effective Nov 1, 2019, ending MEEIA 1 balance rolled into MEEIA 2 for rate calculation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Logan, Raysene</author>
  </authors>
  <commentList>
    <comment ref="N64" authorId="0" shapeId="0" xr:uid="{00000000-0006-0000-0800-000001000000}">
      <text>
        <r>
          <rPr>
            <b/>
            <sz val="9"/>
            <color indexed="81"/>
            <rFont val="Tahoma"/>
            <family val="2"/>
          </rPr>
          <t>Filley, Kim:</t>
        </r>
        <r>
          <rPr>
            <sz val="9"/>
            <color indexed="81"/>
            <rFont val="Tahoma"/>
            <family val="2"/>
          </rPr>
          <t xml:space="preserve">
Effective Feb 1, 2022, ending MEEIA 2 balance rolled into MEEIA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K15" authorId="0" shapeId="0" xr:uid="{00000000-0006-0000-0B00-000001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6" authorId="0" shapeId="0" xr:uid="{00000000-0006-0000-0B00-000002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7" authorId="0" shapeId="0" xr:uid="{00000000-0006-0000-0B00-000003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8" authorId="0" shapeId="0" xr:uid="{00000000-0006-0000-0B00-000004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9" authorId="0" shapeId="0" xr:uid="{00000000-0006-0000-0B00-000005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55" authorId="0" shapeId="0" xr:uid="{00000000-0006-0000-0B00-000006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K56" authorId="0" shapeId="0" xr:uid="{00000000-0006-0000-0B00-000007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K57" authorId="0" shapeId="0" xr:uid="{00000000-0006-0000-0B00-000008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K58" authorId="0" shapeId="0" xr:uid="{00000000-0006-0000-0B00-000009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K59" authorId="0" shapeId="0" xr:uid="{00000000-0006-0000-0B00-00000A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M64" authorId="1" shapeId="0" xr:uid="{00000000-0006-0000-0B00-00000B000000}">
      <text>
        <r>
          <rPr>
            <b/>
            <sz val="9"/>
            <color indexed="81"/>
            <rFont val="Tahoma"/>
            <family val="2"/>
          </rPr>
          <t>Filley, Kim:</t>
        </r>
        <r>
          <rPr>
            <sz val="9"/>
            <color indexed="81"/>
            <rFont val="Tahoma"/>
            <family val="2"/>
          </rPr>
          <t xml:space="preserve">
Effective Feb 1, 2022, ending MEEIA 2 balance rolled into MEEIA 3</t>
        </r>
      </text>
    </comment>
  </commentList>
</comments>
</file>

<file path=xl/sharedStrings.xml><?xml version="1.0" encoding="utf-8"?>
<sst xmlns="http://schemas.openxmlformats.org/spreadsheetml/2006/main" count="841" uniqueCount="176">
  <si>
    <t>RES</t>
  </si>
  <si>
    <t>BUS</t>
  </si>
  <si>
    <t>Low Income</t>
  </si>
  <si>
    <t>Common/General</t>
  </si>
  <si>
    <t>SGS</t>
  </si>
  <si>
    <t>LGS</t>
  </si>
  <si>
    <t>SPS</t>
  </si>
  <si>
    <t>LPS</t>
  </si>
  <si>
    <t>Allocations</t>
  </si>
  <si>
    <t>Total</t>
  </si>
  <si>
    <t>PPC</t>
  </si>
  <si>
    <t>Service Class</t>
  </si>
  <si>
    <t>PC ($)</t>
  </si>
  <si>
    <t>PE (kWh)</t>
  </si>
  <si>
    <t>EEIC ($/kWh)</t>
  </si>
  <si>
    <t>1M</t>
  </si>
  <si>
    <t>2M</t>
  </si>
  <si>
    <t>3M</t>
  </si>
  <si>
    <t>4M</t>
  </si>
  <si>
    <t>11M</t>
  </si>
  <si>
    <t>12M</t>
  </si>
  <si>
    <t>PPC ($)</t>
  </si>
  <si>
    <t>PTD ($)</t>
  </si>
  <si>
    <t>PCR ($)</t>
  </si>
  <si>
    <t>TDR ($)</t>
  </si>
  <si>
    <t>CHECK</t>
  </si>
  <si>
    <t>INPUTS</t>
  </si>
  <si>
    <t>2. Forecasted program costs by allocation bucket (RES, BUS, Low Income, Common/General)</t>
  </si>
  <si>
    <t>For CSS</t>
  </si>
  <si>
    <t>Program Cost Rate</t>
  </si>
  <si>
    <t>Effective Period kWh</t>
  </si>
  <si>
    <t>1. RES</t>
  </si>
  <si>
    <t>RA ($)</t>
  </si>
  <si>
    <t>NPC</t>
  </si>
  <si>
    <t>NTD</t>
  </si>
  <si>
    <t>NOA</t>
  </si>
  <si>
    <t>Forecasted Program Costs</t>
  </si>
  <si>
    <t>RES excluding low income</t>
  </si>
  <si>
    <t>2. Total</t>
  </si>
  <si>
    <t>3. Low income exemption</t>
  </si>
  <si>
    <t>3. Low income exemption %</t>
  </si>
  <si>
    <t>EOR ($)</t>
  </si>
  <si>
    <t>EO ($)</t>
  </si>
  <si>
    <t>NEO</t>
  </si>
  <si>
    <t>TD Rate</t>
  </si>
  <si>
    <t>1. Forecasted kWh by Rate Class (Reduced for Opt-Out, Includes Low Income)</t>
  </si>
  <si>
    <t>NPC/PE</t>
  </si>
  <si>
    <t>($/kWh)</t>
  </si>
  <si>
    <t>NTD/PE</t>
  </si>
  <si>
    <t>NOA/PE</t>
  </si>
  <si>
    <t>1(M)-Residential Service</t>
  </si>
  <si>
    <t>2(M)-Small General Service</t>
  </si>
  <si>
    <t>3(M)-Large General Service</t>
  </si>
  <si>
    <t>4(M)-Small Primary Service</t>
  </si>
  <si>
    <t>11(M)-Large Primary Service</t>
  </si>
  <si>
    <t>12(M)-Large Transmission Service</t>
  </si>
  <si>
    <t>MEEIA 2016-18 EEIR Components (Applicable to MEEIA Cycle 2 Plan)</t>
  </si>
  <si>
    <t>(NEO+NPI)</t>
  </si>
  <si>
    <t>EEIR</t>
  </si>
  <si>
    <t>Summary EEIR Components and Total EEIR</t>
  </si>
  <si>
    <t>Throughput Disincentive Calculation</t>
  </si>
  <si>
    <t>1. TD to be included in rates (includes low income)</t>
  </si>
  <si>
    <t>1. PTD</t>
  </si>
  <si>
    <t>NEO/PE</t>
  </si>
  <si>
    <t>Revenues</t>
  </si>
  <si>
    <t>Interest</t>
  </si>
  <si>
    <t>TDR</t>
  </si>
  <si>
    <t>FORECASTED</t>
  </si>
  <si>
    <t>SOURCE: GL</t>
  </si>
  <si>
    <t>Over/Under</t>
  </si>
  <si>
    <t>Cumulative Over/Under</t>
  </si>
  <si>
    <t>cumulative check</t>
  </si>
  <si>
    <t>monthly interest check</t>
  </si>
  <si>
    <t>Regulatory Asset/(Liability)</t>
  </si>
  <si>
    <t>Starting Balance</t>
  </si>
  <si>
    <t>1. Actual TD</t>
  </si>
  <si>
    <t>Actual TD</t>
  </si>
  <si>
    <t>Program Cost Reconciliation Calculation</t>
  </si>
  <si>
    <t>Billed kWh</t>
  </si>
  <si>
    <t>PCR</t>
  </si>
  <si>
    <t>1. Actual monthly program costs by allocation bucket (RES, BUS, Low Income, Common/General)</t>
  </si>
  <si>
    <t>3. Actual monthly billed revenues by rate class (program cost revenues only)</t>
  </si>
  <si>
    <t>4. Total monthly interest booked</t>
  </si>
  <si>
    <t>1. Actual Program Costs</t>
  </si>
  <si>
    <t>Allocated Actual Program Costs</t>
  </si>
  <si>
    <t>2. Actual KWh - Reduced for Opt-Out</t>
  </si>
  <si>
    <t>SOURCE: CSS DATA WAREHOUSE</t>
  </si>
  <si>
    <t>3. Actual Revenues - Program Costs Only</t>
  </si>
  <si>
    <t>4. Total Interest</t>
  </si>
  <si>
    <t>SOURCE: MEEIA 2 Over/Under Calculation file</t>
  </si>
  <si>
    <t>1. Actual monthly TD</t>
  </si>
  <si>
    <t>(Over)/Under</t>
  </si>
  <si>
    <t>5. Total Interest</t>
  </si>
  <si>
    <t>2. Actual monthly kWh billed sales by rate class (reduced for opt-out)</t>
  </si>
  <si>
    <t>1F. Forecasted program costs by allocation bucket (RES, BUS, Low Income, Common/General)</t>
  </si>
  <si>
    <t>2F. Forecasted kWh billed sales by rate class (reduced for opt-out)</t>
  </si>
  <si>
    <t>4F. Forecasted interest for accrued over/under</t>
  </si>
  <si>
    <t>Program Costs</t>
  </si>
  <si>
    <t>1F. Forecasted TD</t>
  </si>
  <si>
    <t>2. Actual monthly billed revenues by rate class (TD revenues only)</t>
  </si>
  <si>
    <t>TD Reconciliation Calculation</t>
  </si>
  <si>
    <t>Allocated Actual Revenue</t>
  </si>
  <si>
    <t>4. Actual Revenue Credits - Low Income Exemption</t>
  </si>
  <si>
    <t>6. Current Tariff Rate</t>
  </si>
  <si>
    <t>MEEIA 1 Ending Balance</t>
  </si>
  <si>
    <t>3. Actual Revenue Credits - Low Income Exemption</t>
  </si>
  <si>
    <t>5. Current Tariff Rate</t>
  </si>
  <si>
    <t>2F. Forecasted billed revenues by rate class</t>
  </si>
  <si>
    <t>SOURCE: Caculated based on amounts in Stipulation</t>
  </si>
  <si>
    <t>4. Actual monthly revenue credit for low income exempt customers (program cost revenues only)</t>
  </si>
  <si>
    <t>5. Total monthly interest booked</t>
  </si>
  <si>
    <t>5F. Forecasted interest for accrued over/under</t>
  </si>
  <si>
    <t>6. Actual program cost rate component of the tariff rate</t>
  </si>
  <si>
    <t>Beg Bal (M1)</t>
  </si>
  <si>
    <t>Ordered Adjustments</t>
  </si>
  <si>
    <t>1. OA</t>
  </si>
  <si>
    <t>5. Actual TD rate component of the tariff rate</t>
  </si>
  <si>
    <t>3. Actual monthly revenue credit for low income exempt customers (TD revenues only)</t>
  </si>
  <si>
    <t>2. Actual TD Revenues</t>
  </si>
  <si>
    <t>Total Reconciled</t>
  </si>
  <si>
    <t>Total Forecasted</t>
  </si>
  <si>
    <t>Ordered Adjustments Reconciliation Calculation</t>
  </si>
  <si>
    <t>OAR</t>
  </si>
  <si>
    <t>1. Actual OA to Amortize</t>
  </si>
  <si>
    <t>2. Actual Revenues - Ordered Adjustments</t>
  </si>
  <si>
    <t>1. Actual ordered adjustments to amortize by rate class</t>
  </si>
  <si>
    <t>2. Actual monthly billed revenues by rate class (ordered adjustment revenues only)</t>
  </si>
  <si>
    <t>3. Actual monthly revenue credit for low income exempt customers (ordered adjustment revenues only)</t>
  </si>
  <si>
    <t>5. Actual ordered adjustment rate component of the tariff rate</t>
  </si>
  <si>
    <t>OA to Amortize</t>
  </si>
  <si>
    <t>OA ($)</t>
  </si>
  <si>
    <t>OAR ($)</t>
  </si>
  <si>
    <t>Ordered Adj Rate</t>
  </si>
  <si>
    <t>EO Rate</t>
  </si>
  <si>
    <t>For Tariff (rounded)</t>
  </si>
  <si>
    <t>SOURCE: MEEIA 3 Over/Under Calculation file</t>
  </si>
  <si>
    <t>MEEIA 2019-21 EEIR Components (Applicable to MEEIA Cycle 3 Plan)</t>
  </si>
  <si>
    <t>Earnings Opportunity Reconciliation Calculation</t>
  </si>
  <si>
    <t>EO Amortization</t>
  </si>
  <si>
    <t>EOR</t>
  </si>
  <si>
    <t>1. Actual EO Amortization</t>
  </si>
  <si>
    <t>2. Actual Revenues - Earnings Opportunity</t>
  </si>
  <si>
    <t>1. Actual monthly earnings opportunity amortization by rate class</t>
  </si>
  <si>
    <t>1F. Forecasted monthly earnings opportunity amortization by rate class</t>
  </si>
  <si>
    <t>2. Actual monthly billed revenues by rate class (earnings opportunity revenues only)</t>
  </si>
  <si>
    <t>3. Actual monthly revenue credit for low income exempt customers (earnings opportunity revenues only)</t>
  </si>
  <si>
    <t>5. Actual earnings opportunity rate component of the tariff rate</t>
  </si>
  <si>
    <t>MEEIA 2</t>
  </si>
  <si>
    <t>MEEIA 3</t>
  </si>
  <si>
    <t>EO</t>
  </si>
  <si>
    <t>Program Cost Calculation</t>
  </si>
  <si>
    <t>MEEIA 3 Allocations</t>
  </si>
  <si>
    <t>2. kWh reduced for opt-out</t>
  </si>
  <si>
    <t>%</t>
  </si>
  <si>
    <t>EO Totals</t>
  </si>
  <si>
    <t>3. Forecasted kWh by Rate Class (Reduced for Opt-Out, Includes Low Income) - 12 Months</t>
  </si>
  <si>
    <t>3. Effective Period kWh</t>
  </si>
  <si>
    <t>EOR M2</t>
  </si>
  <si>
    <t>PCR M3</t>
  </si>
  <si>
    <t>PCR M2</t>
  </si>
  <si>
    <t>TDR M2</t>
  </si>
  <si>
    <t>TDR M3</t>
  </si>
  <si>
    <t>MEEIA 2 Ending Balance</t>
  </si>
  <si>
    <t>Earnings Opportunity and TD Adjustment Calculation (MEEIA 3)</t>
  </si>
  <si>
    <t>EOR M3</t>
  </si>
  <si>
    <t>Beginning Balance</t>
  </si>
  <si>
    <t>OAR 2</t>
  </si>
  <si>
    <t>OAR 3</t>
  </si>
  <si>
    <t>Total EEIC Revenue Requirement M2 &amp; M3 - Table 1</t>
  </si>
  <si>
    <t>M3 Total $</t>
  </si>
  <si>
    <t>M2 Total $</t>
  </si>
  <si>
    <t>Projections for 2023 EEIC</t>
  </si>
  <si>
    <t>1. EO &amp; TD Adjustment</t>
  </si>
  <si>
    <t>1. MEEIA 3 EO awarded &amp; includes MEEIA 3 EO TD adjustment</t>
  </si>
  <si>
    <t>2. Cumulative kWh by Rate Class (Reduced for Opt-out) - January through December 2021</t>
  </si>
  <si>
    <t>Beg Bal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</si>
</sst>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
    <numFmt numFmtId="169" formatCode="0.0000%"/>
    <numFmt numFmtId="170" formatCode="_(&quot;$&quot;* #,##0.000000_);_(&quot;$&quot;* \(#,##0.000000\);_(&quot;$&quot;* &quot;-&quot;??_);_(@_)"/>
    <numFmt numFmtId="171" formatCode="&quot;$&quot;#,##0.000000_);[Red]\(&quot;$&quot;#,##0.000000\)"/>
    <numFmt numFmtId="172" formatCode="_(&quot;$&quot;* #,##0.000_);_(&quot;$&quot;* \(#,##0.000\);_(&quot;$&quot;* &quot;-&quot;??_);_(@_)"/>
    <numFmt numFmtId="173" formatCode="_(* #,##0.000000_);_(* \(#,##0.000000\);_(* &quot;-&quot;??_);_(@_)"/>
    <numFmt numFmtId="174" formatCode="&quot;$&quot;#,##0.00000000_);[Red]\(&quot;$&quot;#,##0.00000000\)"/>
    <numFmt numFmtId="175" formatCode="mmm\-yyyy"/>
    <numFmt numFmtId="176" formatCode="_(&quot;$&quot;* #,##0.00000000_);_(&quot;$&quot;* \(#,##0.00000000\);_(&quot;$&quot;* &quot;-&quot;??_);_(@_)"/>
    <numFmt numFmtId="177" formatCode="&quot;$&quot;#,##0"/>
  </numFmts>
  <fonts count="45"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9"/>
      <color theme="1"/>
      <name val="Courier New"/>
      <family val="3"/>
    </font>
    <font>
      <b/>
      <sz val="9"/>
      <color rgb="FF000000"/>
      <name val="Courier New"/>
      <family val="3"/>
    </font>
    <font>
      <sz val="9"/>
      <color theme="1"/>
      <name val="Courier New"/>
      <family val="3"/>
    </font>
    <font>
      <sz val="9"/>
      <color rgb="FF000000"/>
      <name val="Courier New"/>
      <family val="3"/>
    </font>
    <font>
      <b/>
      <u/>
      <sz val="9"/>
      <color theme="1"/>
      <name val="Courier New"/>
      <family val="3"/>
    </font>
    <font>
      <sz val="9"/>
      <color indexed="81"/>
      <name val="Tahoma"/>
      <family val="2"/>
    </font>
    <font>
      <b/>
      <sz val="9"/>
      <color indexed="81"/>
      <name val="Tahoma"/>
      <family val="2"/>
    </font>
    <font>
      <b/>
      <sz val="11"/>
      <color rgb="FF3F3F76"/>
      <name val="Calibri"/>
      <family val="2"/>
      <scheme val="minor"/>
    </font>
    <font>
      <sz val="11"/>
      <color theme="1"/>
      <name val="Book Antiqua"/>
      <family val="2"/>
    </font>
    <font>
      <b/>
      <sz val="11"/>
      <name val="Calibri"/>
      <family val="2"/>
      <scheme val="minor"/>
    </font>
    <font>
      <sz val="10"/>
      <name val="Courier New"/>
      <family val="3"/>
    </font>
    <font>
      <sz val="10"/>
      <color rgb="FFFF0000"/>
      <name val="Courier New"/>
      <family val="3"/>
    </font>
    <font>
      <u/>
      <sz val="11"/>
      <color theme="1"/>
      <name val="Calibri"/>
      <family val="2"/>
      <scheme val="minor"/>
    </font>
    <font>
      <sz val="11"/>
      <name val="Calibri"/>
      <family val="2"/>
      <scheme val="minor"/>
    </font>
    <font>
      <b/>
      <sz val="11"/>
      <color theme="9" tint="-0.249977111117893"/>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00"/>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double">
        <color rgb="FF3F3F3F"/>
      </left>
      <right style="medium">
        <color indexed="64"/>
      </right>
      <top style="double">
        <color rgb="FF3F3F3F"/>
      </top>
      <bottom style="double">
        <color rgb="FF3F3F3F"/>
      </bottom>
      <diagonal/>
    </border>
    <border>
      <left style="thin">
        <color rgb="FF7F7F7F"/>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style="thin">
        <color rgb="FF7F7F7F"/>
      </right>
      <top/>
      <bottom style="medium">
        <color indexed="64"/>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top style="thin">
        <color rgb="FF7F7F7F"/>
      </top>
      <bottom style="medium">
        <color indexed="64"/>
      </bottom>
      <diagonal/>
    </border>
    <border>
      <left/>
      <right/>
      <top/>
      <bottom style="thin">
        <color rgb="FF7F7F7F"/>
      </bottom>
      <diagonal/>
    </border>
    <border>
      <left style="thin">
        <color rgb="FF7F7F7F"/>
      </left>
      <right style="medium">
        <color auto="1"/>
      </right>
      <top/>
      <bottom style="medium">
        <color indexed="64"/>
      </bottom>
      <diagonal/>
    </border>
    <border>
      <left/>
      <right style="thin">
        <color rgb="FF7F7F7F"/>
      </right>
      <top/>
      <bottom style="thin">
        <color rgb="FF7F7F7F"/>
      </bottom>
      <diagonal/>
    </border>
    <border>
      <left style="medium">
        <color auto="1"/>
      </left>
      <right/>
      <top/>
      <bottom style="thin">
        <color rgb="FF7F7F7F"/>
      </bottom>
      <diagonal/>
    </border>
    <border>
      <left/>
      <right style="medium">
        <color auto="1"/>
      </right>
      <top/>
      <bottom style="thin">
        <color rgb="FF7F7F7F"/>
      </bottom>
      <diagonal/>
    </border>
    <border>
      <left style="medium">
        <color indexed="64"/>
      </left>
      <right style="double">
        <color rgb="FF3F3F3F"/>
      </right>
      <top style="double">
        <color rgb="FF3F3F3F"/>
      </top>
      <bottom style="double">
        <color rgb="FF3F3F3F"/>
      </bottom>
      <diagonal/>
    </border>
    <border>
      <left/>
      <right/>
      <top/>
      <bottom style="medium">
        <color indexed="64"/>
      </bottom>
      <diagonal/>
    </border>
    <border>
      <left style="double">
        <color rgb="FF3F3F3F"/>
      </left>
      <right/>
      <top style="double">
        <color rgb="FF3F3F3F"/>
      </top>
      <bottom style="double">
        <color rgb="FF3F3F3F"/>
      </bottom>
      <diagonal/>
    </border>
    <border>
      <left style="double">
        <color rgb="FF3F3F3F"/>
      </left>
      <right style="double">
        <color rgb="FF3F3F3F"/>
      </right>
      <top style="double">
        <color rgb="FF3F3F3F"/>
      </top>
      <bottom style="medium">
        <color indexed="64"/>
      </bottom>
      <diagonal/>
    </border>
    <border>
      <left style="double">
        <color rgb="FF3F3F3F"/>
      </left>
      <right style="medium">
        <color indexed="64"/>
      </right>
      <top style="double">
        <color rgb="FF3F3F3F"/>
      </top>
      <bottom style="medium">
        <color indexed="64"/>
      </bottom>
      <diagonal/>
    </border>
    <border>
      <left/>
      <right/>
      <top style="thin">
        <color rgb="FF7F7F7F"/>
      </top>
      <bottom/>
      <diagonal/>
    </border>
    <border>
      <left/>
      <right style="medium">
        <color indexed="64"/>
      </right>
      <top style="thin">
        <color rgb="FF7F7F7F"/>
      </top>
      <bottom/>
      <diagonal/>
    </border>
    <border>
      <left style="medium">
        <color indexed="64"/>
      </left>
      <right/>
      <top style="thin">
        <color rgb="FF7F7F7F"/>
      </top>
      <bottom/>
      <diagonal/>
    </border>
    <border>
      <left style="medium">
        <color indexed="64"/>
      </left>
      <right style="medium">
        <color indexed="64"/>
      </right>
      <top style="double">
        <color rgb="FF3F3F3F"/>
      </top>
      <bottom style="double">
        <color rgb="FF3F3F3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thin">
        <color rgb="FF7F7F7F"/>
      </right>
      <top/>
      <bottom style="medium">
        <color indexed="64"/>
      </bottom>
      <diagonal/>
    </border>
    <border>
      <left style="medium">
        <color indexed="64"/>
      </left>
      <right/>
      <top style="thin">
        <color rgb="FF7F7F7F"/>
      </top>
      <bottom style="thin">
        <color rgb="FF7F7F7F"/>
      </bottom>
      <diagonal/>
    </border>
    <border>
      <left/>
      <right/>
      <top style="thin">
        <color rgb="FF7F7F7F"/>
      </top>
      <bottom style="thin">
        <color rgb="FF7F7F7F"/>
      </bottom>
      <diagonal/>
    </border>
    <border>
      <left style="medium">
        <color indexed="64"/>
      </left>
      <right/>
      <top style="double">
        <color rgb="FF3F3F3F"/>
      </top>
      <bottom style="double">
        <color rgb="FF3F3F3F"/>
      </bottom>
      <diagonal/>
    </border>
    <border>
      <left/>
      <right style="medium">
        <color indexed="64"/>
      </right>
      <top style="thin">
        <color rgb="FF7F7F7F"/>
      </top>
      <bottom style="thin">
        <color rgb="FF7F7F7F"/>
      </bottom>
      <diagonal/>
    </border>
    <border>
      <left style="medium">
        <color indexed="64"/>
      </left>
      <right style="double">
        <color rgb="FF3F3F3F"/>
      </right>
      <top/>
      <bottom style="double">
        <color rgb="FF3F3F3F"/>
      </bottom>
      <diagonal/>
    </border>
    <border>
      <left style="double">
        <color rgb="FF3F3F3F"/>
      </left>
      <right style="double">
        <color rgb="FF3F3F3F"/>
      </right>
      <top/>
      <bottom style="double">
        <color rgb="FF3F3F3F"/>
      </bottom>
      <diagonal/>
    </border>
    <border>
      <left style="double">
        <color rgb="FF3F3F3F"/>
      </left>
      <right style="medium">
        <color indexed="64"/>
      </right>
      <top/>
      <bottom style="double">
        <color rgb="FF3F3F3F"/>
      </bottom>
      <diagonal/>
    </border>
    <border>
      <left style="thin">
        <color rgb="FF7F7F7F"/>
      </left>
      <right style="medium">
        <color theme="1"/>
      </right>
      <top style="thin">
        <color rgb="FF7F7F7F"/>
      </top>
      <bottom style="thin">
        <color rgb="FF7F7F7F"/>
      </bottom>
      <diagonal/>
    </border>
    <border>
      <left style="medium">
        <color indexed="64"/>
      </left>
      <right/>
      <top style="thin">
        <color rgb="FF7F7F7F"/>
      </top>
      <bottom style="medium">
        <color indexed="64"/>
      </bottom>
      <diagonal/>
    </border>
    <border>
      <left/>
      <right style="medium">
        <color indexed="64"/>
      </right>
      <top style="double">
        <color rgb="FF3F3F3F"/>
      </top>
      <bottom style="double">
        <color rgb="FF3F3F3F"/>
      </bottom>
      <diagonal/>
    </border>
    <border>
      <left/>
      <right style="medium">
        <color indexed="64"/>
      </right>
      <top style="thin">
        <color rgb="FF7F7F7F"/>
      </top>
      <bottom style="medium">
        <color indexed="64"/>
      </bottom>
      <diagonal/>
    </border>
    <border>
      <left style="thin">
        <color rgb="FF7F7F7F"/>
      </left>
      <right style="thin">
        <color rgb="FF7F7F7F"/>
      </right>
      <top style="double">
        <color rgb="FF3F3F3F"/>
      </top>
      <bottom style="double">
        <color rgb="FF3F3F3F"/>
      </bottom>
      <diagonal/>
    </border>
  </borders>
  <cellStyleXfs count="32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8" borderId="15" applyNumberFormat="0" applyAlignment="0" applyProtection="0"/>
    <xf numFmtId="0" fontId="14" fillId="8" borderId="1" applyNumberFormat="0" applyAlignment="0" applyProtection="0"/>
    <xf numFmtId="0" fontId="1" fillId="9" borderId="16" applyNumberFormat="0" applyFont="0" applyAlignment="0" applyProtection="0"/>
    <xf numFmtId="0" fontId="15" fillId="0" borderId="24" applyNumberFormat="0" applyFill="0" applyAlignment="0" applyProtection="0"/>
    <xf numFmtId="0" fontId="16" fillId="0" borderId="0" applyNumberFormat="0" applyFill="0" applyBorder="0" applyAlignment="0" applyProtection="0"/>
    <xf numFmtId="0" fontId="17" fillId="0" borderId="25" applyNumberFormat="0" applyFill="0" applyAlignment="0" applyProtection="0"/>
    <xf numFmtId="0" fontId="18" fillId="0" borderId="26" applyNumberFormat="0" applyFill="0" applyAlignment="0" applyProtection="0"/>
    <xf numFmtId="0" fontId="19" fillId="0" borderId="27"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28" applyNumberFormat="0" applyFill="0" applyAlignment="0" applyProtection="0"/>
    <xf numFmtId="0" fontId="2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33" borderId="0" applyNumberFormat="0" applyBorder="0" applyAlignment="0" applyProtection="0"/>
    <xf numFmtId="44" fontId="1" fillId="0" borderId="0" applyFont="0" applyFill="0" applyBorder="0" applyAlignment="0" applyProtection="0"/>
    <xf numFmtId="0" fontId="1" fillId="0" borderId="0"/>
    <xf numFmtId="43" fontId="12" fillId="0" borderId="0" applyFont="0" applyFill="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9" borderId="16"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4" borderId="0" applyNumberFormat="0" applyAlignment="0">
      <alignment horizontal="right"/>
    </xf>
    <xf numFmtId="0" fontId="12" fillId="35"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4" borderId="0" applyNumberFormat="0" applyAlignment="0">
      <alignment horizontal="right"/>
    </xf>
    <xf numFmtId="0" fontId="12" fillId="35"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0" fontId="12" fillId="0" borderId="0"/>
    <xf numFmtId="43"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0" borderId="0"/>
    <xf numFmtId="0" fontId="1" fillId="0" borderId="0"/>
    <xf numFmtId="43" fontId="12" fillId="0" borderId="0" applyFont="0" applyFill="0" applyBorder="0" applyAlignment="0" applyProtection="0"/>
    <xf numFmtId="43" fontId="38" fillId="0" borderId="0" applyFont="0" applyFill="0" applyBorder="0" applyAlignment="0" applyProtection="0"/>
  </cellStyleXfs>
  <cellXfs count="435">
    <xf numFmtId="0" fontId="0" fillId="0" borderId="0" xfId="0"/>
    <xf numFmtId="164" fontId="0" fillId="0" borderId="0" xfId="0" applyNumberFormat="1"/>
    <xf numFmtId="0" fontId="8" fillId="0" borderId="0" xfId="0" applyFont="1"/>
    <xf numFmtId="44" fontId="0" fillId="0" borderId="0" xfId="0" applyNumberFormat="1"/>
    <xf numFmtId="10" fontId="0" fillId="0" borderId="0" xfId="2" applyNumberFormat="1" applyFont="1"/>
    <xf numFmtId="166" fontId="0" fillId="0" borderId="0" xfId="0" applyNumberFormat="1"/>
    <xf numFmtId="0" fontId="9" fillId="0" borderId="0" xfId="0" applyFont="1" applyAlignment="1">
      <alignment horizontal="left"/>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7" borderId="4" xfId="0" applyFont="1" applyFill="1" applyBorder="1" applyAlignment="1">
      <alignment vertical="center" wrapText="1"/>
    </xf>
    <xf numFmtId="0" fontId="10" fillId="0" borderId="5" xfId="0" applyFont="1" applyBorder="1" applyAlignment="1">
      <alignment vertical="center" wrapText="1"/>
    </xf>
    <xf numFmtId="6" fontId="10" fillId="0" borderId="6" xfId="0" applyNumberFormat="1" applyFont="1" applyBorder="1" applyAlignment="1">
      <alignment vertical="center" wrapText="1"/>
    </xf>
    <xf numFmtId="5" fontId="11" fillId="0" borderId="6" xfId="0" applyNumberFormat="1" applyFont="1" applyBorder="1" applyAlignment="1">
      <alignment horizontal="right" vertical="center" wrapText="1"/>
    </xf>
    <xf numFmtId="6" fontId="11" fillId="0" borderId="6" xfId="0" applyNumberFormat="1" applyFont="1" applyBorder="1" applyAlignment="1">
      <alignment horizontal="right" vertical="center" wrapText="1"/>
    </xf>
    <xf numFmtId="3" fontId="10" fillId="0" borderId="6" xfId="0" applyNumberFormat="1" applyFont="1" applyBorder="1" applyAlignment="1">
      <alignment vertical="center" wrapText="1"/>
    </xf>
    <xf numFmtId="6" fontId="10" fillId="0" borderId="6" xfId="0" applyNumberFormat="1" applyFont="1" applyBorder="1" applyAlignment="1">
      <alignment horizontal="right" vertical="center" wrapText="1"/>
    </xf>
    <xf numFmtId="5" fontId="10" fillId="0" borderId="6" xfId="0" applyNumberFormat="1" applyFont="1" applyBorder="1" applyAlignment="1">
      <alignment vertical="center" wrapText="1"/>
    </xf>
    <xf numFmtId="43" fontId="0" fillId="0" borderId="0" xfId="1" applyFont="1"/>
    <xf numFmtId="43" fontId="6" fillId="6" borderId="2" xfId="1" applyFont="1" applyFill="1" applyBorder="1"/>
    <xf numFmtId="0" fontId="8" fillId="0" borderId="0" xfId="0" applyFont="1" applyAlignment="1">
      <alignment horizontal="right"/>
    </xf>
    <xf numFmtId="6" fontId="0" fillId="0" borderId="0" xfId="0" applyNumberFormat="1"/>
    <xf numFmtId="165" fontId="14" fillId="8" borderId="1" xfId="13" applyNumberFormat="1"/>
    <xf numFmtId="165" fontId="14" fillId="8" borderId="13" xfId="13" applyNumberFormat="1" applyBorder="1" applyAlignment="1">
      <alignment horizontal="center"/>
    </xf>
    <xf numFmtId="0" fontId="7" fillId="0" borderId="0" xfId="8" applyAlignment="1">
      <alignment horizontal="right"/>
    </xf>
    <xf numFmtId="167" fontId="5" fillId="5" borderId="1" xfId="6" applyNumberFormat="1"/>
    <xf numFmtId="167" fontId="14" fillId="8" borderId="1" xfId="13" applyNumberFormat="1"/>
    <xf numFmtId="165" fontId="13" fillId="8" borderId="15" xfId="12" applyNumberFormat="1"/>
    <xf numFmtId="165" fontId="5" fillId="5" borderId="14" xfId="6" applyNumberFormat="1" applyBorder="1" applyAlignment="1">
      <alignment horizontal="center"/>
    </xf>
    <xf numFmtId="10" fontId="1" fillId="9" borderId="16" xfId="14" applyNumberFormat="1" applyFont="1" applyBorder="1" applyAlignment="1">
      <alignment horizontal="center"/>
    </xf>
    <xf numFmtId="165" fontId="5" fillId="5" borderId="1" xfId="11" applyNumberFormat="1" applyFont="1" applyFill="1" applyBorder="1"/>
    <xf numFmtId="0" fontId="10" fillId="0" borderId="0" xfId="0" applyFont="1" applyFill="1" applyBorder="1" applyAlignment="1">
      <alignment horizontal="center" vertical="center" wrapText="1"/>
    </xf>
    <xf numFmtId="165" fontId="0" fillId="0" borderId="0" xfId="0" applyNumberFormat="1"/>
    <xf numFmtId="0" fontId="0" fillId="0" borderId="0" xfId="0" applyFill="1"/>
    <xf numFmtId="10" fontId="5" fillId="0" borderId="0" xfId="2" applyNumberFormat="1" applyFont="1" applyFill="1" applyBorder="1"/>
    <xf numFmtId="165" fontId="5" fillId="0" borderId="0" xfId="11" applyNumberFormat="1" applyFont="1" applyFill="1" applyBorder="1"/>
    <xf numFmtId="3" fontId="0" fillId="0" borderId="0" xfId="0" applyNumberFormat="1"/>
    <xf numFmtId="0" fontId="0" fillId="0" borderId="0" xfId="0"/>
    <xf numFmtId="166" fontId="0" fillId="0" borderId="0" xfId="0" applyNumberFormat="1"/>
    <xf numFmtId="8" fontId="0" fillId="0" borderId="0" xfId="0" applyNumberFormat="1"/>
    <xf numFmtId="0" fontId="8" fillId="0" borderId="0" xfId="0" applyFont="1" applyFill="1"/>
    <xf numFmtId="44" fontId="0" fillId="0" borderId="0" xfId="11" applyFont="1"/>
    <xf numFmtId="0" fontId="8" fillId="0" borderId="0" xfId="0" applyFont="1" applyFill="1" applyAlignment="1">
      <alignment horizontal="right"/>
    </xf>
    <xf numFmtId="3" fontId="10" fillId="0" borderId="6" xfId="0" applyNumberFormat="1" applyFont="1" applyFill="1" applyBorder="1" applyAlignment="1">
      <alignment vertical="center" wrapText="1"/>
    </xf>
    <xf numFmtId="172" fontId="0" fillId="0" borderId="0" xfId="0" applyNumberFormat="1"/>
    <xf numFmtId="168" fontId="0" fillId="0" borderId="0" xfId="2" applyNumberFormat="1" applyFont="1"/>
    <xf numFmtId="171" fontId="0" fillId="0" borderId="0" xfId="0" applyNumberFormat="1"/>
    <xf numFmtId="165" fontId="5" fillId="5" borderId="19" xfId="6" applyNumberFormat="1" applyBorder="1" applyAlignment="1">
      <alignment horizontal="center"/>
    </xf>
    <xf numFmtId="165" fontId="6" fillId="6" borderId="2" xfId="1" applyNumberFormat="1" applyFont="1" applyFill="1" applyBorder="1"/>
    <xf numFmtId="0" fontId="0" fillId="0" borderId="0" xfId="0"/>
    <xf numFmtId="0" fontId="8" fillId="0" borderId="0" xfId="0" applyFont="1" applyAlignment="1">
      <alignment horizontal="right"/>
    </xf>
    <xf numFmtId="0" fontId="9" fillId="0" borderId="0" xfId="0" applyFont="1" applyAlignment="1">
      <alignment horizontal="center"/>
    </xf>
    <xf numFmtId="0" fontId="31" fillId="0" borderId="8" xfId="0" applyFont="1" applyBorder="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vertical="center" wrapText="1"/>
    </xf>
    <xf numFmtId="0" fontId="34" fillId="0" borderId="0" xfId="0" applyFont="1" applyAlignment="1">
      <alignment vertical="center"/>
    </xf>
    <xf numFmtId="171" fontId="33" fillId="0" borderId="6" xfId="0" applyNumberFormat="1" applyFont="1" applyBorder="1" applyAlignment="1">
      <alignment horizontal="center" vertical="center" wrapText="1"/>
    </xf>
    <xf numFmtId="171" fontId="31" fillId="0" borderId="8" xfId="0" applyNumberFormat="1" applyFont="1" applyBorder="1" applyAlignment="1">
      <alignment horizontal="center" vertical="center" wrapText="1"/>
    </xf>
    <xf numFmtId="171" fontId="31" fillId="0" borderId="10" xfId="0" applyNumberFormat="1" applyFont="1" applyBorder="1" applyAlignment="1">
      <alignment horizontal="center" vertical="center" wrapText="1"/>
    </xf>
    <xf numFmtId="171" fontId="0" fillId="0" borderId="6" xfId="0" applyNumberFormat="1" applyBorder="1" applyAlignment="1">
      <alignment vertical="center" wrapText="1"/>
    </xf>
    <xf numFmtId="171" fontId="31" fillId="0" borderId="6" xfId="0" applyNumberFormat="1" applyFont="1" applyBorder="1" applyAlignment="1">
      <alignment horizontal="center" vertical="center" wrapText="1"/>
    </xf>
    <xf numFmtId="0" fontId="8" fillId="0" borderId="0" xfId="0" applyFont="1" applyAlignment="1">
      <alignment horizontal="center"/>
    </xf>
    <xf numFmtId="3" fontId="14" fillId="8" borderId="1" xfId="13" applyNumberFormat="1"/>
    <xf numFmtId="165" fontId="6" fillId="6" borderId="2" xfId="7" applyNumberFormat="1"/>
    <xf numFmtId="0" fontId="0" fillId="0" borderId="17" xfId="0" applyBorder="1"/>
    <xf numFmtId="0" fontId="0" fillId="0" borderId="18" xfId="0" applyBorder="1"/>
    <xf numFmtId="0" fontId="7" fillId="0" borderId="18" xfId="8" applyBorder="1"/>
    <xf numFmtId="164" fontId="0" fillId="0" borderId="7" xfId="0" applyNumberFormat="1" applyBorder="1"/>
    <xf numFmtId="164" fontId="0" fillId="0" borderId="12" xfId="0" applyNumberFormat="1" applyBorder="1"/>
    <xf numFmtId="164" fontId="0" fillId="0" borderId="8" xfId="0" applyNumberFormat="1" applyBorder="1"/>
    <xf numFmtId="165" fontId="5" fillId="5" borderId="31" xfId="6" applyNumberFormat="1" applyBorder="1"/>
    <xf numFmtId="165" fontId="5" fillId="5" borderId="1" xfId="6" applyNumberFormat="1" applyBorder="1"/>
    <xf numFmtId="165" fontId="4" fillId="4" borderId="9" xfId="5" applyNumberFormat="1" applyBorder="1"/>
    <xf numFmtId="165" fontId="4" fillId="4" borderId="0" xfId="5" applyNumberFormat="1" applyBorder="1"/>
    <xf numFmtId="0" fontId="0" fillId="0" borderId="9" xfId="0" applyBorder="1"/>
    <xf numFmtId="0" fontId="0" fillId="0" borderId="0" xfId="0" applyBorder="1"/>
    <xf numFmtId="165" fontId="0" fillId="0" borderId="9" xfId="0" applyNumberFormat="1" applyBorder="1"/>
    <xf numFmtId="165" fontId="0" fillId="0" borderId="0" xfId="0" applyNumberFormat="1" applyBorder="1"/>
    <xf numFmtId="0" fontId="0" fillId="0" borderId="10" xfId="0" applyBorder="1"/>
    <xf numFmtId="0" fontId="7" fillId="0" borderId="0" xfId="8" applyBorder="1"/>
    <xf numFmtId="165" fontId="5" fillId="5" borderId="32" xfId="6" applyNumberFormat="1" applyBorder="1"/>
    <xf numFmtId="170" fontId="5" fillId="5" borderId="33" xfId="6" applyNumberFormat="1" applyBorder="1"/>
    <xf numFmtId="44" fontId="0" fillId="0" borderId="0" xfId="0" applyNumberFormat="1" applyFill="1"/>
    <xf numFmtId="44" fontId="0" fillId="0" borderId="9" xfId="0" applyNumberFormat="1" applyBorder="1"/>
    <xf numFmtId="44" fontId="0" fillId="0" borderId="0" xfId="0" applyNumberFormat="1" applyBorder="1"/>
    <xf numFmtId="3" fontId="5" fillId="5" borderId="1" xfId="6" applyNumberFormat="1" applyBorder="1"/>
    <xf numFmtId="165" fontId="14" fillId="8" borderId="31" xfId="13" applyNumberFormat="1" applyBorder="1"/>
    <xf numFmtId="165" fontId="14" fillId="8" borderId="32" xfId="13" applyNumberFormat="1" applyBorder="1"/>
    <xf numFmtId="44" fontId="8" fillId="0" borderId="10" xfId="0" applyNumberFormat="1" applyFont="1" applyBorder="1"/>
    <xf numFmtId="44" fontId="14" fillId="8" borderId="1" xfId="13" applyNumberFormat="1"/>
    <xf numFmtId="165" fontId="14" fillId="8" borderId="1" xfId="13" applyNumberFormat="1" applyBorder="1"/>
    <xf numFmtId="165" fontId="14" fillId="8" borderId="13" xfId="13" applyNumberFormat="1" applyBorder="1"/>
    <xf numFmtId="0" fontId="0" fillId="0" borderId="0" xfId="0" applyFont="1"/>
    <xf numFmtId="165" fontId="5" fillId="5" borderId="34" xfId="11" applyNumberFormat="1" applyFont="1" applyFill="1" applyBorder="1"/>
    <xf numFmtId="165" fontId="5" fillId="5" borderId="14" xfId="11" applyNumberFormat="1" applyFont="1" applyFill="1" applyBorder="1"/>
    <xf numFmtId="165" fontId="5" fillId="5" borderId="35" xfId="11" applyNumberFormat="1" applyFont="1" applyFill="1" applyBorder="1"/>
    <xf numFmtId="0" fontId="0" fillId="0" borderId="12" xfId="0" applyBorder="1"/>
    <xf numFmtId="0" fontId="0" fillId="0" borderId="8" xfId="0" applyBorder="1"/>
    <xf numFmtId="10" fontId="5" fillId="0" borderId="9" xfId="2" applyNumberFormat="1" applyFont="1" applyFill="1" applyBorder="1"/>
    <xf numFmtId="169" fontId="0" fillId="0" borderId="9" xfId="2" applyNumberFormat="1" applyFont="1" applyBorder="1"/>
    <xf numFmtId="169" fontId="0" fillId="0" borderId="0" xfId="2" applyNumberFormat="1" applyFont="1" applyBorder="1"/>
    <xf numFmtId="169" fontId="0" fillId="0" borderId="38" xfId="2" applyNumberFormat="1" applyFont="1" applyBorder="1"/>
    <xf numFmtId="0" fontId="7" fillId="0" borderId="0" xfId="8" applyBorder="1" applyAlignment="1">
      <alignment horizontal="right"/>
    </xf>
    <xf numFmtId="44" fontId="6" fillId="6" borderId="41" xfId="7" applyNumberFormat="1" applyBorder="1"/>
    <xf numFmtId="44" fontId="6" fillId="6" borderId="2" xfId="7" applyNumberFormat="1" applyBorder="1"/>
    <xf numFmtId="44" fontId="6" fillId="6" borderId="20" xfId="7" applyNumberFormat="1" applyBorder="1"/>
    <xf numFmtId="165" fontId="6" fillId="6" borderId="41" xfId="7" applyNumberFormat="1" applyBorder="1"/>
    <xf numFmtId="165" fontId="6" fillId="6" borderId="2" xfId="7" applyNumberFormat="1" applyBorder="1"/>
    <xf numFmtId="165" fontId="6" fillId="6" borderId="20" xfId="7" applyNumberFormat="1" applyBorder="1"/>
    <xf numFmtId="0" fontId="0" fillId="0" borderId="11" xfId="0" applyBorder="1"/>
    <xf numFmtId="0" fontId="0" fillId="0" borderId="42" xfId="0" applyBorder="1"/>
    <xf numFmtId="0" fontId="0" fillId="0" borderId="6" xfId="0" applyBorder="1"/>
    <xf numFmtId="43" fontId="5" fillId="5" borderId="1" xfId="1" applyFont="1" applyFill="1" applyBorder="1"/>
    <xf numFmtId="44" fontId="14" fillId="8" borderId="1" xfId="13" applyNumberFormat="1" applyBorder="1"/>
    <xf numFmtId="0" fontId="7" fillId="0" borderId="12" xfId="8" applyBorder="1"/>
    <xf numFmtId="165" fontId="4" fillId="4" borderId="9" xfId="11" applyNumberFormat="1" applyFont="1" applyFill="1" applyBorder="1"/>
    <xf numFmtId="165" fontId="4" fillId="4" borderId="0" xfId="11" applyNumberFormat="1" applyFont="1" applyFill="1" applyBorder="1"/>
    <xf numFmtId="165" fontId="4" fillId="4" borderId="10" xfId="11" applyNumberFormat="1" applyFont="1" applyFill="1" applyBorder="1"/>
    <xf numFmtId="167" fontId="5" fillId="5" borderId="31" xfId="6" applyNumberFormat="1" applyBorder="1"/>
    <xf numFmtId="3" fontId="0" fillId="0" borderId="0" xfId="0" applyNumberFormat="1" applyFill="1"/>
    <xf numFmtId="165" fontId="5" fillId="0" borderId="7" xfId="11" applyNumberFormat="1" applyFont="1" applyFill="1" applyBorder="1"/>
    <xf numFmtId="165" fontId="5" fillId="0" borderId="12" xfId="11" applyNumberFormat="1" applyFont="1" applyFill="1" applyBorder="1"/>
    <xf numFmtId="44" fontId="4" fillId="0" borderId="7" xfId="5" applyNumberFormat="1" applyFill="1" applyBorder="1"/>
    <xf numFmtId="165" fontId="4" fillId="0" borderId="12" xfId="11" applyNumberFormat="1" applyFont="1" applyFill="1" applyBorder="1"/>
    <xf numFmtId="165" fontId="4" fillId="0" borderId="8" xfId="11" applyNumberFormat="1" applyFont="1" applyFill="1" applyBorder="1"/>
    <xf numFmtId="165" fontId="0" fillId="0" borderId="11" xfId="0" applyNumberFormat="1" applyBorder="1"/>
    <xf numFmtId="165" fontId="0" fillId="0" borderId="42" xfId="0" applyNumberFormat="1" applyBorder="1"/>
    <xf numFmtId="165" fontId="4" fillId="4" borderId="6" xfId="5" applyNumberFormat="1" applyBorder="1"/>
    <xf numFmtId="165" fontId="4" fillId="0" borderId="0" xfId="11" applyNumberFormat="1" applyFont="1" applyFill="1" applyBorder="1"/>
    <xf numFmtId="165" fontId="6" fillId="6" borderId="43" xfId="7" applyNumberFormat="1" applyBorder="1"/>
    <xf numFmtId="44" fontId="5" fillId="5" borderId="1" xfId="11" applyNumberFormat="1" applyFont="1" applyFill="1" applyBorder="1"/>
    <xf numFmtId="171" fontId="33" fillId="0" borderId="6" xfId="0" applyNumberFormat="1" applyFont="1" applyFill="1" applyBorder="1" applyAlignment="1">
      <alignment horizontal="center" vertical="center" wrapText="1"/>
    </xf>
    <xf numFmtId="167" fontId="5" fillId="5" borderId="1" xfId="1" applyNumberFormat="1" applyFont="1" applyFill="1" applyBorder="1" applyAlignment="1">
      <alignment horizontal="center"/>
    </xf>
    <xf numFmtId="165" fontId="6" fillId="6" borderId="45" xfId="11" applyNumberFormat="1" applyFont="1" applyFill="1" applyBorder="1"/>
    <xf numFmtId="165" fontId="14" fillId="8" borderId="37" xfId="13" applyNumberFormat="1" applyBorder="1" applyAlignment="1">
      <alignment horizontal="center"/>
    </xf>
    <xf numFmtId="0" fontId="10" fillId="0" borderId="4" xfId="0" applyFont="1" applyBorder="1" applyAlignment="1">
      <alignment vertical="center" wrapText="1"/>
    </xf>
    <xf numFmtId="6" fontId="11" fillId="0" borderId="6" xfId="0" applyNumberFormat="1" applyFont="1" applyBorder="1" applyAlignment="1">
      <alignment horizontal="right" vertical="center" wrapText="1"/>
    </xf>
    <xf numFmtId="43" fontId="0" fillId="0" borderId="0" xfId="1" applyFont="1"/>
    <xf numFmtId="0" fontId="10" fillId="0" borderId="0" xfId="0" applyFont="1" applyFill="1" applyBorder="1" applyAlignment="1">
      <alignment horizontal="center" vertical="center" wrapText="1"/>
    </xf>
    <xf numFmtId="171" fontId="0" fillId="0" borderId="0" xfId="0" applyNumberFormat="1"/>
    <xf numFmtId="0" fontId="0" fillId="0" borderId="0" xfId="0"/>
    <xf numFmtId="5" fontId="11" fillId="0" borderId="6" xfId="0" applyNumberFormat="1" applyFont="1" applyBorder="1" applyAlignment="1">
      <alignment horizontal="right" vertical="center" wrapText="1"/>
    </xf>
    <xf numFmtId="0" fontId="0" fillId="0" borderId="7" xfId="0" applyBorder="1"/>
    <xf numFmtId="0" fontId="8" fillId="0" borderId="0" xfId="0" applyFont="1" applyAlignment="1">
      <alignment horizontal="right"/>
    </xf>
    <xf numFmtId="0" fontId="8" fillId="0" borderId="9" xfId="0" applyFont="1" applyBorder="1" applyAlignment="1">
      <alignment horizontal="right"/>
    </xf>
    <xf numFmtId="0" fontId="8" fillId="0" borderId="11" xfId="0" applyFont="1" applyBorder="1" applyAlignment="1">
      <alignment horizontal="right"/>
    </xf>
    <xf numFmtId="10" fontId="14" fillId="8" borderId="1" xfId="13" applyNumberFormat="1" applyBorder="1" applyAlignment="1">
      <alignment horizontal="center"/>
    </xf>
    <xf numFmtId="10" fontId="14" fillId="8" borderId="13" xfId="13" applyNumberForma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7" fillId="0" borderId="9" xfId="8" applyBorder="1" applyAlignment="1">
      <alignment horizontal="right"/>
    </xf>
    <xf numFmtId="165" fontId="14" fillId="8" borderId="21" xfId="13" applyNumberFormat="1" applyBorder="1" applyAlignment="1">
      <alignment horizontal="center"/>
    </xf>
    <xf numFmtId="165" fontId="14" fillId="8" borderId="22" xfId="13" applyNumberFormat="1" applyBorder="1" applyAlignment="1">
      <alignment horizontal="center"/>
    </xf>
    <xf numFmtId="0" fontId="8" fillId="0" borderId="23" xfId="0" applyFont="1" applyBorder="1" applyAlignment="1">
      <alignment horizontal="right"/>
    </xf>
    <xf numFmtId="3" fontId="5" fillId="5" borderId="32" xfId="6" applyNumberFormat="1" applyBorder="1"/>
    <xf numFmtId="167" fontId="6" fillId="6" borderId="2" xfId="1" applyNumberFormat="1" applyFont="1" applyFill="1" applyBorder="1"/>
    <xf numFmtId="10" fontId="6" fillId="6" borderId="2" xfId="1" applyNumberFormat="1" applyFont="1" applyFill="1" applyBorder="1"/>
    <xf numFmtId="10" fontId="6" fillId="6" borderId="20" xfId="1" applyNumberFormat="1" applyFont="1" applyFill="1" applyBorder="1"/>
    <xf numFmtId="0" fontId="8" fillId="0" borderId="0" xfId="0" applyFont="1" applyAlignment="1">
      <alignment horizontal="center"/>
    </xf>
    <xf numFmtId="0" fontId="9" fillId="0" borderId="0" xfId="0" applyFont="1"/>
    <xf numFmtId="10" fontId="14" fillId="0" borderId="0" xfId="13" applyNumberFormat="1" applyFill="1" applyBorder="1" applyAlignment="1">
      <alignment horizontal="center"/>
    </xf>
    <xf numFmtId="169" fontId="0" fillId="0" borderId="0" xfId="2" applyNumberFormat="1" applyFont="1" applyFill="1" applyBorder="1"/>
    <xf numFmtId="169" fontId="0" fillId="0" borderId="39" xfId="0" applyNumberFormat="1" applyBorder="1"/>
    <xf numFmtId="169" fontId="0" fillId="0" borderId="36" xfId="0" applyNumberFormat="1" applyBorder="1"/>
    <xf numFmtId="169" fontId="0" fillId="0" borderId="40" xfId="0" applyNumberFormat="1" applyBorder="1"/>
    <xf numFmtId="44" fontId="0" fillId="0" borderId="12" xfId="0" applyNumberFormat="1" applyBorder="1"/>
    <xf numFmtId="44" fontId="5" fillId="0" borderId="0" xfId="2" applyNumberFormat="1" applyFont="1" applyFill="1" applyBorder="1"/>
    <xf numFmtId="0" fontId="0" fillId="0" borderId="0" xfId="0" applyFont="1" applyFill="1"/>
    <xf numFmtId="165" fontId="14" fillId="0" borderId="0" xfId="13" applyNumberFormat="1" applyFill="1" applyBorder="1"/>
    <xf numFmtId="165" fontId="5" fillId="5" borderId="0" xfId="6" applyNumberFormat="1" applyBorder="1"/>
    <xf numFmtId="165" fontId="0" fillId="0" borderId="48" xfId="0" applyNumberFormat="1" applyBorder="1"/>
    <xf numFmtId="0" fontId="0" fillId="0" borderId="46" xfId="0" applyBorder="1"/>
    <xf numFmtId="165" fontId="0" fillId="0" borderId="46" xfId="0" applyNumberFormat="1" applyBorder="1"/>
    <xf numFmtId="0" fontId="0" fillId="0" borderId="47" xfId="0" applyBorder="1"/>
    <xf numFmtId="0" fontId="0" fillId="0" borderId="0" xfId="0" applyAlignment="1">
      <alignment horizontal="left" indent="1"/>
    </xf>
    <xf numFmtId="0" fontId="9" fillId="0" borderId="0" xfId="0" applyFont="1" applyAlignment="1">
      <alignment horizontal="center"/>
    </xf>
    <xf numFmtId="0" fontId="8" fillId="0" borderId="0" xfId="0" applyFont="1" applyAlignment="1">
      <alignment horizontal="center"/>
    </xf>
    <xf numFmtId="0" fontId="0" fillId="0" borderId="0" xfId="0" applyFill="1" applyBorder="1"/>
    <xf numFmtId="0" fontId="0" fillId="0" borderId="9" xfId="0" applyFill="1" applyBorder="1"/>
    <xf numFmtId="170" fontId="5" fillId="0" borderId="0" xfId="6" applyNumberFormat="1" applyFill="1" applyBorder="1"/>
    <xf numFmtId="165" fontId="0" fillId="0" borderId="9" xfId="0" applyNumberFormat="1" applyFill="1" applyBorder="1"/>
    <xf numFmtId="165" fontId="14" fillId="0" borderId="9" xfId="13" applyNumberFormat="1" applyFill="1" applyBorder="1"/>
    <xf numFmtId="165" fontId="37" fillId="5" borderId="46" xfId="6" applyNumberFormat="1" applyFont="1" applyBorder="1"/>
    <xf numFmtId="165" fontId="5" fillId="5" borderId="42" xfId="6" applyNumberFormat="1" applyBorder="1"/>
    <xf numFmtId="8" fontId="0" fillId="0" borderId="0" xfId="0" applyNumberFormat="1" applyBorder="1"/>
    <xf numFmtId="8" fontId="0" fillId="0" borderId="42" xfId="0" applyNumberFormat="1" applyBorder="1"/>
    <xf numFmtId="165" fontId="0" fillId="0" borderId="0" xfId="2" applyNumberFormat="1" applyFont="1" applyBorder="1"/>
    <xf numFmtId="0" fontId="8" fillId="0" borderId="0" xfId="0" applyFont="1" applyFill="1" applyBorder="1" applyAlignment="1">
      <alignment horizontal="center"/>
    </xf>
    <xf numFmtId="41" fontId="4" fillId="4" borderId="9" xfId="5" applyNumberFormat="1" applyBorder="1"/>
    <xf numFmtId="41" fontId="4" fillId="4" borderId="0" xfId="5" applyNumberFormat="1" applyBorder="1"/>
    <xf numFmtId="41" fontId="4" fillId="4" borderId="10" xfId="5" applyNumberFormat="1" applyBorder="1"/>
    <xf numFmtId="0" fontId="0" fillId="0" borderId="0" xfId="0" applyAlignment="1">
      <alignment horizontal="right"/>
    </xf>
    <xf numFmtId="173" fontId="0" fillId="0" borderId="0" xfId="1" applyNumberFormat="1" applyFont="1"/>
    <xf numFmtId="5" fontId="0" fillId="0" borderId="0" xfId="0" applyNumberFormat="1"/>
    <xf numFmtId="0" fontId="8" fillId="0" borderId="0" xfId="0" applyFont="1" applyAlignment="1">
      <alignment horizontal="center"/>
    </xf>
    <xf numFmtId="44" fontId="4" fillId="0" borderId="9" xfId="5" applyNumberFormat="1" applyFill="1" applyBorder="1"/>
    <xf numFmtId="165" fontId="4" fillId="0" borderId="10" xfId="11" applyNumberFormat="1" applyFont="1" applyFill="1" applyBorder="1"/>
    <xf numFmtId="165" fontId="4" fillId="4" borderId="11" xfId="5" applyNumberFormat="1" applyBorder="1"/>
    <xf numFmtId="165" fontId="4" fillId="4" borderId="42" xfId="5" applyNumberFormat="1" applyBorder="1"/>
    <xf numFmtId="43" fontId="0" fillId="0" borderId="0" xfId="1" applyFont="1" applyBorder="1"/>
    <xf numFmtId="43" fontId="0" fillId="0" borderId="0" xfId="1" applyNumberFormat="1" applyFont="1"/>
    <xf numFmtId="165" fontId="5" fillId="5" borderId="32" xfId="11" applyNumberFormat="1" applyFont="1" applyFill="1" applyBorder="1"/>
    <xf numFmtId="171" fontId="0" fillId="0" borderId="0" xfId="1" applyNumberFormat="1" applyFont="1"/>
    <xf numFmtId="165" fontId="6" fillId="6" borderId="49" xfId="7" applyNumberFormat="1" applyBorder="1"/>
    <xf numFmtId="166" fontId="0" fillId="0" borderId="9" xfId="0" applyNumberFormat="1" applyBorder="1"/>
    <xf numFmtId="166" fontId="0" fillId="0" borderId="0" xfId="0" applyNumberFormat="1" applyBorder="1"/>
    <xf numFmtId="166" fontId="0" fillId="0" borderId="10" xfId="0" applyNumberFormat="1" applyBorder="1"/>
    <xf numFmtId="169" fontId="0" fillId="0" borderId="10" xfId="2" applyNumberFormat="1" applyFont="1" applyFill="1" applyBorder="1"/>
    <xf numFmtId="5" fontId="11" fillId="0" borderId="6" xfId="0" applyNumberFormat="1" applyFont="1" applyFill="1" applyBorder="1" applyAlignment="1">
      <alignment horizontal="right" vertical="center" wrapText="1"/>
    </xf>
    <xf numFmtId="6" fontId="11" fillId="0" borderId="6" xfId="0" applyNumberFormat="1" applyFont="1" applyFill="1" applyBorder="1" applyAlignment="1">
      <alignment horizontal="right" vertical="center" wrapText="1"/>
    </xf>
    <xf numFmtId="0" fontId="10" fillId="0" borderId="4" xfId="0" applyFont="1" applyFill="1" applyBorder="1" applyAlignment="1">
      <alignment vertical="center" wrapText="1"/>
    </xf>
    <xf numFmtId="0" fontId="9" fillId="0" borderId="0" xfId="0" applyFont="1" applyAlignment="1">
      <alignment horizontal="center"/>
    </xf>
    <xf numFmtId="0" fontId="8" fillId="0" borderId="0" xfId="0" applyFont="1" applyAlignment="1">
      <alignment horizontal="center"/>
    </xf>
    <xf numFmtId="43" fontId="6" fillId="0" borderId="0" xfId="1" applyFont="1" applyFill="1" applyBorder="1"/>
    <xf numFmtId="43" fontId="0" fillId="0" borderId="0" xfId="0" applyNumberFormat="1" applyFill="1" applyBorder="1"/>
    <xf numFmtId="0" fontId="9" fillId="0" borderId="0" xfId="0" applyFont="1" applyFill="1" applyBorder="1" applyAlignment="1">
      <alignment horizontal="center"/>
    </xf>
    <xf numFmtId="0" fontId="8" fillId="0" borderId="0" xfId="0" applyFont="1" applyFill="1" applyBorder="1" applyAlignment="1">
      <alignment horizontal="right"/>
    </xf>
    <xf numFmtId="0" fontId="7" fillId="0" borderId="0" xfId="8" applyFill="1" applyBorder="1" applyAlignment="1">
      <alignment horizontal="right"/>
    </xf>
    <xf numFmtId="3" fontId="0" fillId="0" borderId="0" xfId="0" applyNumberFormat="1" applyFill="1" applyBorder="1"/>
    <xf numFmtId="167" fontId="5" fillId="0" borderId="0" xfId="6" applyNumberFormat="1" applyFill="1" applyBorder="1"/>
    <xf numFmtId="165" fontId="13" fillId="0" borderId="0" xfId="12" applyNumberFormat="1" applyFill="1" applyBorder="1"/>
    <xf numFmtId="167" fontId="14" fillId="0" borderId="0" xfId="13" applyNumberFormat="1" applyFill="1" applyBorder="1"/>
    <xf numFmtId="0" fontId="9" fillId="0" borderId="0" xfId="0" applyFont="1" applyFill="1" applyBorder="1" applyAlignment="1"/>
    <xf numFmtId="0" fontId="8" fillId="0" borderId="7" xfId="0" applyFont="1" applyBorder="1" applyAlignment="1">
      <alignment horizontal="right"/>
    </xf>
    <xf numFmtId="165" fontId="14" fillId="8" borderId="50" xfId="13" applyNumberFormat="1" applyBorder="1" applyAlignment="1">
      <alignment horizontal="center"/>
    </xf>
    <xf numFmtId="165" fontId="14" fillId="8" borderId="51" xfId="13" applyNumberFormat="1" applyBorder="1" applyAlignment="1">
      <alignment horizontal="center"/>
    </xf>
    <xf numFmtId="165" fontId="14" fillId="8" borderId="52" xfId="13" applyNumberFormat="1" applyBorder="1" applyAlignment="1">
      <alignment horizontal="center"/>
    </xf>
    <xf numFmtId="43" fontId="0" fillId="0" borderId="9" xfId="1" applyFont="1" applyBorder="1"/>
    <xf numFmtId="43" fontId="0" fillId="0" borderId="10" xfId="1" applyFont="1" applyBorder="1"/>
    <xf numFmtId="43" fontId="6" fillId="6" borderId="2" xfId="1" applyNumberFormat="1" applyFont="1" applyFill="1" applyBorder="1"/>
    <xf numFmtId="44" fontId="14" fillId="8" borderId="32" xfId="13" applyNumberFormat="1" applyBorder="1"/>
    <xf numFmtId="44" fontId="6" fillId="6" borderId="43" xfId="7" applyNumberFormat="1" applyBorder="1"/>
    <xf numFmtId="0" fontId="9" fillId="0" borderId="0" xfId="0" applyFont="1" applyFill="1" applyAlignment="1">
      <alignment horizontal="center"/>
    </xf>
    <xf numFmtId="6" fontId="10" fillId="0" borderId="6" xfId="0" applyNumberFormat="1" applyFont="1" applyFill="1" applyBorder="1" applyAlignment="1">
      <alignment vertical="center" wrapText="1"/>
    </xf>
    <xf numFmtId="44" fontId="6" fillId="6" borderId="2" xfId="7" applyNumberFormat="1"/>
    <xf numFmtId="44" fontId="5" fillId="5" borderId="34" xfId="11" applyNumberFormat="1" applyFont="1" applyFill="1" applyBorder="1"/>
    <xf numFmtId="44" fontId="5" fillId="5" borderId="14" xfId="11" applyNumberFormat="1" applyFont="1" applyFill="1" applyBorder="1"/>
    <xf numFmtId="165" fontId="0" fillId="0" borderId="0" xfId="0" applyNumberFormat="1" applyFill="1"/>
    <xf numFmtId="171" fontId="0" fillId="0" borderId="0" xfId="0" applyNumberFormat="1" applyFill="1"/>
    <xf numFmtId="175" fontId="0" fillId="0" borderId="0" xfId="0" applyNumberFormat="1" applyFill="1"/>
    <xf numFmtId="6" fontId="0" fillId="0" borderId="0" xfId="0" applyNumberFormat="1" applyFill="1"/>
    <xf numFmtId="6" fontId="8" fillId="0" borderId="0" xfId="0" applyNumberFormat="1" applyFont="1" applyFill="1"/>
    <xf numFmtId="8" fontId="0" fillId="0" borderId="0" xfId="0" applyNumberFormat="1" applyFill="1"/>
    <xf numFmtId="5" fontId="0" fillId="0" borderId="0" xfId="0" applyNumberFormat="1" applyFill="1"/>
    <xf numFmtId="5" fontId="8" fillId="0" borderId="0" xfId="0" applyNumberFormat="1" applyFont="1" applyFill="1"/>
    <xf numFmtId="0" fontId="8" fillId="0" borderId="9" xfId="0" applyFont="1" applyFill="1" applyBorder="1" applyAlignment="1">
      <alignment horizontal="right"/>
    </xf>
    <xf numFmtId="167" fontId="6" fillId="6" borderId="44" xfId="1" applyNumberFormat="1" applyFont="1" applyFill="1" applyBorder="1"/>
    <xf numFmtId="10" fontId="6" fillId="0" borderId="0" xfId="1" applyNumberFormat="1" applyFont="1" applyFill="1" applyBorder="1"/>
    <xf numFmtId="167" fontId="6" fillId="0" borderId="0" xfId="1" applyNumberFormat="1" applyFont="1" applyFill="1" applyBorder="1"/>
    <xf numFmtId="168" fontId="5" fillId="0" borderId="0" xfId="2" applyNumberFormat="1" applyFont="1" applyFill="1" applyBorder="1" applyAlignment="1">
      <alignment horizontal="center"/>
    </xf>
    <xf numFmtId="41" fontId="14" fillId="0" borderId="0" xfId="11" applyNumberFormat="1" applyFont="1" applyFill="1" applyBorder="1" applyAlignment="1">
      <alignment horizontal="center"/>
    </xf>
    <xf numFmtId="165" fontId="6" fillId="0" borderId="0" xfId="11" applyNumberFormat="1" applyFont="1" applyFill="1" applyBorder="1"/>
    <xf numFmtId="165" fontId="14" fillId="0" borderId="0" xfId="13" applyNumberFormat="1" applyFill="1" applyBorder="1" applyAlignment="1">
      <alignment horizontal="center"/>
    </xf>
    <xf numFmtId="9" fontId="6" fillId="6" borderId="44" xfId="2" applyFont="1" applyFill="1" applyBorder="1" applyAlignment="1">
      <alignment horizontal="center"/>
    </xf>
    <xf numFmtId="165" fontId="5" fillId="7" borderId="1" xfId="11" applyNumberFormat="1" applyFont="1" applyFill="1" applyBorder="1"/>
    <xf numFmtId="0" fontId="0" fillId="0" borderId="7" xfId="0" applyFill="1" applyBorder="1"/>
    <xf numFmtId="165" fontId="5" fillId="5" borderId="9" xfId="6" applyNumberFormat="1" applyBorder="1"/>
    <xf numFmtId="165" fontId="5" fillId="5" borderId="53" xfId="6" applyNumberFormat="1" applyBorder="1"/>
    <xf numFmtId="165" fontId="5" fillId="0" borderId="9" xfId="11" applyNumberFormat="1" applyFont="1" applyFill="1" applyBorder="1"/>
    <xf numFmtId="169" fontId="0" fillId="0" borderId="9" xfId="2" applyNumberFormat="1" applyFont="1" applyFill="1" applyBorder="1"/>
    <xf numFmtId="165" fontId="5" fillId="5" borderId="11" xfId="6" applyNumberFormat="1" applyBorder="1"/>
    <xf numFmtId="44" fontId="20" fillId="0" borderId="0" xfId="0" applyNumberFormat="1" applyFont="1"/>
    <xf numFmtId="0" fontId="20" fillId="0" borderId="0" xfId="0" applyFont="1"/>
    <xf numFmtId="43" fontId="6" fillId="0" borderId="0" xfId="1" applyNumberFormat="1" applyFont="1" applyFill="1" applyBorder="1"/>
    <xf numFmtId="165" fontId="5" fillId="5" borderId="33" xfId="6" applyNumberFormat="1" applyBorder="1"/>
    <xf numFmtId="165" fontId="4" fillId="0" borderId="0" xfId="5" applyNumberFormat="1" applyFill="1" applyBorder="1"/>
    <xf numFmtId="0" fontId="20" fillId="0" borderId="0" xfId="0" applyFont="1" applyFill="1"/>
    <xf numFmtId="0" fontId="0" fillId="0" borderId="12" xfId="0" applyFill="1" applyBorder="1"/>
    <xf numFmtId="164" fontId="0" fillId="0" borderId="12" xfId="0" applyNumberFormat="1" applyFill="1" applyBorder="1"/>
    <xf numFmtId="169" fontId="0" fillId="0" borderId="38" xfId="2" applyNumberFormat="1" applyFont="1" applyFill="1" applyBorder="1"/>
    <xf numFmtId="169" fontId="0" fillId="0" borderId="39" xfId="0" applyNumberFormat="1" applyFill="1" applyBorder="1"/>
    <xf numFmtId="169" fontId="0" fillId="0" borderId="36" xfId="0" applyNumberFormat="1" applyFill="1" applyBorder="1"/>
    <xf numFmtId="169" fontId="0" fillId="0" borderId="40" xfId="0" applyNumberFormat="1" applyFill="1" applyBorder="1"/>
    <xf numFmtId="0" fontId="0" fillId="0" borderId="18" xfId="0" applyFill="1" applyBorder="1"/>
    <xf numFmtId="0" fontId="8" fillId="0" borderId="0" xfId="0" applyFont="1" applyAlignment="1">
      <alignment horizontal="center"/>
    </xf>
    <xf numFmtId="0" fontId="8" fillId="0" borderId="12" xfId="0" applyFont="1" applyFill="1" applyBorder="1" applyAlignment="1">
      <alignment horizontal="center"/>
    </xf>
    <xf numFmtId="0" fontId="8" fillId="0" borderId="8" xfId="0" applyFont="1" applyFill="1" applyBorder="1" applyAlignment="1">
      <alignment horizontal="center"/>
    </xf>
    <xf numFmtId="0" fontId="0" fillId="0" borderId="10" xfId="0" applyFill="1" applyBorder="1"/>
    <xf numFmtId="165" fontId="14" fillId="0" borderId="1" xfId="13" applyNumberFormat="1" applyFill="1" applyBorder="1"/>
    <xf numFmtId="0" fontId="0" fillId="0" borderId="42" xfId="0" applyFill="1" applyBorder="1"/>
    <xf numFmtId="0" fontId="0" fillId="0" borderId="6" xfId="0" applyFill="1" applyBorder="1"/>
    <xf numFmtId="0" fontId="8" fillId="0" borderId="0" xfId="0" applyFont="1" applyFill="1" applyAlignment="1">
      <alignment horizontal="center"/>
    </xf>
    <xf numFmtId="165" fontId="0" fillId="0" borderId="0" xfId="0" applyNumberFormat="1" applyFill="1" applyBorder="1"/>
    <xf numFmtId="44" fontId="0" fillId="0" borderId="0" xfId="0" applyNumberFormat="1" applyFill="1" applyBorder="1"/>
    <xf numFmtId="167" fontId="5" fillId="0" borderId="0" xfId="1" applyNumberFormat="1" applyFont="1" applyFill="1" applyBorder="1" applyAlignment="1">
      <alignment horizontal="center"/>
    </xf>
    <xf numFmtId="44" fontId="20" fillId="0" borderId="0" xfId="0" applyNumberFormat="1" applyFont="1" applyFill="1" applyBorder="1"/>
    <xf numFmtId="9" fontId="6" fillId="0" borderId="0" xfId="2" applyFont="1" applyFill="1" applyBorder="1" applyAlignment="1">
      <alignment horizontal="center"/>
    </xf>
    <xf numFmtId="43" fontId="0" fillId="0" borderId="0" xfId="1" applyFont="1" applyFill="1" applyBorder="1"/>
    <xf numFmtId="0" fontId="39" fillId="0" borderId="0" xfId="0" applyFont="1" applyFill="1"/>
    <xf numFmtId="0" fontId="0" fillId="0" borderId="0" xfId="0" applyFill="1" applyAlignment="1">
      <alignment horizontal="center"/>
    </xf>
    <xf numFmtId="43" fontId="0" fillId="0" borderId="0" xfId="1" applyFont="1" applyFill="1"/>
    <xf numFmtId="0" fontId="7" fillId="0" borderId="0" xfId="8" applyFill="1" applyAlignment="1">
      <alignment horizontal="right"/>
    </xf>
    <xf numFmtId="0" fontId="7" fillId="0" borderId="0" xfId="8" applyFill="1"/>
    <xf numFmtId="6" fontId="40" fillId="0" borderId="6" xfId="0" applyNumberFormat="1" applyFont="1" applyBorder="1" applyAlignment="1">
      <alignment vertical="center" wrapText="1"/>
    </xf>
    <xf numFmtId="43" fontId="6" fillId="38" borderId="2" xfId="1" applyNumberFormat="1" applyFont="1" applyFill="1" applyBorder="1"/>
    <xf numFmtId="44" fontId="0" fillId="0" borderId="46" xfId="0" applyNumberFormat="1" applyBorder="1"/>
    <xf numFmtId="44" fontId="6" fillId="38" borderId="43" xfId="7" applyNumberFormat="1" applyFill="1" applyBorder="1"/>
    <xf numFmtId="44" fontId="0" fillId="0" borderId="0" xfId="11" applyFont="1" applyFill="1"/>
    <xf numFmtId="165" fontId="14" fillId="36" borderId="32" xfId="13" applyNumberFormat="1" applyFill="1" applyBorder="1"/>
    <xf numFmtId="165" fontId="5" fillId="37" borderId="35" xfId="11" applyNumberFormat="1" applyFont="1" applyFill="1" applyBorder="1"/>
    <xf numFmtId="165" fontId="5" fillId="37" borderId="14" xfId="11" applyNumberFormat="1" applyFont="1" applyFill="1" applyBorder="1"/>
    <xf numFmtId="165" fontId="6" fillId="38" borderId="2" xfId="7" applyNumberFormat="1" applyFill="1" applyBorder="1"/>
    <xf numFmtId="0" fontId="8" fillId="0" borderId="0" xfId="0" applyFont="1" applyAlignment="1">
      <alignment horizontal="center"/>
    </xf>
    <xf numFmtId="165" fontId="14" fillId="36" borderId="1" xfId="13" applyNumberFormat="1" applyFill="1" applyBorder="1"/>
    <xf numFmtId="10" fontId="5" fillId="37" borderId="1" xfId="2" applyNumberFormat="1" applyFont="1" applyFill="1" applyBorder="1"/>
    <xf numFmtId="165" fontId="5" fillId="5" borderId="54" xfId="6" applyNumberFormat="1" applyBorder="1"/>
    <xf numFmtId="165" fontId="14" fillId="36" borderId="13" xfId="13" applyNumberFormat="1" applyFill="1" applyBorder="1"/>
    <xf numFmtId="165" fontId="14" fillId="8" borderId="53" xfId="13" applyNumberFormat="1" applyBorder="1"/>
    <xf numFmtId="165" fontId="6" fillId="6" borderId="55" xfId="7" applyNumberFormat="1" applyBorder="1"/>
    <xf numFmtId="165" fontId="0" fillId="0" borderId="48" xfId="0" applyNumberFormat="1" applyFont="1" applyFill="1" applyBorder="1" applyAlignment="1">
      <alignment horizontal="center"/>
    </xf>
    <xf numFmtId="165" fontId="6" fillId="38" borderId="20" xfId="7" applyNumberFormat="1" applyFill="1" applyBorder="1"/>
    <xf numFmtId="44" fontId="0" fillId="0" borderId="9" xfId="11" applyFont="1" applyFill="1" applyBorder="1"/>
    <xf numFmtId="44" fontId="0" fillId="0" borderId="11" xfId="11" applyFont="1" applyFill="1" applyBorder="1"/>
    <xf numFmtId="164" fontId="0" fillId="0" borderId="7" xfId="0" applyNumberFormat="1" applyFill="1" applyBorder="1"/>
    <xf numFmtId="0" fontId="8" fillId="0" borderId="0" xfId="0" applyFont="1" applyFill="1" applyBorder="1"/>
    <xf numFmtId="0" fontId="9" fillId="0" borderId="0" xfId="0" applyFont="1" applyFill="1" applyBorder="1"/>
    <xf numFmtId="165" fontId="6" fillId="0" borderId="0" xfId="7" applyNumberFormat="1" applyFill="1" applyBorder="1"/>
    <xf numFmtId="165" fontId="5" fillId="0" borderId="0" xfId="6" applyNumberFormat="1" applyFill="1" applyBorder="1"/>
    <xf numFmtId="165" fontId="37" fillId="5" borderId="7" xfId="6" applyNumberFormat="1" applyFont="1" applyBorder="1"/>
    <xf numFmtId="165" fontId="37" fillId="0" borderId="12" xfId="6" applyNumberFormat="1" applyFont="1" applyFill="1" applyBorder="1"/>
    <xf numFmtId="165" fontId="5" fillId="0" borderId="42" xfId="6" applyNumberFormat="1" applyFill="1" applyBorder="1"/>
    <xf numFmtId="165" fontId="14" fillId="8" borderId="48" xfId="13" applyNumberFormat="1" applyBorder="1"/>
    <xf numFmtId="174" fontId="10" fillId="7" borderId="6" xfId="0" applyNumberFormat="1" applyFont="1" applyFill="1" applyBorder="1" applyAlignment="1">
      <alignment vertical="center" wrapText="1"/>
    </xf>
    <xf numFmtId="176" fontId="10" fillId="7" borderId="6" xfId="11" applyNumberFormat="1" applyFont="1" applyFill="1" applyBorder="1" applyAlignment="1">
      <alignment vertical="center" wrapText="1"/>
    </xf>
    <xf numFmtId="174" fontId="10" fillId="7" borderId="3" xfId="0" applyNumberFormat="1" applyFont="1" applyFill="1" applyBorder="1" applyAlignment="1">
      <alignment vertical="center" wrapText="1"/>
    </xf>
    <xf numFmtId="5" fontId="41" fillId="0" borderId="6" xfId="0" applyNumberFormat="1" applyFont="1" applyFill="1" applyBorder="1" applyAlignment="1">
      <alignment horizontal="right" vertical="center" wrapText="1"/>
    </xf>
    <xf numFmtId="5" fontId="41" fillId="0" borderId="6" xfId="0" applyNumberFormat="1" applyFont="1" applyBorder="1" applyAlignment="1">
      <alignment horizontal="right" vertical="center" wrapText="1"/>
    </xf>
    <xf numFmtId="176" fontId="41" fillId="7" borderId="6" xfId="11" applyNumberFormat="1" applyFont="1" applyFill="1" applyBorder="1" applyAlignment="1">
      <alignment vertical="center" wrapText="1"/>
    </xf>
    <xf numFmtId="5" fontId="41" fillId="0" borderId="6" xfId="0" applyNumberFormat="1" applyFont="1" applyBorder="1" applyAlignment="1">
      <alignment vertical="center" wrapText="1"/>
    </xf>
    <xf numFmtId="0" fontId="7" fillId="0" borderId="12" xfId="8" applyFill="1" applyBorder="1"/>
    <xf numFmtId="0" fontId="7" fillId="0" borderId="0" xfId="8" applyFill="1" applyBorder="1"/>
    <xf numFmtId="165" fontId="6" fillId="38" borderId="55" xfId="7" applyNumberFormat="1" applyFill="1" applyBorder="1"/>
    <xf numFmtId="165" fontId="14" fillId="40" borderId="1" xfId="13" applyNumberFormat="1" applyFill="1" applyBorder="1" applyAlignment="1">
      <alignment horizontal="left"/>
    </xf>
    <xf numFmtId="165" fontId="14" fillId="40" borderId="1" xfId="13" applyNumberFormat="1" applyFill="1" applyBorder="1"/>
    <xf numFmtId="165" fontId="14" fillId="40" borderId="31" xfId="13" applyNumberFormat="1" applyFill="1" applyBorder="1"/>
    <xf numFmtId="165" fontId="14" fillId="40" borderId="13" xfId="13" applyNumberFormat="1" applyFill="1" applyBorder="1"/>
    <xf numFmtId="165" fontId="5" fillId="41" borderId="32" xfId="11" applyNumberFormat="1" applyFont="1" applyFill="1" applyBorder="1"/>
    <xf numFmtId="166" fontId="8" fillId="0" borderId="0" xfId="0" applyNumberFormat="1" applyFont="1" applyAlignment="1">
      <alignment horizontal="right"/>
    </xf>
    <xf numFmtId="165" fontId="14" fillId="7" borderId="1" xfId="13" applyNumberFormat="1" applyFill="1" applyBorder="1"/>
    <xf numFmtId="44" fontId="0" fillId="0" borderId="12" xfId="0" applyNumberFormat="1" applyFill="1" applyBorder="1"/>
    <xf numFmtId="165" fontId="14" fillId="36" borderId="31" xfId="13" applyNumberFormat="1" applyFill="1" applyBorder="1"/>
    <xf numFmtId="165" fontId="5" fillId="37" borderId="34" xfId="11" applyNumberFormat="1" applyFont="1" applyFill="1" applyBorder="1"/>
    <xf numFmtId="165" fontId="14" fillId="40" borderId="32" xfId="13" applyNumberFormat="1" applyFill="1" applyBorder="1"/>
    <xf numFmtId="0" fontId="8" fillId="0" borderId="0" xfId="0" applyFont="1" applyAlignment="1">
      <alignment horizontal="center"/>
    </xf>
    <xf numFmtId="0" fontId="10" fillId="0" borderId="12" xfId="0" applyFont="1" applyFill="1" applyBorder="1" applyAlignment="1">
      <alignment vertical="center" wrapText="1"/>
    </xf>
    <xf numFmtId="0" fontId="10" fillId="0" borderId="8" xfId="0" applyFont="1" applyFill="1" applyBorder="1" applyAlignment="1">
      <alignment vertical="center" wrapText="1"/>
    </xf>
    <xf numFmtId="5" fontId="0" fillId="0" borderId="0" xfId="0" applyNumberFormat="1" applyFill="1" applyBorder="1"/>
    <xf numFmtId="6" fontId="0" fillId="0" borderId="0" xfId="0" applyNumberFormat="1" applyFill="1" applyBorder="1"/>
    <xf numFmtId="5" fontId="0" fillId="0" borderId="10" xfId="0" applyNumberFormat="1" applyFill="1" applyBorder="1"/>
    <xf numFmtId="0" fontId="8" fillId="0" borderId="11" xfId="0" applyFont="1" applyFill="1" applyBorder="1" applyAlignment="1">
      <alignment horizontal="right"/>
    </xf>
    <xf numFmtId="5" fontId="0" fillId="0" borderId="42" xfId="0" applyNumberFormat="1" applyFill="1" applyBorder="1"/>
    <xf numFmtId="5" fontId="0" fillId="0" borderId="6" xfId="0" applyNumberFormat="1" applyFill="1" applyBorder="1"/>
    <xf numFmtId="175" fontId="42" fillId="0" borderId="0" xfId="0" applyNumberFormat="1" applyFont="1" applyFill="1" applyAlignment="1">
      <alignment horizontal="center"/>
    </xf>
    <xf numFmtId="165" fontId="14" fillId="8" borderId="33" xfId="13" applyNumberFormat="1" applyBorder="1"/>
    <xf numFmtId="169" fontId="0" fillId="0" borderId="36" xfId="2" applyNumberFormat="1" applyFont="1" applyFill="1" applyBorder="1"/>
    <xf numFmtId="165" fontId="21" fillId="0" borderId="9" xfId="6" applyNumberFormat="1" applyFont="1" applyFill="1" applyBorder="1"/>
    <xf numFmtId="0" fontId="0" fillId="0" borderId="8" xfId="0" applyFill="1" applyBorder="1"/>
    <xf numFmtId="164" fontId="0" fillId="0" borderId="8" xfId="0" applyNumberFormat="1" applyFill="1" applyBorder="1"/>
    <xf numFmtId="3" fontId="5" fillId="5" borderId="13" xfId="6" applyNumberFormat="1" applyBorder="1"/>
    <xf numFmtId="44" fontId="0" fillId="0" borderId="10" xfId="0" applyNumberFormat="1" applyBorder="1"/>
    <xf numFmtId="165" fontId="14" fillId="0" borderId="10" xfId="13" applyNumberFormat="1" applyFill="1" applyBorder="1"/>
    <xf numFmtId="165" fontId="5" fillId="5" borderId="13" xfId="6" applyNumberFormat="1" applyBorder="1"/>
    <xf numFmtId="165" fontId="5" fillId="5" borderId="19" xfId="11" applyNumberFormat="1" applyFont="1" applyFill="1" applyBorder="1"/>
    <xf numFmtId="165" fontId="5" fillId="0" borderId="8" xfId="11" applyNumberFormat="1" applyFont="1" applyFill="1" applyBorder="1"/>
    <xf numFmtId="0" fontId="0" fillId="0" borderId="0" xfId="0" applyBorder="1" applyAlignment="1">
      <alignment horizontal="right"/>
    </xf>
    <xf numFmtId="0" fontId="0" fillId="0" borderId="9" xfId="0" applyBorder="1" applyAlignment="1">
      <alignment horizontal="left" indent="1"/>
    </xf>
    <xf numFmtId="0" fontId="0" fillId="0" borderId="11" xfId="0" applyBorder="1" applyAlignment="1">
      <alignment horizontal="left" indent="1"/>
    </xf>
    <xf numFmtId="0" fontId="9" fillId="0" borderId="0" xfId="0" applyFont="1" applyFill="1"/>
    <xf numFmtId="165" fontId="5" fillId="37" borderId="0" xfId="6" applyNumberFormat="1" applyFill="1" applyBorder="1"/>
    <xf numFmtId="165" fontId="37" fillId="37" borderId="46" xfId="6" applyNumberFormat="1" applyFont="1" applyFill="1" applyBorder="1"/>
    <xf numFmtId="165" fontId="5" fillId="37" borderId="42" xfId="6" applyNumberFormat="1" applyFill="1" applyBorder="1"/>
    <xf numFmtId="177" fontId="0" fillId="0" borderId="0" xfId="0" applyNumberFormat="1" applyFill="1"/>
    <xf numFmtId="165" fontId="14" fillId="8" borderId="56" xfId="13" applyNumberFormat="1" applyBorder="1"/>
    <xf numFmtId="165" fontId="5" fillId="5" borderId="1" xfId="6" quotePrefix="1" applyNumberFormat="1" applyBorder="1"/>
    <xf numFmtId="44" fontId="14" fillId="8" borderId="56" xfId="13" applyNumberFormat="1" applyBorder="1"/>
    <xf numFmtId="44" fontId="6" fillId="6" borderId="57" xfId="7" applyNumberFormat="1" applyBorder="1"/>
    <xf numFmtId="44" fontId="6" fillId="6" borderId="58" xfId="7" applyNumberFormat="1" applyBorder="1"/>
    <xf numFmtId="44" fontId="6" fillId="6" borderId="59" xfId="7" applyNumberFormat="1" applyBorder="1"/>
    <xf numFmtId="165" fontId="14" fillId="8" borderId="34" xfId="13" applyNumberFormat="1" applyBorder="1"/>
    <xf numFmtId="165" fontId="14" fillId="8" borderId="14" xfId="13" applyNumberFormat="1" applyBorder="1"/>
    <xf numFmtId="165" fontId="14" fillId="8" borderId="19" xfId="13" applyNumberFormat="1" applyBorder="1"/>
    <xf numFmtId="164" fontId="43" fillId="0" borderId="12" xfId="0" applyNumberFormat="1" applyFont="1" applyFill="1" applyBorder="1"/>
    <xf numFmtId="167" fontId="0" fillId="0" borderId="0" xfId="1" applyNumberFormat="1" applyFont="1" applyFill="1"/>
    <xf numFmtId="165" fontId="44" fillId="36" borderId="53" xfId="6" applyNumberFormat="1" applyFont="1" applyFill="1" applyBorder="1"/>
    <xf numFmtId="165" fontId="37" fillId="37" borderId="0" xfId="6" applyNumberFormat="1" applyFont="1" applyFill="1" applyBorder="1"/>
    <xf numFmtId="165" fontId="8" fillId="0" borderId="0" xfId="0" applyNumberFormat="1" applyFont="1" applyFill="1"/>
    <xf numFmtId="5" fontId="40" fillId="0" borderId="6" xfId="0" applyNumberFormat="1" applyFont="1" applyFill="1" applyBorder="1" applyAlignment="1">
      <alignment horizontal="right" vertical="center" wrapText="1"/>
    </xf>
    <xf numFmtId="5" fontId="40" fillId="0" borderId="6" xfId="0" applyNumberFormat="1" applyFont="1" applyBorder="1" applyAlignment="1">
      <alignment vertical="center" wrapText="1"/>
    </xf>
    <xf numFmtId="5" fontId="40" fillId="0" borderId="6" xfId="0" applyNumberFormat="1" applyFont="1" applyBorder="1" applyAlignment="1">
      <alignment horizontal="right" vertical="center" wrapText="1"/>
    </xf>
    <xf numFmtId="6" fontId="40" fillId="0" borderId="6" xfId="0" applyNumberFormat="1" applyFont="1" applyFill="1" applyBorder="1" applyAlignment="1">
      <alignment horizontal="right" vertical="center" wrapText="1"/>
    </xf>
    <xf numFmtId="6" fontId="40" fillId="0" borderId="6" xfId="0" applyNumberFormat="1" applyFont="1" applyBorder="1" applyAlignment="1">
      <alignment horizontal="right" vertical="center" wrapText="1"/>
    </xf>
    <xf numFmtId="165" fontId="14" fillId="8" borderId="32" xfId="11" applyNumberFormat="1" applyFont="1" applyFill="1" applyBorder="1"/>
    <xf numFmtId="165" fontId="5" fillId="7" borderId="32" xfId="11" applyNumberFormat="1" applyFont="1" applyFill="1" applyBorder="1"/>
    <xf numFmtId="165" fontId="14" fillId="7" borderId="32" xfId="13" applyNumberFormat="1" applyFill="1" applyBorder="1"/>
    <xf numFmtId="165" fontId="14" fillId="39" borderId="32" xfId="13" applyNumberFormat="1" applyFill="1" applyBorder="1"/>
    <xf numFmtId="165" fontId="5" fillId="39" borderId="32" xfId="6" applyNumberFormat="1" applyFill="1" applyBorder="1"/>
    <xf numFmtId="0" fontId="9" fillId="0" borderId="0" xfId="0" applyFont="1" applyAlignment="1">
      <alignment horizontal="left"/>
    </xf>
    <xf numFmtId="0" fontId="8" fillId="0" borderId="0" xfId="0" applyFont="1" applyAlignment="1">
      <alignment horizontal="center"/>
    </xf>
    <xf numFmtId="165" fontId="5" fillId="5" borderId="60" xfId="6" applyNumberFormat="1" applyBorder="1"/>
    <xf numFmtId="44" fontId="14" fillId="8" borderId="13" xfId="13" applyNumberFormat="1" applyBorder="1"/>
    <xf numFmtId="43" fontId="0" fillId="0" borderId="0" xfId="0" applyNumberFormat="1"/>
    <xf numFmtId="0" fontId="20" fillId="0" borderId="0" xfId="0" applyFont="1" applyFill="1" applyBorder="1" applyAlignment="1">
      <alignment wrapText="1"/>
    </xf>
    <xf numFmtId="165" fontId="6" fillId="6" borderId="62" xfId="7" applyNumberFormat="1" applyBorder="1"/>
    <xf numFmtId="165" fontId="5" fillId="5" borderId="56" xfId="6" applyNumberFormat="1" applyBorder="1"/>
    <xf numFmtId="165" fontId="14" fillId="40" borderId="56" xfId="13" applyNumberFormat="1" applyFill="1" applyBorder="1"/>
    <xf numFmtId="165" fontId="5" fillId="0" borderId="10" xfId="11" applyNumberFormat="1" applyFont="1" applyFill="1" applyBorder="1"/>
    <xf numFmtId="165" fontId="14" fillId="8" borderId="63" xfId="13" applyNumberFormat="1" applyBorder="1"/>
    <xf numFmtId="165" fontId="5" fillId="5" borderId="61" xfId="6" applyNumberFormat="1" applyBorder="1"/>
    <xf numFmtId="165" fontId="5" fillId="5" borderId="63" xfId="6" applyNumberFormat="1" applyBorder="1"/>
    <xf numFmtId="165" fontId="5" fillId="5" borderId="14" xfId="6" applyNumberFormat="1" applyBorder="1"/>
    <xf numFmtId="165" fontId="6" fillId="6" borderId="64" xfId="7" applyNumberFormat="1" applyBorder="1"/>
    <xf numFmtId="165" fontId="14" fillId="8" borderId="61" xfId="13" applyNumberFormat="1" applyBorder="1"/>
    <xf numFmtId="44" fontId="14" fillId="40" borderId="1" xfId="13" applyNumberFormat="1" applyFill="1" applyBorder="1"/>
    <xf numFmtId="166" fontId="8" fillId="0" borderId="0" xfId="0" applyNumberFormat="1" applyFont="1" applyFill="1" applyAlignment="1">
      <alignment horizontal="right"/>
    </xf>
    <xf numFmtId="165" fontId="5" fillId="37" borderId="32" xfId="6" applyNumberFormat="1" applyFill="1" applyBorder="1"/>
    <xf numFmtId="176" fontId="40" fillId="7" borderId="6" xfId="11" applyNumberFormat="1" applyFont="1" applyFill="1" applyBorder="1" applyAlignment="1">
      <alignment vertical="center" wrapText="1"/>
    </xf>
    <xf numFmtId="0" fontId="8" fillId="0" borderId="17" xfId="0" applyFont="1" applyBorder="1" applyAlignment="1">
      <alignment horizontal="center"/>
    </xf>
    <xf numFmtId="0" fontId="8" fillId="0" borderId="18" xfId="0" applyFont="1" applyBorder="1" applyAlignment="1">
      <alignment horizontal="center"/>
    </xf>
    <xf numFmtId="0" fontId="8" fillId="0" borderId="4" xfId="0" applyFont="1" applyBorder="1" applyAlignment="1">
      <alignment horizontal="center"/>
    </xf>
    <xf numFmtId="0" fontId="3" fillId="3" borderId="17" xfId="4" applyBorder="1" applyAlignment="1">
      <alignment horizontal="center"/>
    </xf>
    <xf numFmtId="0" fontId="3" fillId="3" borderId="18" xfId="4" applyBorder="1" applyAlignment="1">
      <alignment horizontal="center"/>
    </xf>
    <xf numFmtId="0" fontId="3" fillId="3" borderId="4" xfId="4" applyBorder="1" applyAlignment="1">
      <alignment horizontal="center"/>
    </xf>
    <xf numFmtId="0" fontId="8" fillId="0" borderId="0" xfId="0" applyFont="1" applyAlignment="1">
      <alignment horizontal="center"/>
    </xf>
    <xf numFmtId="0" fontId="8" fillId="0" borderId="7" xfId="0" applyFont="1" applyFill="1" applyBorder="1" applyAlignment="1">
      <alignment horizontal="center"/>
    </xf>
    <xf numFmtId="0" fontId="8" fillId="0" borderId="12" xfId="0" applyFont="1" applyFill="1" applyBorder="1" applyAlignment="1">
      <alignment horizontal="center"/>
    </xf>
    <xf numFmtId="0" fontId="8" fillId="0" borderId="8" xfId="0" applyFont="1" applyFill="1" applyBorder="1" applyAlignment="1">
      <alignment horizontal="center"/>
    </xf>
    <xf numFmtId="0" fontId="3" fillId="3" borderId="7" xfId="4" applyBorder="1" applyAlignment="1">
      <alignment horizontal="center"/>
    </xf>
    <xf numFmtId="0" fontId="3" fillId="3" borderId="12" xfId="4" applyBorder="1" applyAlignment="1">
      <alignment horizontal="center"/>
    </xf>
    <xf numFmtId="0" fontId="3" fillId="3" borderId="8" xfId="4" applyBorder="1" applyAlignment="1">
      <alignment horizontal="center"/>
    </xf>
    <xf numFmtId="0" fontId="8" fillId="36" borderId="0" xfId="0" applyFont="1" applyFill="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30" fillId="0" borderId="29" xfId="0" applyFont="1" applyBorder="1" applyAlignment="1">
      <alignment vertical="center" wrapText="1"/>
    </xf>
    <xf numFmtId="0" fontId="30" fillId="0" borderId="5" xfId="0" applyFont="1" applyBorder="1" applyAlignment="1">
      <alignment vertical="center" wrapText="1"/>
    </xf>
    <xf numFmtId="0" fontId="30" fillId="0" borderId="30" xfId="0" applyFont="1" applyBorder="1" applyAlignment="1">
      <alignment vertical="center" wrapText="1"/>
    </xf>
  </cellXfs>
  <cellStyles count="327">
    <cellStyle name="20% - Accent1" xfId="24" builtinId="30" customBuiltin="1"/>
    <cellStyle name="20% - Accent1 2" xfId="57" xr:uid="{00000000-0005-0000-0000-000001000000}"/>
    <cellStyle name="20% - Accent2" xfId="28" builtinId="34" customBuiltin="1"/>
    <cellStyle name="20% - Accent2 2" xfId="59" xr:uid="{00000000-0005-0000-0000-000003000000}"/>
    <cellStyle name="20% - Accent3" xfId="32" builtinId="38" customBuiltin="1"/>
    <cellStyle name="20% - Accent3 2" xfId="61" xr:uid="{00000000-0005-0000-0000-000005000000}"/>
    <cellStyle name="20% - Accent4" xfId="36" builtinId="42" customBuiltin="1"/>
    <cellStyle name="20% - Accent4 2" xfId="63" xr:uid="{00000000-0005-0000-0000-000007000000}"/>
    <cellStyle name="20% - Accent5" xfId="40" builtinId="46" customBuiltin="1"/>
    <cellStyle name="20% - Accent5 2" xfId="65" xr:uid="{00000000-0005-0000-0000-000009000000}"/>
    <cellStyle name="20% - Accent6" xfId="44" builtinId="50" customBuiltin="1"/>
    <cellStyle name="20% - Accent6 2" xfId="67" xr:uid="{00000000-0005-0000-0000-00000B000000}"/>
    <cellStyle name="40% - Accent1" xfId="25" builtinId="31" customBuiltin="1"/>
    <cellStyle name="40% - Accent1 2" xfId="58" xr:uid="{00000000-0005-0000-0000-00000D000000}"/>
    <cellStyle name="40% - Accent2" xfId="29" builtinId="35" customBuiltin="1"/>
    <cellStyle name="40% - Accent2 2" xfId="60" xr:uid="{00000000-0005-0000-0000-00000F000000}"/>
    <cellStyle name="40% - Accent3" xfId="33" builtinId="39" customBuiltin="1"/>
    <cellStyle name="40% - Accent3 2" xfId="62" xr:uid="{00000000-0005-0000-0000-000011000000}"/>
    <cellStyle name="40% - Accent4" xfId="37" builtinId="43" customBuiltin="1"/>
    <cellStyle name="40% - Accent4 2" xfId="64" xr:uid="{00000000-0005-0000-0000-000013000000}"/>
    <cellStyle name="40% - Accent5" xfId="41" builtinId="47" customBuiltin="1"/>
    <cellStyle name="40% - Accent5 2" xfId="66" xr:uid="{00000000-0005-0000-0000-000015000000}"/>
    <cellStyle name="40% - Accent6" xfId="45" builtinId="51" customBuiltin="1"/>
    <cellStyle name="40% - Accent6 2" xfId="68"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12" xfId="326" xr:uid="{00000000-0005-0000-0000-000028000000}"/>
    <cellStyle name="Comma 2" xfId="71" xr:uid="{00000000-0005-0000-0000-000029000000}"/>
    <cellStyle name="Comma 2 2" xfId="285" xr:uid="{00000000-0005-0000-0000-00002A000000}"/>
    <cellStyle name="Comma 2 2 2" xfId="49" xr:uid="{00000000-0005-0000-0000-00002B000000}"/>
    <cellStyle name="Comma 2 3" xfId="325" xr:uid="{00000000-0005-0000-0000-00002C000000}"/>
    <cellStyle name="Comma 3" xfId="69" xr:uid="{00000000-0005-0000-0000-00002D000000}"/>
    <cellStyle name="Comma 3 2" xfId="9" xr:uid="{00000000-0005-0000-0000-00002E000000}"/>
    <cellStyle name="Comma 3 3" xfId="322" xr:uid="{00000000-0005-0000-0000-00002F000000}"/>
    <cellStyle name="Comma 4" xfId="195" xr:uid="{00000000-0005-0000-0000-000030000000}"/>
    <cellStyle name="Comma 4 2" xfId="321" xr:uid="{00000000-0005-0000-0000-000031000000}"/>
    <cellStyle name="Comma 4 3" xfId="308" xr:uid="{00000000-0005-0000-0000-000032000000}"/>
    <cellStyle name="Comma 5" xfId="55" xr:uid="{00000000-0005-0000-0000-000033000000}"/>
    <cellStyle name="Comma 5 2" xfId="307" xr:uid="{00000000-0005-0000-0000-000034000000}"/>
    <cellStyle name="Comma 6" xfId="312" xr:uid="{00000000-0005-0000-0000-000035000000}"/>
    <cellStyle name="Comma 7" xfId="318" xr:uid="{00000000-0005-0000-0000-000036000000}"/>
    <cellStyle name="Comma 8" xfId="306" xr:uid="{00000000-0005-0000-0000-000037000000}"/>
    <cellStyle name="Comma 9" xfId="311" xr:uid="{00000000-0005-0000-0000-000038000000}"/>
    <cellStyle name="Currency" xfId="11" builtinId="4"/>
    <cellStyle name="Currency [0] 2" xfId="117" xr:uid="{00000000-0005-0000-0000-00003A000000}"/>
    <cellStyle name="Currency [0] 2 2" xfId="206" xr:uid="{00000000-0005-0000-0000-00003B000000}"/>
    <cellStyle name="Currency 10" xfId="196" xr:uid="{00000000-0005-0000-0000-00003C000000}"/>
    <cellStyle name="Currency 11" xfId="115" xr:uid="{00000000-0005-0000-0000-00003D000000}"/>
    <cellStyle name="Currency 12" xfId="200" xr:uid="{00000000-0005-0000-0000-00003E000000}"/>
    <cellStyle name="Currency 13" xfId="53" xr:uid="{00000000-0005-0000-0000-00003F000000}"/>
    <cellStyle name="Currency 13 2" xfId="291" xr:uid="{00000000-0005-0000-0000-000040000000}"/>
    <cellStyle name="Currency 14" xfId="288" xr:uid="{00000000-0005-0000-0000-000041000000}"/>
    <cellStyle name="Currency 15" xfId="292" xr:uid="{00000000-0005-0000-0000-000042000000}"/>
    <cellStyle name="Currency 16" xfId="294" xr:uid="{00000000-0005-0000-0000-000043000000}"/>
    <cellStyle name="Currency 17" xfId="295" xr:uid="{00000000-0005-0000-0000-000044000000}"/>
    <cellStyle name="Currency 18" xfId="296" xr:uid="{00000000-0005-0000-0000-000045000000}"/>
    <cellStyle name="Currency 19" xfId="297" xr:uid="{00000000-0005-0000-0000-000046000000}"/>
    <cellStyle name="Currency 2" xfId="72" xr:uid="{00000000-0005-0000-0000-000047000000}"/>
    <cellStyle name="Currency 2 2" xfId="114" xr:uid="{00000000-0005-0000-0000-000048000000}"/>
    <cellStyle name="Currency 2 2 2" xfId="205" xr:uid="{00000000-0005-0000-0000-000049000000}"/>
    <cellStyle name="Currency 2 3" xfId="283" xr:uid="{00000000-0005-0000-0000-00004A000000}"/>
    <cellStyle name="Currency 20" xfId="298" xr:uid="{00000000-0005-0000-0000-00004B000000}"/>
    <cellStyle name="Currency 21" xfId="299" xr:uid="{00000000-0005-0000-0000-00004C000000}"/>
    <cellStyle name="Currency 22" xfId="300" xr:uid="{00000000-0005-0000-0000-00004D000000}"/>
    <cellStyle name="Currency 23" xfId="320" xr:uid="{00000000-0005-0000-0000-00004E000000}"/>
    <cellStyle name="Currency 3" xfId="70" xr:uid="{00000000-0005-0000-0000-00004F000000}"/>
    <cellStyle name="Currency 3 2" xfId="282" xr:uid="{00000000-0005-0000-0000-000050000000}"/>
    <cellStyle name="Currency 3 3" xfId="316" xr:uid="{00000000-0005-0000-0000-000051000000}"/>
    <cellStyle name="Currency 4" xfId="118" xr:uid="{00000000-0005-0000-0000-000052000000}"/>
    <cellStyle name="Currency 4 2" xfId="207" xr:uid="{00000000-0005-0000-0000-000053000000}"/>
    <cellStyle name="Currency 4 2 2" xfId="47" xr:uid="{00000000-0005-0000-0000-000054000000}"/>
    <cellStyle name="Currency 4 3" xfId="284" xr:uid="{00000000-0005-0000-0000-000055000000}"/>
    <cellStyle name="Currency 5" xfId="119" xr:uid="{00000000-0005-0000-0000-000056000000}"/>
    <cellStyle name="Currency 5 2" xfId="208" xr:uid="{00000000-0005-0000-0000-000057000000}"/>
    <cellStyle name="Currency 6" xfId="120" xr:uid="{00000000-0005-0000-0000-000058000000}"/>
    <cellStyle name="Currency 6 2" xfId="209" xr:uid="{00000000-0005-0000-0000-000059000000}"/>
    <cellStyle name="Currency 7" xfId="121" xr:uid="{00000000-0005-0000-0000-00005A000000}"/>
    <cellStyle name="Currency 7 2" xfId="210" xr:uid="{00000000-0005-0000-0000-00005B000000}"/>
    <cellStyle name="Currency 8" xfId="197" xr:uid="{00000000-0005-0000-0000-00005C000000}"/>
    <cellStyle name="Currency 8 2" xfId="315" xr:uid="{00000000-0005-0000-0000-00005D000000}"/>
    <cellStyle name="Currency 9" xfId="198" xr:uid="{00000000-0005-0000-0000-00005E000000}"/>
    <cellStyle name="Currency 9 2" xfId="313" xr:uid="{00000000-0005-0000-0000-00005F000000}"/>
    <cellStyle name="Data Field" xfId="122" xr:uid="{00000000-0005-0000-0000-000060000000}"/>
    <cellStyle name="Data Field 2" xfId="211" xr:uid="{00000000-0005-0000-0000-000061000000}"/>
    <cellStyle name="Data Name" xfId="123" xr:uid="{00000000-0005-0000-0000-000062000000}"/>
    <cellStyle name="Data Name 2" xfId="212" xr:uid="{00000000-0005-0000-0000-000063000000}"/>
    <cellStyle name="Explanatory Text" xfId="8" builtinId="53" customBuiltin="1"/>
    <cellStyle name="Followed Hyperlink" xfId="290"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9" builtinId="8" customBuiltin="1"/>
    <cellStyle name="Hyperlink 2" xfId="124" xr:uid="{00000000-0005-0000-0000-00006C000000}"/>
    <cellStyle name="Hyperlink 3" xfId="125" xr:uid="{00000000-0005-0000-0000-00006D000000}"/>
    <cellStyle name="Hyperlink 4" xfId="303" xr:uid="{00000000-0005-0000-0000-00006E000000}"/>
    <cellStyle name="Hyperlink 5" xfId="301" xr:uid="{00000000-0005-0000-0000-00006F000000}"/>
    <cellStyle name="Input" xfId="6" builtinId="20" customBuiltin="1"/>
    <cellStyle name="Linked Cell" xfId="15" builtinId="24" customBuiltin="1"/>
    <cellStyle name="Neutral" xfId="5" builtinId="28" customBuiltin="1"/>
    <cellStyle name="Normal" xfId="0" builtinId="0"/>
    <cellStyle name="Normal 10" xfId="126" xr:uid="{00000000-0005-0000-0000-000074000000}"/>
    <cellStyle name="Normal 10 2" xfId="127" xr:uid="{00000000-0005-0000-0000-000075000000}"/>
    <cellStyle name="Normal 10 2 2" xfId="214" xr:uid="{00000000-0005-0000-0000-000076000000}"/>
    <cellStyle name="Normal 10 3" xfId="213" xr:uid="{00000000-0005-0000-0000-000077000000}"/>
    <cellStyle name="Normal 11" xfId="128" xr:uid="{00000000-0005-0000-0000-000078000000}"/>
    <cellStyle name="Normal 11 2" xfId="215" xr:uid="{00000000-0005-0000-0000-000079000000}"/>
    <cellStyle name="Normal 12" xfId="129" xr:uid="{00000000-0005-0000-0000-00007A000000}"/>
    <cellStyle name="Normal 12 2" xfId="216" xr:uid="{00000000-0005-0000-0000-00007B000000}"/>
    <cellStyle name="Normal 13" xfId="130" xr:uid="{00000000-0005-0000-0000-00007C000000}"/>
    <cellStyle name="Normal 13 2" xfId="217" xr:uid="{00000000-0005-0000-0000-00007D000000}"/>
    <cellStyle name="Normal 14" xfId="131" xr:uid="{00000000-0005-0000-0000-00007E000000}"/>
    <cellStyle name="Normal 14 2" xfId="218" xr:uid="{00000000-0005-0000-0000-00007F000000}"/>
    <cellStyle name="Normal 15" xfId="132" xr:uid="{00000000-0005-0000-0000-000080000000}"/>
    <cellStyle name="Normal 16" xfId="133" xr:uid="{00000000-0005-0000-0000-000081000000}"/>
    <cellStyle name="Normal 16 2" xfId="219" xr:uid="{00000000-0005-0000-0000-000082000000}"/>
    <cellStyle name="Normal 17" xfId="51" xr:uid="{00000000-0005-0000-0000-000083000000}"/>
    <cellStyle name="Normal 18" xfId="134" xr:uid="{00000000-0005-0000-0000-000084000000}"/>
    <cellStyle name="Normal 18 2" xfId="220" xr:uid="{00000000-0005-0000-0000-000085000000}"/>
    <cellStyle name="Normal 19" xfId="135" xr:uid="{00000000-0005-0000-0000-000086000000}"/>
    <cellStyle name="Normal 19 2" xfId="221" xr:uid="{00000000-0005-0000-0000-000087000000}"/>
    <cellStyle name="Normal 2" xfId="54" xr:uid="{00000000-0005-0000-0000-000088000000}"/>
    <cellStyle name="Normal 2 2" xfId="74" xr:uid="{00000000-0005-0000-0000-000089000000}"/>
    <cellStyle name="Normal 2 2 10" xfId="317" xr:uid="{00000000-0005-0000-0000-00008A000000}"/>
    <cellStyle name="Normal 2 2 2" xfId="75" xr:uid="{00000000-0005-0000-0000-00008B000000}"/>
    <cellStyle name="Normal 2 2 3" xfId="76" xr:uid="{00000000-0005-0000-0000-00008C000000}"/>
    <cellStyle name="Normal 2 2 4" xfId="77" xr:uid="{00000000-0005-0000-0000-00008D000000}"/>
    <cellStyle name="Normal 2 2 5" xfId="78" xr:uid="{00000000-0005-0000-0000-00008E000000}"/>
    <cellStyle name="Normal 2 2 6" xfId="79" xr:uid="{00000000-0005-0000-0000-00008F000000}"/>
    <cellStyle name="Normal 2 2 7" xfId="80" xr:uid="{00000000-0005-0000-0000-000090000000}"/>
    <cellStyle name="Normal 2 2 8" xfId="81" xr:uid="{00000000-0005-0000-0000-000091000000}"/>
    <cellStyle name="Normal 2 2 9" xfId="82" xr:uid="{00000000-0005-0000-0000-000092000000}"/>
    <cellStyle name="Normal 2 3" xfId="83" xr:uid="{00000000-0005-0000-0000-000093000000}"/>
    <cellStyle name="Normal 2 3 2" xfId="324" xr:uid="{00000000-0005-0000-0000-000094000000}"/>
    <cellStyle name="Normal 2 4" xfId="84" xr:uid="{00000000-0005-0000-0000-000095000000}"/>
    <cellStyle name="Normal 2 4 2" xfId="85" xr:uid="{00000000-0005-0000-0000-000096000000}"/>
    <cellStyle name="Normal 2 5" xfId="113" xr:uid="{00000000-0005-0000-0000-000097000000}"/>
    <cellStyle name="Normal 2 5 2" xfId="204" xr:uid="{00000000-0005-0000-0000-000098000000}"/>
    <cellStyle name="Normal 2 6" xfId="50" xr:uid="{00000000-0005-0000-0000-000099000000}"/>
    <cellStyle name="Normal 2 6 2" xfId="73" xr:uid="{00000000-0005-0000-0000-00009A000000}"/>
    <cellStyle name="Normal 2 7" xfId="302" xr:uid="{00000000-0005-0000-0000-00009B000000}"/>
    <cellStyle name="Normal 26" xfId="109" xr:uid="{00000000-0005-0000-0000-00009C000000}"/>
    <cellStyle name="Normal 26 2" xfId="202" xr:uid="{00000000-0005-0000-0000-00009D000000}"/>
    <cellStyle name="Normal 27" xfId="110" xr:uid="{00000000-0005-0000-0000-00009E000000}"/>
    <cellStyle name="Normal 27 2" xfId="203" xr:uid="{00000000-0005-0000-0000-00009F000000}"/>
    <cellStyle name="Normal 28" xfId="136" xr:uid="{00000000-0005-0000-0000-0000A0000000}"/>
    <cellStyle name="Normal 28 2" xfId="222" xr:uid="{00000000-0005-0000-0000-0000A1000000}"/>
    <cellStyle name="Normal 3" xfId="86" xr:uid="{00000000-0005-0000-0000-0000A2000000}"/>
    <cellStyle name="Normal 3 2" xfId="87" xr:uid="{00000000-0005-0000-0000-0000A3000000}"/>
    <cellStyle name="Normal 3 2 10" xfId="48" xr:uid="{00000000-0005-0000-0000-0000A4000000}"/>
    <cellStyle name="Normal 3 2 2" xfId="88" xr:uid="{00000000-0005-0000-0000-0000A5000000}"/>
    <cellStyle name="Normal 3 2 3" xfId="89" xr:uid="{00000000-0005-0000-0000-0000A6000000}"/>
    <cellStyle name="Normal 3 2 4" xfId="90" xr:uid="{00000000-0005-0000-0000-0000A7000000}"/>
    <cellStyle name="Normal 3 2 5" xfId="91" xr:uid="{00000000-0005-0000-0000-0000A8000000}"/>
    <cellStyle name="Normal 3 2 6" xfId="92" xr:uid="{00000000-0005-0000-0000-0000A9000000}"/>
    <cellStyle name="Normal 3 2 7" xfId="93" xr:uid="{00000000-0005-0000-0000-0000AA000000}"/>
    <cellStyle name="Normal 3 2 8" xfId="94" xr:uid="{00000000-0005-0000-0000-0000AB000000}"/>
    <cellStyle name="Normal 3 2 9" xfId="95" xr:uid="{00000000-0005-0000-0000-0000AC000000}"/>
    <cellStyle name="Normal 3 3" xfId="111" xr:uid="{00000000-0005-0000-0000-0000AD000000}"/>
    <cellStyle name="Normal 3 4" xfId="323" xr:uid="{00000000-0005-0000-0000-0000AE000000}"/>
    <cellStyle name="Normal 3 40" xfId="112" xr:uid="{00000000-0005-0000-0000-0000AF000000}"/>
    <cellStyle name="Normal 33" xfId="280" xr:uid="{00000000-0005-0000-0000-0000B0000000}"/>
    <cellStyle name="Normal 35" xfId="304" xr:uid="{00000000-0005-0000-0000-0000B1000000}"/>
    <cellStyle name="Normal 36" xfId="137" xr:uid="{00000000-0005-0000-0000-0000B2000000}"/>
    <cellStyle name="Normal 36 2" xfId="223" xr:uid="{00000000-0005-0000-0000-0000B3000000}"/>
    <cellStyle name="Normal 37" xfId="138" xr:uid="{00000000-0005-0000-0000-0000B4000000}"/>
    <cellStyle name="Normal 37 2" xfId="224" xr:uid="{00000000-0005-0000-0000-0000B5000000}"/>
    <cellStyle name="Normal 38" xfId="139" xr:uid="{00000000-0005-0000-0000-0000B6000000}"/>
    <cellStyle name="Normal 38 2" xfId="225" xr:uid="{00000000-0005-0000-0000-0000B7000000}"/>
    <cellStyle name="Normal 39" xfId="140" xr:uid="{00000000-0005-0000-0000-0000B8000000}"/>
    <cellStyle name="Normal 39 2" xfId="226" xr:uid="{00000000-0005-0000-0000-0000B9000000}"/>
    <cellStyle name="Normal 4" xfId="10" xr:uid="{00000000-0005-0000-0000-0000BA000000}"/>
    <cellStyle name="Normal 4 2" xfId="97" xr:uid="{00000000-0005-0000-0000-0000BB000000}"/>
    <cellStyle name="Normal 4 3" xfId="96" xr:uid="{00000000-0005-0000-0000-0000BC000000}"/>
    <cellStyle name="Normal 4 4" xfId="281" xr:uid="{00000000-0005-0000-0000-0000BD000000}"/>
    <cellStyle name="Normal 40" xfId="141" xr:uid="{00000000-0005-0000-0000-0000BE000000}"/>
    <cellStyle name="Normal 40 2" xfId="227" xr:uid="{00000000-0005-0000-0000-0000BF000000}"/>
    <cellStyle name="Normal 41" xfId="142" xr:uid="{00000000-0005-0000-0000-0000C0000000}"/>
    <cellStyle name="Normal 41 2" xfId="228" xr:uid="{00000000-0005-0000-0000-0000C1000000}"/>
    <cellStyle name="Normal 42" xfId="143" xr:uid="{00000000-0005-0000-0000-0000C2000000}"/>
    <cellStyle name="Normal 42 2" xfId="229" xr:uid="{00000000-0005-0000-0000-0000C3000000}"/>
    <cellStyle name="Normal 43" xfId="144" xr:uid="{00000000-0005-0000-0000-0000C4000000}"/>
    <cellStyle name="Normal 43 2" xfId="230" xr:uid="{00000000-0005-0000-0000-0000C5000000}"/>
    <cellStyle name="Normal 44" xfId="145" xr:uid="{00000000-0005-0000-0000-0000C6000000}"/>
    <cellStyle name="Normal 44 2" xfId="231" xr:uid="{00000000-0005-0000-0000-0000C7000000}"/>
    <cellStyle name="Normal 45" xfId="146" xr:uid="{00000000-0005-0000-0000-0000C8000000}"/>
    <cellStyle name="Normal 45 2" xfId="232" xr:uid="{00000000-0005-0000-0000-0000C9000000}"/>
    <cellStyle name="Normal 46" xfId="147" xr:uid="{00000000-0005-0000-0000-0000CA000000}"/>
    <cellStyle name="Normal 46 2" xfId="233" xr:uid="{00000000-0005-0000-0000-0000CB000000}"/>
    <cellStyle name="Normal 47" xfId="148" xr:uid="{00000000-0005-0000-0000-0000CC000000}"/>
    <cellStyle name="Normal 47 2" xfId="234" xr:uid="{00000000-0005-0000-0000-0000CD000000}"/>
    <cellStyle name="Normal 48" xfId="149" xr:uid="{00000000-0005-0000-0000-0000CE000000}"/>
    <cellStyle name="Normal 48 2" xfId="235" xr:uid="{00000000-0005-0000-0000-0000CF000000}"/>
    <cellStyle name="Normal 49" xfId="150" xr:uid="{00000000-0005-0000-0000-0000D0000000}"/>
    <cellStyle name="Normal 49 2" xfId="236" xr:uid="{00000000-0005-0000-0000-0000D1000000}"/>
    <cellStyle name="Normal 5" xfId="98" xr:uid="{00000000-0005-0000-0000-0000D2000000}"/>
    <cellStyle name="Normal 5 2" xfId="99" xr:uid="{00000000-0005-0000-0000-0000D3000000}"/>
    <cellStyle name="Normal 5 3" xfId="100" xr:uid="{00000000-0005-0000-0000-0000D4000000}"/>
    <cellStyle name="Normal 5 4" xfId="101" xr:uid="{00000000-0005-0000-0000-0000D5000000}"/>
    <cellStyle name="Normal 5 5" xfId="319" xr:uid="{00000000-0005-0000-0000-0000D6000000}"/>
    <cellStyle name="Normal 50" xfId="151" xr:uid="{00000000-0005-0000-0000-0000D7000000}"/>
    <cellStyle name="Normal 50 2" xfId="237" xr:uid="{00000000-0005-0000-0000-0000D8000000}"/>
    <cellStyle name="Normal 51" xfId="152" xr:uid="{00000000-0005-0000-0000-0000D9000000}"/>
    <cellStyle name="Normal 51 2" xfId="238" xr:uid="{00000000-0005-0000-0000-0000DA000000}"/>
    <cellStyle name="Normal 52" xfId="153" xr:uid="{00000000-0005-0000-0000-0000DB000000}"/>
    <cellStyle name="Normal 52 2" xfId="239" xr:uid="{00000000-0005-0000-0000-0000DC000000}"/>
    <cellStyle name="Normal 53" xfId="154" xr:uid="{00000000-0005-0000-0000-0000DD000000}"/>
    <cellStyle name="Normal 53 2" xfId="240" xr:uid="{00000000-0005-0000-0000-0000DE000000}"/>
    <cellStyle name="Normal 54" xfId="155" xr:uid="{00000000-0005-0000-0000-0000DF000000}"/>
    <cellStyle name="Normal 54 2" xfId="241" xr:uid="{00000000-0005-0000-0000-0000E0000000}"/>
    <cellStyle name="Normal 55" xfId="156" xr:uid="{00000000-0005-0000-0000-0000E1000000}"/>
    <cellStyle name="Normal 55 2" xfId="242" xr:uid="{00000000-0005-0000-0000-0000E2000000}"/>
    <cellStyle name="Normal 56" xfId="157" xr:uid="{00000000-0005-0000-0000-0000E3000000}"/>
    <cellStyle name="Normal 56 2" xfId="243" xr:uid="{00000000-0005-0000-0000-0000E4000000}"/>
    <cellStyle name="Normal 57" xfId="158" xr:uid="{00000000-0005-0000-0000-0000E5000000}"/>
    <cellStyle name="Normal 57 2" xfId="244" xr:uid="{00000000-0005-0000-0000-0000E6000000}"/>
    <cellStyle name="Normal 58" xfId="159" xr:uid="{00000000-0005-0000-0000-0000E7000000}"/>
    <cellStyle name="Normal 58 2" xfId="245" xr:uid="{00000000-0005-0000-0000-0000E8000000}"/>
    <cellStyle name="Normal 59" xfId="160" xr:uid="{00000000-0005-0000-0000-0000E9000000}"/>
    <cellStyle name="Normal 59 2" xfId="246" xr:uid="{00000000-0005-0000-0000-0000EA000000}"/>
    <cellStyle name="Normal 6" xfId="102" xr:uid="{00000000-0005-0000-0000-0000EB000000}"/>
    <cellStyle name="Normal 6 2" xfId="103" xr:uid="{00000000-0005-0000-0000-0000EC000000}"/>
    <cellStyle name="Normal 6 3" xfId="104" xr:uid="{00000000-0005-0000-0000-0000ED000000}"/>
    <cellStyle name="Normal 6 4" xfId="310" xr:uid="{00000000-0005-0000-0000-0000EE000000}"/>
    <cellStyle name="Normal 60" xfId="161" xr:uid="{00000000-0005-0000-0000-0000EF000000}"/>
    <cellStyle name="Normal 60 2" xfId="247" xr:uid="{00000000-0005-0000-0000-0000F0000000}"/>
    <cellStyle name="Normal 61" xfId="162" xr:uid="{00000000-0005-0000-0000-0000F1000000}"/>
    <cellStyle name="Normal 61 2" xfId="248" xr:uid="{00000000-0005-0000-0000-0000F2000000}"/>
    <cellStyle name="Normal 62" xfId="163" xr:uid="{00000000-0005-0000-0000-0000F3000000}"/>
    <cellStyle name="Normal 62 2" xfId="249" xr:uid="{00000000-0005-0000-0000-0000F4000000}"/>
    <cellStyle name="Normal 63" xfId="164" xr:uid="{00000000-0005-0000-0000-0000F5000000}"/>
    <cellStyle name="Normal 63 2" xfId="250" xr:uid="{00000000-0005-0000-0000-0000F6000000}"/>
    <cellStyle name="Normal 64" xfId="165" xr:uid="{00000000-0005-0000-0000-0000F7000000}"/>
    <cellStyle name="Normal 64 2" xfId="251" xr:uid="{00000000-0005-0000-0000-0000F8000000}"/>
    <cellStyle name="Normal 65" xfId="166" xr:uid="{00000000-0005-0000-0000-0000F9000000}"/>
    <cellStyle name="Normal 65 2" xfId="252" xr:uid="{00000000-0005-0000-0000-0000FA000000}"/>
    <cellStyle name="Normal 66" xfId="167" xr:uid="{00000000-0005-0000-0000-0000FB000000}"/>
    <cellStyle name="Normal 66 2" xfId="253" xr:uid="{00000000-0005-0000-0000-0000FC000000}"/>
    <cellStyle name="Normal 67" xfId="168" xr:uid="{00000000-0005-0000-0000-0000FD000000}"/>
    <cellStyle name="Normal 67 2" xfId="254" xr:uid="{00000000-0005-0000-0000-0000FE000000}"/>
    <cellStyle name="Normal 69" xfId="169" xr:uid="{00000000-0005-0000-0000-0000FF000000}"/>
    <cellStyle name="Normal 69 2" xfId="255" xr:uid="{00000000-0005-0000-0000-000000010000}"/>
    <cellStyle name="Normal 7" xfId="105" xr:uid="{00000000-0005-0000-0000-000001010000}"/>
    <cellStyle name="Normal 7 2" xfId="309" xr:uid="{00000000-0005-0000-0000-000002010000}"/>
    <cellStyle name="Normal 70" xfId="170" xr:uid="{00000000-0005-0000-0000-000003010000}"/>
    <cellStyle name="Normal 70 2" xfId="256" xr:uid="{00000000-0005-0000-0000-000004010000}"/>
    <cellStyle name="Normal 71" xfId="171" xr:uid="{00000000-0005-0000-0000-000005010000}"/>
    <cellStyle name="Normal 71 2" xfId="257" xr:uid="{00000000-0005-0000-0000-000006010000}"/>
    <cellStyle name="Normal 72" xfId="172" xr:uid="{00000000-0005-0000-0000-000007010000}"/>
    <cellStyle name="Normal 72 2" xfId="258" xr:uid="{00000000-0005-0000-0000-000008010000}"/>
    <cellStyle name="Normal 73" xfId="173" xr:uid="{00000000-0005-0000-0000-000009010000}"/>
    <cellStyle name="Normal 73 2" xfId="259" xr:uid="{00000000-0005-0000-0000-00000A010000}"/>
    <cellStyle name="Normal 74" xfId="174" xr:uid="{00000000-0005-0000-0000-00000B010000}"/>
    <cellStyle name="Normal 74 2" xfId="260" xr:uid="{00000000-0005-0000-0000-00000C010000}"/>
    <cellStyle name="Normal 75" xfId="175" xr:uid="{00000000-0005-0000-0000-00000D010000}"/>
    <cellStyle name="Normal 75 2" xfId="261" xr:uid="{00000000-0005-0000-0000-00000E010000}"/>
    <cellStyle name="Normal 76" xfId="176" xr:uid="{00000000-0005-0000-0000-00000F010000}"/>
    <cellStyle name="Normal 76 2" xfId="262" xr:uid="{00000000-0005-0000-0000-000010010000}"/>
    <cellStyle name="Normal 77" xfId="177" xr:uid="{00000000-0005-0000-0000-000011010000}"/>
    <cellStyle name="Normal 77 2" xfId="263" xr:uid="{00000000-0005-0000-0000-000012010000}"/>
    <cellStyle name="Normal 78" xfId="178" xr:uid="{00000000-0005-0000-0000-000013010000}"/>
    <cellStyle name="Normal 78 2" xfId="264" xr:uid="{00000000-0005-0000-0000-000014010000}"/>
    <cellStyle name="Normal 79" xfId="179" xr:uid="{00000000-0005-0000-0000-000015010000}"/>
    <cellStyle name="Normal 79 2" xfId="265" xr:uid="{00000000-0005-0000-0000-000016010000}"/>
    <cellStyle name="Normal 8" xfId="106" xr:uid="{00000000-0005-0000-0000-000017010000}"/>
    <cellStyle name="Normal 80" xfId="180" xr:uid="{00000000-0005-0000-0000-000018010000}"/>
    <cellStyle name="Normal 80 2" xfId="266" xr:uid="{00000000-0005-0000-0000-000019010000}"/>
    <cellStyle name="Normal 81" xfId="181" xr:uid="{00000000-0005-0000-0000-00001A010000}"/>
    <cellStyle name="Normal 81 2" xfId="267" xr:uid="{00000000-0005-0000-0000-00001B010000}"/>
    <cellStyle name="Normal 82" xfId="182" xr:uid="{00000000-0005-0000-0000-00001C010000}"/>
    <cellStyle name="Normal 82 2" xfId="268" xr:uid="{00000000-0005-0000-0000-00001D010000}"/>
    <cellStyle name="Normal 83" xfId="183" xr:uid="{00000000-0005-0000-0000-00001E010000}"/>
    <cellStyle name="Normal 83 2" xfId="269" xr:uid="{00000000-0005-0000-0000-00001F010000}"/>
    <cellStyle name="Normal 84" xfId="184" xr:uid="{00000000-0005-0000-0000-000020010000}"/>
    <cellStyle name="Normal 84 2" xfId="270" xr:uid="{00000000-0005-0000-0000-000021010000}"/>
    <cellStyle name="Normal 85" xfId="185" xr:uid="{00000000-0005-0000-0000-000022010000}"/>
    <cellStyle name="Normal 85 2" xfId="271" xr:uid="{00000000-0005-0000-0000-000023010000}"/>
    <cellStyle name="Normal 86" xfId="186" xr:uid="{00000000-0005-0000-0000-000024010000}"/>
    <cellStyle name="Normal 86 2" xfId="272" xr:uid="{00000000-0005-0000-0000-000025010000}"/>
    <cellStyle name="Normal 87" xfId="187" xr:uid="{00000000-0005-0000-0000-000026010000}"/>
    <cellStyle name="Normal 87 2" xfId="273" xr:uid="{00000000-0005-0000-0000-000027010000}"/>
    <cellStyle name="Normal 9" xfId="107" xr:uid="{00000000-0005-0000-0000-000028010000}"/>
    <cellStyle name="Normal 9 2" xfId="108" xr:uid="{00000000-0005-0000-0000-000029010000}"/>
    <cellStyle name="Normal 9 2 2" xfId="201" xr:uid="{00000000-0005-0000-0000-00002A010000}"/>
    <cellStyle name="Note" xfId="14" builtinId="10" customBuiltin="1"/>
    <cellStyle name="Note 2" xfId="56" xr:uid="{00000000-0005-0000-0000-00002C010000}"/>
    <cellStyle name="Output" xfId="12" builtinId="21" customBuiltin="1"/>
    <cellStyle name="Percent" xfId="2" builtinId="5"/>
    <cellStyle name="Percent 10" xfId="116" xr:uid="{00000000-0005-0000-0000-00002F010000}"/>
    <cellStyle name="Percent 11" xfId="52" xr:uid="{00000000-0005-0000-0000-000030010000}"/>
    <cellStyle name="Percent 11 2" xfId="293" xr:uid="{00000000-0005-0000-0000-000031010000}"/>
    <cellStyle name="Percent 2" xfId="188" xr:uid="{00000000-0005-0000-0000-000032010000}"/>
    <cellStyle name="Percent 2 2" xfId="274" xr:uid="{00000000-0005-0000-0000-000033010000}"/>
    <cellStyle name="Percent 3" xfId="189" xr:uid="{00000000-0005-0000-0000-000034010000}"/>
    <cellStyle name="Percent 3 2" xfId="275" xr:uid="{00000000-0005-0000-0000-000035010000}"/>
    <cellStyle name="Percent 3 3" xfId="286" xr:uid="{00000000-0005-0000-0000-000036010000}"/>
    <cellStyle name="Percent 3 4" xfId="314" xr:uid="{00000000-0005-0000-0000-000037010000}"/>
    <cellStyle name="Percent 4" xfId="190" xr:uid="{00000000-0005-0000-0000-000038010000}"/>
    <cellStyle name="Percent 4 2" xfId="276" xr:uid="{00000000-0005-0000-0000-000039010000}"/>
    <cellStyle name="Percent 4 3" xfId="287" xr:uid="{00000000-0005-0000-0000-00003A010000}"/>
    <cellStyle name="Percent 5" xfId="191" xr:uid="{00000000-0005-0000-0000-00003B010000}"/>
    <cellStyle name="Percent 5 2" xfId="277" xr:uid="{00000000-0005-0000-0000-00003C010000}"/>
    <cellStyle name="Percent 6" xfId="192" xr:uid="{00000000-0005-0000-0000-00003D010000}"/>
    <cellStyle name="Percent 6 2" xfId="278" xr:uid="{00000000-0005-0000-0000-00003E010000}"/>
    <cellStyle name="Percent 7" xfId="193" xr:uid="{00000000-0005-0000-0000-00003F010000}"/>
    <cellStyle name="Percent 7 2" xfId="305" xr:uid="{00000000-0005-0000-0000-000040010000}"/>
    <cellStyle name="Percent 8" xfId="194" xr:uid="{00000000-0005-0000-0000-000041010000}"/>
    <cellStyle name="Percent 8 2" xfId="279" xr:uid="{00000000-0005-0000-0000-000042010000}"/>
    <cellStyle name="Percent 9" xfId="199" xr:uid="{00000000-0005-0000-0000-000043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Rider%20EEIC%20(MEEIA)\MEEIA%20rate%20filings\Nov%202022%20filing\workpapers\AML4%20-%20MEEIA%20Rider%20Calcs%20November%202022%20-%20Sup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ider%20EEIC%20(MEEIA)\MEEIA%20rate%20filings\Nov%202022%20filing\workpapers\AML3%20-%20MEEIA%20over%20under%20calculations%20Nov%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C.1, PCR.2F, EO.3"/>
      <sheetName val="PPC.2, PCR.1F"/>
      <sheetName val="PPC.3, PCR.2"/>
      <sheetName val="PCR.1 (M2)"/>
      <sheetName val="PCR.1A (M2)"/>
      <sheetName val="PCR.1 (M3)"/>
      <sheetName val="PCR1.A (M3)"/>
      <sheetName val="PCR1.B (M3)"/>
      <sheetName val="PCR.3 (M2)"/>
      <sheetName val="PCR.3 (M3)"/>
      <sheetName val="PCR.4 (M2)"/>
      <sheetName val="PCR.4 (M3)"/>
      <sheetName val="PCR.5 (M2)"/>
      <sheetName val="PCR.5 (M3)"/>
      <sheetName val="PCR.5F"/>
      <sheetName val="PCR.6, TDR.5, EOR.5, OAR.5"/>
      <sheetName val="PTD.1, TDR.1, &amp; TDR.1F"/>
      <sheetName val="TDR.2 (M2)"/>
      <sheetName val="TDR.2 (M3)"/>
      <sheetName val="TDR.3 (M2)"/>
      <sheetName val="TDR.3 (M3)"/>
      <sheetName val="TDR.4 (M2)"/>
      <sheetName val="TDR.4 (M3)"/>
      <sheetName val="TDR.4F"/>
      <sheetName val="EO.1"/>
      <sheetName val="EO.2"/>
      <sheetName val="EOR.1F, EOR.1"/>
      <sheetName val="EOR.2 (M2)"/>
      <sheetName val="EOR.2 (M3)"/>
      <sheetName val="EOR.3 (M2)"/>
      <sheetName val="EOR.3 (M3)"/>
      <sheetName val="EOR.4 (M2)"/>
      <sheetName val="EOR.4 (M3)"/>
      <sheetName val="EOR.4F"/>
      <sheetName val="OAR.1 (M2)"/>
      <sheetName val="OAR.1A (M3)"/>
      <sheetName val="OAR.1B (M3)"/>
      <sheetName val="OAR.1C (M3)"/>
      <sheetName val="OAR.2 (M2)"/>
      <sheetName val="OAR.2 (M3)"/>
      <sheetName val="OAR.3 (M2)"/>
      <sheetName val="OAR.3A (M2)"/>
      <sheetName val="OAR.3 (M3)"/>
      <sheetName val="OAR.4 (M2)"/>
      <sheetName val="OAR.4 (M3)"/>
      <sheetName val="OAR.4F"/>
    </sheetNames>
    <sheetDataSet>
      <sheetData sheetId="0">
        <row r="27">
          <cell r="B27">
            <v>823809710.89954734</v>
          </cell>
          <cell r="Q27">
            <v>12916858435.280331</v>
          </cell>
          <cell r="R27">
            <v>12916858435.280331</v>
          </cell>
        </row>
        <row r="28">
          <cell r="Q28">
            <v>3015420391.7946997</v>
          </cell>
          <cell r="R28">
            <v>3015420391.7946997</v>
          </cell>
        </row>
        <row r="29">
          <cell r="Q29">
            <v>6710766435.5801058</v>
          </cell>
          <cell r="R29">
            <v>6710766435.5801058</v>
          </cell>
        </row>
        <row r="30">
          <cell r="Q30">
            <v>2808126985.1604629</v>
          </cell>
          <cell r="R30">
            <v>2808126985.1604629</v>
          </cell>
        </row>
        <row r="31">
          <cell r="Q31">
            <v>1103283414.1067083</v>
          </cell>
          <cell r="R31">
            <v>1103283414.1067083</v>
          </cell>
        </row>
      </sheetData>
      <sheetData sheetId="1">
        <row r="21">
          <cell r="G21">
            <v>27961839.058357261</v>
          </cell>
        </row>
        <row r="22">
          <cell r="G22">
            <v>31779101</v>
          </cell>
        </row>
        <row r="23">
          <cell r="G23">
            <v>13840634.978102429</v>
          </cell>
        </row>
        <row r="24">
          <cell r="G24">
            <v>423000</v>
          </cell>
        </row>
        <row r="28">
          <cell r="H28">
            <v>2017933.2231788852</v>
          </cell>
          <cell r="I28">
            <v>2624844.3311590743</v>
          </cell>
          <cell r="J28">
            <v>1081359.0199577454</v>
          </cell>
        </row>
        <row r="29">
          <cell r="H29">
            <v>6108606.2395446151</v>
          </cell>
          <cell r="I29">
            <v>11408383.603662018</v>
          </cell>
          <cell r="J29">
            <v>1999383.7939453251</v>
          </cell>
        </row>
        <row r="30">
          <cell r="H30">
            <v>1490993.8051092124</v>
          </cell>
          <cell r="I30">
            <v>2865835.4793320289</v>
          </cell>
          <cell r="J30">
            <v>381548.29091454402</v>
          </cell>
        </row>
        <row r="31">
          <cell r="H31">
            <v>107931.25</v>
          </cell>
          <cell r="I31">
            <v>206921.25</v>
          </cell>
          <cell r="J31">
            <v>31083.333333333332</v>
          </cell>
        </row>
      </sheetData>
      <sheetData sheetId="2">
        <row r="30">
          <cell r="AJ30">
            <v>1263779046</v>
          </cell>
          <cell r="AK30">
            <v>1395672993</v>
          </cell>
          <cell r="AL30">
            <v>1407530571</v>
          </cell>
          <cell r="AM30">
            <v>1268128455</v>
          </cell>
          <cell r="AN30">
            <v>872933544</v>
          </cell>
          <cell r="AO30">
            <v>738196558</v>
          </cell>
          <cell r="AP30">
            <v>978975302</v>
          </cell>
          <cell r="AQ30">
            <v>1243909773</v>
          </cell>
          <cell r="AR30">
            <v>1310015315</v>
          </cell>
          <cell r="AS30">
            <v>1208033233</v>
          </cell>
          <cell r="AT30">
            <v>993546162</v>
          </cell>
          <cell r="AU30">
            <v>897156231</v>
          </cell>
          <cell r="AV30">
            <v>1208147189</v>
          </cell>
          <cell r="AW30">
            <v>1334184680</v>
          </cell>
          <cell r="AX30">
            <v>1302694951</v>
          </cell>
          <cell r="AY30">
            <v>1123586700</v>
          </cell>
          <cell r="AZ30">
            <v>886578697</v>
          </cell>
          <cell r="BA30">
            <v>790098101</v>
          </cell>
          <cell r="BB30">
            <v>1041013964</v>
          </cell>
          <cell r="BC30">
            <v>1397050553</v>
          </cell>
          <cell r="BD30">
            <v>1310723723</v>
          </cell>
          <cell r="BE30">
            <v>1275164339</v>
          </cell>
          <cell r="BF30">
            <v>800796996</v>
          </cell>
          <cell r="BG30">
            <v>856955103</v>
          </cell>
          <cell r="BH30">
            <v>1137867523</v>
          </cell>
          <cell r="BI30">
            <v>1482496943</v>
          </cell>
          <cell r="BJ30">
            <v>1507047480</v>
          </cell>
          <cell r="BK30">
            <v>1193201650</v>
          </cell>
          <cell r="BL30">
            <v>803567941</v>
          </cell>
          <cell r="BM30">
            <v>753161249</v>
          </cell>
          <cell r="BN30">
            <v>1061485022</v>
          </cell>
          <cell r="BO30">
            <v>1299384453</v>
          </cell>
          <cell r="BP30">
            <v>1325635096</v>
          </cell>
          <cell r="BQ30">
            <v>1302322503</v>
          </cell>
          <cell r="BR30">
            <v>902367562</v>
          </cell>
          <cell r="BS30">
            <v>616534565.60039997</v>
          </cell>
          <cell r="BT30">
            <v>621003419.78059995</v>
          </cell>
          <cell r="BU30">
            <v>656971283.38569999</v>
          </cell>
          <cell r="BV30">
            <v>646272651.48329997</v>
          </cell>
          <cell r="BW30">
            <v>615981334.59430003</v>
          </cell>
          <cell r="BX30">
            <v>577077250.67460001</v>
          </cell>
          <cell r="BY30">
            <v>787949883.91209996</v>
          </cell>
          <cell r="BZ30">
            <v>1060197293</v>
          </cell>
          <cell r="CA30">
            <v>1457350528</v>
          </cell>
          <cell r="CB30">
            <v>1390553772</v>
          </cell>
          <cell r="CC30">
            <v>1159635260</v>
          </cell>
          <cell r="CD30">
            <v>837049627</v>
          </cell>
        </row>
        <row r="31">
          <cell r="AJ31">
            <v>291652347</v>
          </cell>
          <cell r="AK31">
            <v>307968093</v>
          </cell>
          <cell r="AL31">
            <v>308068267</v>
          </cell>
          <cell r="AM31">
            <v>290178959</v>
          </cell>
          <cell r="AN31">
            <v>235096003</v>
          </cell>
          <cell r="AO31">
            <v>221772499</v>
          </cell>
          <cell r="AP31">
            <v>258735845</v>
          </cell>
          <cell r="AQ31">
            <v>295975497</v>
          </cell>
          <cell r="AR31">
            <v>304175879</v>
          </cell>
          <cell r="AS31">
            <v>293549572</v>
          </cell>
          <cell r="AT31">
            <v>264736629</v>
          </cell>
          <cell r="AU31">
            <v>237145043</v>
          </cell>
          <cell r="AV31">
            <v>278572550</v>
          </cell>
          <cell r="AW31">
            <v>297050898</v>
          </cell>
          <cell r="AX31">
            <v>290934660</v>
          </cell>
          <cell r="AY31">
            <v>265078600</v>
          </cell>
          <cell r="AZ31">
            <v>203506574</v>
          </cell>
          <cell r="BA31">
            <v>184563246</v>
          </cell>
          <cell r="BB31">
            <v>231230759</v>
          </cell>
          <cell r="BC31">
            <v>288425422</v>
          </cell>
          <cell r="BD31">
            <v>281389691</v>
          </cell>
          <cell r="BE31">
            <v>269111017</v>
          </cell>
          <cell r="BF31">
            <v>218212399</v>
          </cell>
          <cell r="BG31">
            <v>218068919</v>
          </cell>
          <cell r="BH31">
            <v>251883126</v>
          </cell>
          <cell r="BI31">
            <v>300425840</v>
          </cell>
          <cell r="BJ31">
            <v>303577891</v>
          </cell>
          <cell r="BK31">
            <v>265359424</v>
          </cell>
          <cell r="BL31">
            <v>211100441</v>
          </cell>
          <cell r="BM31">
            <v>205986967</v>
          </cell>
          <cell r="BN31">
            <v>264522271</v>
          </cell>
          <cell r="BO31">
            <v>291815734</v>
          </cell>
          <cell r="BP31">
            <v>291413887</v>
          </cell>
          <cell r="BQ31">
            <v>294374400</v>
          </cell>
          <cell r="BR31">
            <v>245524134</v>
          </cell>
          <cell r="BS31">
            <v>219607159</v>
          </cell>
          <cell r="BT31">
            <v>250528302</v>
          </cell>
          <cell r="BU31">
            <v>295412831</v>
          </cell>
          <cell r="BV31">
            <v>301068791</v>
          </cell>
          <cell r="BW31">
            <v>261058604</v>
          </cell>
          <cell r="BX31">
            <v>230949228</v>
          </cell>
          <cell r="BY31">
            <v>223998788</v>
          </cell>
          <cell r="BZ31">
            <v>260692423</v>
          </cell>
          <cell r="CA31">
            <v>312328749</v>
          </cell>
          <cell r="CB31">
            <v>305346654</v>
          </cell>
          <cell r="CC31">
            <v>279929276</v>
          </cell>
          <cell r="CD31">
            <v>230143220</v>
          </cell>
        </row>
        <row r="32">
          <cell r="AJ32">
            <v>635010680</v>
          </cell>
          <cell r="AK32">
            <v>645753087</v>
          </cell>
          <cell r="AL32">
            <v>624256369</v>
          </cell>
          <cell r="AM32">
            <v>599641261</v>
          </cell>
          <cell r="AN32">
            <v>546450417</v>
          </cell>
          <cell r="AO32">
            <v>548775486</v>
          </cell>
          <cell r="AP32">
            <v>609609142</v>
          </cell>
          <cell r="AQ32">
            <v>656813642</v>
          </cell>
          <cell r="AR32">
            <v>671886437</v>
          </cell>
          <cell r="AS32">
            <v>678219627</v>
          </cell>
          <cell r="AT32">
            <v>622550219</v>
          </cell>
          <cell r="AU32">
            <v>549600433</v>
          </cell>
          <cell r="AV32">
            <v>596432225</v>
          </cell>
          <cell r="AW32">
            <v>616923082</v>
          </cell>
          <cell r="AX32">
            <v>599527620</v>
          </cell>
          <cell r="AY32">
            <v>566693954</v>
          </cell>
          <cell r="AZ32">
            <v>483801855</v>
          </cell>
          <cell r="BA32">
            <v>451939609</v>
          </cell>
          <cell r="BB32">
            <v>534583835</v>
          </cell>
          <cell r="BC32">
            <v>624356693</v>
          </cell>
          <cell r="BD32">
            <v>621885740</v>
          </cell>
          <cell r="BE32">
            <v>619148163</v>
          </cell>
          <cell r="BF32">
            <v>528448107.69999999</v>
          </cell>
          <cell r="BG32">
            <v>514648084</v>
          </cell>
          <cell r="BH32">
            <v>553120787</v>
          </cell>
          <cell r="BI32">
            <v>592823385</v>
          </cell>
          <cell r="BJ32">
            <v>585712392</v>
          </cell>
          <cell r="BK32">
            <v>543642088</v>
          </cell>
          <cell r="BL32">
            <v>483262229</v>
          </cell>
          <cell r="BM32">
            <v>492375125.19999999</v>
          </cell>
          <cell r="BN32">
            <v>586671915</v>
          </cell>
          <cell r="BO32">
            <v>641235470</v>
          </cell>
          <cell r="BP32">
            <v>634777638</v>
          </cell>
          <cell r="BQ32">
            <v>647017474</v>
          </cell>
          <cell r="BR32">
            <v>568724491</v>
          </cell>
          <cell r="BS32">
            <v>505304455</v>
          </cell>
          <cell r="BT32">
            <v>552284069</v>
          </cell>
          <cell r="BU32">
            <v>590858313</v>
          </cell>
          <cell r="BV32">
            <v>582248455</v>
          </cell>
          <cell r="BW32">
            <v>534070902</v>
          </cell>
          <cell r="BX32">
            <v>506459043</v>
          </cell>
          <cell r="BY32">
            <v>516003997</v>
          </cell>
          <cell r="BZ32">
            <v>579943536</v>
          </cell>
          <cell r="CA32">
            <v>650768443</v>
          </cell>
          <cell r="CB32">
            <v>645110540</v>
          </cell>
          <cell r="CC32">
            <v>617464584</v>
          </cell>
          <cell r="CD32">
            <v>530232061</v>
          </cell>
        </row>
        <row r="33">
          <cell r="AJ33">
            <v>291933586</v>
          </cell>
          <cell r="AK33">
            <v>252980562</v>
          </cell>
          <cell r="AL33">
            <v>248710812</v>
          </cell>
          <cell r="AM33">
            <v>242499726</v>
          </cell>
          <cell r="AN33">
            <v>232539680</v>
          </cell>
          <cell r="AO33">
            <v>229224298</v>
          </cell>
          <cell r="AP33">
            <v>266349220</v>
          </cell>
          <cell r="AQ33">
            <v>267674678</v>
          </cell>
          <cell r="AR33">
            <v>281003685</v>
          </cell>
          <cell r="AS33">
            <v>279302255</v>
          </cell>
          <cell r="AT33">
            <v>258807768</v>
          </cell>
          <cell r="AU33">
            <v>239334214</v>
          </cell>
          <cell r="AV33">
            <v>241025466</v>
          </cell>
          <cell r="AW33">
            <v>247898204</v>
          </cell>
          <cell r="AX33">
            <v>255420215</v>
          </cell>
          <cell r="AY33">
            <v>225135566</v>
          </cell>
          <cell r="AZ33">
            <v>219961316</v>
          </cell>
          <cell r="BA33">
            <v>207074154</v>
          </cell>
          <cell r="BB33">
            <v>241165089</v>
          </cell>
          <cell r="BC33">
            <v>253833450</v>
          </cell>
          <cell r="BD33">
            <v>266058831</v>
          </cell>
          <cell r="BE33">
            <v>266126792</v>
          </cell>
          <cell r="BF33">
            <v>236673642.40000001</v>
          </cell>
          <cell r="BG33">
            <v>234876378</v>
          </cell>
          <cell r="BH33">
            <v>245759481</v>
          </cell>
          <cell r="BI33">
            <v>241302585</v>
          </cell>
          <cell r="BJ33">
            <v>254211213</v>
          </cell>
          <cell r="BK33">
            <v>216207694</v>
          </cell>
          <cell r="BL33">
            <v>214809052</v>
          </cell>
          <cell r="BM33">
            <v>221576502.5</v>
          </cell>
          <cell r="BN33">
            <v>232417188</v>
          </cell>
          <cell r="BO33">
            <v>286577542</v>
          </cell>
          <cell r="BP33">
            <v>263115351</v>
          </cell>
          <cell r="BQ33">
            <v>266455046</v>
          </cell>
          <cell r="BR33">
            <v>230080105</v>
          </cell>
          <cell r="BS33">
            <v>200697530</v>
          </cell>
          <cell r="BT33">
            <v>263803028</v>
          </cell>
          <cell r="BU33">
            <v>254759231</v>
          </cell>
          <cell r="BV33">
            <v>236605471</v>
          </cell>
          <cell r="BW33">
            <v>220600472</v>
          </cell>
          <cell r="BX33">
            <v>227017145</v>
          </cell>
          <cell r="BY33">
            <v>225997805</v>
          </cell>
          <cell r="BZ33">
            <v>251076328</v>
          </cell>
          <cell r="CA33">
            <v>267504084</v>
          </cell>
          <cell r="CB33">
            <v>272015339</v>
          </cell>
          <cell r="CC33">
            <v>258297228</v>
          </cell>
          <cell r="CD33">
            <v>229178636</v>
          </cell>
        </row>
        <row r="34">
          <cell r="AJ34">
            <v>135972391</v>
          </cell>
          <cell r="AK34">
            <v>101960146</v>
          </cell>
          <cell r="AL34">
            <v>96075286</v>
          </cell>
          <cell r="AM34">
            <v>99309923</v>
          </cell>
          <cell r="AN34">
            <v>98876748</v>
          </cell>
          <cell r="AO34">
            <v>96480454</v>
          </cell>
          <cell r="AP34">
            <v>121526151</v>
          </cell>
          <cell r="AQ34">
            <v>113123855</v>
          </cell>
          <cell r="AR34">
            <v>125262874</v>
          </cell>
          <cell r="AS34">
            <v>126945040</v>
          </cell>
          <cell r="AT34">
            <v>119752379</v>
          </cell>
          <cell r="AU34">
            <v>106348532</v>
          </cell>
          <cell r="AV34">
            <v>100067076</v>
          </cell>
          <cell r="AW34">
            <v>105899561</v>
          </cell>
          <cell r="AX34">
            <v>111203176</v>
          </cell>
          <cell r="AY34">
            <v>86704807</v>
          </cell>
          <cell r="AZ34">
            <v>92097434</v>
          </cell>
          <cell r="BA34">
            <v>93506334</v>
          </cell>
          <cell r="BB34">
            <v>92139707</v>
          </cell>
          <cell r="BC34">
            <v>105110654</v>
          </cell>
          <cell r="BD34">
            <v>108265948</v>
          </cell>
          <cell r="BE34">
            <v>109806573</v>
          </cell>
          <cell r="BF34">
            <v>96724322.099999994</v>
          </cell>
          <cell r="BG34">
            <v>94866307</v>
          </cell>
          <cell r="BH34">
            <v>96874394</v>
          </cell>
          <cell r="BI34">
            <v>84244327</v>
          </cell>
          <cell r="BJ34">
            <v>112346620</v>
          </cell>
          <cell r="BK34">
            <v>50801494</v>
          </cell>
          <cell r="BL34">
            <v>85186767</v>
          </cell>
          <cell r="BM34">
            <v>94290468.700000003</v>
          </cell>
          <cell r="BN34">
            <v>96665030</v>
          </cell>
          <cell r="BO34">
            <v>111403127</v>
          </cell>
          <cell r="BP34">
            <v>106051211</v>
          </cell>
          <cell r="BQ34">
            <v>114673513</v>
          </cell>
          <cell r="BR34">
            <v>105106440</v>
          </cell>
          <cell r="BS34">
            <v>69778498</v>
          </cell>
          <cell r="BT34">
            <v>110311543</v>
          </cell>
          <cell r="BU34">
            <v>91160220</v>
          </cell>
          <cell r="BV34">
            <v>84926008</v>
          </cell>
          <cell r="BW34">
            <v>81012090</v>
          </cell>
          <cell r="BX34">
            <v>85726323</v>
          </cell>
          <cell r="BY34">
            <v>71350428</v>
          </cell>
          <cell r="BZ34">
            <v>86976917</v>
          </cell>
          <cell r="CA34">
            <v>99783323</v>
          </cell>
          <cell r="CB34">
            <v>98663196</v>
          </cell>
          <cell r="CC34">
            <v>102858299</v>
          </cell>
          <cell r="CD34">
            <v>88364839</v>
          </cell>
        </row>
        <row r="41">
          <cell r="CE41">
            <v>4.5910547559206538E-2</v>
          </cell>
        </row>
      </sheetData>
      <sheetData sheetId="3">
        <row r="34">
          <cell r="BQ34">
            <v>0</v>
          </cell>
          <cell r="BR34">
            <v>0</v>
          </cell>
        </row>
        <row r="35">
          <cell r="BQ35">
            <v>-22603.850000000002</v>
          </cell>
          <cell r="BR35">
            <v>0</v>
          </cell>
        </row>
        <row r="36">
          <cell r="BQ36">
            <v>96364.57</v>
          </cell>
          <cell r="BR36">
            <v>-96364.57</v>
          </cell>
        </row>
        <row r="37">
          <cell r="BQ37">
            <v>0</v>
          </cell>
          <cell r="BR37">
            <v>0</v>
          </cell>
        </row>
      </sheetData>
      <sheetData sheetId="4"/>
      <sheetData sheetId="5">
        <row r="84">
          <cell r="AP84">
            <v>2419897.69</v>
          </cell>
          <cell r="AQ84">
            <v>6569208.8500000006</v>
          </cell>
          <cell r="AR84">
            <v>1060967.52</v>
          </cell>
          <cell r="AS84">
            <v>2221021.2599999998</v>
          </cell>
          <cell r="AT84">
            <v>2799025.17</v>
          </cell>
          <cell r="AU84">
            <v>1466878.8699999996</v>
          </cell>
          <cell r="AV84">
            <v>1739768.2499999998</v>
          </cell>
          <cell r="AW84">
            <v>2069034.8700000006</v>
          </cell>
          <cell r="AX84">
            <v>2253685.36</v>
          </cell>
          <cell r="AY84">
            <v>3297337.4599999995</v>
          </cell>
          <cell r="AZ84">
            <v>2112031.12</v>
          </cell>
          <cell r="BA84">
            <v>1596026.1300000001</v>
          </cell>
        </row>
        <row r="85">
          <cell r="AP85">
            <v>7730801.5699999994</v>
          </cell>
          <cell r="AQ85">
            <v>13670067.5</v>
          </cell>
          <cell r="AR85">
            <v>-2916111.52</v>
          </cell>
          <cell r="AS85">
            <v>1342999.1600000001</v>
          </cell>
          <cell r="AT85">
            <v>566106.48</v>
          </cell>
          <cell r="AU85">
            <v>2331992.42</v>
          </cell>
          <cell r="AV85">
            <v>880775.76</v>
          </cell>
          <cell r="AW85">
            <v>2933247.5599999996</v>
          </cell>
          <cell r="AX85">
            <v>245318.37000000005</v>
          </cell>
          <cell r="AY85">
            <v>1031346.94</v>
          </cell>
          <cell r="AZ85">
            <v>2212706.12</v>
          </cell>
          <cell r="BA85">
            <v>1679933.45</v>
          </cell>
        </row>
        <row r="86">
          <cell r="AP86">
            <v>942358.2200000002</v>
          </cell>
          <cell r="AQ86">
            <v>1575397.8299999996</v>
          </cell>
          <cell r="AR86">
            <v>678363.97</v>
          </cell>
          <cell r="AS86">
            <v>-313066.22999999992</v>
          </cell>
          <cell r="AT86">
            <v>478466.84</v>
          </cell>
          <cell r="AU86">
            <v>646521.43999999983</v>
          </cell>
          <cell r="AV86">
            <v>586153.91</v>
          </cell>
          <cell r="AW86">
            <v>1731599.8800000004</v>
          </cell>
          <cell r="AX86">
            <v>1002230.9299999999</v>
          </cell>
          <cell r="AY86">
            <v>1133214.31</v>
          </cell>
          <cell r="AZ86">
            <v>1858763.39</v>
          </cell>
          <cell r="BA86">
            <v>1063098.32</v>
          </cell>
        </row>
        <row r="87">
          <cell r="AP87">
            <v>4222.8</v>
          </cell>
          <cell r="AQ87">
            <v>41823.06</v>
          </cell>
          <cell r="AR87">
            <v>-29225.040000000001</v>
          </cell>
          <cell r="AS87">
            <v>41048.879999999997</v>
          </cell>
          <cell r="AT87">
            <v>5348.88</v>
          </cell>
          <cell r="AU87">
            <v>6756.48</v>
          </cell>
          <cell r="AV87">
            <v>103041.38</v>
          </cell>
          <cell r="AW87">
            <v>14032.92</v>
          </cell>
          <cell r="AX87">
            <v>33192.53</v>
          </cell>
          <cell r="AY87">
            <v>215236.5</v>
          </cell>
          <cell r="AZ87">
            <v>57529.479999999996</v>
          </cell>
          <cell r="BA87">
            <v>-135105</v>
          </cell>
        </row>
      </sheetData>
      <sheetData sheetId="6"/>
      <sheetData sheetId="7">
        <row r="10">
          <cell r="B10">
            <v>-60467.71</v>
          </cell>
          <cell r="D10">
            <v>-124.32999999999993</v>
          </cell>
        </row>
      </sheetData>
      <sheetData sheetId="8">
        <row r="7">
          <cell r="BP7">
            <v>47714.64</v>
          </cell>
          <cell r="BQ7">
            <v>58660.43</v>
          </cell>
          <cell r="BR7">
            <v>75932.229999999981</v>
          </cell>
        </row>
        <row r="8">
          <cell r="BP8">
            <v>-29531.570000000007</v>
          </cell>
          <cell r="BQ8">
            <v>-33630.239999999998</v>
          </cell>
          <cell r="BR8">
            <v>-39735.689999999988</v>
          </cell>
        </row>
        <row r="9">
          <cell r="BP9">
            <v>-63164.12000000001</v>
          </cell>
          <cell r="BQ9">
            <v>-69033.77</v>
          </cell>
          <cell r="BR9">
            <v>-73811.610000000015</v>
          </cell>
        </row>
        <row r="10">
          <cell r="BP10">
            <v>-23280.71</v>
          </cell>
          <cell r="BQ10">
            <v>-30601.379999999997</v>
          </cell>
          <cell r="BR10">
            <v>-29552.149999999998</v>
          </cell>
        </row>
        <row r="11">
          <cell r="BP11">
            <v>-8024.5300000000007</v>
          </cell>
          <cell r="BQ11">
            <v>-11250.999999999998</v>
          </cell>
          <cell r="BR11">
            <v>-10483.449999999999</v>
          </cell>
        </row>
      </sheetData>
      <sheetData sheetId="9">
        <row r="6">
          <cell r="AF6">
            <v>-2628666.67</v>
          </cell>
          <cell r="AG6">
            <v>-3289045.31</v>
          </cell>
          <cell r="AH6">
            <v>-4251296.5199999996</v>
          </cell>
          <cell r="AI6">
            <v>-4196769.0699999994</v>
          </cell>
          <cell r="AJ6">
            <v>-3126840.580000001</v>
          </cell>
          <cell r="AK6">
            <v>-2431223.08</v>
          </cell>
          <cell r="AL6">
            <v>-2268707.2800000003</v>
          </cell>
          <cell r="AM6">
            <v>-2883132.9099999997</v>
          </cell>
          <cell r="AN6">
            <v>-3964874.7000000007</v>
          </cell>
          <cell r="AO6">
            <v>-3778841.4499999993</v>
          </cell>
          <cell r="AP6">
            <v>-3146752.9300000011</v>
          </cell>
          <cell r="AQ6">
            <v>-2264494.1800000011</v>
          </cell>
        </row>
        <row r="7">
          <cell r="AF7">
            <v>-762775.54</v>
          </cell>
          <cell r="AG7">
            <v>-868803.86000000022</v>
          </cell>
          <cell r="AH7">
            <v>-1026220.3300000001</v>
          </cell>
          <cell r="AI7">
            <v>-934878.45000000054</v>
          </cell>
          <cell r="AJ7">
            <v>-621346.98999999987</v>
          </cell>
          <cell r="AK7">
            <v>-549418.24999999988</v>
          </cell>
          <cell r="AL7">
            <v>-532588.47</v>
          </cell>
          <cell r="AM7">
            <v>-619619.60999999987</v>
          </cell>
          <cell r="AN7">
            <v>-742032.6799999997</v>
          </cell>
          <cell r="AO7">
            <v>-726215.22999999975</v>
          </cell>
          <cell r="AP7">
            <v>-665863.32999999973</v>
          </cell>
          <cell r="AQ7">
            <v>-547486.95999999973</v>
          </cell>
        </row>
        <row r="8">
          <cell r="AF8">
            <v>-1753913.2399999998</v>
          </cell>
          <cell r="AG8">
            <v>-1916970.44</v>
          </cell>
          <cell r="AH8">
            <v>-2049473.14</v>
          </cell>
          <cell r="AI8">
            <v>-1830623.0800000003</v>
          </cell>
          <cell r="AJ8">
            <v>-1288681.0599999998</v>
          </cell>
          <cell r="AK8">
            <v>-1201746.5399999998</v>
          </cell>
          <cell r="AL8">
            <v>-1241409.1100000001</v>
          </cell>
          <cell r="AM8">
            <v>-1394006.3199999998</v>
          </cell>
          <cell r="AN8">
            <v>-1563827.1800000002</v>
          </cell>
          <cell r="AO8">
            <v>-1551482.7699999998</v>
          </cell>
          <cell r="AP8">
            <v>-1484337.6899999995</v>
          </cell>
          <cell r="AQ8">
            <v>-1275132.44</v>
          </cell>
        </row>
        <row r="9">
          <cell r="AF9">
            <v>-694011.96</v>
          </cell>
          <cell r="AG9">
            <v>-912230.87999999989</v>
          </cell>
          <cell r="AH9">
            <v>-880957.4499999996</v>
          </cell>
          <cell r="AI9">
            <v>-748810.13000000012</v>
          </cell>
          <cell r="AJ9">
            <v>-555970.34</v>
          </cell>
          <cell r="AK9">
            <v>-508143.06999999995</v>
          </cell>
          <cell r="AL9">
            <v>-564316.22000000009</v>
          </cell>
          <cell r="AM9">
            <v>-643193.48</v>
          </cell>
          <cell r="AN9">
            <v>-667957.50999999978</v>
          </cell>
          <cell r="AO9">
            <v>-662599.42000000051</v>
          </cell>
          <cell r="AP9">
            <v>-645137.72999999963</v>
          </cell>
          <cell r="AQ9">
            <v>-572258.87999999977</v>
          </cell>
        </row>
        <row r="10">
          <cell r="AF10">
            <v>-248411.44000000003</v>
          </cell>
          <cell r="AG10">
            <v>-348292.93999999994</v>
          </cell>
          <cell r="AH10">
            <v>-324530.38000000006</v>
          </cell>
          <cell r="AI10">
            <v>-298549.52000000008</v>
          </cell>
          <cell r="AJ10">
            <v>-198760.71999999997</v>
          </cell>
          <cell r="AK10">
            <v>43186.020000000011</v>
          </cell>
          <cell r="AL10">
            <v>-173024.77</v>
          </cell>
          <cell r="AM10">
            <v>-210919.00000000003</v>
          </cell>
          <cell r="AN10">
            <v>-241974.49000000005</v>
          </cell>
          <cell r="AO10">
            <v>-239258.22999999998</v>
          </cell>
          <cell r="AP10">
            <v>-249431.44999999998</v>
          </cell>
          <cell r="AQ10">
            <v>-214284.72999999998</v>
          </cell>
        </row>
      </sheetData>
      <sheetData sheetId="10">
        <row r="7">
          <cell r="BE7">
            <v>1606.7199999999998</v>
          </cell>
          <cell r="BF7">
            <v>2067.54</v>
          </cell>
          <cell r="BG7">
            <v>2542.4900000000002</v>
          </cell>
        </row>
      </sheetData>
      <sheetData sheetId="11">
        <row r="7">
          <cell r="AF7">
            <v>-88713.000000000015</v>
          </cell>
          <cell r="AG7">
            <v>-114074.83999999998</v>
          </cell>
          <cell r="AH7">
            <v>-140301.07</v>
          </cell>
          <cell r="AI7">
            <v>-148476.09</v>
          </cell>
          <cell r="AJ7">
            <v>-113125.41</v>
          </cell>
          <cell r="AK7">
            <v>-88302.719999999987</v>
          </cell>
          <cell r="AL7">
            <v>-74672.359999999986</v>
          </cell>
          <cell r="AM7">
            <v>-85294.589999999982</v>
          </cell>
          <cell r="AN7">
            <v>-115673.46999999999</v>
          </cell>
          <cell r="AO7">
            <v>-114533.16999999998</v>
          </cell>
          <cell r="AP7">
            <v>-100177.27999999998</v>
          </cell>
          <cell r="AQ7">
            <v>-78846.779999999984</v>
          </cell>
        </row>
      </sheetData>
      <sheetData sheetId="12">
        <row r="78">
          <cell r="W78">
            <v>55.65</v>
          </cell>
        </row>
        <row r="79">
          <cell r="W79">
            <v>113.26</v>
          </cell>
        </row>
        <row r="80">
          <cell r="W80">
            <v>135.97</v>
          </cell>
        </row>
      </sheetData>
      <sheetData sheetId="13">
        <row r="42">
          <cell r="W42">
            <v>1732.83</v>
          </cell>
        </row>
        <row r="43">
          <cell r="W43">
            <v>-416.97</v>
          </cell>
        </row>
        <row r="44">
          <cell r="W44">
            <v>1527.25</v>
          </cell>
        </row>
        <row r="45">
          <cell r="W45">
            <v>3262.3</v>
          </cell>
        </row>
        <row r="46">
          <cell r="W46">
            <v>8705.91</v>
          </cell>
        </row>
        <row r="47">
          <cell r="W47">
            <v>7696.38</v>
          </cell>
        </row>
        <row r="48">
          <cell r="W48">
            <v>13343.43</v>
          </cell>
        </row>
        <row r="49">
          <cell r="W49">
            <v>19658.490000000002</v>
          </cell>
        </row>
        <row r="50">
          <cell r="W50">
            <v>33493.69</v>
          </cell>
        </row>
        <row r="51">
          <cell r="W51">
            <v>44565.49</v>
          </cell>
        </row>
        <row r="52">
          <cell r="W52">
            <v>49379.45</v>
          </cell>
        </row>
        <row r="53">
          <cell r="W53">
            <v>62378.84</v>
          </cell>
        </row>
      </sheetData>
      <sheetData sheetId="14"/>
      <sheetData sheetId="15"/>
      <sheetData sheetId="16"/>
      <sheetData sheetId="17">
        <row r="7">
          <cell r="BP7">
            <v>232428.06</v>
          </cell>
          <cell r="BQ7">
            <v>290836.60999999993</v>
          </cell>
          <cell r="BR7">
            <v>375935.37</v>
          </cell>
          <cell r="BS7">
            <v>242680.23</v>
          </cell>
          <cell r="BT7">
            <v>13830.450000000003</v>
          </cell>
          <cell r="BU7">
            <v>7909.1399999999994</v>
          </cell>
          <cell r="BV7">
            <v>7927.25</v>
          </cell>
          <cell r="BW7">
            <v>10363.710000000001</v>
          </cell>
          <cell r="BX7">
            <v>14271.869999999999</v>
          </cell>
          <cell r="BY7">
            <v>13453.179999999998</v>
          </cell>
          <cell r="BZ7">
            <v>11260.050000000003</v>
          </cell>
          <cell r="CA7">
            <v>8003.9400000000014</v>
          </cell>
        </row>
        <row r="8">
          <cell r="BP8">
            <v>85982.199999999983</v>
          </cell>
          <cell r="BQ8">
            <v>98041.830000000016</v>
          </cell>
          <cell r="BR8">
            <v>115723.73999999999</v>
          </cell>
          <cell r="BS8">
            <v>71353.679999999993</v>
          </cell>
          <cell r="BT8">
            <v>3857.4300000000007</v>
          </cell>
          <cell r="BU8">
            <v>3467.3700000000013</v>
          </cell>
          <cell r="BV8">
            <v>3190.6100000000006</v>
          </cell>
          <cell r="BW8">
            <v>3616.7400000000002</v>
          </cell>
          <cell r="BX8">
            <v>4165.8599999999997</v>
          </cell>
          <cell r="BY8">
            <v>4368.6100000000006</v>
          </cell>
          <cell r="BZ8">
            <v>3971.1800000000007</v>
          </cell>
          <cell r="CA8">
            <v>3310.57</v>
          </cell>
        </row>
        <row r="9">
          <cell r="BP9">
            <v>111672.41</v>
          </cell>
          <cell r="BQ9">
            <v>122048.8</v>
          </cell>
          <cell r="BR9">
            <v>130402.89999999998</v>
          </cell>
          <cell r="BS9">
            <v>91979.270000000019</v>
          </cell>
          <cell r="BT9">
            <v>29965.900000000005</v>
          </cell>
          <cell r="BU9">
            <v>27757.9</v>
          </cell>
          <cell r="BV9">
            <v>28438.250000000004</v>
          </cell>
          <cell r="BW9">
            <v>31790.6</v>
          </cell>
          <cell r="BX9">
            <v>36362.75</v>
          </cell>
          <cell r="BY9">
            <v>35481.11</v>
          </cell>
          <cell r="BZ9">
            <v>33868.720000000001</v>
          </cell>
          <cell r="CA9">
            <v>29154.440000000006</v>
          </cell>
        </row>
        <row r="10">
          <cell r="BP10">
            <v>23682.34</v>
          </cell>
          <cell r="BQ10">
            <v>31128.820000000003</v>
          </cell>
          <cell r="BR10">
            <v>30061.68</v>
          </cell>
          <cell r="BS10">
            <v>21727.82</v>
          </cell>
          <cell r="BT10">
            <v>9411.08</v>
          </cell>
          <cell r="BU10">
            <v>9472.94</v>
          </cell>
          <cell r="BV10">
            <v>9265.8999999999978</v>
          </cell>
          <cell r="BW10">
            <v>10540.89</v>
          </cell>
          <cell r="BX10">
            <v>10967.710000000001</v>
          </cell>
          <cell r="BY10">
            <v>10879.65</v>
          </cell>
          <cell r="BZ10">
            <v>10597.96</v>
          </cell>
          <cell r="CA10">
            <v>9396.31</v>
          </cell>
        </row>
        <row r="11">
          <cell r="BP11">
            <v>-837.34000000000015</v>
          </cell>
          <cell r="BQ11">
            <v>-1174.03</v>
          </cell>
          <cell r="BR11">
            <v>-1093.94</v>
          </cell>
          <cell r="BS11">
            <v>-596.12000000000012</v>
          </cell>
          <cell r="BT11">
            <v>2115.3000000000002</v>
          </cell>
          <cell r="BU11">
            <v>9955.1299999999992</v>
          </cell>
          <cell r="BV11">
            <v>1926.46</v>
          </cell>
          <cell r="BW11">
            <v>2348.3700000000003</v>
          </cell>
          <cell r="BX11">
            <v>2694.11</v>
          </cell>
          <cell r="BY11">
            <v>2663.9100000000003</v>
          </cell>
          <cell r="BZ11">
            <v>2777.2000000000003</v>
          </cell>
          <cell r="CA11">
            <v>2385.87</v>
          </cell>
        </row>
      </sheetData>
      <sheetData sheetId="18">
        <row r="6">
          <cell r="AF6">
            <v>-1255194.55</v>
          </cell>
          <cell r="AG6">
            <v>-1570523.0000000002</v>
          </cell>
          <cell r="AH6">
            <v>-2029992.9200000002</v>
          </cell>
          <cell r="AI6">
            <v>-1633369.1100000003</v>
          </cell>
          <cell r="AJ6">
            <v>-714783.1</v>
          </cell>
          <cell r="AK6">
            <v>-547759.59000000008</v>
          </cell>
          <cell r="AL6">
            <v>-512195.46999999991</v>
          </cell>
          <cell r="AM6">
            <v>-651024.83000000007</v>
          </cell>
          <cell r="AN6">
            <v>-895488.57999999984</v>
          </cell>
          <cell r="AO6">
            <v>-853007.9</v>
          </cell>
          <cell r="AP6">
            <v>-710408.71999999974</v>
          </cell>
          <cell r="AQ6">
            <v>-511382.35999999987</v>
          </cell>
        </row>
        <row r="7">
          <cell r="AF7">
            <v>-317440.44000000006</v>
          </cell>
          <cell r="AG7">
            <v>-361675.88999999996</v>
          </cell>
          <cell r="AH7">
            <v>-427108.58</v>
          </cell>
          <cell r="AI7">
            <v>-352548.03000000009</v>
          </cell>
          <cell r="AJ7">
            <v>-202576.29999999996</v>
          </cell>
          <cell r="AK7">
            <v>-179190.8</v>
          </cell>
          <cell r="AL7">
            <v>-173555.15</v>
          </cell>
          <cell r="AM7">
            <v>-201857.14</v>
          </cell>
          <cell r="AN7">
            <v>-241561.14999999997</v>
          </cell>
          <cell r="AO7">
            <v>-236616.93999999997</v>
          </cell>
          <cell r="AP7">
            <v>-216950.84000000003</v>
          </cell>
          <cell r="AQ7">
            <v>-178443.24999999994</v>
          </cell>
        </row>
        <row r="8">
          <cell r="AF8">
            <v>-531580.7699999999</v>
          </cell>
          <cell r="AG8">
            <v>-580996.62999999989</v>
          </cell>
          <cell r="AH8">
            <v>-621109.79</v>
          </cell>
          <cell r="AI8">
            <v>-504253.87000000011</v>
          </cell>
          <cell r="AJ8">
            <v>-301892.69</v>
          </cell>
          <cell r="AK8">
            <v>-280545.47000000009</v>
          </cell>
          <cell r="AL8">
            <v>-290164.87</v>
          </cell>
          <cell r="AM8">
            <v>-325613.77</v>
          </cell>
          <cell r="AN8">
            <v>-365143.97000000003</v>
          </cell>
          <cell r="AO8">
            <v>-362549.21000000008</v>
          </cell>
          <cell r="AP8">
            <v>-346741.86</v>
          </cell>
          <cell r="AQ8">
            <v>-297961.13</v>
          </cell>
        </row>
        <row r="9">
          <cell r="AF9">
            <v>-176212.47999999998</v>
          </cell>
          <cell r="AG9">
            <v>-231619.08</v>
          </cell>
          <cell r="AH9">
            <v>-223678.56999999998</v>
          </cell>
          <cell r="AI9">
            <v>-167453.83999999997</v>
          </cell>
          <cell r="AJ9">
            <v>-87280.08</v>
          </cell>
          <cell r="AK9">
            <v>-74518.28</v>
          </cell>
          <cell r="AL9">
            <v>-87009.310000000012</v>
          </cell>
          <cell r="AM9">
            <v>-99059.549999999988</v>
          </cell>
          <cell r="AN9">
            <v>-102989.08</v>
          </cell>
          <cell r="AO9">
            <v>-102162.93000000001</v>
          </cell>
          <cell r="AP9">
            <v>-99521.61</v>
          </cell>
          <cell r="AQ9">
            <v>-88233.749999999971</v>
          </cell>
        </row>
        <row r="10">
          <cell r="AF10">
            <v>-33144.800000000003</v>
          </cell>
          <cell r="AG10">
            <v>-46471.669999999991</v>
          </cell>
          <cell r="AH10">
            <v>-43301.109999999993</v>
          </cell>
          <cell r="AI10">
            <v>-35959.279999999999</v>
          </cell>
          <cell r="AJ10">
            <v>-6497.26</v>
          </cell>
          <cell r="AK10">
            <v>22925.25</v>
          </cell>
          <cell r="AL10">
            <v>-5065.8700000000008</v>
          </cell>
          <cell r="AM10">
            <v>-6175.3700000000008</v>
          </cell>
          <cell r="AN10">
            <v>-7084.6299999999992</v>
          </cell>
          <cell r="AO10">
            <v>-7005.1099999999988</v>
          </cell>
          <cell r="AP10">
            <v>-7302.95</v>
          </cell>
          <cell r="AQ10">
            <v>-6273.92</v>
          </cell>
        </row>
      </sheetData>
      <sheetData sheetId="19">
        <row r="5">
          <cell r="BE5">
            <v>7844.09</v>
          </cell>
          <cell r="BF5">
            <v>10087.69</v>
          </cell>
          <cell r="BG5">
            <v>12406.73</v>
          </cell>
          <cell r="BH5">
            <v>8862.6500000000015</v>
          </cell>
          <cell r="BI5">
            <v>487.33999999999992</v>
          </cell>
          <cell r="BJ5">
            <v>308.75</v>
          </cell>
          <cell r="BK5">
            <v>257.05</v>
          </cell>
          <cell r="BL5">
            <v>302.51</v>
          </cell>
          <cell r="BM5">
            <v>412.95</v>
          </cell>
          <cell r="BN5">
            <v>413.28</v>
          </cell>
          <cell r="BO5">
            <v>356.38</v>
          </cell>
          <cell r="BP5">
            <v>279.54000000000002</v>
          </cell>
        </row>
      </sheetData>
      <sheetData sheetId="20">
        <row r="5">
          <cell r="AF5">
            <v>-42360.3</v>
          </cell>
          <cell r="AG5">
            <v>-54472.2</v>
          </cell>
          <cell r="AH5">
            <v>-66993.759999999995</v>
          </cell>
          <cell r="AI5">
            <v>-58621.54</v>
          </cell>
          <cell r="AJ5">
            <v>-25799.879999999997</v>
          </cell>
          <cell r="AK5">
            <v>-19928.739999999994</v>
          </cell>
          <cell r="AL5">
            <v>-16836.810000000001</v>
          </cell>
          <cell r="AM5">
            <v>-19254.710000000003</v>
          </cell>
          <cell r="AN5">
            <v>-26122.889999999996</v>
          </cell>
          <cell r="AO5">
            <v>-25874.140000000003</v>
          </cell>
          <cell r="AP5">
            <v>-22617.429999999997</v>
          </cell>
          <cell r="AQ5">
            <v>-17799.38</v>
          </cell>
        </row>
      </sheetData>
      <sheetData sheetId="21">
        <row r="76">
          <cell r="W76">
            <v>256.98</v>
          </cell>
        </row>
        <row r="77">
          <cell r="W77">
            <v>314.17</v>
          </cell>
        </row>
        <row r="78">
          <cell r="W78">
            <v>150.61000000000001</v>
          </cell>
        </row>
        <row r="79">
          <cell r="W79">
            <v>79.55</v>
          </cell>
        </row>
        <row r="80">
          <cell r="W80">
            <v>151.16999999999999</v>
          </cell>
        </row>
        <row r="81">
          <cell r="W81">
            <v>102.64</v>
          </cell>
        </row>
        <row r="82">
          <cell r="W82">
            <v>122.27</v>
          </cell>
        </row>
        <row r="83">
          <cell r="W83">
            <v>118.81</v>
          </cell>
        </row>
        <row r="84">
          <cell r="W84">
            <v>47.32</v>
          </cell>
        </row>
        <row r="85">
          <cell r="W85">
            <v>-83.74</v>
          </cell>
        </row>
        <row r="86">
          <cell r="W86">
            <v>-240.95</v>
          </cell>
        </row>
        <row r="87">
          <cell r="W87">
            <v>-446.03</v>
          </cell>
        </row>
      </sheetData>
      <sheetData sheetId="22">
        <row r="51">
          <cell r="W51">
            <v>-227.64</v>
          </cell>
        </row>
        <row r="52">
          <cell r="W52">
            <v>-224.83</v>
          </cell>
        </row>
        <row r="53">
          <cell r="W53">
            <v>-46.44</v>
          </cell>
        </row>
        <row r="54">
          <cell r="W54">
            <v>90.29</v>
          </cell>
        </row>
        <row r="55">
          <cell r="W55">
            <v>440</v>
          </cell>
        </row>
        <row r="56">
          <cell r="W56">
            <v>490.49</v>
          </cell>
        </row>
        <row r="57">
          <cell r="W57">
            <v>777.29</v>
          </cell>
        </row>
        <row r="58">
          <cell r="W58">
            <v>-738.84</v>
          </cell>
        </row>
        <row r="59">
          <cell r="W59">
            <v>-4560.24</v>
          </cell>
        </row>
        <row r="60">
          <cell r="W60">
            <v>-9499.7900000000009</v>
          </cell>
        </row>
        <row r="61">
          <cell r="W61">
            <v>-12902.26</v>
          </cell>
        </row>
        <row r="62">
          <cell r="W62">
            <v>-15702.85</v>
          </cell>
        </row>
      </sheetData>
      <sheetData sheetId="23"/>
      <sheetData sheetId="24">
        <row r="36">
          <cell r="H36">
            <v>11747489.112003122</v>
          </cell>
        </row>
      </sheetData>
      <sheetData sheetId="25">
        <row r="5">
          <cell r="B5">
            <v>12868207884.380999</v>
          </cell>
        </row>
        <row r="6">
          <cell r="B6">
            <v>3144236450</v>
          </cell>
        </row>
        <row r="7">
          <cell r="B7">
            <v>6833830731.1999998</v>
          </cell>
        </row>
        <row r="8">
          <cell r="B8">
            <v>2891252836.5</v>
          </cell>
        </row>
        <row r="9">
          <cell r="B9">
            <v>1140859038.7</v>
          </cell>
        </row>
      </sheetData>
      <sheetData sheetId="26">
        <row r="14">
          <cell r="K14">
            <v>-737.22179817359631</v>
          </cell>
        </row>
        <row r="15">
          <cell r="K15">
            <v>-187.99390259364884</v>
          </cell>
        </row>
        <row r="16">
          <cell r="K16">
            <v>-437.57907872937307</v>
          </cell>
        </row>
        <row r="17">
          <cell r="K17">
            <v>-193.22946635047273</v>
          </cell>
        </row>
        <row r="18">
          <cell r="K18">
            <v>-96.44559528896626</v>
          </cell>
        </row>
        <row r="33">
          <cell r="K33">
            <v>387028.00871019857</v>
          </cell>
        </row>
        <row r="34">
          <cell r="K34">
            <v>87568.69159017835</v>
          </cell>
        </row>
        <row r="35">
          <cell r="K35">
            <v>196045.77906059555</v>
          </cell>
        </row>
        <row r="36">
          <cell r="K36">
            <v>84664.614398681835</v>
          </cell>
        </row>
        <row r="37">
          <cell r="K37">
            <v>34835.289548967092</v>
          </cell>
        </row>
        <row r="52">
          <cell r="K52">
            <v>845412.99464061402</v>
          </cell>
        </row>
        <row r="53">
          <cell r="K53">
            <v>215583.00169584531</v>
          </cell>
        </row>
        <row r="54">
          <cell r="K54">
            <v>501796.12195022253</v>
          </cell>
        </row>
        <row r="55">
          <cell r="K55">
            <v>221586.9121136516</v>
          </cell>
        </row>
        <row r="56">
          <cell r="K56">
            <v>110599.49629153802</v>
          </cell>
        </row>
        <row r="71">
          <cell r="K71">
            <v>-25838.998983995905</v>
          </cell>
        </row>
        <row r="72">
          <cell r="K72">
            <v>-6589.0268982129128</v>
          </cell>
        </row>
        <row r="73">
          <cell r="K73">
            <v>-15336.775714876145</v>
          </cell>
        </row>
        <row r="74">
          <cell r="K74">
            <v>-6772.5289689986212</v>
          </cell>
        </row>
        <row r="75">
          <cell r="K75">
            <v>-3380.3363449864592</v>
          </cell>
        </row>
        <row r="89">
          <cell r="K89">
            <v>241015.78129744003</v>
          </cell>
        </row>
        <row r="90">
          <cell r="K90">
            <v>60257.948421472975</v>
          </cell>
        </row>
        <row r="91">
          <cell r="K91">
            <v>136707.26308755999</v>
          </cell>
        </row>
        <row r="92">
          <cell r="K92">
            <v>57061.112488556311</v>
          </cell>
        </row>
        <row r="93">
          <cell r="K93">
            <v>24906.284299744875</v>
          </cell>
        </row>
      </sheetData>
      <sheetData sheetId="27">
        <row r="5">
          <cell r="BH5">
            <v>-576653</v>
          </cell>
          <cell r="BI5">
            <v>-721531.84000000008</v>
          </cell>
          <cell r="BJ5">
            <v>-932625.16000000015</v>
          </cell>
        </row>
        <row r="6">
          <cell r="BH6">
            <v>-197240.60000000003</v>
          </cell>
          <cell r="BI6">
            <v>-224620.78999999998</v>
          </cell>
          <cell r="BJ6">
            <v>-265354.46999999997</v>
          </cell>
        </row>
        <row r="7">
          <cell r="BH7">
            <v>-465891.15</v>
          </cell>
          <cell r="BI7">
            <v>-509206.41000000009</v>
          </cell>
          <cell r="BJ7">
            <v>-544414.4</v>
          </cell>
        </row>
        <row r="8">
          <cell r="BH8">
            <v>-188053.52</v>
          </cell>
          <cell r="BI8">
            <v>-247183.49999999997</v>
          </cell>
          <cell r="BJ8">
            <v>-238709.47999999998</v>
          </cell>
        </row>
        <row r="9">
          <cell r="BH9">
            <v>-83175.950000000012</v>
          </cell>
          <cell r="BI9">
            <v>-116619.44000000002</v>
          </cell>
          <cell r="BJ9">
            <v>-108662.95999999999</v>
          </cell>
        </row>
      </sheetData>
      <sheetData sheetId="28">
        <row r="5">
          <cell r="K5">
            <v>-187290.08000000002</v>
          </cell>
          <cell r="L5">
            <v>-234342.37999999998</v>
          </cell>
          <cell r="M5">
            <v>-302905.40999999997</v>
          </cell>
          <cell r="N5">
            <v>-971398.06</v>
          </cell>
          <cell r="O5">
            <v>-390125.46</v>
          </cell>
          <cell r="P5">
            <v>-298029.42</v>
          </cell>
          <cell r="Q5">
            <v>-278820.68</v>
          </cell>
          <cell r="R5">
            <v>-354413.77999999997</v>
          </cell>
          <cell r="S5">
            <v>-487506.99999999988</v>
          </cell>
          <cell r="T5">
            <v>-464335.1700000001</v>
          </cell>
          <cell r="U5">
            <v>-386724.81000000011</v>
          </cell>
          <cell r="V5">
            <v>-278400.09000000014</v>
          </cell>
        </row>
        <row r="6">
          <cell r="K6">
            <v>-53967.649999999994</v>
          </cell>
          <cell r="L6">
            <v>-61496.84</v>
          </cell>
          <cell r="M6">
            <v>-72615.059999999983</v>
          </cell>
          <cell r="N6">
            <v>-240199.46000000002</v>
          </cell>
          <cell r="O6">
            <v>-77955.22</v>
          </cell>
          <cell r="P6">
            <v>-69048.09</v>
          </cell>
          <cell r="Q6">
            <v>-66642.47</v>
          </cell>
          <cell r="R6">
            <v>-77325.340000000026</v>
          </cell>
          <cell r="S6">
            <v>-92407.98000000001</v>
          </cell>
          <cell r="T6">
            <v>-91024.860000000015</v>
          </cell>
          <cell r="U6">
            <v>-83345.549999999988</v>
          </cell>
          <cell r="V6">
            <v>-68631.539999999979</v>
          </cell>
        </row>
        <row r="7">
          <cell r="K7">
            <v>-123294.13000000002</v>
          </cell>
          <cell r="L7">
            <v>-134755.04</v>
          </cell>
          <cell r="M7">
            <v>-144055.51999999999</v>
          </cell>
          <cell r="N7">
            <v>-500176.30000000005</v>
          </cell>
          <cell r="O7">
            <v>-193544.31</v>
          </cell>
          <cell r="P7">
            <v>-175699.06999999998</v>
          </cell>
          <cell r="Q7">
            <v>-184492.13</v>
          </cell>
          <cell r="R7">
            <v>-206518.16</v>
          </cell>
          <cell r="S7">
            <v>-229045.56000000003</v>
          </cell>
          <cell r="T7">
            <v>-230300.69999999998</v>
          </cell>
          <cell r="U7">
            <v>-219984.12</v>
          </cell>
          <cell r="V7">
            <v>-189248.49</v>
          </cell>
        </row>
        <row r="8">
          <cell r="K8">
            <v>-46762.649999999994</v>
          </cell>
          <cell r="L8">
            <v>-61465.96</v>
          </cell>
          <cell r="M8">
            <v>-59358.80000000001</v>
          </cell>
          <cell r="N8">
            <v>-214471.97000000003</v>
          </cell>
          <cell r="O8">
            <v>-90397.930000000022</v>
          </cell>
          <cell r="P8">
            <v>-70095.929999999993</v>
          </cell>
          <cell r="Q8">
            <v>-88817.24</v>
          </cell>
          <cell r="R8">
            <v>-101024.78000000001</v>
          </cell>
          <cell r="S8">
            <v>-105129.26999999997</v>
          </cell>
          <cell r="T8">
            <v>-104285.51</v>
          </cell>
          <cell r="U8">
            <v>-101638.22</v>
          </cell>
          <cell r="V8">
            <v>-90067.37</v>
          </cell>
        </row>
        <row r="9">
          <cell r="K9">
            <v>-16537.5</v>
          </cell>
          <cell r="L9">
            <v>-23186.94</v>
          </cell>
          <cell r="M9">
            <v>-21604.960000000003</v>
          </cell>
          <cell r="N9">
            <v>-111481.37000000002</v>
          </cell>
          <cell r="O9">
            <v>-43645.109999999993</v>
          </cell>
          <cell r="P9">
            <v>50755.6</v>
          </cell>
          <cell r="Q9">
            <v>-36959.53</v>
          </cell>
          <cell r="R9">
            <v>-45054.05</v>
          </cell>
          <cell r="S9">
            <v>-51687.740000000013</v>
          </cell>
          <cell r="T9">
            <v>-51107.55</v>
          </cell>
          <cell r="U9">
            <v>-53280.58</v>
          </cell>
          <cell r="V9">
            <v>-45772.969999999994</v>
          </cell>
        </row>
      </sheetData>
      <sheetData sheetId="29">
        <row r="5">
          <cell r="BE5">
            <v>-19460.699999999997</v>
          </cell>
          <cell r="BF5">
            <v>-25023.98</v>
          </cell>
          <cell r="BG5">
            <v>-30779.19</v>
          </cell>
        </row>
      </sheetData>
      <sheetData sheetId="30">
        <row r="7">
          <cell r="K7">
            <v>-6321.0300000000007</v>
          </cell>
          <cell r="L7">
            <v>-8128.06</v>
          </cell>
          <cell r="M7">
            <v>-9996.869999999999</v>
          </cell>
          <cell r="N7">
            <v>-34921.86</v>
          </cell>
          <cell r="O7">
            <v>-14075.109999999997</v>
          </cell>
          <cell r="P7">
            <v>-10847.039999999999</v>
          </cell>
          <cell r="Q7">
            <v>-9159.5800000000017</v>
          </cell>
          <cell r="R7">
            <v>-10480.329999999998</v>
          </cell>
          <cell r="S7">
            <v>-14215.879999999997</v>
          </cell>
          <cell r="T7">
            <v>-14083.44</v>
          </cell>
          <cell r="U7">
            <v>-12311.810000000001</v>
          </cell>
          <cell r="V7">
            <v>-9689.2699999999986</v>
          </cell>
        </row>
      </sheetData>
      <sheetData sheetId="31">
        <row r="63">
          <cell r="W63">
            <v>-252.41</v>
          </cell>
        </row>
        <row r="64">
          <cell r="W64">
            <v>-433.06</v>
          </cell>
        </row>
        <row r="65">
          <cell r="W65">
            <v>29.71</v>
          </cell>
        </row>
      </sheetData>
      <sheetData sheetId="32">
        <row r="14">
          <cell r="W14">
            <v>-45.03</v>
          </cell>
        </row>
        <row r="15">
          <cell r="W15">
            <v>-77.58</v>
          </cell>
        </row>
        <row r="16">
          <cell r="W16">
            <v>-54.1</v>
          </cell>
        </row>
        <row r="17">
          <cell r="W17">
            <v>277.20999999999998</v>
          </cell>
        </row>
        <row r="18">
          <cell r="W18">
            <v>649.20000000000005</v>
          </cell>
        </row>
        <row r="19">
          <cell r="W19">
            <v>453.37</v>
          </cell>
        </row>
        <row r="20">
          <cell r="W20">
            <v>612.41</v>
          </cell>
        </row>
        <row r="21">
          <cell r="W21">
            <v>953.77</v>
          </cell>
        </row>
        <row r="22">
          <cell r="W22">
            <v>1625.66</v>
          </cell>
        </row>
        <row r="23">
          <cell r="W23">
            <v>2356.16</v>
          </cell>
        </row>
        <row r="24">
          <cell r="W24">
            <v>2750.62</v>
          </cell>
        </row>
        <row r="25">
          <cell r="W25">
            <v>3030.35</v>
          </cell>
        </row>
      </sheetData>
      <sheetData sheetId="33"/>
      <sheetData sheetId="34"/>
      <sheetData sheetId="35"/>
      <sheetData sheetId="36"/>
      <sheetData sheetId="37">
        <row r="13">
          <cell r="R13">
            <v>-967.04033262850135</v>
          </cell>
        </row>
        <row r="14">
          <cell r="R14">
            <v>-182.06222458098637</v>
          </cell>
        </row>
        <row r="15">
          <cell r="R15">
            <v>-402.54591301473556</v>
          </cell>
        </row>
        <row r="16">
          <cell r="R16">
            <v>-172.21957146528257</v>
          </cell>
        </row>
        <row r="17">
          <cell r="R17">
            <v>-69.441958310495465</v>
          </cell>
        </row>
      </sheetData>
      <sheetData sheetId="38">
        <row r="5">
          <cell r="AV5">
            <v>-11.790000000000001</v>
          </cell>
          <cell r="AW5">
            <v>-39.290000000000006</v>
          </cell>
          <cell r="AX5">
            <v>-167.04</v>
          </cell>
        </row>
        <row r="6">
          <cell r="AV6">
            <v>134.94</v>
          </cell>
          <cell r="AW6">
            <v>158.38</v>
          </cell>
          <cell r="AX6">
            <v>201.04000000000002</v>
          </cell>
        </row>
        <row r="7">
          <cell r="AV7">
            <v>505.72</v>
          </cell>
          <cell r="AW7">
            <v>551.94000000000005</v>
          </cell>
          <cell r="AX7">
            <v>590.51</v>
          </cell>
        </row>
        <row r="8">
          <cell r="AV8">
            <v>200.56000000000003</v>
          </cell>
          <cell r="AW8">
            <v>263.98</v>
          </cell>
          <cell r="AX8">
            <v>254.81000000000003</v>
          </cell>
        </row>
        <row r="9">
          <cell r="AV9">
            <v>69.75</v>
          </cell>
          <cell r="AW9">
            <v>97.820000000000007</v>
          </cell>
          <cell r="AX9">
            <v>91.18</v>
          </cell>
        </row>
      </sheetData>
      <sheetData sheetId="39">
        <row r="5">
          <cell r="B5">
            <v>3957.47</v>
          </cell>
          <cell r="C5">
            <v>9416.89</v>
          </cell>
          <cell r="D5">
            <v>7275.1400000000012</v>
          </cell>
          <cell r="E5">
            <v>6981.91</v>
          </cell>
          <cell r="F5">
            <v>9215.5400000000027</v>
          </cell>
          <cell r="G5">
            <v>12631.340000000002</v>
          </cell>
          <cell r="H5">
            <v>12064.529999999997</v>
          </cell>
          <cell r="I5">
            <v>10087.510000000002</v>
          </cell>
          <cell r="J5">
            <v>7025.22</v>
          </cell>
        </row>
        <row r="6">
          <cell r="B6">
            <v>985.13</v>
          </cell>
          <cell r="C6">
            <v>1906.5700000000002</v>
          </cell>
          <cell r="D6">
            <v>1665.0300000000002</v>
          </cell>
          <cell r="E6">
            <v>1617.3499999999995</v>
          </cell>
          <cell r="F6">
            <v>1918.73</v>
          </cell>
          <cell r="G6">
            <v>2337.6800000000003</v>
          </cell>
          <cell r="H6">
            <v>2274.25</v>
          </cell>
          <cell r="I6">
            <v>2069.08</v>
          </cell>
          <cell r="J6">
            <v>1663.4899999999998</v>
          </cell>
        </row>
        <row r="7">
          <cell r="B7">
            <v>1901.57</v>
          </cell>
          <cell r="C7">
            <v>3716.6100000000006</v>
          </cell>
          <cell r="D7">
            <v>3537.0699999999997</v>
          </cell>
          <cell r="E7">
            <v>3610.63</v>
          </cell>
          <cell r="F7">
            <v>4063.1800000000003</v>
          </cell>
          <cell r="G7">
            <v>4852.5699999999988</v>
          </cell>
          <cell r="H7">
            <v>4516.2700000000013</v>
          </cell>
          <cell r="I7">
            <v>4325.6100000000006</v>
          </cell>
          <cell r="J7">
            <v>3711.7500000000009</v>
          </cell>
        </row>
        <row r="8">
          <cell r="B8">
            <v>663.11</v>
          </cell>
          <cell r="C8">
            <v>1515.26</v>
          </cell>
          <cell r="D8">
            <v>1566.9300000000003</v>
          </cell>
          <cell r="E8">
            <v>1582.0300000000004</v>
          </cell>
          <cell r="F8">
            <v>1806.1399999999999</v>
          </cell>
          <cell r="G8">
            <v>1872.56</v>
          </cell>
          <cell r="H8">
            <v>1857.5200000000004</v>
          </cell>
          <cell r="I8">
            <v>1807.0499999999995</v>
          </cell>
          <cell r="J8">
            <v>1604.3099999999997</v>
          </cell>
        </row>
        <row r="9">
          <cell r="B9">
            <v>149.44999999999999</v>
          </cell>
          <cell r="C9">
            <v>555.80999999999995</v>
          </cell>
          <cell r="D9">
            <v>466.15999999999997</v>
          </cell>
          <cell r="E9">
            <v>499.44000000000005</v>
          </cell>
          <cell r="F9">
            <v>608.84</v>
          </cell>
          <cell r="G9">
            <v>698.47</v>
          </cell>
          <cell r="H9">
            <v>690.65</v>
          </cell>
          <cell r="I9">
            <v>720.05</v>
          </cell>
          <cell r="J9">
            <v>618.54999999999995</v>
          </cell>
        </row>
      </sheetData>
      <sheetData sheetId="40">
        <row r="5">
          <cell r="AQ5">
            <v>-0.46</v>
          </cell>
          <cell r="AR5">
            <v>-2.61</v>
          </cell>
          <cell r="AS5">
            <v>-8.67</v>
          </cell>
        </row>
      </sheetData>
      <sheetData sheetId="41"/>
      <sheetData sheetId="42">
        <row r="7">
          <cell r="D7">
            <v>137.64999999999998</v>
          </cell>
          <cell r="E7">
            <v>348.01</v>
          </cell>
          <cell r="F7">
            <v>274.48999999999995</v>
          </cell>
          <cell r="G7">
            <v>233.85000000000002</v>
          </cell>
          <cell r="H7">
            <v>270.81</v>
          </cell>
          <cell r="I7">
            <v>369.65999999999997</v>
          </cell>
          <cell r="J7">
            <v>365.74999999999994</v>
          </cell>
          <cell r="K7">
            <v>319.05999999999995</v>
          </cell>
          <cell r="L7">
            <v>247.63</v>
          </cell>
        </row>
      </sheetData>
      <sheetData sheetId="43">
        <row r="53">
          <cell r="W53">
            <v>-1.48</v>
          </cell>
        </row>
        <row r="54">
          <cell r="W54">
            <v>-2.75</v>
          </cell>
        </row>
        <row r="55">
          <cell r="W55">
            <v>-2.66</v>
          </cell>
        </row>
      </sheetData>
      <sheetData sheetId="44">
        <row r="16">
          <cell r="W16">
            <v>57.05</v>
          </cell>
        </row>
        <row r="17">
          <cell r="W17">
            <v>-25.48</v>
          </cell>
        </row>
        <row r="18">
          <cell r="W18">
            <v>1818.79</v>
          </cell>
        </row>
        <row r="19">
          <cell r="W19">
            <v>44.25</v>
          </cell>
        </row>
        <row r="20">
          <cell r="W20">
            <v>39.840000000000003</v>
          </cell>
        </row>
        <row r="21">
          <cell r="W21">
            <v>45.04</v>
          </cell>
        </row>
        <row r="22">
          <cell r="W22">
            <v>94.99</v>
          </cell>
        </row>
        <row r="23">
          <cell r="W23">
            <v>75.650000000000006</v>
          </cell>
        </row>
        <row r="24">
          <cell r="W24">
            <v>108.4</v>
          </cell>
        </row>
        <row r="25">
          <cell r="W25">
            <v>147.93</v>
          </cell>
        </row>
        <row r="26">
          <cell r="W26">
            <v>166.64</v>
          </cell>
        </row>
        <row r="27">
          <cell r="W27">
            <v>162.37</v>
          </cell>
        </row>
        <row r="28">
          <cell r="W28">
            <v>135.32</v>
          </cell>
        </row>
        <row r="29">
          <cell r="W29">
            <v>123.35</v>
          </cell>
        </row>
      </sheetData>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EIA 3 calcs"/>
      <sheetName val="PAYS interest calculation"/>
      <sheetName val="MEEIA 3 adjs"/>
      <sheetName val="M3 Allocations - TD"/>
      <sheetName val="M3 TD amort"/>
      <sheetName val="MEEIA 2 calcs"/>
      <sheetName val="MEEIA 2 adjs"/>
      <sheetName val="M2 Allocations - TD"/>
      <sheetName val="M2 TD amort"/>
    </sheetNames>
    <sheetDataSet>
      <sheetData sheetId="0">
        <row r="9">
          <cell r="F9">
            <v>2.7878150000000001E-2</v>
          </cell>
          <cell r="G9">
            <v>2.6622739999999999E-2</v>
          </cell>
          <cell r="H9">
            <v>2.677361E-2</v>
          </cell>
          <cell r="I9">
            <v>2.6500570000000001E-2</v>
          </cell>
          <cell r="J9">
            <v>2.594869E-2</v>
          </cell>
          <cell r="K9">
            <v>2.3511899999999999E-2</v>
          </cell>
          <cell r="L9">
            <v>2.21687E-2</v>
          </cell>
          <cell r="M9">
            <v>2.113932E-2</v>
          </cell>
          <cell r="N9">
            <v>1.8159890000000001E-2</v>
          </cell>
          <cell r="O9">
            <v>1.9151990000000001E-2</v>
          </cell>
          <cell r="P9">
            <v>1.8890779999999999E-2</v>
          </cell>
          <cell r="Q9">
            <v>1.8035829999999999E-2</v>
          </cell>
          <cell r="R9">
            <v>1.888592E-2</v>
          </cell>
          <cell r="S9">
            <v>9.3845999999999999E-3</v>
          </cell>
          <cell r="T9">
            <v>1.2906700000000001E-3</v>
          </cell>
          <cell r="U9">
            <v>1.2563100000000001E-3</v>
          </cell>
          <cell r="V9">
            <v>1.9366299999999999E-3</v>
          </cell>
          <cell r="W9">
            <v>1.3658500000000001E-3</v>
          </cell>
          <cell r="X9">
            <v>1.23916E-3</v>
          </cell>
          <cell r="Y9">
            <v>2E-3</v>
          </cell>
          <cell r="Z9">
            <v>2.5244400000000002E-3</v>
          </cell>
          <cell r="AA9">
            <v>2.8469900000000002E-3</v>
          </cell>
          <cell r="AB9">
            <v>2.0613900000000002E-3</v>
          </cell>
          <cell r="AC9">
            <v>2.3221700000000001E-3</v>
          </cell>
          <cell r="AD9">
            <v>2.1367399999999998E-3</v>
          </cell>
          <cell r="AE9">
            <v>2.2512299999999999E-3</v>
          </cell>
          <cell r="AF9">
            <v>2.2427200000000001E-3</v>
          </cell>
          <cell r="AG9">
            <v>2.01659E-3</v>
          </cell>
          <cell r="AH9">
            <v>1.3954900000000001E-3</v>
          </cell>
          <cell r="AI9">
            <v>2.0509899999999999E-3</v>
          </cell>
          <cell r="AJ9">
            <v>1.9323299999999999E-3</v>
          </cell>
          <cell r="AK9">
            <v>1.5E-3</v>
          </cell>
          <cell r="AL9">
            <v>1.5320900000000001E-3</v>
          </cell>
          <cell r="AM9">
            <v>2.6046400000000001E-3</v>
          </cell>
          <cell r="AN9">
            <v>2.3444999999999998E-3</v>
          </cell>
          <cell r="AO9">
            <v>2.9584899999999998E-3</v>
          </cell>
          <cell r="AP9">
            <v>6.8829599999999996E-3</v>
          </cell>
          <cell r="AQ9">
            <v>6.0041599999999997E-3</v>
          </cell>
          <cell r="AR9">
            <v>9.4970499999999999E-3</v>
          </cell>
          <cell r="AS9">
            <v>1.4858659999999999E-2</v>
          </cell>
          <cell r="AT9">
            <v>2.0566899999999999E-2</v>
          </cell>
          <cell r="AU9">
            <v>2.564054E-2</v>
          </cell>
          <cell r="AV9">
            <v>2.8416960000000002E-2</v>
          </cell>
          <cell r="AW9">
            <v>3.4701200000000001E-2</v>
          </cell>
        </row>
        <row r="10">
          <cell r="AX10">
            <v>-47993.36</v>
          </cell>
          <cell r="AY10">
            <v>-15758.15</v>
          </cell>
          <cell r="AZ10">
            <v>-25741.279999999999</v>
          </cell>
        </row>
        <row r="21">
          <cell r="AX21">
            <v>15983</v>
          </cell>
          <cell r="AY21">
            <v>16462.89</v>
          </cell>
          <cell r="AZ21">
            <v>16707.47</v>
          </cell>
        </row>
        <row r="27">
          <cell r="AL27">
            <v>1017970.7346454827</v>
          </cell>
          <cell r="AM27">
            <v>1252923.0225376603</v>
          </cell>
          <cell r="AN27">
            <v>1434652.1574546397</v>
          </cell>
          <cell r="AO27">
            <v>1242256.6900827016</v>
          </cell>
          <cell r="AP27">
            <v>466704.19082447694</v>
          </cell>
          <cell r="AQ27">
            <v>411086.64598257263</v>
          </cell>
          <cell r="AR27">
            <v>460606.66199414816</v>
          </cell>
          <cell r="AS27">
            <v>1458035.3553365585</v>
          </cell>
          <cell r="AT27">
            <v>1865399.5827007205</v>
          </cell>
          <cell r="AU27">
            <v>1789207.583547906</v>
          </cell>
          <cell r="AV27">
            <v>1230661.6176145528</v>
          </cell>
          <cell r="AW27">
            <v>448108.96181830607</v>
          </cell>
        </row>
        <row r="37">
          <cell r="AL37">
            <v>222262.13845546212</v>
          </cell>
          <cell r="AM37">
            <v>249509.48642011534</v>
          </cell>
          <cell r="AN37">
            <v>321944.69044732186</v>
          </cell>
          <cell r="AO37">
            <v>246962.75301226831</v>
          </cell>
          <cell r="AP37">
            <v>100845.58616926862</v>
          </cell>
          <cell r="AQ37">
            <v>127422.49440160212</v>
          </cell>
          <cell r="AR37">
            <v>191471.00601967305</v>
          </cell>
          <cell r="AS37">
            <v>262682.7688338983</v>
          </cell>
          <cell r="AT37">
            <v>354188.78297288192</v>
          </cell>
          <cell r="AU37">
            <v>291793.54141646903</v>
          </cell>
          <cell r="AV37">
            <v>288002.90399346605</v>
          </cell>
          <cell r="AW37">
            <v>176158.92806469859</v>
          </cell>
        </row>
        <row r="47">
          <cell r="AL47">
            <v>343727.65210763505</v>
          </cell>
          <cell r="AM47">
            <v>418850.04670264991</v>
          </cell>
          <cell r="AN47">
            <v>627056.98298263596</v>
          </cell>
          <cell r="AO47">
            <v>475288.11809378932</v>
          </cell>
          <cell r="AP47">
            <v>288997.35659879085</v>
          </cell>
          <cell r="AQ47">
            <v>253245.26358346242</v>
          </cell>
          <cell r="AR47">
            <v>337719.24594805558</v>
          </cell>
          <cell r="AS47">
            <v>917413.81462190335</v>
          </cell>
          <cell r="AT47">
            <v>1145597.0197120309</v>
          </cell>
          <cell r="AU47">
            <v>988866.58881189337</v>
          </cell>
          <cell r="AV47">
            <v>672365.26793086936</v>
          </cell>
          <cell r="AW47">
            <v>344986.1375718661</v>
          </cell>
        </row>
        <row r="57">
          <cell r="AL57">
            <v>93253.892629017733</v>
          </cell>
          <cell r="AM57">
            <v>103488.5984224446</v>
          </cell>
          <cell r="AN57">
            <v>144414.82989089785</v>
          </cell>
          <cell r="AO57">
            <v>110066.63506595949</v>
          </cell>
          <cell r="AP57">
            <v>50328.1679847302</v>
          </cell>
          <cell r="AQ57">
            <v>48818.637830727937</v>
          </cell>
          <cell r="AR57">
            <v>69139.5977047872</v>
          </cell>
          <cell r="AS57">
            <v>204404.00741586328</v>
          </cell>
          <cell r="AT57">
            <v>281050.68735267245</v>
          </cell>
          <cell r="AU57">
            <v>243115.17544525067</v>
          </cell>
          <cell r="AV57">
            <v>160177.67633933009</v>
          </cell>
          <cell r="AW57">
            <v>71401.608823197399</v>
          </cell>
        </row>
        <row r="67">
          <cell r="AL67">
            <v>16125.741463642871</v>
          </cell>
          <cell r="AM67">
            <v>19063.36096942682</v>
          </cell>
          <cell r="AN67">
            <v>18825.407725594807</v>
          </cell>
          <cell r="AO67">
            <v>15042.280346882986</v>
          </cell>
          <cell r="AP67">
            <v>5372.5491881501548</v>
          </cell>
          <cell r="AQ67">
            <v>5761.1753207721658</v>
          </cell>
          <cell r="AR67">
            <v>7701.1665386990999</v>
          </cell>
          <cell r="AS67">
            <v>20816.695916117322</v>
          </cell>
          <cell r="AT67">
            <v>29321.450972661642</v>
          </cell>
          <cell r="AU67">
            <v>29057.042020850196</v>
          </cell>
          <cell r="AV67">
            <v>22639.119300577775</v>
          </cell>
          <cell r="AW67">
            <v>10522.674846079888</v>
          </cell>
        </row>
        <row r="79">
          <cell r="AX79">
            <v>-84.096350354399888</v>
          </cell>
          <cell r="AY79">
            <v>-34.45956276150001</v>
          </cell>
          <cell r="AZ79">
            <v>23.922489574742499</v>
          </cell>
        </row>
        <row r="89">
          <cell r="AX89">
            <v>-2627.7920066791603</v>
          </cell>
          <cell r="AY89">
            <v>-2670.1668831258007</v>
          </cell>
          <cell r="AZ89">
            <v>-3089.9953851104642</v>
          </cell>
        </row>
      </sheetData>
      <sheetData sheetId="1"/>
      <sheetData sheetId="2"/>
      <sheetData sheetId="3">
        <row r="23">
          <cell r="AW23">
            <v>1184020781.8935058</v>
          </cell>
          <cell r="AX23">
            <v>1463715224.8515413</v>
          </cell>
        </row>
        <row r="24">
          <cell r="AV24">
            <v>214006590.80418369</v>
          </cell>
          <cell r="AW24">
            <v>259208399.28055152</v>
          </cell>
          <cell r="AX24">
            <v>305953434.20188934</v>
          </cell>
        </row>
        <row r="25">
          <cell r="AV25">
            <v>504852117.67261267</v>
          </cell>
          <cell r="AW25">
            <v>560359725.04073942</v>
          </cell>
          <cell r="AX25">
            <v>613374545.87154281</v>
          </cell>
        </row>
        <row r="26">
          <cell r="AV26">
            <v>223136740.16275239</v>
          </cell>
          <cell r="AW26">
            <v>232535693.78009516</v>
          </cell>
          <cell r="AX26">
            <v>241558091.74347511</v>
          </cell>
        </row>
        <row r="27">
          <cell r="AV27">
            <v>85688222.716237277</v>
          </cell>
          <cell r="AW27">
            <v>83961913.884668529</v>
          </cell>
          <cell r="AX27">
            <v>88463159.829218939</v>
          </cell>
        </row>
        <row r="31">
          <cell r="AV31">
            <v>513287.7753165249</v>
          </cell>
          <cell r="AW31">
            <v>667158.91637326952</v>
          </cell>
          <cell r="AX31">
            <v>696119.34220677242</v>
          </cell>
        </row>
        <row r="32">
          <cell r="AV32">
            <v>154363.61309340104</v>
          </cell>
          <cell r="AW32">
            <v>184031.96632591443</v>
          </cell>
          <cell r="AX32">
            <v>207246.80988707975</v>
          </cell>
        </row>
        <row r="33">
          <cell r="AV33">
            <v>371780.0356207178</v>
          </cell>
          <cell r="AW33">
            <v>509918.55718081078</v>
          </cell>
          <cell r="AX33">
            <v>579970.9332370339</v>
          </cell>
        </row>
        <row r="34">
          <cell r="AV34">
            <v>70082.744170847945</v>
          </cell>
          <cell r="AW34">
            <v>100472.44441939586</v>
          </cell>
          <cell r="AX34">
            <v>132403.90069171612</v>
          </cell>
        </row>
        <row r="35">
          <cell r="AV35">
            <v>9984.2342642800941</v>
          </cell>
          <cell r="AW35">
            <v>13628.440153965161</v>
          </cell>
          <cell r="AX35">
            <v>16081.445285659314</v>
          </cell>
        </row>
        <row r="39">
          <cell r="BJ39">
            <v>7389934.1371085709</v>
          </cell>
        </row>
        <row r="40">
          <cell r="BJ40">
            <v>2130235.5894864802</v>
          </cell>
        </row>
        <row r="41">
          <cell r="BJ41">
            <v>7446607.2763517089</v>
          </cell>
        </row>
        <row r="42">
          <cell r="BJ42">
            <v>2553041.1653351495</v>
          </cell>
        </row>
        <row r="43">
          <cell r="BJ43">
            <v>424729.56085309939</v>
          </cell>
        </row>
      </sheetData>
      <sheetData sheetId="4"/>
      <sheetData sheetId="5">
        <row r="9">
          <cell r="BU9">
            <v>1.5320900000000001E-3</v>
          </cell>
          <cell r="BV9">
            <v>2.6046400000000001E-3</v>
          </cell>
          <cell r="BW9">
            <v>2.3444999999999998E-3</v>
          </cell>
          <cell r="BX9">
            <v>2.9584899999999998E-3</v>
          </cell>
          <cell r="BY9">
            <v>6.8829599999999996E-3</v>
          </cell>
          <cell r="BZ9">
            <v>6.0041599999999997E-3</v>
          </cell>
          <cell r="CA9">
            <v>9.4970499999999999E-3</v>
          </cell>
          <cell r="CB9">
            <v>1.4858659999999999E-2</v>
          </cell>
          <cell r="CC9">
            <v>2.0566899999999999E-2</v>
          </cell>
          <cell r="CD9">
            <v>2.564054E-2</v>
          </cell>
          <cell r="CE9">
            <v>2.8416960000000002E-2</v>
          </cell>
          <cell r="CF9">
            <v>3.4701200000000001E-2</v>
          </cell>
        </row>
        <row r="21">
          <cell r="CG21">
            <v>592.15627306824376</v>
          </cell>
          <cell r="CH21">
            <v>760.27899278800464</v>
          </cell>
          <cell r="CI21">
            <v>948.3501469704147</v>
          </cell>
        </row>
        <row r="27">
          <cell r="BU27">
            <v>0</v>
          </cell>
          <cell r="BV27">
            <v>0</v>
          </cell>
          <cell r="BW27">
            <v>0</v>
          </cell>
          <cell r="BX27">
            <v>0</v>
          </cell>
          <cell r="BY27">
            <v>0</v>
          </cell>
          <cell r="BZ27">
            <v>0</v>
          </cell>
          <cell r="CA27">
            <v>0</v>
          </cell>
          <cell r="CB27">
            <v>0</v>
          </cell>
          <cell r="CC27">
            <v>0</v>
          </cell>
          <cell r="CD27">
            <v>0</v>
          </cell>
          <cell r="CE27">
            <v>0</v>
          </cell>
          <cell r="CF27">
            <v>0</v>
          </cell>
        </row>
        <row r="37">
          <cell r="BU37">
            <v>993.04000000096858</v>
          </cell>
          <cell r="BV37">
            <v>1022.7099999990314</v>
          </cell>
          <cell r="BW37">
            <v>1061.0999999996275</v>
          </cell>
          <cell r="BX37">
            <v>818.65000000037253</v>
          </cell>
          <cell r="BY37">
            <v>0</v>
          </cell>
          <cell r="BZ37">
            <v>0</v>
          </cell>
          <cell r="CA37">
            <v>0</v>
          </cell>
          <cell r="CB37">
            <v>0</v>
          </cell>
          <cell r="CC37">
            <v>0</v>
          </cell>
          <cell r="CD37">
            <v>0</v>
          </cell>
          <cell r="CE37">
            <v>0</v>
          </cell>
          <cell r="CF37">
            <v>0</v>
          </cell>
        </row>
        <row r="47">
          <cell r="BU47">
            <v>9312.6499999985099</v>
          </cell>
          <cell r="BV47">
            <v>11751.719999998808</v>
          </cell>
          <cell r="BW47">
            <v>12005.310000002384</v>
          </cell>
          <cell r="BX47">
            <v>10126.529999997467</v>
          </cell>
          <cell r="BY47">
            <v>0</v>
          </cell>
          <cell r="BZ47">
            <v>0</v>
          </cell>
          <cell r="CA47">
            <v>0</v>
          </cell>
          <cell r="CB47">
            <v>0</v>
          </cell>
          <cell r="CC47">
            <v>0</v>
          </cell>
          <cell r="CD47">
            <v>0</v>
          </cell>
          <cell r="CE47">
            <v>0</v>
          </cell>
          <cell r="CF47">
            <v>0</v>
          </cell>
        </row>
        <row r="57">
          <cell r="BU57">
            <v>10374.580000000075</v>
          </cell>
          <cell r="BV57">
            <v>12057.450000001118</v>
          </cell>
          <cell r="BW57">
            <v>12824.789999999106</v>
          </cell>
          <cell r="BX57">
            <v>10330.179999999702</v>
          </cell>
          <cell r="BY57">
            <v>0</v>
          </cell>
          <cell r="BZ57">
            <v>0</v>
          </cell>
          <cell r="CA57">
            <v>0</v>
          </cell>
          <cell r="CB57">
            <v>0</v>
          </cell>
          <cell r="CC57">
            <v>0</v>
          </cell>
          <cell r="CD57">
            <v>0</v>
          </cell>
          <cell r="CE57">
            <v>0</v>
          </cell>
          <cell r="CF57">
            <v>0</v>
          </cell>
        </row>
        <row r="67">
          <cell r="BU67">
            <v>-54.189999999944121</v>
          </cell>
          <cell r="BV67">
            <v>-56.580000000074506</v>
          </cell>
          <cell r="BW67">
            <v>-61.179999999701977</v>
          </cell>
          <cell r="BX67">
            <v>-51.470000000204891</v>
          </cell>
          <cell r="BY67">
            <v>0</v>
          </cell>
          <cell r="BZ67">
            <v>0</v>
          </cell>
          <cell r="CA67">
            <v>0</v>
          </cell>
          <cell r="CB67">
            <v>0</v>
          </cell>
          <cell r="CC67">
            <v>0</v>
          </cell>
          <cell r="CD67">
            <v>0</v>
          </cell>
          <cell r="CE67">
            <v>0</v>
          </cell>
          <cell r="CF67">
            <v>0</v>
          </cell>
        </row>
      </sheetData>
      <sheetData sheetId="6"/>
      <sheetData sheetId="7">
        <row r="23">
          <cell r="CF23">
            <v>823809710.89954734</v>
          </cell>
          <cell r="CG23">
            <v>1184020781.8935058</v>
          </cell>
          <cell r="CH23">
            <v>1463715224.8515413</v>
          </cell>
        </row>
        <row r="24">
          <cell r="CF24">
            <v>214006590.80418369</v>
          </cell>
          <cell r="CG24">
            <v>259208399.28055152</v>
          </cell>
          <cell r="CH24">
            <v>305953434.20188934</v>
          </cell>
        </row>
        <row r="25">
          <cell r="CF25">
            <v>504852117.67261267</v>
          </cell>
          <cell r="CG25">
            <v>560359725.04073942</v>
          </cell>
          <cell r="CH25">
            <v>613374545.87154281</v>
          </cell>
        </row>
        <row r="26">
          <cell r="CF26">
            <v>223136740.16275239</v>
          </cell>
          <cell r="CG26">
            <v>232535693.78009516</v>
          </cell>
          <cell r="CH26">
            <v>241558091.74347511</v>
          </cell>
        </row>
        <row r="27">
          <cell r="CF27">
            <v>85688222.716237277</v>
          </cell>
          <cell r="CG27">
            <v>83961913.884668529</v>
          </cell>
          <cell r="CH27">
            <v>88463159.829218939</v>
          </cell>
        </row>
        <row r="31">
          <cell r="CF31">
            <v>0</v>
          </cell>
          <cell r="CG31">
            <v>0</v>
          </cell>
          <cell r="CH31">
            <v>0</v>
          </cell>
        </row>
        <row r="32">
          <cell r="CF32">
            <v>0</v>
          </cell>
          <cell r="CG32">
            <v>0</v>
          </cell>
          <cell r="CH32">
            <v>0</v>
          </cell>
        </row>
        <row r="33">
          <cell r="CF33">
            <v>0</v>
          </cell>
          <cell r="CG33">
            <v>0</v>
          </cell>
          <cell r="CH33">
            <v>0</v>
          </cell>
        </row>
        <row r="34">
          <cell r="CF34">
            <v>0</v>
          </cell>
          <cell r="CG34">
            <v>0</v>
          </cell>
          <cell r="CH34">
            <v>0</v>
          </cell>
        </row>
        <row r="35">
          <cell r="CF35">
            <v>0</v>
          </cell>
          <cell r="CG35">
            <v>0</v>
          </cell>
          <cell r="CH35">
            <v>0</v>
          </cell>
        </row>
        <row r="39">
          <cell r="CT39">
            <v>0</v>
          </cell>
        </row>
        <row r="40">
          <cell r="CT40">
            <v>0</v>
          </cell>
        </row>
        <row r="41">
          <cell r="CT41">
            <v>0</v>
          </cell>
        </row>
        <row r="42">
          <cell r="CT42">
            <v>0</v>
          </cell>
        </row>
        <row r="43">
          <cell r="CT43">
            <v>0</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AF49"/>
  <sheetViews>
    <sheetView tabSelected="1" workbookViewId="0">
      <selection activeCell="B21" sqref="B21"/>
    </sheetView>
  </sheetViews>
  <sheetFormatPr defaultRowHeight="14.4" x14ac:dyDescent="0.3"/>
  <cols>
    <col min="1" max="1" width="23.5546875" customWidth="1"/>
    <col min="2" max="2" width="20.44140625" customWidth="1"/>
    <col min="3" max="3" width="15.109375" style="139" customWidth="1"/>
    <col min="4" max="4" width="16.109375" customWidth="1"/>
    <col min="5" max="5" width="12.6640625" customWidth="1"/>
    <col min="6" max="9" width="17.6640625" customWidth="1"/>
  </cols>
  <sheetData>
    <row r="1" spans="1:19" ht="15" thickBot="1" x14ac:dyDescent="0.35">
      <c r="A1" s="6" t="s">
        <v>171</v>
      </c>
    </row>
    <row r="2" spans="1:19" ht="15" thickBot="1" x14ac:dyDescent="0.35">
      <c r="B2" s="395" t="s">
        <v>150</v>
      </c>
      <c r="C2" s="210"/>
      <c r="E2" s="415" t="s">
        <v>151</v>
      </c>
      <c r="F2" s="416"/>
      <c r="G2" s="416"/>
      <c r="H2" s="416"/>
      <c r="I2" s="417"/>
      <c r="J2" s="139"/>
      <c r="K2" s="2" t="s">
        <v>26</v>
      </c>
    </row>
    <row r="3" spans="1:19" x14ac:dyDescent="0.3">
      <c r="C3" s="211" t="s">
        <v>148</v>
      </c>
      <c r="E3" s="141"/>
      <c r="F3" s="147" t="s">
        <v>0</v>
      </c>
      <c r="G3" s="147" t="s">
        <v>1</v>
      </c>
      <c r="H3" s="147" t="s">
        <v>2</v>
      </c>
      <c r="I3" s="148" t="s">
        <v>3</v>
      </c>
      <c r="J3" s="139"/>
      <c r="K3" s="39" t="s">
        <v>45</v>
      </c>
      <c r="L3" s="32"/>
      <c r="M3" s="32"/>
      <c r="N3" s="32"/>
      <c r="O3" s="32"/>
      <c r="P3" s="32"/>
      <c r="Q3" s="32"/>
      <c r="R3" s="32"/>
      <c r="S3" s="32"/>
    </row>
    <row r="4" spans="1:19" x14ac:dyDescent="0.3">
      <c r="B4" s="280" t="s">
        <v>30</v>
      </c>
      <c r="C4" s="211" t="s">
        <v>10</v>
      </c>
      <c r="D4" s="31"/>
      <c r="E4" s="143"/>
      <c r="F4" s="28">
        <v>1</v>
      </c>
      <c r="G4" s="28">
        <v>0</v>
      </c>
      <c r="H4" s="145">
        <f>IFERROR(B5/SUM($B$5:$B$9),0)</f>
        <v>0.48642904225683026</v>
      </c>
      <c r="I4" s="146">
        <f>H4</f>
        <v>0.48642904225683026</v>
      </c>
      <c r="J4" s="139"/>
      <c r="K4" s="39" t="s">
        <v>27</v>
      </c>
      <c r="L4" s="32"/>
      <c r="M4" s="32"/>
      <c r="N4" s="32"/>
      <c r="O4" s="32"/>
      <c r="P4" s="32"/>
      <c r="Q4" s="32"/>
      <c r="R4" s="32"/>
      <c r="S4" s="32"/>
    </row>
    <row r="5" spans="1:19" x14ac:dyDescent="0.3">
      <c r="A5" s="41" t="s">
        <v>31</v>
      </c>
      <c r="B5" s="24">
        <f>'[1]PPC.1, PCR.2F, EO.3'!Q27</f>
        <v>12916858435.280331</v>
      </c>
      <c r="C5" s="26">
        <f>SUM(F11:I11)</f>
        <v>34900085.35985665</v>
      </c>
      <c r="D5" s="31"/>
      <c r="E5" s="143"/>
      <c r="F5" s="28">
        <v>0</v>
      </c>
      <c r="G5" s="145">
        <f>IFERROR(B6/SUM($B$6:$B$9),0)</f>
        <v>0.22111082631945383</v>
      </c>
      <c r="H5" s="145">
        <f>IFERROR(B6/SUM($B$5:$B$9),0)</f>
        <v>0.11355609884026559</v>
      </c>
      <c r="I5" s="146">
        <f>H5</f>
        <v>0.11355609884026559</v>
      </c>
      <c r="J5" s="139"/>
      <c r="K5" s="39" t="s">
        <v>40</v>
      </c>
    </row>
    <row r="6" spans="1:19" x14ac:dyDescent="0.3">
      <c r="A6" s="19" t="s">
        <v>4</v>
      </c>
      <c r="B6" s="24">
        <f>'[1]PPC.1, PCR.2F, EO.3'!Q28</f>
        <v>3015420391.7946997</v>
      </c>
      <c r="C6" s="26">
        <f>SUM(F12:I12)</f>
        <v>8646426.0251942519</v>
      </c>
      <c r="D6" s="31"/>
      <c r="E6" s="143"/>
      <c r="F6" s="28">
        <v>0</v>
      </c>
      <c r="G6" s="145">
        <f>IFERROR(B7/SUM($B$6:$B$9),0)</f>
        <v>0.49207835691687429</v>
      </c>
      <c r="H6" s="145">
        <f>IFERROR(B7/SUM($B$5:$B$9),0)</f>
        <v>0.25271715304648446</v>
      </c>
      <c r="I6" s="146">
        <f>H6</f>
        <v>0.25271715304648446</v>
      </c>
      <c r="J6" s="139"/>
    </row>
    <row r="7" spans="1:19" x14ac:dyDescent="0.3">
      <c r="A7" s="19" t="s">
        <v>5</v>
      </c>
      <c r="B7" s="24">
        <f>'[1]PPC.1, PCR.2F, EO.3'!Q29</f>
        <v>6710766435.5801058</v>
      </c>
      <c r="C7" s="26">
        <f>SUM(F13:I13)</f>
        <v>19242473.028135698</v>
      </c>
      <c r="D7" s="31"/>
      <c r="E7" s="143"/>
      <c r="F7" s="28">
        <v>0</v>
      </c>
      <c r="G7" s="145">
        <f>IFERROR(B8/SUM($B$6:$B$9),0)</f>
        <v>0.20591068488770112</v>
      </c>
      <c r="H7" s="145">
        <f>IFERROR(B8/SUM($B$5:$B$9),0)</f>
        <v>0.10574974764732871</v>
      </c>
      <c r="I7" s="146">
        <f>H7</f>
        <v>0.10574974764732871</v>
      </c>
      <c r="J7" s="139"/>
    </row>
    <row r="8" spans="1:19" ht="15" thickBot="1" x14ac:dyDescent="0.35">
      <c r="A8" s="19" t="s">
        <v>6</v>
      </c>
      <c r="B8" s="24">
        <f>'[1]PPC.1, PCR.2F, EO.3'!Q30</f>
        <v>2808126985.1604629</v>
      </c>
      <c r="C8" s="26">
        <f>SUM(F14:I14)</f>
        <v>8052032.2514933702</v>
      </c>
      <c r="D8" s="31"/>
      <c r="E8" s="143"/>
      <c r="F8" s="28">
        <v>0</v>
      </c>
      <c r="G8" s="145">
        <f>IFERROR(B9/SUM($B$6:$B$9),0)</f>
        <v>8.0900131875970699E-2</v>
      </c>
      <c r="H8" s="145">
        <f>IFERROR(B9/SUM($B$5:$B$9),0)</f>
        <v>4.1547958209091018E-2</v>
      </c>
      <c r="I8" s="146">
        <f>H8</f>
        <v>4.1547958209091018E-2</v>
      </c>
      <c r="J8" s="139"/>
    </row>
    <row r="9" spans="1:19" ht="15.6" thickTop="1" thickBot="1" x14ac:dyDescent="0.35">
      <c r="A9" s="19" t="s">
        <v>7</v>
      </c>
      <c r="B9" s="24">
        <f>'[1]PPC.1, PCR.2F, EO.3'!Q31</f>
        <v>1103283414.1067083</v>
      </c>
      <c r="C9" s="26">
        <f>SUM(F15:I15)</f>
        <v>3163558.3717797212</v>
      </c>
      <c r="D9" s="3"/>
      <c r="E9" s="149" t="s">
        <v>25</v>
      </c>
      <c r="F9" s="155">
        <f>1-SUM(F4:F8)</f>
        <v>0</v>
      </c>
      <c r="G9" s="155">
        <f>(1-SUM(G4:G8))</f>
        <v>0</v>
      </c>
      <c r="H9" s="155">
        <f>1-SUM(H4:H8)</f>
        <v>0</v>
      </c>
      <c r="I9" s="156">
        <f>1-SUM(I4:I8)</f>
        <v>0</v>
      </c>
      <c r="J9" s="139"/>
    </row>
    <row r="10" spans="1:19" ht="15.6" thickTop="1" thickBot="1" x14ac:dyDescent="0.35">
      <c r="A10" s="19" t="s">
        <v>9</v>
      </c>
      <c r="B10" s="25">
        <f>SUM(B5:B9)</f>
        <v>26554455661.922306</v>
      </c>
      <c r="C10" s="21">
        <f>SUM(C5:C9)</f>
        <v>74004575.036459684</v>
      </c>
      <c r="D10" s="3"/>
      <c r="E10" s="152" t="s">
        <v>38</v>
      </c>
      <c r="F10" s="27">
        <f>'[1]PPC.2, PCR.1F'!$G$21</f>
        <v>27961839.058357261</v>
      </c>
      <c r="G10" s="27">
        <f>'[1]PPC.2, PCR.1F'!$G$22</f>
        <v>31779101</v>
      </c>
      <c r="H10" s="27">
        <f>'[1]PPC.2, PCR.1F'!$G$23</f>
        <v>13840634.978102429</v>
      </c>
      <c r="I10" s="46">
        <f>'[1]PPC.2, PCR.1F'!$G$24</f>
        <v>423000</v>
      </c>
      <c r="J10" s="291" t="s">
        <v>36</v>
      </c>
    </row>
    <row r="11" spans="1:19" ht="15.6" thickTop="1" thickBot="1" x14ac:dyDescent="0.35">
      <c r="B11" s="23" t="s">
        <v>25</v>
      </c>
      <c r="C11" s="18">
        <f>SUM(F10:I10)-C10</f>
        <v>0</v>
      </c>
      <c r="D11" s="3"/>
      <c r="E11" s="222" t="s">
        <v>0</v>
      </c>
      <c r="F11" s="223">
        <f>F4*F$10</f>
        <v>27961839.058357261</v>
      </c>
      <c r="G11" s="223">
        <f>G4*G$10</f>
        <v>0</v>
      </c>
      <c r="H11" s="223">
        <f>H4*H$10</f>
        <v>6732486.8166247495</v>
      </c>
      <c r="I11" s="224">
        <f>I4*I$10</f>
        <v>205759.48487463919</v>
      </c>
      <c r="J11" s="139"/>
    </row>
    <row r="12" spans="1:19" ht="15" thickTop="1" x14ac:dyDescent="0.3">
      <c r="D12" s="3"/>
      <c r="E12" s="143" t="s">
        <v>4</v>
      </c>
      <c r="F12" s="150">
        <f t="shared" ref="F12:I15" si="0">F5*F$10</f>
        <v>0</v>
      </c>
      <c r="G12" s="150">
        <f>G5*G$10</f>
        <v>7026703.2817993816</v>
      </c>
      <c r="H12" s="150">
        <f t="shared" si="0"/>
        <v>1571688.5135854366</v>
      </c>
      <c r="I12" s="151">
        <f t="shared" si="0"/>
        <v>48034.229809432341</v>
      </c>
      <c r="J12" s="139"/>
    </row>
    <row r="13" spans="1:19" x14ac:dyDescent="0.3">
      <c r="B13" s="35"/>
      <c r="C13" s="35"/>
      <c r="D13" s="3"/>
      <c r="E13" s="143" t="s">
        <v>5</v>
      </c>
      <c r="F13" s="150">
        <f t="shared" si="0"/>
        <v>0</v>
      </c>
      <c r="G13" s="150">
        <f t="shared" si="0"/>
        <v>15637807.804375397</v>
      </c>
      <c r="H13" s="150">
        <f t="shared" si="0"/>
        <v>3497765.8680216377</v>
      </c>
      <c r="I13" s="151">
        <f t="shared" si="0"/>
        <v>106899.35573866293</v>
      </c>
      <c r="J13" s="139"/>
    </row>
    <row r="14" spans="1:19" x14ac:dyDescent="0.3">
      <c r="A14" s="41" t="s">
        <v>39</v>
      </c>
      <c r="B14" s="303">
        <f>'[1]PPC.3, PCR.2'!CE41</f>
        <v>4.5910547559206538E-2</v>
      </c>
      <c r="D14" s="3"/>
      <c r="E14" s="143" t="s">
        <v>6</v>
      </c>
      <c r="F14" s="150">
        <f t="shared" si="0"/>
        <v>0</v>
      </c>
      <c r="G14" s="150">
        <f t="shared" si="0"/>
        <v>6543656.4520254275</v>
      </c>
      <c r="H14" s="150">
        <f t="shared" si="0"/>
        <v>1463643.6562131229</v>
      </c>
      <c r="I14" s="151">
        <f t="shared" si="0"/>
        <v>44732.143254820046</v>
      </c>
      <c r="J14" s="139"/>
    </row>
    <row r="15" spans="1:19" ht="15" thickBot="1" x14ac:dyDescent="0.35">
      <c r="A15" s="19" t="s">
        <v>37</v>
      </c>
      <c r="B15" s="25">
        <f>B5*(1-B14)</f>
        <v>12323838391.771854</v>
      </c>
      <c r="D15" s="3"/>
      <c r="E15" s="144" t="s">
        <v>7</v>
      </c>
      <c r="F15" s="225">
        <f t="shared" si="0"/>
        <v>0</v>
      </c>
      <c r="G15" s="225">
        <f t="shared" si="0"/>
        <v>2570933.4617997925</v>
      </c>
      <c r="H15" s="225">
        <f t="shared" si="0"/>
        <v>575050.12365748314</v>
      </c>
      <c r="I15" s="133">
        <f t="shared" si="0"/>
        <v>17574.7863224455</v>
      </c>
      <c r="J15" s="139"/>
    </row>
    <row r="16" spans="1:19" x14ac:dyDescent="0.3">
      <c r="C16" s="4"/>
    </row>
    <row r="17" spans="1:32" x14ac:dyDescent="0.3">
      <c r="A17" s="176"/>
      <c r="B17" s="213"/>
      <c r="C17" s="176"/>
    </row>
    <row r="18" spans="1:32" x14ac:dyDescent="0.3">
      <c r="A18" s="176"/>
      <c r="B18" s="221"/>
      <c r="C18" s="214"/>
      <c r="D18" s="139"/>
      <c r="K18" s="39"/>
      <c r="L18" s="32"/>
      <c r="M18" s="32"/>
      <c r="N18" s="32"/>
      <c r="O18" s="32"/>
      <c r="P18" s="32"/>
      <c r="Q18" s="32"/>
      <c r="R18" s="32"/>
      <c r="S18" s="32"/>
      <c r="W18" s="1"/>
      <c r="X18" s="1"/>
      <c r="Y18" s="1"/>
      <c r="Z18" s="1"/>
      <c r="AA18" s="1"/>
      <c r="AB18" s="1"/>
      <c r="AC18" s="1"/>
      <c r="AD18" s="1"/>
      <c r="AE18" s="1"/>
      <c r="AF18" s="1"/>
    </row>
    <row r="19" spans="1:32" x14ac:dyDescent="0.3">
      <c r="A19" s="176"/>
      <c r="B19" s="186"/>
      <c r="C19" s="186"/>
      <c r="D19" s="139"/>
      <c r="K19" s="39"/>
      <c r="L19" s="32"/>
      <c r="M19" s="32"/>
      <c r="N19" s="32"/>
      <c r="O19" s="32"/>
      <c r="P19" s="32"/>
      <c r="Q19" s="32"/>
      <c r="R19" s="32"/>
      <c r="S19" s="32"/>
    </row>
    <row r="20" spans="1:32" x14ac:dyDescent="0.3">
      <c r="A20" s="215"/>
      <c r="B20" s="218"/>
      <c r="C20" s="219"/>
      <c r="D20" s="31"/>
      <c r="K20" s="39"/>
      <c r="L20" s="32"/>
      <c r="M20" s="32"/>
      <c r="N20" s="32"/>
      <c r="O20" s="32"/>
      <c r="P20" s="32"/>
      <c r="Q20" s="32"/>
      <c r="R20" s="32"/>
      <c r="S20" s="32"/>
    </row>
    <row r="21" spans="1:32" x14ac:dyDescent="0.3">
      <c r="A21" s="215"/>
      <c r="B21" s="218"/>
      <c r="C21" s="219"/>
      <c r="D21" s="31"/>
      <c r="K21" s="39"/>
      <c r="L21" s="32"/>
      <c r="M21" s="32"/>
      <c r="N21" s="32"/>
      <c r="O21" s="32"/>
      <c r="P21" s="32"/>
      <c r="Q21" s="32"/>
      <c r="R21" s="32"/>
      <c r="S21" s="32"/>
    </row>
    <row r="22" spans="1:32" x14ac:dyDescent="0.3">
      <c r="A22" s="215"/>
      <c r="B22" s="218"/>
      <c r="C22" s="219"/>
      <c r="D22" s="31"/>
      <c r="K22" s="139"/>
    </row>
    <row r="23" spans="1:32" x14ac:dyDescent="0.3">
      <c r="A23" s="215"/>
      <c r="B23" s="218"/>
      <c r="C23" s="219"/>
      <c r="D23" s="31"/>
      <c r="K23" s="139"/>
    </row>
    <row r="24" spans="1:32" x14ac:dyDescent="0.3">
      <c r="A24" s="215"/>
      <c r="B24" s="218"/>
      <c r="C24" s="219"/>
      <c r="D24" s="31"/>
      <c r="K24" s="139"/>
    </row>
    <row r="25" spans="1:32" x14ac:dyDescent="0.3">
      <c r="A25" s="215"/>
      <c r="B25" s="220"/>
      <c r="C25" s="167"/>
      <c r="D25" s="3"/>
      <c r="K25" s="139"/>
    </row>
    <row r="26" spans="1:32" x14ac:dyDescent="0.3">
      <c r="A26" s="176"/>
      <c r="B26" s="216"/>
      <c r="C26" s="212"/>
      <c r="D26" s="3"/>
      <c r="K26" s="139"/>
    </row>
    <row r="27" spans="1:32" x14ac:dyDescent="0.3">
      <c r="A27" s="176"/>
      <c r="B27" s="176"/>
      <c r="C27" s="176"/>
      <c r="D27" s="3"/>
      <c r="K27" s="139"/>
    </row>
    <row r="28" spans="1:32" x14ac:dyDescent="0.3">
      <c r="A28" s="176"/>
      <c r="B28" s="176"/>
      <c r="C28" s="176"/>
      <c r="D28" s="3"/>
      <c r="K28" s="139"/>
    </row>
    <row r="29" spans="1:32" x14ac:dyDescent="0.3">
      <c r="A29" s="176"/>
      <c r="B29" s="217"/>
      <c r="C29" s="217"/>
      <c r="D29" s="3"/>
      <c r="K29" s="139"/>
    </row>
    <row r="30" spans="1:32" x14ac:dyDescent="0.3">
      <c r="A30" s="215"/>
      <c r="B30" s="33"/>
      <c r="C30" s="176"/>
      <c r="D30" s="3"/>
      <c r="K30" s="139"/>
    </row>
    <row r="31" spans="1:32" x14ac:dyDescent="0.3">
      <c r="A31" s="215"/>
      <c r="B31" s="220"/>
      <c r="C31" s="176"/>
      <c r="D31" s="3"/>
      <c r="K31" s="139"/>
    </row>
    <row r="45" spans="2:4" x14ac:dyDescent="0.3">
      <c r="B45" s="5"/>
      <c r="C45" s="37"/>
      <c r="D45" s="5"/>
    </row>
    <row r="49" spans="2:4" x14ac:dyDescent="0.3">
      <c r="B49" s="5"/>
      <c r="C49" s="37"/>
      <c r="D49" s="5"/>
    </row>
  </sheetData>
  <mergeCells count="1">
    <mergeCell ref="E2:I2"/>
  </mergeCells>
  <pageMargins left="0.7" right="0.7" top="0.75" bottom="0.75" header="0.3" footer="0.3"/>
  <pageSetup paperSize="5" orientation="landscape" r:id="rId1"/>
  <headerFooter>
    <oddFooter>&amp;RSchedule ALM - D2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6" tint="0.59999389629810485"/>
  </sheetPr>
  <dimension ref="A1:K8"/>
  <sheetViews>
    <sheetView workbookViewId="0">
      <selection activeCell="H22" sqref="H22"/>
    </sheetView>
  </sheetViews>
  <sheetFormatPr defaultRowHeight="14.4" x14ac:dyDescent="0.3"/>
  <cols>
    <col min="2" max="2" width="18" customWidth="1"/>
    <col min="3" max="3" width="17.109375" customWidth="1"/>
    <col min="4" max="4" width="14.33203125" bestFit="1" customWidth="1"/>
    <col min="5" max="5" width="11.109375" customWidth="1"/>
    <col min="6" max="6" width="15.109375" customWidth="1"/>
    <col min="7" max="7" width="13.33203125" customWidth="1"/>
  </cols>
  <sheetData>
    <row r="1" spans="1:11" x14ac:dyDescent="0.3">
      <c r="A1" s="6" t="s">
        <v>114</v>
      </c>
      <c r="B1" s="139"/>
      <c r="C1" s="139"/>
    </row>
    <row r="2" spans="1:11" x14ac:dyDescent="0.3">
      <c r="A2" s="139"/>
      <c r="B2" s="174"/>
      <c r="C2" s="174"/>
    </row>
    <row r="3" spans="1:11" x14ac:dyDescent="0.3">
      <c r="A3" s="139"/>
      <c r="B3" s="139"/>
      <c r="C3" s="139"/>
      <c r="K3" s="39"/>
    </row>
    <row r="4" spans="1:11" x14ac:dyDescent="0.3">
      <c r="A4" s="142" t="s">
        <v>115</v>
      </c>
      <c r="B4" s="129">
        <v>0</v>
      </c>
      <c r="C4" s="139"/>
      <c r="D4" s="32"/>
      <c r="K4" s="39"/>
    </row>
    <row r="8" spans="1:11" x14ac:dyDescent="0.3">
      <c r="B8" s="32"/>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theme="6" tint="0.59999389629810485"/>
    <pageSetUpPr fitToPage="1"/>
  </sheetPr>
  <dimension ref="A1:BF69"/>
  <sheetViews>
    <sheetView zoomScale="80" zoomScaleNormal="80" workbookViewId="0">
      <pane xSplit="1" ySplit="14" topLeftCell="B15" activePane="bottomRight" state="frozen"/>
      <selection activeCell="AC68" sqref="AC68"/>
      <selection pane="topRight" activeCell="AC68" sqref="AC68"/>
      <selection pane="bottomLeft" activeCell="AC68" sqref="AC68"/>
      <selection pane="bottomRight" activeCell="M9" sqref="M9"/>
    </sheetView>
  </sheetViews>
  <sheetFormatPr defaultColWidth="9.109375" defaultRowHeight="14.4" x14ac:dyDescent="0.3"/>
  <cols>
    <col min="1" max="1" width="23.44140625" style="139" customWidth="1"/>
    <col min="2" max="2" width="18" style="139" customWidth="1"/>
    <col min="3" max="3" width="16.44140625" style="139" customWidth="1"/>
    <col min="4" max="4" width="15.109375" style="139" customWidth="1"/>
    <col min="5" max="5" width="16.109375" style="139" customWidth="1"/>
    <col min="6" max="6" width="15" style="139" bestFit="1" customWidth="1"/>
    <col min="7" max="7" width="16" style="139" customWidth="1"/>
    <col min="8" max="8" width="15" style="139" bestFit="1" customWidth="1"/>
    <col min="9" max="11" width="16" style="139" bestFit="1" customWidth="1"/>
    <col min="12" max="52" width="16" style="139" customWidth="1"/>
    <col min="53" max="53" width="10.88671875" style="139" bestFit="1" customWidth="1"/>
    <col min="54" max="54" width="9.109375" style="139"/>
    <col min="55" max="55" width="12.6640625" style="139" bestFit="1" customWidth="1"/>
    <col min="56" max="16384" width="9.109375" style="139"/>
  </cols>
  <sheetData>
    <row r="1" spans="1:58" x14ac:dyDescent="0.3">
      <c r="A1" s="32" t="s">
        <v>166</v>
      </c>
      <c r="B1" s="32"/>
    </row>
    <row r="2" spans="1:58" x14ac:dyDescent="0.3">
      <c r="B2" s="158" t="s">
        <v>121</v>
      </c>
      <c r="H2" s="39" t="s">
        <v>26</v>
      </c>
      <c r="I2" s="39"/>
      <c r="J2" s="32"/>
      <c r="K2" s="32"/>
      <c r="L2" s="32"/>
      <c r="M2" s="32"/>
    </row>
    <row r="3" spans="1:58" x14ac:dyDescent="0.3">
      <c r="B3" s="193" t="s">
        <v>129</v>
      </c>
      <c r="C3" s="193" t="s">
        <v>64</v>
      </c>
      <c r="D3" s="193" t="s">
        <v>91</v>
      </c>
      <c r="E3" s="193" t="s">
        <v>65</v>
      </c>
      <c r="F3" s="193" t="s">
        <v>122</v>
      </c>
      <c r="H3" s="39" t="s">
        <v>125</v>
      </c>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row>
    <row r="4" spans="1:58" x14ac:dyDescent="0.3">
      <c r="A4" s="139" t="s">
        <v>0</v>
      </c>
      <c r="B4" s="21">
        <f>SUM(B15:AZ15)</f>
        <v>-940687.7402471113</v>
      </c>
      <c r="C4" s="21">
        <f>SUM(B29:AZ29)</f>
        <v>-965228.32424819539</v>
      </c>
      <c r="D4" s="21">
        <f>B4-C4</f>
        <v>24540.584001084091</v>
      </c>
      <c r="E4" s="21">
        <f>SUM(B55:AZ55)</f>
        <v>-10818.234716274455</v>
      </c>
      <c r="F4" s="26">
        <f>D4+E4</f>
        <v>13722.349284809636</v>
      </c>
      <c r="H4" s="39" t="s">
        <v>126</v>
      </c>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row>
    <row r="5" spans="1:58" x14ac:dyDescent="0.3">
      <c r="A5" s="139" t="s">
        <v>4</v>
      </c>
      <c r="B5" s="21">
        <f>SUM(B16:AZ16)</f>
        <v>-11582.466861389938</v>
      </c>
      <c r="C5" s="21">
        <f>SUM(B30:AZ30)</f>
        <v>-10092.705437287259</v>
      </c>
      <c r="D5" s="21">
        <f>B5-C5</f>
        <v>-1489.7614241026786</v>
      </c>
      <c r="E5" s="21">
        <f>SUM(B56:AZ56)</f>
        <v>-361.94360858075765</v>
      </c>
      <c r="F5" s="26">
        <f>D5+E5</f>
        <v>-1851.7050326834362</v>
      </c>
      <c r="H5" s="39" t="s">
        <v>127</v>
      </c>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row>
    <row r="6" spans="1:58" x14ac:dyDescent="0.3">
      <c r="A6" s="139" t="s">
        <v>5</v>
      </c>
      <c r="B6" s="21">
        <f>SUM(B17:AZ17)</f>
        <v>-26806.583515906786</v>
      </c>
      <c r="C6" s="21">
        <f>SUM(B31:AZ31)</f>
        <v>-29579.265147302685</v>
      </c>
      <c r="D6" s="21">
        <f>B6-C6</f>
        <v>2772.6816313958989</v>
      </c>
      <c r="E6" s="21">
        <f>SUM(B57:AZ57)</f>
        <v>-702.63551526563299</v>
      </c>
      <c r="F6" s="26">
        <f>D6+E6</f>
        <v>2070.046116130266</v>
      </c>
      <c r="H6" s="39" t="s">
        <v>82</v>
      </c>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row>
    <row r="7" spans="1:58" x14ac:dyDescent="0.3">
      <c r="A7" s="139" t="s">
        <v>6</v>
      </c>
      <c r="B7" s="21">
        <f>SUM(B18:AZ18)</f>
        <v>-11835.717668050816</v>
      </c>
      <c r="C7" s="21">
        <f>SUM(B32:AZ32)</f>
        <v>-12510.920636948431</v>
      </c>
      <c r="D7" s="21">
        <f>B7-C7</f>
        <v>675.20296889761448</v>
      </c>
      <c r="E7" s="21">
        <f>SUM(B58:AZ58)</f>
        <v>-321.00527247946445</v>
      </c>
      <c r="F7" s="26">
        <f>D7+E7</f>
        <v>354.19769641815003</v>
      </c>
      <c r="H7" s="39"/>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row>
    <row r="8" spans="1:58" ht="15" thickBot="1" x14ac:dyDescent="0.35">
      <c r="A8" s="139" t="s">
        <v>7</v>
      </c>
      <c r="B8" s="21">
        <f>SUM(B19:AZ19)</f>
        <v>-5674.7717075412038</v>
      </c>
      <c r="C8" s="21">
        <f>SUM(B33:AZ33)</f>
        <v>-5187.4445302663407</v>
      </c>
      <c r="D8" s="21">
        <f>B8-C8</f>
        <v>-487.32717727486306</v>
      </c>
      <c r="E8" s="21">
        <f>SUM(B59:AZ59)</f>
        <v>-168.70650102578523</v>
      </c>
      <c r="F8" s="26">
        <f>D8+E8</f>
        <v>-656.03367830064826</v>
      </c>
      <c r="H8" s="39"/>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row>
    <row r="9" spans="1:58" ht="15.6" thickTop="1" thickBot="1" x14ac:dyDescent="0.35">
      <c r="B9" s="62">
        <f>SUM(B4:B8)</f>
        <v>-996587.28</v>
      </c>
      <c r="C9" s="62">
        <f>SUM(C4:C8)</f>
        <v>-1022598.66</v>
      </c>
      <c r="D9" s="62">
        <f>SUM(D4:D8)</f>
        <v>26011.380000000063</v>
      </c>
      <c r="E9" s="62">
        <f>SUM(E4:E8)</f>
        <v>-12372.525613626094</v>
      </c>
      <c r="F9" s="62">
        <f>SUM(F4:F8)</f>
        <v>13638.854386373969</v>
      </c>
      <c r="H9" s="39"/>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row>
    <row r="10" spans="1:58" ht="15.6" thickTop="1" thickBot="1" x14ac:dyDescent="0.35">
      <c r="D10" s="23" t="s">
        <v>25</v>
      </c>
      <c r="E10" s="18">
        <f>E9-SUM(B38:AZ38)</f>
        <v>2.4386373906963854E-2</v>
      </c>
      <c r="F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row>
    <row r="11" spans="1:58" ht="15" thickTop="1" x14ac:dyDescent="0.3">
      <c r="E11" s="3"/>
      <c r="G11" s="2"/>
    </row>
    <row r="12" spans="1:58" ht="15" thickBot="1" x14ac:dyDescent="0.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58" ht="15" thickBot="1" x14ac:dyDescent="0.35">
      <c r="B13" s="141"/>
      <c r="C13" s="95"/>
      <c r="D13" s="113" t="s">
        <v>108</v>
      </c>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266"/>
      <c r="AL13" s="95"/>
      <c r="AM13" s="95"/>
      <c r="AN13" s="95"/>
      <c r="AO13" s="95"/>
      <c r="AP13" s="95"/>
      <c r="AQ13" s="95"/>
      <c r="AR13" s="95"/>
      <c r="AS13" s="95"/>
      <c r="AT13" s="95"/>
      <c r="AU13" s="95"/>
      <c r="AV13" s="95"/>
      <c r="AW13" s="266"/>
      <c r="AX13" s="266"/>
      <c r="AY13" s="266"/>
      <c r="AZ13" s="355"/>
    </row>
    <row r="14" spans="1:58" x14ac:dyDescent="0.3">
      <c r="A14" s="139" t="s">
        <v>123</v>
      </c>
      <c r="B14" s="66">
        <v>43040</v>
      </c>
      <c r="C14" s="67">
        <f t="shared" ref="C14:K14" si="0">EDATE(B14,1)</f>
        <v>43070</v>
      </c>
      <c r="D14" s="67">
        <f t="shared" si="0"/>
        <v>43101</v>
      </c>
      <c r="E14" s="67">
        <f t="shared" si="0"/>
        <v>43132</v>
      </c>
      <c r="F14" s="67">
        <f t="shared" si="0"/>
        <v>43160</v>
      </c>
      <c r="G14" s="67">
        <f t="shared" si="0"/>
        <v>43191</v>
      </c>
      <c r="H14" s="67">
        <f t="shared" si="0"/>
        <v>43221</v>
      </c>
      <c r="I14" s="67">
        <f t="shared" si="0"/>
        <v>43252</v>
      </c>
      <c r="J14" s="67">
        <f t="shared" si="0"/>
        <v>43282</v>
      </c>
      <c r="K14" s="67">
        <f t="shared" si="0"/>
        <v>43313</v>
      </c>
      <c r="L14" s="67">
        <f t="shared" ref="L14" si="1">EDATE(K14,1)</f>
        <v>43344</v>
      </c>
      <c r="M14" s="67">
        <f t="shared" ref="M14" si="2">EDATE(L14,1)</f>
        <v>43374</v>
      </c>
      <c r="N14" s="67">
        <f t="shared" ref="N14" si="3">EDATE(M14,1)</f>
        <v>43405</v>
      </c>
      <c r="O14" s="67">
        <f t="shared" ref="O14" si="4">EDATE(N14,1)</f>
        <v>43435</v>
      </c>
      <c r="P14" s="67">
        <f t="shared" ref="P14" si="5">EDATE(O14,1)</f>
        <v>43466</v>
      </c>
      <c r="Q14" s="67">
        <f t="shared" ref="Q14" si="6">EDATE(P14,1)</f>
        <v>43497</v>
      </c>
      <c r="R14" s="67">
        <f t="shared" ref="R14" si="7">EDATE(Q14,1)</f>
        <v>43525</v>
      </c>
      <c r="S14" s="67">
        <f t="shared" ref="S14" si="8">EDATE(R14,1)</f>
        <v>43556</v>
      </c>
      <c r="T14" s="67">
        <f t="shared" ref="T14" si="9">EDATE(S14,1)</f>
        <v>43586</v>
      </c>
      <c r="U14" s="67">
        <f t="shared" ref="U14" si="10">EDATE(T14,1)</f>
        <v>43617</v>
      </c>
      <c r="V14" s="67">
        <f t="shared" ref="V14" si="11">EDATE(U14,1)</f>
        <v>43647</v>
      </c>
      <c r="W14" s="67">
        <f t="shared" ref="W14" si="12">EDATE(V14,1)</f>
        <v>43678</v>
      </c>
      <c r="X14" s="67">
        <f t="shared" ref="X14" si="13">EDATE(W14,1)</f>
        <v>43709</v>
      </c>
      <c r="Y14" s="67">
        <f t="shared" ref="Y14" si="14">EDATE(X14,1)</f>
        <v>43739</v>
      </c>
      <c r="Z14" s="67">
        <f t="shared" ref="Z14" si="15">EDATE(Y14,1)</f>
        <v>43770</v>
      </c>
      <c r="AA14" s="67">
        <f t="shared" ref="AA14" si="16">EDATE(Z14,1)</f>
        <v>43800</v>
      </c>
      <c r="AB14" s="67">
        <f t="shared" ref="AB14" si="17">EDATE(AA14,1)</f>
        <v>43831</v>
      </c>
      <c r="AC14" s="67">
        <f t="shared" ref="AC14" si="18">EDATE(AB14,1)</f>
        <v>43862</v>
      </c>
      <c r="AD14" s="67">
        <f t="shared" ref="AD14" si="19">EDATE(AC14,1)</f>
        <v>43891</v>
      </c>
      <c r="AE14" s="67">
        <f t="shared" ref="AE14" si="20">EDATE(AD14,1)</f>
        <v>43922</v>
      </c>
      <c r="AF14" s="67">
        <f t="shared" ref="AF14" si="21">EDATE(AE14,1)</f>
        <v>43952</v>
      </c>
      <c r="AG14" s="67">
        <f t="shared" ref="AG14" si="22">EDATE(AF14,1)</f>
        <v>43983</v>
      </c>
      <c r="AH14" s="67">
        <f t="shared" ref="AH14" si="23">EDATE(AG14,1)</f>
        <v>44013</v>
      </c>
      <c r="AI14" s="67">
        <f t="shared" ref="AI14" si="24">EDATE(AH14,1)</f>
        <v>44044</v>
      </c>
      <c r="AJ14" s="67">
        <f t="shared" ref="AJ14" si="25">EDATE(AI14,1)</f>
        <v>44075</v>
      </c>
      <c r="AK14" s="267">
        <f t="shared" ref="AK14" si="26">EDATE(AJ14,1)</f>
        <v>44105</v>
      </c>
      <c r="AL14" s="67">
        <f t="shared" ref="AL14" si="27">EDATE(AK14,1)</f>
        <v>44136</v>
      </c>
      <c r="AM14" s="67">
        <f t="shared" ref="AM14" si="28">EDATE(AL14,1)</f>
        <v>44166</v>
      </c>
      <c r="AN14" s="67">
        <f t="shared" ref="AN14" si="29">EDATE(AM14,1)</f>
        <v>44197</v>
      </c>
      <c r="AO14" s="67">
        <f t="shared" ref="AO14" si="30">EDATE(AN14,1)</f>
        <v>44228</v>
      </c>
      <c r="AP14" s="67">
        <f t="shared" ref="AP14" si="31">EDATE(AO14,1)</f>
        <v>44256</v>
      </c>
      <c r="AQ14" s="67">
        <f t="shared" ref="AQ14" si="32">EDATE(AP14,1)</f>
        <v>44287</v>
      </c>
      <c r="AR14" s="67">
        <f t="shared" ref="AR14" si="33">EDATE(AQ14,1)</f>
        <v>44317</v>
      </c>
      <c r="AS14" s="67">
        <f t="shared" ref="AS14" si="34">EDATE(AR14,1)</f>
        <v>44348</v>
      </c>
      <c r="AT14" s="67">
        <f t="shared" ref="AT14" si="35">EDATE(AS14,1)</f>
        <v>44378</v>
      </c>
      <c r="AU14" s="67">
        <f t="shared" ref="AU14" si="36">EDATE(AT14,1)</f>
        <v>44409</v>
      </c>
      <c r="AV14" s="67">
        <f t="shared" ref="AV14" si="37">EDATE(AU14,1)</f>
        <v>44440</v>
      </c>
      <c r="AW14" s="267">
        <f t="shared" ref="AW14" si="38">EDATE(AV14,1)</f>
        <v>44470</v>
      </c>
      <c r="AX14" s="267">
        <f t="shared" ref="AX14" si="39">EDATE(AW14,1)</f>
        <v>44501</v>
      </c>
      <c r="AY14" s="267">
        <f t="shared" ref="AY14" si="40">EDATE(AX14,1)</f>
        <v>44531</v>
      </c>
      <c r="AZ14" s="356">
        <f t="shared" ref="AZ14" si="41">EDATE(AY14,1)</f>
        <v>44562</v>
      </c>
      <c r="BA14" s="1"/>
      <c r="BB14" s="1"/>
      <c r="BC14" s="1"/>
      <c r="BD14" s="1"/>
      <c r="BE14" s="1"/>
      <c r="BF14" s="1"/>
    </row>
    <row r="15" spans="1:58" x14ac:dyDescent="0.3">
      <c r="A15" s="32" t="s">
        <v>0</v>
      </c>
      <c r="B15" s="69">
        <v>-921734.3709472178</v>
      </c>
      <c r="C15" s="70"/>
      <c r="D15" s="70"/>
      <c r="E15" s="70"/>
      <c r="F15" s="70"/>
      <c r="G15" s="70"/>
      <c r="H15" s="70"/>
      <c r="I15" s="70"/>
      <c r="J15" s="70"/>
      <c r="K15" s="79"/>
      <c r="L15" s="79"/>
      <c r="M15" s="79"/>
      <c r="N15" s="79">
        <v>-18953.369299893475</v>
      </c>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360"/>
    </row>
    <row r="16" spans="1:58" x14ac:dyDescent="0.3">
      <c r="A16" s="32" t="s">
        <v>4</v>
      </c>
      <c r="B16" s="69">
        <v>-5996.3551165116669</v>
      </c>
      <c r="C16" s="70"/>
      <c r="D16" s="70"/>
      <c r="E16" s="70"/>
      <c r="F16" s="70"/>
      <c r="G16" s="70"/>
      <c r="H16" s="70"/>
      <c r="I16" s="70"/>
      <c r="J16" s="70"/>
      <c r="K16" s="79"/>
      <c r="L16" s="79"/>
      <c r="M16" s="79"/>
      <c r="N16" s="79">
        <v>-5586.1117448782697</v>
      </c>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360"/>
    </row>
    <row r="17" spans="1:54" x14ac:dyDescent="0.3">
      <c r="A17" s="32" t="s">
        <v>5</v>
      </c>
      <c r="B17" s="69">
        <v>-13905.086120111719</v>
      </c>
      <c r="C17" s="70"/>
      <c r="D17" s="70"/>
      <c r="E17" s="70"/>
      <c r="F17" s="70"/>
      <c r="G17" s="70"/>
      <c r="H17" s="70"/>
      <c r="I17" s="70"/>
      <c r="J17" s="70"/>
      <c r="K17" s="79"/>
      <c r="L17" s="79"/>
      <c r="M17" s="79"/>
      <c r="N17" s="79">
        <v>-12901.497395795068</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360"/>
    </row>
    <row r="18" spans="1:54" x14ac:dyDescent="0.3">
      <c r="A18" s="32" t="s">
        <v>6</v>
      </c>
      <c r="B18" s="69">
        <v>-6107.6805178623044</v>
      </c>
      <c r="C18" s="70"/>
      <c r="D18" s="70"/>
      <c r="E18" s="70"/>
      <c r="F18" s="70"/>
      <c r="G18" s="70"/>
      <c r="H18" s="70"/>
      <c r="I18" s="70"/>
      <c r="J18" s="70"/>
      <c r="K18" s="79"/>
      <c r="L18" s="79"/>
      <c r="M18" s="79"/>
      <c r="N18" s="79">
        <v>-5728.037150188512</v>
      </c>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360"/>
    </row>
    <row r="19" spans="1:54" x14ac:dyDescent="0.3">
      <c r="A19" s="32" t="s">
        <v>7</v>
      </c>
      <c r="B19" s="69">
        <v>-2843.7872982965264</v>
      </c>
      <c r="C19" s="70"/>
      <c r="D19" s="70"/>
      <c r="E19" s="70"/>
      <c r="F19" s="70"/>
      <c r="G19" s="70"/>
      <c r="H19" s="70"/>
      <c r="I19" s="70"/>
      <c r="J19" s="70"/>
      <c r="K19" s="79"/>
      <c r="L19" s="79"/>
      <c r="M19" s="79"/>
      <c r="N19" s="79">
        <v>-2830.984409244677</v>
      </c>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360"/>
    </row>
    <row r="20" spans="1:54" x14ac:dyDescent="0.3">
      <c r="B20" s="75"/>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7"/>
    </row>
    <row r="21" spans="1:54" x14ac:dyDescent="0.3">
      <c r="A21" s="139" t="s">
        <v>124</v>
      </c>
      <c r="B21" s="75"/>
      <c r="C21" s="74"/>
      <c r="D21" s="78" t="s">
        <v>68</v>
      </c>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7"/>
      <c r="BA21" s="32"/>
    </row>
    <row r="22" spans="1:54" x14ac:dyDescent="0.3">
      <c r="A22" s="32" t="s">
        <v>0</v>
      </c>
      <c r="B22" s="69">
        <v>0</v>
      </c>
      <c r="C22" s="70">
        <v>0</v>
      </c>
      <c r="D22" s="70">
        <v>-11204.14</v>
      </c>
      <c r="E22" s="70">
        <v>-94588.49</v>
      </c>
      <c r="F22" s="70">
        <v>-76195.319999999978</v>
      </c>
      <c r="G22" s="70">
        <v>-73607.73</v>
      </c>
      <c r="H22" s="70">
        <v>-59967.37000000001</v>
      </c>
      <c r="I22" s="70">
        <v>-89116.420000000027</v>
      </c>
      <c r="J22" s="70">
        <v>-104503.22999999998</v>
      </c>
      <c r="K22" s="79">
        <v>-93654.23</v>
      </c>
      <c r="L22" s="79">
        <v>-90073.77</v>
      </c>
      <c r="M22" s="79">
        <v>-69694.899999999994</v>
      </c>
      <c r="N22" s="79">
        <v>-64666.009999999995</v>
      </c>
      <c r="O22" s="79">
        <v>-90010.949999999983</v>
      </c>
      <c r="P22" s="79">
        <v>-88889.919999999998</v>
      </c>
      <c r="Q22" s="79">
        <v>5583.4500000000007</v>
      </c>
      <c r="R22" s="79">
        <v>4934.5999999999995</v>
      </c>
      <c r="S22" s="79">
        <v>2934.1099999999997</v>
      </c>
      <c r="T22" s="79">
        <v>2155.3000000000002</v>
      </c>
      <c r="U22" s="79">
        <v>3933.52</v>
      </c>
      <c r="V22" s="79">
        <v>5799.95</v>
      </c>
      <c r="W22" s="79">
        <v>6297.84</v>
      </c>
      <c r="X22" s="79">
        <v>5619.8099999999995</v>
      </c>
      <c r="Y22" s="79">
        <v>4021.98</v>
      </c>
      <c r="Z22" s="79">
        <v>3029.3100000000004</v>
      </c>
      <c r="AA22" s="79">
        <v>4729.0800000000008</v>
      </c>
      <c r="AB22" s="79">
        <v>5470.0400000000009</v>
      </c>
      <c r="AC22" s="79">
        <v>2387.6999999999998</v>
      </c>
      <c r="AD22" s="79">
        <v>1.3800000000000006</v>
      </c>
      <c r="AE22" s="79">
        <v>-0.25</v>
      </c>
      <c r="AF22" s="79">
        <v>0.73000000000000009</v>
      </c>
      <c r="AG22" s="79">
        <v>-0.94000000000000006</v>
      </c>
      <c r="AH22" s="79">
        <v>-0.25</v>
      </c>
      <c r="AI22" s="79">
        <v>-0.24000000000000005</v>
      </c>
      <c r="AJ22" s="79">
        <v>-0.6</v>
      </c>
      <c r="AK22" s="79">
        <v>0.12</v>
      </c>
      <c r="AL22" s="79">
        <v>-0.33</v>
      </c>
      <c r="AM22" s="79">
        <v>0.29000000000000004</v>
      </c>
      <c r="AN22" s="79">
        <v>0.16</v>
      </c>
      <c r="AO22" s="79">
        <v>65.299999999999983</v>
      </c>
      <c r="AP22" s="79">
        <v>141.01000000000002</v>
      </c>
      <c r="AQ22" s="79">
        <v>8.58</v>
      </c>
      <c r="AR22" s="79">
        <v>9.2099999999999973</v>
      </c>
      <c r="AS22" s="79">
        <v>21.99</v>
      </c>
      <c r="AT22" s="79">
        <v>35.53</v>
      </c>
      <c r="AU22" s="79">
        <v>34.99</v>
      </c>
      <c r="AV22" s="79">
        <v>34.54</v>
      </c>
      <c r="AW22" s="79">
        <v>15.01</v>
      </c>
      <c r="AX22" s="79">
        <f>-'[1]OAR.2 (M2)'!AV5</f>
        <v>11.790000000000001</v>
      </c>
      <c r="AY22" s="79">
        <f>-'[1]OAR.2 (M2)'!AW5</f>
        <v>39.290000000000006</v>
      </c>
      <c r="AZ22" s="360">
        <f>-'[1]OAR.2 (M2)'!AX5</f>
        <v>167.04</v>
      </c>
      <c r="BA22" s="32"/>
      <c r="BB22" s="32"/>
    </row>
    <row r="23" spans="1:54" x14ac:dyDescent="0.3">
      <c r="A23" s="32" t="s">
        <v>4</v>
      </c>
      <c r="B23" s="69">
        <v>0</v>
      </c>
      <c r="C23" s="70">
        <v>0</v>
      </c>
      <c r="D23" s="70">
        <v>-58.16</v>
      </c>
      <c r="E23" s="70">
        <v>-608.88999999999976</v>
      </c>
      <c r="F23" s="70">
        <v>-442.86000000000007</v>
      </c>
      <c r="G23" s="70">
        <v>-435.03000000000009</v>
      </c>
      <c r="H23" s="70">
        <v>-381.88000000000011</v>
      </c>
      <c r="I23" s="70">
        <v>-511.93000000000006</v>
      </c>
      <c r="J23" s="70">
        <v>-575.79</v>
      </c>
      <c r="K23" s="79">
        <v>-531.20000000000005</v>
      </c>
      <c r="L23" s="79">
        <v>-518.59000000000015</v>
      </c>
      <c r="M23" s="79">
        <v>-442.88</v>
      </c>
      <c r="N23" s="79">
        <v>-388.14999999999992</v>
      </c>
      <c r="O23" s="79">
        <v>-493.66000000000008</v>
      </c>
      <c r="P23" s="79">
        <v>-529.12</v>
      </c>
      <c r="Q23" s="79">
        <v>-530.28</v>
      </c>
      <c r="R23" s="79">
        <v>-493.34000000000009</v>
      </c>
      <c r="S23" s="79">
        <v>-376.36999999999995</v>
      </c>
      <c r="T23" s="79">
        <v>-350.45</v>
      </c>
      <c r="U23" s="79">
        <v>-425.62999999999994</v>
      </c>
      <c r="V23" s="79">
        <v>-503.28000000000003</v>
      </c>
      <c r="W23" s="79">
        <v>-521.25</v>
      </c>
      <c r="X23" s="79">
        <v>-497.26</v>
      </c>
      <c r="Y23" s="79">
        <v>-436.5</v>
      </c>
      <c r="Z23" s="79">
        <v>-379.28999999999996</v>
      </c>
      <c r="AA23" s="79">
        <v>-467.06</v>
      </c>
      <c r="AB23" s="79">
        <v>-505.68</v>
      </c>
      <c r="AC23" s="79">
        <v>-242.6</v>
      </c>
      <c r="AD23" s="79">
        <v>-0.33000000000000007</v>
      </c>
      <c r="AE23" s="79">
        <v>0.15</v>
      </c>
      <c r="AF23" s="79">
        <v>-0.1</v>
      </c>
      <c r="AG23" s="79">
        <v>0.13</v>
      </c>
      <c r="AH23" s="79">
        <v>0.12000000000000001</v>
      </c>
      <c r="AI23" s="79">
        <v>-0.87000000000000011</v>
      </c>
      <c r="AJ23" s="79">
        <v>-0.04</v>
      </c>
      <c r="AK23" s="79">
        <v>-0.13</v>
      </c>
      <c r="AL23" s="79">
        <v>-0.08</v>
      </c>
      <c r="AM23" s="79">
        <v>0</v>
      </c>
      <c r="AN23" s="79">
        <v>0.02</v>
      </c>
      <c r="AO23" s="79">
        <v>-68.5</v>
      </c>
      <c r="AP23" s="79">
        <v>-170.11000000000004</v>
      </c>
      <c r="AQ23" s="79">
        <v>-123.31000000000002</v>
      </c>
      <c r="AR23" s="79">
        <v>-122.57999999999997</v>
      </c>
      <c r="AS23" s="79">
        <v>-162.50999999999996</v>
      </c>
      <c r="AT23" s="79">
        <v>-204.93</v>
      </c>
      <c r="AU23" s="79">
        <v>-203.99000000000004</v>
      </c>
      <c r="AV23" s="79">
        <v>-207.27999999999997</v>
      </c>
      <c r="AW23" s="79">
        <v>-162.35999999999999</v>
      </c>
      <c r="AX23" s="79">
        <f>-'[1]OAR.2 (M2)'!AV6</f>
        <v>-134.94</v>
      </c>
      <c r="AY23" s="79">
        <f>-'[1]OAR.2 (M2)'!AW6</f>
        <v>-158.38</v>
      </c>
      <c r="AZ23" s="360">
        <f>-'[1]OAR.2 (M2)'!AX6</f>
        <v>-201.04000000000002</v>
      </c>
      <c r="BA23" s="32"/>
      <c r="BB23" s="32"/>
    </row>
    <row r="24" spans="1:54" x14ac:dyDescent="0.3">
      <c r="A24" s="32" t="s">
        <v>5</v>
      </c>
      <c r="B24" s="69">
        <v>0</v>
      </c>
      <c r="C24" s="70">
        <v>0</v>
      </c>
      <c r="D24" s="70">
        <v>-102.03</v>
      </c>
      <c r="E24" s="70">
        <v>-1260.97</v>
      </c>
      <c r="F24" s="70">
        <v>-1173.2299999999998</v>
      </c>
      <c r="G24" s="70">
        <v>-1193.3399999999999</v>
      </c>
      <c r="H24" s="70">
        <v>-1183.3799999999999</v>
      </c>
      <c r="I24" s="70">
        <v>-1411.2900000000002</v>
      </c>
      <c r="J24" s="70">
        <v>-1498.6599999999996</v>
      </c>
      <c r="K24" s="79">
        <v>-1418.5000000000005</v>
      </c>
      <c r="L24" s="79">
        <v>-1442.8999999999999</v>
      </c>
      <c r="M24" s="79">
        <v>-1311.3</v>
      </c>
      <c r="N24" s="79">
        <v>-1166.71</v>
      </c>
      <c r="O24" s="79">
        <v>-1269.7600000000002</v>
      </c>
      <c r="P24" s="79">
        <v>-1292.7499999999998</v>
      </c>
      <c r="Q24" s="79">
        <v>-1247.2100000000003</v>
      </c>
      <c r="R24" s="79">
        <v>-1176.6200000000006</v>
      </c>
      <c r="S24" s="79">
        <v>-1058.1300000000001</v>
      </c>
      <c r="T24" s="79">
        <v>-1096.9299999999996</v>
      </c>
      <c r="U24" s="79">
        <v>-1220.73</v>
      </c>
      <c r="V24" s="79">
        <v>-1312.24</v>
      </c>
      <c r="W24" s="79">
        <v>-1343.29</v>
      </c>
      <c r="X24" s="79">
        <v>-1356.6500000000003</v>
      </c>
      <c r="Y24" s="79">
        <v>-1245.56</v>
      </c>
      <c r="Z24" s="79">
        <v>-1099.1000000000001</v>
      </c>
      <c r="AA24" s="79">
        <v>-1193.1599999999999</v>
      </c>
      <c r="AB24" s="79">
        <v>-1234.1800000000003</v>
      </c>
      <c r="AC24" s="79">
        <v>-701.55</v>
      </c>
      <c r="AD24" s="79">
        <v>-6.88</v>
      </c>
      <c r="AE24" s="79">
        <v>-6.0000000000000005E-2</v>
      </c>
      <c r="AF24" s="79">
        <v>1.79</v>
      </c>
      <c r="AG24" s="79">
        <v>0</v>
      </c>
      <c r="AH24" s="79">
        <v>0</v>
      </c>
      <c r="AI24" s="79">
        <v>0.71</v>
      </c>
      <c r="AJ24" s="79">
        <v>0.02</v>
      </c>
      <c r="AK24" s="79">
        <v>0</v>
      </c>
      <c r="AL24" s="79">
        <v>0.08</v>
      </c>
      <c r="AM24" s="79">
        <v>0</v>
      </c>
      <c r="AN24" s="79">
        <v>0</v>
      </c>
      <c r="AO24" s="79">
        <v>-249.18</v>
      </c>
      <c r="AP24" s="79">
        <v>-542</v>
      </c>
      <c r="AQ24" s="79">
        <v>-483.1</v>
      </c>
      <c r="AR24" s="79">
        <v>-492.11999999999995</v>
      </c>
      <c r="AS24" s="79">
        <v>-547.06999999999994</v>
      </c>
      <c r="AT24" s="79">
        <v>-640.54</v>
      </c>
      <c r="AU24" s="79">
        <v>-635.05000000000007</v>
      </c>
      <c r="AV24" s="79">
        <v>-647.04999999999973</v>
      </c>
      <c r="AW24" s="79">
        <v>-568.82999999999993</v>
      </c>
      <c r="AX24" s="79">
        <f>-'[1]OAR.2 (M2)'!AV7</f>
        <v>-505.72</v>
      </c>
      <c r="AY24" s="79">
        <f>-'[1]OAR.2 (M2)'!AW7</f>
        <v>-551.94000000000005</v>
      </c>
      <c r="AZ24" s="360">
        <f>-'[1]OAR.2 (M2)'!AX7</f>
        <v>-590.51</v>
      </c>
      <c r="BA24" s="32"/>
      <c r="BB24" s="32"/>
    </row>
    <row r="25" spans="1:54" x14ac:dyDescent="0.3">
      <c r="A25" s="32" t="s">
        <v>6</v>
      </c>
      <c r="B25" s="69">
        <v>0</v>
      </c>
      <c r="C25" s="70">
        <v>0</v>
      </c>
      <c r="D25" s="70">
        <v>-58.64</v>
      </c>
      <c r="E25" s="70">
        <v>-481.78999999999996</v>
      </c>
      <c r="F25" s="70">
        <v>-485.44</v>
      </c>
      <c r="G25" s="70">
        <v>-504.2999999999999</v>
      </c>
      <c r="H25" s="70">
        <v>-579.20000000000005</v>
      </c>
      <c r="I25" s="70">
        <v>-628.11999999999989</v>
      </c>
      <c r="J25" s="70">
        <v>-650.43000000000018</v>
      </c>
      <c r="K25" s="79">
        <v>-639.34</v>
      </c>
      <c r="L25" s="79">
        <v>-622.20999999999981</v>
      </c>
      <c r="M25" s="79">
        <v>-583.54999999999995</v>
      </c>
      <c r="N25" s="79">
        <v>-542.99999999999989</v>
      </c>
      <c r="O25" s="79">
        <v>-583.95000000000005</v>
      </c>
      <c r="P25" s="79">
        <v>-518.4</v>
      </c>
      <c r="Q25" s="79">
        <v>-497.17999999999989</v>
      </c>
      <c r="R25" s="79">
        <v>-478.87</v>
      </c>
      <c r="S25" s="79">
        <v>-459.1</v>
      </c>
      <c r="T25" s="79">
        <v>-458.3900000000001</v>
      </c>
      <c r="U25" s="79">
        <v>-532.74999999999989</v>
      </c>
      <c r="V25" s="79">
        <v>-535.31999999999994</v>
      </c>
      <c r="W25" s="79">
        <v>-562.00999999999988</v>
      </c>
      <c r="X25" s="79">
        <v>-558.71</v>
      </c>
      <c r="Y25" s="79">
        <v>-517.72</v>
      </c>
      <c r="Z25" s="79">
        <v>-478.55</v>
      </c>
      <c r="AA25" s="79">
        <v>-503.99</v>
      </c>
      <c r="AB25" s="79">
        <v>-495.69999999999993</v>
      </c>
      <c r="AC25" s="79">
        <v>-326.78000000000003</v>
      </c>
      <c r="AD25" s="79">
        <v>-3.4499999999999988</v>
      </c>
      <c r="AE25" s="79">
        <v>0</v>
      </c>
      <c r="AF25" s="79">
        <v>0</v>
      </c>
      <c r="AG25" s="79">
        <v>0</v>
      </c>
      <c r="AH25" s="79">
        <v>0</v>
      </c>
      <c r="AI25" s="79">
        <v>0</v>
      </c>
      <c r="AJ25" s="79">
        <v>0</v>
      </c>
      <c r="AK25" s="79">
        <v>0</v>
      </c>
      <c r="AL25" s="79">
        <v>0</v>
      </c>
      <c r="AM25" s="79">
        <v>0</v>
      </c>
      <c r="AN25" s="79">
        <v>0</v>
      </c>
      <c r="AO25" s="79">
        <v>-96.679999999999978</v>
      </c>
      <c r="AP25" s="79">
        <v>-213.3</v>
      </c>
      <c r="AQ25" s="79">
        <v>-214.87</v>
      </c>
      <c r="AR25" s="79">
        <v>-222.71999999999994</v>
      </c>
      <c r="AS25" s="79">
        <v>-214.15</v>
      </c>
      <c r="AT25" s="79">
        <v>-286.5200000000001</v>
      </c>
      <c r="AU25" s="79">
        <v>-263.07000000000005</v>
      </c>
      <c r="AV25" s="79">
        <v>-266.48000000000008</v>
      </c>
      <c r="AW25" s="79">
        <v>-229.98</v>
      </c>
      <c r="AX25" s="79">
        <f>-'[1]OAR.2 (M2)'!AV8</f>
        <v>-200.56000000000003</v>
      </c>
      <c r="AY25" s="79">
        <f>-'[1]OAR.2 (M2)'!AW8</f>
        <v>-263.98</v>
      </c>
      <c r="AZ25" s="360">
        <f>-'[1]OAR.2 (M2)'!AX8</f>
        <v>-254.81000000000003</v>
      </c>
      <c r="BA25" s="32"/>
      <c r="BB25" s="32"/>
    </row>
    <row r="26" spans="1:54" x14ac:dyDescent="0.3">
      <c r="A26" s="32" t="s">
        <v>7</v>
      </c>
      <c r="B26" s="69">
        <v>0</v>
      </c>
      <c r="C26" s="70">
        <v>0</v>
      </c>
      <c r="D26" s="70">
        <v>-11.07</v>
      </c>
      <c r="E26" s="70">
        <v>-122.92999999999999</v>
      </c>
      <c r="F26" s="70">
        <v>-142.99</v>
      </c>
      <c r="G26" s="70">
        <v>-245.89</v>
      </c>
      <c r="H26" s="70">
        <v>-281.14999999999998</v>
      </c>
      <c r="I26" s="70">
        <v>-311.15999999999997</v>
      </c>
      <c r="J26" s="70">
        <v>-281.26999999999992</v>
      </c>
      <c r="K26" s="79">
        <v>-320.44999999999993</v>
      </c>
      <c r="L26" s="79">
        <v>-300.97000000000003</v>
      </c>
      <c r="M26" s="79">
        <v>-297.18</v>
      </c>
      <c r="N26" s="79">
        <v>-279.21999999999997</v>
      </c>
      <c r="O26" s="79">
        <v>-271.94</v>
      </c>
      <c r="P26" s="79">
        <v>-241.87000000000003</v>
      </c>
      <c r="Q26" s="79">
        <v>-192.15</v>
      </c>
      <c r="R26" s="79">
        <v>-198.64999999999998</v>
      </c>
      <c r="S26" s="79">
        <v>-197.76000000000002</v>
      </c>
      <c r="T26" s="79">
        <v>-192.96999999999997</v>
      </c>
      <c r="U26" s="79">
        <v>-243.04000000000005</v>
      </c>
      <c r="V26" s="79">
        <v>-226.22</v>
      </c>
      <c r="W26" s="79">
        <v>-250.53000000000003</v>
      </c>
      <c r="X26" s="79">
        <v>-253.89</v>
      </c>
      <c r="Y26" s="79">
        <v>-239.54</v>
      </c>
      <c r="Z26" s="79">
        <v>-212.69000000000003</v>
      </c>
      <c r="AA26" s="79">
        <v>-200.12</v>
      </c>
      <c r="AB26" s="79">
        <v>-211.79999999999998</v>
      </c>
      <c r="AC26" s="79">
        <v>-171.77999999999997</v>
      </c>
      <c r="AD26" s="79">
        <v>6.84</v>
      </c>
      <c r="AE26" s="79">
        <v>0</v>
      </c>
      <c r="AF26" s="79">
        <v>0</v>
      </c>
      <c r="AG26" s="79">
        <v>86.38</v>
      </c>
      <c r="AH26" s="79">
        <v>0</v>
      </c>
      <c r="AI26" s="79">
        <v>0</v>
      </c>
      <c r="AJ26" s="79">
        <v>0</v>
      </c>
      <c r="AK26" s="79">
        <v>0</v>
      </c>
      <c r="AL26" s="79">
        <v>0</v>
      </c>
      <c r="AM26" s="79">
        <v>0</v>
      </c>
      <c r="AN26" s="79">
        <v>0</v>
      </c>
      <c r="AO26" s="79">
        <v>-34.450000000000003</v>
      </c>
      <c r="AP26" s="79">
        <v>-54.14</v>
      </c>
      <c r="AQ26" s="79">
        <v>-89.04</v>
      </c>
      <c r="AR26" s="79">
        <v>-90.460000000000008</v>
      </c>
      <c r="AS26" s="79">
        <v>-87.309999999999988</v>
      </c>
      <c r="AT26" s="79">
        <v>-111.42</v>
      </c>
      <c r="AU26" s="79">
        <v>-106.06000000000002</v>
      </c>
      <c r="AV26" s="79">
        <v>-114.65999999999997</v>
      </c>
      <c r="AW26" s="79">
        <v>-105.10000000000001</v>
      </c>
      <c r="AX26" s="79">
        <f>-'[1]OAR.2 (M2)'!AV9</f>
        <v>-69.75</v>
      </c>
      <c r="AY26" s="79">
        <f>-'[1]OAR.2 (M2)'!AW9</f>
        <v>-97.820000000000007</v>
      </c>
      <c r="AZ26" s="360">
        <f>-'[1]OAR.2 (M2)'!AX9</f>
        <v>-91.18</v>
      </c>
      <c r="BA26" s="32"/>
      <c r="BB26" s="32"/>
    </row>
    <row r="27" spans="1:54" x14ac:dyDescent="0.3">
      <c r="A27" s="32"/>
      <c r="B27" s="75"/>
      <c r="C27" s="83"/>
      <c r="D27" s="198"/>
      <c r="E27" s="198"/>
      <c r="F27" s="198"/>
      <c r="G27" s="198"/>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358"/>
      <c r="BB27" s="32"/>
    </row>
    <row r="28" spans="1:54" x14ac:dyDescent="0.3">
      <c r="A28" s="32" t="s">
        <v>101</v>
      </c>
      <c r="B28" s="179"/>
      <c r="C28" s="176"/>
      <c r="D28" s="78"/>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7"/>
      <c r="BB28" s="32"/>
    </row>
    <row r="29" spans="1:54" x14ac:dyDescent="0.3">
      <c r="A29" s="139" t="s">
        <v>0</v>
      </c>
      <c r="B29" s="85">
        <f>+IFERROR((B22-B36)+(B36*B22/SUM(B22:B26)),0)</f>
        <v>0</v>
      </c>
      <c r="C29" s="89">
        <f>+IFERROR((C22-C36)+(C36*C22/SUM(C22:C26)),0)</f>
        <v>0</v>
      </c>
      <c r="D29" s="411">
        <f>+(D22-D36)+(D36*'PCR (M2) Final'!Z28)/SUM('PCR (M2) Final'!Z28:Z32)</f>
        <v>-11405.169833633112</v>
      </c>
      <c r="E29" s="332">
        <f>+(E22-E36)+(E36*'PCR (M2) Final'!AA28)/SUM('PCR (M2) Final'!AA28:AA32)</f>
        <v>-96446.141642676012</v>
      </c>
      <c r="F29" s="332">
        <f>+(F22-F36)+(F36*'PCR (M2) Final'!AB28)/SUM('PCR (M2) Final'!AB28:AB32)</f>
        <v>-77804.790245856057</v>
      </c>
      <c r="G29" s="332">
        <f>+(G22-G36)+(G36*'PCR (M2) Final'!AC28)/SUM('PCR (M2) Final'!AC28:AC32)</f>
        <v>-74689.205268610196</v>
      </c>
      <c r="H29" s="332">
        <f>+(H22-H36)+(H36*'PCR (M2) Final'!AD28)/SUM('PCR (M2) Final'!AD28:AD32)</f>
        <v>-61168.230555256829</v>
      </c>
      <c r="I29" s="332">
        <f>+(I22-I36)+(I36*'PCR (M2) Final'!AE28)/SUM('PCR (M2) Final'!AE28:AE32)</f>
        <v>-90473.498758317568</v>
      </c>
      <c r="J29" s="332">
        <f>+(J22-J36)+(J36*'PCR (M2) Final'!AF28)/SUM('PCR (M2) Final'!AF28:AF32)</f>
        <v>-106015.94781095193</v>
      </c>
      <c r="K29" s="332">
        <f>+(K22-K36)+(K36*'PCR (M2) Final'!AG28)/SUM('PCR (M2) Final'!AG28:AG32)</f>
        <v>-95031.302308900078</v>
      </c>
      <c r="L29" s="332">
        <f>+(L22-L36)+(L36*'PCR (M2) Final'!AH28)/SUM('PCR (M2) Final'!AH28:AH32)</f>
        <v>-91403.776455583138</v>
      </c>
      <c r="M29" s="332">
        <f>+(M22-M36)+(M36*'PCR (M2) Final'!AI28)/SUM('PCR (M2) Final'!AI28:AI32)</f>
        <v>-70943.249429097661</v>
      </c>
      <c r="N29" s="332">
        <f>+(N22-N36)+(N36*'PCR (M2) Final'!AJ28)/SUM('PCR (M2) Final'!AJ28:AJ32)</f>
        <v>-66054.367393184817</v>
      </c>
      <c r="O29" s="332">
        <f>+(O22-O36)+(O36*'PCR (M2) Final'!AK28)/SUM('PCR (M2) Final'!AK28:AK32)</f>
        <v>-91820.331890921618</v>
      </c>
      <c r="P29" s="332">
        <f>+(P22-P36)+(P36*'PCR (M2) Final'!AL28)/SUM('PCR (M2) Final'!AL28:AL32)</f>
        <v>-90548.06124966302</v>
      </c>
      <c r="Q29" s="332">
        <f>+(Q22-Q36)+(Q36*'PCR (M2) Final'!AM28)/SUM('PCR (M2) Final'!AM28:AM32)</f>
        <v>5701.7162648408221</v>
      </c>
      <c r="R29" s="332">
        <f>+(R22-R36)+(R36*'PCR (M2) Final'!AN28)/SUM('PCR (M2) Final'!AN28:AN32)</f>
        <v>5045.644630678953</v>
      </c>
      <c r="S29" s="332">
        <f>+(S22-S36)+(S36*'PCR (M2) Final'!AO28)/SUM('PCR (M2) Final'!AO28:AO32)</f>
        <v>3008.7149063398265</v>
      </c>
      <c r="T29" s="332">
        <f>+(T22-T36)+(T36*'PCR (M2) Final'!AP28)/SUM('PCR (M2) Final'!AP28:AP32)</f>
        <v>2205.7487402894067</v>
      </c>
      <c r="U29" s="332">
        <f>+(U22-U36)+(U36*'PCR (M2) Final'!AQ28)/SUM('PCR (M2) Final'!AQ28:AQ32)</f>
        <v>3999.7763106464781</v>
      </c>
      <c r="V29" s="332">
        <f>+(V22-V36)+(V36*'PCR (M2) Final'!AR28)/SUM('PCR (M2) Final'!AR28:AR32)</f>
        <v>5883.706114971963</v>
      </c>
      <c r="W29" s="332">
        <f>+(W22-W36)+(W36*'PCR (M2) Final'!AS28)/SUM('PCR (M2) Final'!AS28:AS32)</f>
        <v>6388.9480610643432</v>
      </c>
      <c r="X29" s="332">
        <f>+(X22-X36)+(X36*'PCR (M2) Final'!AT28)/SUM('PCR (M2) Final'!AT28:AT32)</f>
        <v>5704.3650860777861</v>
      </c>
      <c r="Y29" s="332">
        <f>+(Y22-Y36)+(Y36*'PCR (M2) Final'!AU28)/SUM('PCR (M2) Final'!AU28:AU32)</f>
        <v>4090.6342270373448</v>
      </c>
      <c r="Z29" s="332">
        <f>+(Z22-Z36)+(Z36*'PCR (M2) Final'!AV28)/SUM('PCR (M2) Final'!AV28:AV32)</f>
        <v>3102.6762433660651</v>
      </c>
      <c r="AA29" s="332">
        <f>+(AA22-AA36)+(AA36*'PCR (M2) Final'!AW28)/SUM('PCR (M2) Final'!AW28:AW32)</f>
        <v>4827.9481709350366</v>
      </c>
      <c r="AB29" s="332">
        <f>+(AB22-AB36)+(AB36*'PCR (M2) Final'!AX28)/SUM('PCR (M2) Final'!AX28:AX32)</f>
        <v>5577.7147001739477</v>
      </c>
      <c r="AC29" s="332">
        <f>+(AC22-AC36)+(AC36*'PCR (M2) Final'!AY28)/SUM('PCR (M2) Final'!AY28:AY32)</f>
        <v>2440.099428272451</v>
      </c>
      <c r="AD29" s="332">
        <f>+(AD22-AD36)+(AD36*'PCR (M2) Final'!AZ28)/SUM('PCR (M2) Final'!AZ28:AZ32)</f>
        <v>1.4102649906972666</v>
      </c>
      <c r="AE29" s="332">
        <f>+(AE22-AE36)+(AE36*'PCR (M2) Final'!BA28)/SUM('PCR (M2) Final'!BA28:BA32)</f>
        <v>-0.24470097635506055</v>
      </c>
      <c r="AF29" s="332">
        <f>+(AF22-AF36)+(AF36*'PCR (M2) Final'!BB28)/SUM('PCR (M2) Final'!BB28:BB32)</f>
        <v>0.71914898783500369</v>
      </c>
      <c r="AG29" s="332">
        <f>+(AG22-AG36)+(AG36*'PCR (M2) Final'!BC28)/SUM('PCR (M2) Final'!BC28:BC32)</f>
        <v>-0.91945699247300272</v>
      </c>
      <c r="AH29" s="332">
        <f>+(AH22-AH36)+(AH36*'PCR (M2) Final'!BD28)/SUM('PCR (M2) Final'!BD28:BD32)</f>
        <v>-0.26906081066565879</v>
      </c>
      <c r="AI29" s="332">
        <f>+(AI22-AI36)+(AI36*'PCR (M2) Final'!BE28)/SUM('PCR (M2) Final'!BE28:BE32)</f>
        <v>-0.25480804076002028</v>
      </c>
      <c r="AJ29" s="332">
        <f>+(AJ22-AJ36)+(AJ36*'PCR (M2) Final'!BF28)/SUM('PCR (M2) Final'!BF28:BF32)</f>
        <v>-0.56515122442710575</v>
      </c>
      <c r="AK29" s="332">
        <f>+(AK22-AK36)+(AK36*'PCR (M2) Final'!BG28)/SUM('PCR (M2) Final'!BG28:BG32)</f>
        <v>0.12</v>
      </c>
      <c r="AL29" s="332">
        <f>+(AL22-AL36)+(AL36*'PCR (M2) Final'!BH28)/SUM('PCR (M2) Final'!BH28:BH32)</f>
        <v>-0.33</v>
      </c>
      <c r="AM29" s="332">
        <f>+(AM22-AM36)+(AM36*'PCR (M2) Final'!BI28)/SUM('PCR (M2) Final'!BI28:BI32)</f>
        <v>0.28497862559112647</v>
      </c>
      <c r="AN29" s="332">
        <f>+(AN22-AN36)+(AN36*'PCR (M2) Final'!BJ28)/SUM('PCR (M2) Final'!BJ28:BJ32)</f>
        <v>0.16</v>
      </c>
      <c r="AO29" s="332">
        <f>+(AO22-AO36)+(AO36*'PCR (M2) Final'!BK28)/SUM('PCR (M2) Final'!BK28:BK32)</f>
        <v>66.640894656882267</v>
      </c>
      <c r="AP29" s="332">
        <f>+(AP22-AP36)+(AP36*'PCR (M2) Final'!BL28)/SUM('PCR (M2) Final'!BL28:BL32)</f>
        <v>144.69436349246914</v>
      </c>
      <c r="AQ29" s="332">
        <f>+(AQ22-AQ36)+(AQ36*'PCR (M2) Final'!BM28)/SUM('PCR (M2) Final'!BM28:BM32)</f>
        <v>8.7901622288404759</v>
      </c>
      <c r="AR29" s="332">
        <f>+(AR22-AR36)+(AR36*'PCR (M2) Final'!BN28)/SUM('PCR (M2) Final'!BN28:BN32)</f>
        <v>9.2673856864714104</v>
      </c>
      <c r="AS29" s="332">
        <f>+(AS22-AS36)+(AS36*'PCR (M2) Final'!BO28)/SUM('PCR (M2) Final'!BO28:BO32)</f>
        <v>22.090034068817097</v>
      </c>
      <c r="AT29" s="332">
        <f>+(AT22-AT36)+(AT36*'PCR (M2) Final'!BP28)/SUM('PCR (M2) Final'!BP28:BP32)</f>
        <v>35.72734611032444</v>
      </c>
      <c r="AU29" s="332">
        <f>+(AU22-AU36)+(AU36*'PCR (M2) Final'!BQ28)/SUM('PCR (M2) Final'!BQ28:BQ32)</f>
        <v>35.182747412395692</v>
      </c>
      <c r="AV29" s="332">
        <f>+(AV22-AV36)+(AV36*'PCR (M2) Final'!BR28)/SUM('PCR (M2) Final'!BR28:BR32)</f>
        <v>34.701231185590451</v>
      </c>
      <c r="AW29" s="341">
        <f>+(AW22-AW36)+(AW36*'PCR (M2) Final'!BS28)/SUM('PCR (M2) Final'!BS28:BS32)</f>
        <v>15.082826968094709</v>
      </c>
      <c r="AX29" s="341">
        <f>+(AX22-AX36)+(AX36*'PCR (M2) Final'!BT28)/SUM('PCR (M2) Final'!BT28:BT32)</f>
        <v>12.074057328052838</v>
      </c>
      <c r="AY29" s="341">
        <f>+(AY22-AY36)+(AY36*'PCR (M2) Final'!BU28)/SUM('PCR (M2) Final'!BU28:BU32)</f>
        <v>40.998508507291596</v>
      </c>
      <c r="AZ29" s="334">
        <f>+(AZ22-AZ36)+(AZ36*'PCR (M2) Final'!BV28)/SUM('PCR (M2) Final'!BV28:BV32)</f>
        <v>172.69493755769554</v>
      </c>
      <c r="BB29" s="32"/>
    </row>
    <row r="30" spans="1:54" x14ac:dyDescent="0.3">
      <c r="A30" s="139" t="s">
        <v>4</v>
      </c>
      <c r="B30" s="85">
        <f>IFERROR(+B23+(B36*B23/SUM(B22:B26)),0)</f>
        <v>0</v>
      </c>
      <c r="C30" s="89">
        <f>IFERROR(+C23+(C36*C23/SUM(C22:C26)),0)</f>
        <v>0</v>
      </c>
      <c r="D30" s="332">
        <f>+D23+(D36*'PCR (M2) Final'!Z29)/SUM('PCR (M2) Final'!Z28:Z32)</f>
        <v>-11.384222363084419</v>
      </c>
      <c r="E30" s="332">
        <f>+E23+(E36*'PCR (M2) Final'!AA29)/SUM('PCR (M2) Final'!AA28:AA32)</f>
        <v>-186.85222631569627</v>
      </c>
      <c r="F30" s="332">
        <f>+F23+(F36*'PCR (M2) Final'!AB29)/SUM('PCR (M2) Final'!AB28:AB32)</f>
        <v>-100.88478136900687</v>
      </c>
      <c r="G30" s="332">
        <f>+G23+(G36*'PCR (M2) Final'!AC29)/SUM('PCR (M2) Final'!AC28:AC32)</f>
        <v>-203.66585374608152</v>
      </c>
      <c r="H30" s="332">
        <f>+H23+(H36*'PCR (M2) Final'!AD29)/SUM('PCR (M2) Final'!AD28:AD32)</f>
        <v>-154.08947480151883</v>
      </c>
      <c r="I30" s="332">
        <f>+I23+(I36*'PCR (M2) Final'!AE29)/SUM('PCR (M2) Final'!AE28:AE32)</f>
        <v>-235.24499901764932</v>
      </c>
      <c r="J30" s="332">
        <f>+J23+(J36*'PCR (M2) Final'!AF29)/SUM('PCR (M2) Final'!AF28:AF32)</f>
        <v>-255.41012630143928</v>
      </c>
      <c r="K30" s="332">
        <f>+K23+(K36*'PCR (M2) Final'!AG29)/SUM('PCR (M2) Final'!AG28:AG32)</f>
        <v>-246.93691362782653</v>
      </c>
      <c r="L30" s="332">
        <f>+L23+(L36*'PCR (M2) Final'!AH29)/SUM('PCR (M2) Final'!AH28:AH32)</f>
        <v>-246.76170011659576</v>
      </c>
      <c r="M30" s="332">
        <f>+M23+(M36*'PCR (M2) Final'!AI29)/SUM('PCR (M2) Final'!AI28:AI32)</f>
        <v>-197.48401612807413</v>
      </c>
      <c r="N30" s="332">
        <f>+N23+(N36*'PCR (M2) Final'!AJ29)/SUM('PCR (M2) Final'!AJ28:AJ32)</f>
        <v>-117.03219960221634</v>
      </c>
      <c r="O30" s="332">
        <f>+O23+(O36*'PCR (M2) Final'!AK29)/SUM('PCR (M2) Final'!AK28:AK32)</f>
        <v>-104.08185850386474</v>
      </c>
      <c r="P30" s="332">
        <f>+P23+(P36*'PCR (M2) Final'!AL29)/SUM('PCR (M2) Final'!AL28:AL32)</f>
        <v>-138.90874431517193</v>
      </c>
      <c r="Q30" s="332">
        <f>+Q23+(Q36*'PCR (M2) Final'!AM29)/SUM('PCR (M2) Final'!AM28:AM32)</f>
        <v>-558.8085232392973</v>
      </c>
      <c r="R30" s="332">
        <f>+R23+(R36*'PCR (M2) Final'!AN29)/SUM('PCR (M2) Final'!AN28:AN32)</f>
        <v>-519.50274267456757</v>
      </c>
      <c r="S30" s="332">
        <f>+S23+(S36*'PCR (M2) Final'!AO29)/SUM('PCR (M2) Final'!AO28:AO32)</f>
        <v>-392.12912018644721</v>
      </c>
      <c r="T30" s="332">
        <f>+T23+(T36*'PCR (M2) Final'!AP29)/SUM('PCR (M2) Final'!AP28:AP32)</f>
        <v>-360.65580640555669</v>
      </c>
      <c r="U30" s="332">
        <f>+U23+(U36*'PCR (M2) Final'!AQ29)/SUM('PCR (M2) Final'!AQ28:AQ32)</f>
        <v>-439.27639763440209</v>
      </c>
      <c r="V30" s="332">
        <f>+V23+(V36*'PCR (M2) Final'!AR29)/SUM('PCR (M2) Final'!AR28:AR32)</f>
        <v>-521.868772434015</v>
      </c>
      <c r="W30" s="332">
        <f>+W23+(W36*'PCR (M2) Final'!AS29)/SUM('PCR (M2) Final'!AS28:AS32)</f>
        <v>-541.29796040901067</v>
      </c>
      <c r="X30" s="332">
        <f>+X23+(X36*'PCR (M2) Final'!AT29)/SUM('PCR (M2) Final'!AT28:AT32)</f>
        <v>-515.27220046104708</v>
      </c>
      <c r="Y30" s="332">
        <f>+Y23+(Y36*'PCR (M2) Final'!AU29)/SUM('PCR (M2) Final'!AU28:AU32)</f>
        <v>-450.85820340393286</v>
      </c>
      <c r="Z30" s="332">
        <f>+Z23+(Z36*'PCR (M2) Final'!AV29)/SUM('PCR (M2) Final'!AV28:AV32)</f>
        <v>-394.65383551715644</v>
      </c>
      <c r="AA30" s="332">
        <f>+AA23+(AA36*'PCR (M2) Final'!AW29)/SUM('PCR (M2) Final'!AW28:AW32)</f>
        <v>-489.70782440204073</v>
      </c>
      <c r="AB30" s="332">
        <f>+AB23+(AB36*'PCR (M2) Final'!AX29)/SUM('PCR (M2) Final'!AX28:AX32)</f>
        <v>-530.90919958162635</v>
      </c>
      <c r="AC30" s="332">
        <f>+AC23+(AC36*'PCR (M2) Final'!AY29)/SUM('PCR (M2) Final'!AY28:AY32)</f>
        <v>-254.72710493829186</v>
      </c>
      <c r="AD30" s="332">
        <f>+AD23+(AD36*'PCR (M2) Final'!AZ29)/SUM('PCR (M2) Final'!AZ28:AZ32)</f>
        <v>-0.33701513700451935</v>
      </c>
      <c r="AE30" s="332">
        <f>+AE23+(AE36*'PCR (M2) Final'!BA29)/SUM('PCR (M2) Final'!BA28:BA32)</f>
        <v>0.14892093099494652</v>
      </c>
      <c r="AF30" s="332">
        <f>+AF23+(AF36*'PCR (M2) Final'!BB29)/SUM('PCR (M2) Final'!BB28:BB32)</f>
        <v>-9.7862838943283598E-2</v>
      </c>
      <c r="AG30" s="332">
        <f>+AG23+(AG36*'PCR (M2) Final'!BC29)/SUM('PCR (M2) Final'!BC28:BC32)</f>
        <v>0.12567819905114194</v>
      </c>
      <c r="AH30" s="332">
        <f>+AH23+(AH36*'PCR (M2) Final'!BD29)/SUM('PCR (M2) Final'!BD28:BD32)</f>
        <v>0.12432296061665514</v>
      </c>
      <c r="AI30" s="332">
        <f>+AI23+(AI36*'PCR (M2) Final'!BE29)/SUM('PCR (M2) Final'!BE28:BE32)</f>
        <v>-0.86673854936688111</v>
      </c>
      <c r="AJ30" s="332">
        <f>+AJ23+(AJ36*'PCR (M2) Final'!BF29)/SUM('PCR (M2) Final'!BF28:BF32)</f>
        <v>-4.741832363489086E-2</v>
      </c>
      <c r="AK30" s="332">
        <f>+AK23+(AK36*'PCR (M2) Final'!BG29)/SUM('PCR (M2) Final'!BG28:BG32)</f>
        <v>-0.13</v>
      </c>
      <c r="AL30" s="332">
        <f>+AL23+(AL36*'PCR (M2) Final'!BH29)/SUM('PCR (M2) Final'!BH28:BH32)</f>
        <v>-0.08</v>
      </c>
      <c r="AM30" s="332">
        <f>+AM23+(AM36*'PCR (M2) Final'!BI29)/SUM('PCR (M2) Final'!BI28:BI32)</f>
        <v>1.1020894363609731E-3</v>
      </c>
      <c r="AN30" s="332">
        <f>+AN23+(AN36*'PCR (M2) Final'!BJ29)/SUM('PCR (M2) Final'!BJ28:BJ32)</f>
        <v>0.02</v>
      </c>
      <c r="AO30" s="332">
        <f>+AO23+(AO36*'PCR (M2) Final'!BK29)/SUM('PCR (M2) Final'!BK28:BK32)</f>
        <v>-68.824136308207429</v>
      </c>
      <c r="AP30" s="332">
        <f>+AP23+(AP36*'PCR (M2) Final'!BL29)/SUM('PCR (M2) Final'!BL28:BL32)</f>
        <v>-171.01861603343562</v>
      </c>
      <c r="AQ30" s="332">
        <f>+AQ23+(AQ36*'PCR (M2) Final'!BM29)/SUM('PCR (M2) Final'!BM28:BM32)</f>
        <v>-123.35461704674981</v>
      </c>
      <c r="AR30" s="332">
        <f>+AR23+(AR36*'PCR (M2) Final'!BN29)/SUM('PCR (M2) Final'!BN28:BN32)</f>
        <v>-122.59165486568271</v>
      </c>
      <c r="AS30" s="332">
        <f>+AS23+(AS36*'PCR (M2) Final'!BO29)/SUM('PCR (M2) Final'!BO28:BO32)</f>
        <v>-162.53241952729982</v>
      </c>
      <c r="AT30" s="332">
        <f>+AT23+(AT36*'PCR (M2) Final'!BP29)/SUM('PCR (M2) Final'!BP28:BP32)</f>
        <v>-204.97326620662102</v>
      </c>
      <c r="AU30" s="332">
        <f>+AU23+(AU36*'PCR (M2) Final'!BQ29)/SUM('PCR (M2) Final'!BQ28:BQ32)</f>
        <v>-204.0333619654821</v>
      </c>
      <c r="AV30" s="332">
        <f>+AV23+(AV36*'PCR (M2) Final'!BR29)/SUM('PCR (M2) Final'!BR28:BR32)</f>
        <v>-207.31588778844934</v>
      </c>
      <c r="AW30" s="341">
        <f>+AW23+(AW36*'PCR (M2) Final'!BS29)/SUM('PCR (M2) Final'!BS28:BS32)</f>
        <v>-162.37555614334758</v>
      </c>
      <c r="AX30" s="341">
        <f>+AX23+(AX36*'PCR (M2) Final'!BT29)/SUM('PCR (M2) Final'!BT28:BT32)</f>
        <v>-135.00267007965004</v>
      </c>
      <c r="AY30" s="341">
        <f>+AY23+(AY36*'PCR (M2) Final'!BU29)/SUM('PCR (M2) Final'!BU28:BU32)</f>
        <v>-158.74368420163526</v>
      </c>
      <c r="AZ30" s="334">
        <f>+AZ23+(AZ36*'PCR (M2) Final'!BV29)/SUM('PCR (M2) Final'!BV28:BV32)</f>
        <v>-202.39574895622954</v>
      </c>
      <c r="BB30" s="32"/>
    </row>
    <row r="31" spans="1:54" x14ac:dyDescent="0.3">
      <c r="A31" s="139" t="s">
        <v>5</v>
      </c>
      <c r="B31" s="85">
        <f t="shared" ref="B31:C33" si="42">IFERROR(+B24+(B37*B24/SUM(B23:B27)),0)</f>
        <v>0</v>
      </c>
      <c r="C31" s="89">
        <f t="shared" si="42"/>
        <v>0</v>
      </c>
      <c r="D31" s="332">
        <f>+D24+(D36*'PCR (M2) Final'!Z30)/SUM('PCR (M2) Final'!Z28:Z32)</f>
        <v>-6.9416914708189807</v>
      </c>
      <c r="E31" s="332">
        <f>+E24+(E36*'PCR (M2) Final'!AA30)/SUM('PCR (M2) Final'!AA28:AA32)</f>
        <v>-378.46542798248322</v>
      </c>
      <c r="F31" s="332">
        <f>+F24+(F36*'PCR (M2) Final'!AB30)/SUM('PCR (M2) Final'!AB28:AB32)</f>
        <v>-415.47196728559902</v>
      </c>
      <c r="G31" s="332">
        <f>+G24+(G36*'PCR (M2) Final'!AC30)/SUM('PCR (M2) Final'!AC28:AC32)</f>
        <v>-668.72119032891226</v>
      </c>
      <c r="H31" s="332">
        <f>+H24+(H36*'PCR (M2) Final'!AD30)/SUM('PCR (M2) Final'!AD28:AD32)</f>
        <v>-617.78313591375547</v>
      </c>
      <c r="I31" s="332">
        <f>+I24+(I36*'PCR (M2) Final'!AE30)/SUM('PCR (M2) Final'!AE28:AE32)</f>
        <v>-760.03762694007617</v>
      </c>
      <c r="J31" s="332">
        <f>+J24+(J36*'PCR (M2) Final'!AF30)/SUM('PCR (M2) Final'!AF28:AF32)</f>
        <v>-772.29698124796948</v>
      </c>
      <c r="K31" s="332">
        <f>+K24+(K36*'PCR (M2) Final'!AG30)/SUM('PCR (M2) Final'!AG28:AG32)</f>
        <v>-766.73352740163136</v>
      </c>
      <c r="L31" s="332">
        <f>+L24+(L36*'PCR (M2) Final'!AH30)/SUM('PCR (M2) Final'!AH28:AH32)</f>
        <v>-797.55427838965022</v>
      </c>
      <c r="M31" s="332">
        <f>+M24+(M36*'PCR (M2) Final'!AI30)/SUM('PCR (M2) Final'!AI28:AI32)</f>
        <v>-710.06231472430727</v>
      </c>
      <c r="N31" s="332">
        <f>+N24+(N36*'PCR (M2) Final'!AJ30)/SUM('PCR (M2) Final'!AJ28:AJ32)</f>
        <v>-511.35537472453461</v>
      </c>
      <c r="O31" s="332">
        <f>+O24+(O36*'PCR (M2) Final'!AK30)/SUM('PCR (M2) Final'!AK28:AK32)</f>
        <v>-421.5368223391082</v>
      </c>
      <c r="P31" s="332">
        <f>+P24+(P36*'PCR (M2) Final'!AL30)/SUM('PCR (M2) Final'!AL28:AL32)</f>
        <v>-474.54795677526852</v>
      </c>
      <c r="Q31" s="332">
        <f>+Q24+(Q36*'PCR (M2) Final'!AM30)/SUM('PCR (M2) Final'!AM28:AM32)</f>
        <v>-1305.0189801449624</v>
      </c>
      <c r="R31" s="332">
        <f>+R24+(R36*'PCR (M2) Final'!AN30)/SUM('PCR (M2) Final'!AN28:AN32)</f>
        <v>-1230.6840853584299</v>
      </c>
      <c r="S31" s="332">
        <f>+S24+(S36*'PCR (M2) Final'!AO30)/SUM('PCR (M2) Final'!AO28:AO32)</f>
        <v>-1094.7600476722153</v>
      </c>
      <c r="T31" s="332">
        <f>+T24+(T36*'PCR (M2) Final'!AP30)/SUM('PCR (M2) Final'!AP28:AP32)</f>
        <v>-1122.1842420520375</v>
      </c>
      <c r="U31" s="332">
        <f>+U24+(U36*'PCR (M2) Final'!AQ30)/SUM('PCR (M2) Final'!AQ28:AQ32)</f>
        <v>-1252.8823627825852</v>
      </c>
      <c r="V31" s="332">
        <f>+V24+(V36*'PCR (M2) Final'!AR30)/SUM('PCR (M2) Final'!AR28:AR32)</f>
        <v>-1353.4912503448709</v>
      </c>
      <c r="W31" s="332">
        <f>+W24+(W36*'PCR (M2) Final'!AS30)/SUM('PCR (M2) Final'!AS28:AS32)</f>
        <v>-1387.5734347437763</v>
      </c>
      <c r="X31" s="332">
        <f>+X24+(X36*'PCR (M2) Final'!AT30)/SUM('PCR (M2) Final'!AT28:AT32)</f>
        <v>-1398.2655533626214</v>
      </c>
      <c r="Y31" s="332">
        <f>+Y24+(Y36*'PCR (M2) Final'!AU30)/SUM('PCR (M2) Final'!AU28:AU32)</f>
        <v>-1279.3245104394109</v>
      </c>
      <c r="Z31" s="332">
        <f>+Z24+(Z36*'PCR (M2) Final'!AV30)/SUM('PCR (M2) Final'!AV28:AV32)</f>
        <v>-1134.7067769578891</v>
      </c>
      <c r="AA31" s="332">
        <f>+AA24+(AA36*'PCR (M2) Final'!AW30)/SUM('PCR (M2) Final'!AW28:AW32)</f>
        <v>-1241.6496745911197</v>
      </c>
      <c r="AB31" s="332">
        <f>+AB24+(AB36*'PCR (M2) Final'!AX30)/SUM('PCR (M2) Final'!AX28:AX32)</f>
        <v>-1286.5766622120434</v>
      </c>
      <c r="AC31" s="332">
        <f>+AC24+(AC36*'PCR (M2) Final'!AY30)/SUM('PCR (M2) Final'!AY28:AY32)</f>
        <v>-726.54026537829611</v>
      </c>
      <c r="AD31" s="332">
        <f>+AD24+(AD36*'PCR (M2) Final'!AZ30)/SUM('PCR (M2) Final'!AZ28:AZ32)</f>
        <v>-6.8949971960276795</v>
      </c>
      <c r="AE31" s="332">
        <f>+AE24+(AE36*'PCR (M2) Final'!BA30)/SUM('PCR (M2) Final'!BA28:BA32)</f>
        <v>-6.2565300845356817E-2</v>
      </c>
      <c r="AF31" s="332">
        <f>+AF24+(AF36*'PCR (M2) Final'!BB30)/SUM('PCR (M2) Final'!BB28:BB32)</f>
        <v>1.7952332615148221</v>
      </c>
      <c r="AG31" s="332">
        <f>+AG24+(AG36*'PCR (M2) Final'!BC30)/SUM('PCR (M2) Final'!BC28:BC32)</f>
        <v>-9.9915985889540981E-3</v>
      </c>
      <c r="AH31" s="332">
        <f>+AH24+(AH36*'PCR (M2) Final'!BD30)/SUM('PCR (M2) Final'!BD28:BD32)</f>
        <v>9.3579455509439687E-3</v>
      </c>
      <c r="AI31" s="332">
        <f>+AI24+(AI36*'PCR (M2) Final'!BE30)/SUM('PCR (M2) Final'!BE28:BE32)</f>
        <v>0.71720797422692606</v>
      </c>
      <c r="AJ31" s="332">
        <f>+AJ24+(AJ36*'PCR (M2) Final'!BF30)/SUM('PCR (M2) Final'!BF28:BF32)</f>
        <v>2.9325402494311224E-3</v>
      </c>
      <c r="AK31" s="332">
        <f>+AK24+(AK36*'PCR (M2) Final'!BG30)/SUM('PCR (M2) Final'!BG28:BG32)</f>
        <v>0</v>
      </c>
      <c r="AL31" s="332">
        <f>+AL24+(AL36*'PCR (M2) Final'!BH30)/SUM('PCR (M2) Final'!BH28:BH32)</f>
        <v>0.08</v>
      </c>
      <c r="AM31" s="332">
        <f>+AM24+(AM36*'PCR (M2) Final'!BI30)/SUM('PCR (M2) Final'!BI28:BI32)</f>
        <v>2.4201247065052216E-3</v>
      </c>
      <c r="AN31" s="332">
        <f>+AN24+(AN36*'PCR (M2) Final'!BJ30)/SUM('PCR (M2) Final'!BJ28:BJ32)</f>
        <v>0</v>
      </c>
      <c r="AO31" s="332">
        <f>+AO24+(AO36*'PCR (M2) Final'!BK30)/SUM('PCR (M2) Final'!BK28:BK32)</f>
        <v>-249.80537707139624</v>
      </c>
      <c r="AP31" s="332">
        <f>+AP24+(AP36*'PCR (M2) Final'!BL30)/SUM('PCR (M2) Final'!BL28:BL32)</f>
        <v>-543.86148247596134</v>
      </c>
      <c r="AQ31" s="332">
        <f>+AQ24+(AQ36*'PCR (M2) Final'!BM30)/SUM('PCR (M2) Final'!BM28:BM32)</f>
        <v>-483.20213968934206</v>
      </c>
      <c r="AR31" s="332">
        <f>+AR24+(AR36*'PCR (M2) Final'!BN30)/SUM('PCR (M2) Final'!BN28:BN32)</f>
        <v>-492.14785887880817</v>
      </c>
      <c r="AS31" s="332">
        <f>+AS24+(AS36*'PCR (M2) Final'!BO30)/SUM('PCR (M2) Final'!BO28:BO32)</f>
        <v>-547.11972325001091</v>
      </c>
      <c r="AT31" s="332">
        <f>+AT24+(AT36*'PCR (M2) Final'!BP30)/SUM('PCR (M2) Final'!BP28:BP32)</f>
        <v>-640.6350730995805</v>
      </c>
      <c r="AU31" s="332">
        <f>+AU24+(AU36*'PCR (M2) Final'!BQ30)/SUM('PCR (M2) Final'!BQ28:BQ32)</f>
        <v>-635.14445399569365</v>
      </c>
      <c r="AV31" s="332">
        <f>+AV24+(AV36*'PCR (M2) Final'!BR30)/SUM('PCR (M2) Final'!BR28:BR32)</f>
        <v>-647.12887923076835</v>
      </c>
      <c r="AW31" s="341">
        <f>+AW24+(AW36*'PCR (M2) Final'!BS30)/SUM('PCR (M2) Final'!BS28:BS32)</f>
        <v>-568.86603376809899</v>
      </c>
      <c r="AX31" s="341">
        <f>+AX24+(AX36*'PCR (M2) Final'!BT30)/SUM('PCR (M2) Final'!BT28:BT32)</f>
        <v>-505.86420053784485</v>
      </c>
      <c r="AY31" s="341">
        <f>+AY24+(AY36*'PCR (M2) Final'!BU30)/SUM('PCR (M2) Final'!BU28:BU32)</f>
        <v>-552.74173373270287</v>
      </c>
      <c r="AZ31" s="334">
        <f>+AZ24+(AZ36*'PCR (M2) Final'!BV30)/SUM('PCR (M2) Final'!BV28:BV32)</f>
        <v>-593.22164775889269</v>
      </c>
      <c r="BB31" s="32"/>
    </row>
    <row r="32" spans="1:54" x14ac:dyDescent="0.3">
      <c r="A32" s="139" t="s">
        <v>6</v>
      </c>
      <c r="B32" s="85">
        <f t="shared" si="42"/>
        <v>0</v>
      </c>
      <c r="C32" s="89">
        <f t="shared" si="42"/>
        <v>0</v>
      </c>
      <c r="D32" s="332">
        <f>+D25+(D36*'PCR (M2) Final'!Z31)/SUM('PCR (M2) Final'!Z28:Z32)</f>
        <v>-17.444349909353576</v>
      </c>
      <c r="E32" s="332">
        <f>+E25+(E36*'PCR (M2) Final'!AA31)/SUM('PCR (M2) Final'!AA28:AA32)</f>
        <v>-102.48884834768978</v>
      </c>
      <c r="F32" s="332">
        <f>+F25+(F36*'PCR (M2) Final'!AB31)/SUM('PCR (M2) Final'!AB28:AB32)</f>
        <v>-136.80180201620317</v>
      </c>
      <c r="G32" s="332">
        <f>+G25+(G36*'PCR (M2) Final'!AC31)/SUM('PCR (M2) Final'!AC28:AC32)</f>
        <v>-283.47907136467245</v>
      </c>
      <c r="H32" s="332">
        <f>+H25+(H36*'PCR (M2) Final'!AD31)/SUM('PCR (M2) Final'!AD28:AD32)</f>
        <v>-302.4404689809316</v>
      </c>
      <c r="I32" s="332">
        <f>+I25+(I36*'PCR (M2) Final'!AE31)/SUM('PCR (M2) Final'!AE28:AE32)</f>
        <v>-338.48520067729055</v>
      </c>
      <c r="J32" s="332">
        <f>+J25+(J36*'PCR (M2) Final'!AF31)/SUM('PCR (M2) Final'!AF28:AF32)</f>
        <v>-335.48440293608814</v>
      </c>
      <c r="K32" s="332">
        <f>+K25+(K36*'PCR (M2) Final'!AG31)/SUM('PCR (M2) Final'!AG28:AG32)</f>
        <v>-345.55324078098459</v>
      </c>
      <c r="L32" s="332">
        <f>+L25+(L36*'PCR (M2) Final'!AH31)/SUM('PCR (M2) Final'!AH28:AH32)</f>
        <v>-343.96710109653031</v>
      </c>
      <c r="M32" s="332">
        <f>+M25+(M36*'PCR (M2) Final'!AI31)/SUM('PCR (M2) Final'!AI28:AI32)</f>
        <v>-318.06979271047379</v>
      </c>
      <c r="N32" s="332">
        <f>+N25+(N36*'PCR (M2) Final'!AJ31)/SUM('PCR (M2) Final'!AJ28:AJ32)</f>
        <v>-237.9842897199585</v>
      </c>
      <c r="O32" s="332">
        <f>+O25+(O36*'PCR (M2) Final'!AK31)/SUM('PCR (M2) Final'!AK28:AK32)</f>
        <v>-193.99619011626822</v>
      </c>
      <c r="P32" s="332">
        <f>+P25+(P36*'PCR (M2) Final'!AL31)/SUM('PCR (M2) Final'!AL28:AL32)</f>
        <v>-197.86074607841431</v>
      </c>
      <c r="Q32" s="332">
        <f>+Q25+(Q36*'PCR (M2) Final'!AM31)/SUM('PCR (M2) Final'!AM28:AM32)</f>
        <v>-520.21175282901334</v>
      </c>
      <c r="R32" s="332">
        <f>+R25+(R36*'PCR (M2) Final'!AN31)/SUM('PCR (M2) Final'!AN28:AN32)</f>
        <v>-500.73394889503726</v>
      </c>
      <c r="S32" s="332">
        <f>+S25+(S36*'PCR (M2) Final'!AO31)/SUM('PCR (M2) Final'!AO28:AO32)</f>
        <v>-474.68776294992131</v>
      </c>
      <c r="T32" s="332">
        <f>+T25+(T36*'PCR (M2) Final'!AP31)/SUM('PCR (M2) Final'!AP28:AP32)</f>
        <v>-468.93873268501005</v>
      </c>
      <c r="U32" s="332">
        <f>+U25+(U36*'PCR (M2) Final'!AQ31)/SUM('PCR (M2) Final'!AQ28:AQ32)</f>
        <v>-546.79794672239109</v>
      </c>
      <c r="V32" s="332">
        <f>+V25+(V36*'PCR (M2) Final'!AR31)/SUM('PCR (M2) Final'!AR28:AR32)</f>
        <v>-552.13133649955557</v>
      </c>
      <c r="W32" s="332">
        <f>+W25+(W36*'PCR (M2) Final'!AS31)/SUM('PCR (M2) Final'!AS28:AS32)</f>
        <v>-580.53070180642453</v>
      </c>
      <c r="X32" s="332">
        <f>+X25+(X36*'PCR (M2) Final'!AT31)/SUM('PCR (M2) Final'!AT28:AT32)</f>
        <v>-575.84798515189959</v>
      </c>
      <c r="Y32" s="332">
        <f>+Y25+(Y36*'PCR (M2) Final'!AU31)/SUM('PCR (M2) Final'!AU28:AU32)</f>
        <v>-531.75664687239737</v>
      </c>
      <c r="Z32" s="332">
        <f>+Z25+(Z36*'PCR (M2) Final'!AV31)/SUM('PCR (M2) Final'!AV28:AV32)</f>
        <v>-494.05566459668285</v>
      </c>
      <c r="AA32" s="332">
        <f>+AA25+(AA36*'PCR (M2) Final'!AW31)/SUM('PCR (M2) Final'!AW28:AW32)</f>
        <v>-523.5852631743079</v>
      </c>
      <c r="AB32" s="332">
        <f>+AB25+(AB36*'PCR (M2) Final'!AX31)/SUM('PCR (M2) Final'!AX28:AX32)</f>
        <v>-516.75455094312724</v>
      </c>
      <c r="AC32" s="332">
        <f>+AC25+(AC36*'PCR (M2) Final'!AY31)/SUM('PCR (M2) Final'!AY28:AY32)</f>
        <v>-337.4267471103858</v>
      </c>
      <c r="AD32" s="332">
        <f>+AD25+(AD36*'PCR (M2) Final'!AZ31)/SUM('PCR (M2) Final'!AZ28:AZ32)</f>
        <v>-3.4559580699463468</v>
      </c>
      <c r="AE32" s="332">
        <f>+AE25+(AE36*'PCR (M2) Final'!BA31)/SUM('PCR (M2) Final'!BA28:BA32)</f>
        <v>-1.1663182851595259E-3</v>
      </c>
      <c r="AF32" s="332">
        <f>+AF25+(AF36*'PCR (M2) Final'!BB31)/SUM('PCR (M2) Final'!BB28:BB32)</f>
        <v>2.3978274514162741E-3</v>
      </c>
      <c r="AG32" s="332">
        <f>+AG25+(AG36*'PCR (M2) Final'!BC31)/SUM('PCR (M2) Final'!BC28:BC32)</f>
        <v>-4.5074777896293656E-3</v>
      </c>
      <c r="AH32" s="332">
        <f>+AH25+(AH36*'PCR (M2) Final'!BD31)/SUM('PCR (M2) Final'!BD28:BD32)</f>
        <v>3.8044912959846466E-3</v>
      </c>
      <c r="AI32" s="332">
        <f>+AI25+(AI36*'PCR (M2) Final'!BE31)/SUM('PCR (M2) Final'!BE28:BE32)</f>
        <v>3.0837581139810137E-3</v>
      </c>
      <c r="AJ32" s="332">
        <f>+AJ25+(AJ36*'PCR (M2) Final'!BF31)/SUM('PCR (M2) Final'!BF28:BF32)</f>
        <v>-7.336060384964779E-3</v>
      </c>
      <c r="AK32" s="332">
        <f>+AK25+(AK36*'PCR (M2) Final'!BG31)/SUM('PCR (M2) Final'!BG28:BG32)</f>
        <v>0</v>
      </c>
      <c r="AL32" s="332">
        <f>+AL25+(AL36*'PCR (M2) Final'!BH31)/SUM('PCR (M2) Final'!BH28:BH32)</f>
        <v>0</v>
      </c>
      <c r="AM32" s="332">
        <f>+AM25+(AM36*'PCR (M2) Final'!BI31)/SUM('PCR (M2) Final'!BI28:BI32)</f>
        <v>1.0752960398611824E-3</v>
      </c>
      <c r="AN32" s="332">
        <f>+AN25+(AN36*'PCR (M2) Final'!BJ31)/SUM('PCR (M2) Final'!BJ28:BJ32)</f>
        <v>0</v>
      </c>
      <c r="AO32" s="332">
        <f>+AO25+(AO36*'PCR (M2) Final'!BK31)/SUM('PCR (M2) Final'!BK28:BK32)</f>
        <v>-96.951426498864322</v>
      </c>
      <c r="AP32" s="332">
        <f>+AP25+(AP36*'PCR (M2) Final'!BL31)/SUM('PCR (M2) Final'!BL28:BL32)</f>
        <v>-214.04031581151057</v>
      </c>
      <c r="AQ32" s="332">
        <f>+AQ25+(AQ36*'PCR (M2) Final'!BM31)/SUM('PCR (M2) Final'!BM28:BM32)</f>
        <v>-214.91540087870004</v>
      </c>
      <c r="AR32" s="332">
        <f>+AR25+(AR36*'PCR (M2) Final'!BN31)/SUM('PCR (M2) Final'!BN28:BN32)</f>
        <v>-222.73253693091698</v>
      </c>
      <c r="AS32" s="332">
        <f>+AS25+(AS36*'PCR (M2) Final'!BO31)/SUM('PCR (M2) Final'!BO28:BO32)</f>
        <v>-214.16969846800282</v>
      </c>
      <c r="AT32" s="332">
        <f>+AT25+(AT36*'PCR (M2) Final'!BP31)/SUM('PCR (M2) Final'!BP28:BP32)</f>
        <v>-286.56248956344876</v>
      </c>
      <c r="AU32" s="332">
        <f>+AU25+(AU36*'PCR (M2) Final'!BQ31)/SUM('PCR (M2) Final'!BQ28:BQ32)</f>
        <v>-263.10915118419831</v>
      </c>
      <c r="AV32" s="332">
        <f>+AV25+(AV36*'PCR (M2) Final'!BR31)/SUM('PCR (M2) Final'!BR28:BR32)</f>
        <v>-266.5124840825905</v>
      </c>
      <c r="AW32" s="341">
        <f>+AW25+(AW36*'PCR (M2) Final'!BS31)/SUM('PCR (M2) Final'!BS28:BS32)</f>
        <v>-229.99457762638849</v>
      </c>
      <c r="AX32" s="341">
        <f>+AX25+(AX36*'PCR (M2) Final'!BT31)/SUM('PCR (M2) Final'!BT28:BT32)</f>
        <v>-200.61727377125567</v>
      </c>
      <c r="AY32" s="341">
        <f>+AY25+(AY36*'PCR (M2) Final'!BU31)/SUM('PCR (M2) Final'!BU28:BU32)</f>
        <v>-264.36295471154853</v>
      </c>
      <c r="AZ32" s="334">
        <f>+AZ25+(AZ36*'PCR (M2) Final'!BV31)/SUM('PCR (M2) Final'!BV28:BV32)</f>
        <v>-255.97917589648668</v>
      </c>
      <c r="BB32" s="32"/>
    </row>
    <row r="33" spans="1:55" x14ac:dyDescent="0.3">
      <c r="A33" s="139" t="s">
        <v>7</v>
      </c>
      <c r="B33" s="85">
        <f t="shared" si="42"/>
        <v>0</v>
      </c>
      <c r="C33" s="89">
        <f t="shared" si="42"/>
        <v>0</v>
      </c>
      <c r="D33" s="332">
        <f>+D26+(D36*'PCR (M2) Final'!Z32)/SUM('PCR (M2) Final'!Z28:Z32)</f>
        <v>6.9000973763690219</v>
      </c>
      <c r="E33" s="332">
        <f>+E26+(E36*'PCR (M2) Final'!AA32)/SUM('PCR (M2) Final'!AA28:AA32)</f>
        <v>50.878145321878819</v>
      </c>
      <c r="F33" s="332">
        <f>+F26+(F36*'PCR (M2) Final'!AB32)/SUM('PCR (M2) Final'!AB28:AB32)</f>
        <v>18.108796526887801</v>
      </c>
      <c r="G33" s="332">
        <f>+G26+(G36*'PCR (M2) Final'!AC32)/SUM('PCR (M2) Final'!AC28:AC32)</f>
        <v>-141.21861595014099</v>
      </c>
      <c r="H33" s="332">
        <f>+H26+(H36*'PCR (M2) Final'!AD32)/SUM('PCR (M2) Final'!AD28:AD32)</f>
        <v>-150.43636504697085</v>
      </c>
      <c r="I33" s="332">
        <f>+I26+(I36*'PCR (M2) Final'!AE32)/SUM('PCR (M2) Final'!AE28:AE32)</f>
        <v>-171.65341504744703</v>
      </c>
      <c r="J33" s="332">
        <f>+J26+(J36*'PCR (M2) Final'!AF32)/SUM('PCR (M2) Final'!AF28:AF32)</f>
        <v>-130.24067856255172</v>
      </c>
      <c r="K33" s="332">
        <f>+K26+(K36*'PCR (M2) Final'!AG32)/SUM('PCR (M2) Final'!AG28:AG32)</f>
        <v>-173.19400928947849</v>
      </c>
      <c r="L33" s="332">
        <f>+L26+(L36*'PCR (M2) Final'!AH32)/SUM('PCR (M2) Final'!AH28:AH32)</f>
        <v>-166.38046481407702</v>
      </c>
      <c r="M33" s="332">
        <f>+M26+(M36*'PCR (M2) Final'!AI32)/SUM('PCR (M2) Final'!AI28:AI32)</f>
        <v>-160.94444733948205</v>
      </c>
      <c r="N33" s="332">
        <f>+N26+(N36*'PCR (M2) Final'!AJ32)/SUM('PCR (M2) Final'!AJ28:AJ32)</f>
        <v>-122.35074276845791</v>
      </c>
      <c r="O33" s="332">
        <f>+O26+(O36*'PCR (M2) Final'!AK32)/SUM('PCR (M2) Final'!AK28:AK32)</f>
        <v>-90.313238119130091</v>
      </c>
      <c r="P33" s="332">
        <f>+P26+(P36*'PCR (M2) Final'!AL32)/SUM('PCR (M2) Final'!AL28:AL32)</f>
        <v>-112.68130316812272</v>
      </c>
      <c r="Q33" s="332">
        <f>+Q26+(Q36*'PCR (M2) Final'!AM32)/SUM('PCR (M2) Final'!AM28:AM32)</f>
        <v>-201.04700862754922</v>
      </c>
      <c r="R33" s="332">
        <f>+R26+(R36*'PCR (M2) Final'!AN32)/SUM('PCR (M2) Final'!AN28:AN32)</f>
        <v>-207.60385375091963</v>
      </c>
      <c r="S33" s="332">
        <f>+S26+(S36*'PCR (M2) Final'!AO32)/SUM('PCR (M2) Final'!AO28:AO32)</f>
        <v>-204.38797553124314</v>
      </c>
      <c r="T33" s="332">
        <f>+T26+(T36*'PCR (M2) Final'!AP32)/SUM('PCR (M2) Final'!AP28:AP32)</f>
        <v>-197.40995914680212</v>
      </c>
      <c r="U33" s="332">
        <f>+U26+(U36*'PCR (M2) Final'!AQ32)/SUM('PCR (M2) Final'!AQ28:AQ32)</f>
        <v>-249.44960350709974</v>
      </c>
      <c r="V33" s="332">
        <f>+V26+(V36*'PCR (M2) Final'!AR32)/SUM('PCR (M2) Final'!AR28:AR32)</f>
        <v>-233.32475569352115</v>
      </c>
      <c r="W33" s="332">
        <f>+W26+(W36*'PCR (M2) Final'!AS32)/SUM('PCR (M2) Final'!AS28:AS32)</f>
        <v>-258.78596410513177</v>
      </c>
      <c r="X33" s="332">
        <f>+X26+(X36*'PCR (M2) Final'!AT32)/SUM('PCR (M2) Final'!AT28:AT32)</f>
        <v>-261.67934710221834</v>
      </c>
      <c r="Y33" s="332">
        <f>+Y26+(Y36*'PCR (M2) Final'!AU32)/SUM('PCR (M2) Final'!AU28:AU32)</f>
        <v>-246.03486632160318</v>
      </c>
      <c r="Z33" s="332">
        <f>+Z26+(Z36*'PCR (M2) Final'!AV32)/SUM('PCR (M2) Final'!AV28:AV32)</f>
        <v>-219.57996629433683</v>
      </c>
      <c r="AA33" s="332">
        <f>+AA26+(AA36*'PCR (M2) Final'!AW32)/SUM('PCR (M2) Final'!AW28:AW32)</f>
        <v>-208.25540876756762</v>
      </c>
      <c r="AB33" s="332">
        <f>+AB26+(AB36*'PCR (M2) Final'!AX32)/SUM('PCR (M2) Final'!AX28:AX32)</f>
        <v>-220.79428743715027</v>
      </c>
      <c r="AC33" s="332">
        <f>+AC26+(AC36*'PCR (M2) Final'!AY32)/SUM('PCR (M2) Final'!AY28:AY32)</f>
        <v>-176.41531084547756</v>
      </c>
      <c r="AD33" s="332">
        <f>+AD26+(AD36*'PCR (M2) Final'!AZ32)/SUM('PCR (M2) Final'!AZ28:AZ32)</f>
        <v>6.8377054122812799</v>
      </c>
      <c r="AE33" s="332">
        <f>+AE26+(AE36*'PCR (M2) Final'!BA32)/SUM('PCR (M2) Final'!BA28:BA32)</f>
        <v>-4.8833550936962309E-4</v>
      </c>
      <c r="AF33" s="332">
        <f>+AF26+(AF36*'PCR (M2) Final'!BB32)/SUM('PCR (M2) Final'!BB28:BB32)</f>
        <v>1.0827621420416325E-3</v>
      </c>
      <c r="AG33" s="332">
        <f>+AG26+(AG36*'PCR (M2) Final'!BC32)/SUM('PCR (M2) Final'!BC28:BC32)</f>
        <v>86.378277869800442</v>
      </c>
      <c r="AH33" s="332">
        <f>+AH26+(AH36*'PCR (M2) Final'!BD32)/SUM('PCR (M2) Final'!BD28:BD32)</f>
        <v>1.5754132020750369E-3</v>
      </c>
      <c r="AI33" s="332">
        <f>+AI26+(AI36*'PCR (M2) Final'!BE32)/SUM('PCR (M2) Final'!BE28:BE32)</f>
        <v>1.2548577859941303E-3</v>
      </c>
      <c r="AJ33" s="332">
        <f>+AJ26+(AJ36*'PCR (M2) Final'!BF32)/SUM('PCR (M2) Final'!BF28:BF32)</f>
        <v>-3.0269318024697157E-3</v>
      </c>
      <c r="AK33" s="332">
        <f>+AK26+(AK36*'PCR (M2) Final'!BG32)/SUM('PCR (M2) Final'!BG28:BG32)</f>
        <v>0</v>
      </c>
      <c r="AL33" s="332">
        <f>+AL26+(AL36*'PCR (M2) Final'!BH32)/SUM('PCR (M2) Final'!BH28:BH32)</f>
        <v>0</v>
      </c>
      <c r="AM33" s="332">
        <f>+AM26+(AM36*'PCR (M2) Final'!BI32)/SUM('PCR (M2) Final'!BI28:BI32)</f>
        <v>4.2386422614618027E-4</v>
      </c>
      <c r="AN33" s="332">
        <f>+AN26+(AN36*'PCR (M2) Final'!BJ32)/SUM('PCR (M2) Final'!BJ28:BJ32)</f>
        <v>0</v>
      </c>
      <c r="AO33" s="332">
        <f>+AO26+(AO36*'PCR (M2) Final'!BK32)/SUM('PCR (M2) Final'!BK28:BK32)</f>
        <v>-34.569954778414292</v>
      </c>
      <c r="AP33" s="332">
        <f>+AP26+(AP36*'PCR (M2) Final'!BL32)/SUM('PCR (M2) Final'!BL28:BL32)</f>
        <v>-54.313949171561667</v>
      </c>
      <c r="AQ33" s="332">
        <f>+AQ26+(AQ36*'PCR (M2) Final'!BM32)/SUM('PCR (M2) Final'!BM28:BM32)</f>
        <v>-89.058004614048642</v>
      </c>
      <c r="AR33" s="332">
        <f>+AR26+(AR36*'PCR (M2) Final'!BN32)/SUM('PCR (M2) Final'!BN28:BN32)</f>
        <v>-90.465335011063402</v>
      </c>
      <c r="AS33" s="332">
        <f>+AS26+(AS36*'PCR (M2) Final'!BO32)/SUM('PCR (M2) Final'!BO28:BO32)</f>
        <v>-87.318192823503409</v>
      </c>
      <c r="AT33" s="332">
        <f>+AT26+(AT36*'PCR (M2) Final'!BP32)/SUM('PCR (M2) Final'!BP28:BP32)</f>
        <v>-111.43651724067425</v>
      </c>
      <c r="AU33" s="332">
        <f>+AU26+(AU36*'PCR (M2) Final'!BQ32)/SUM('PCR (M2) Final'!BQ28:BQ32)</f>
        <v>-106.0757802670218</v>
      </c>
      <c r="AV33" s="332">
        <f>+AV26+(AV36*'PCR (M2) Final'!BR32)/SUM('PCR (M2) Final'!BR28:BR32)</f>
        <v>-114.67398008378201</v>
      </c>
      <c r="AW33" s="341">
        <f>+AW26+(AW36*'PCR (M2) Final'!BS32)/SUM('PCR (M2) Final'!BS28:BS32)</f>
        <v>-105.10665943025951</v>
      </c>
      <c r="AX33" s="341">
        <f>+AX26+(AX36*'PCR (M2) Final'!BT32)/SUM('PCR (M2) Final'!BT28:BT32)</f>
        <v>-69.769912939302316</v>
      </c>
      <c r="AY33" s="341">
        <f>+AY26+(AY36*'PCR (M2) Final'!BU32)/SUM('PCR (M2) Final'!BU28:BU32)</f>
        <v>-97.980135861405046</v>
      </c>
      <c r="AZ33" s="334">
        <f>+AZ26+(AZ36*'PCR (M2) Final'!BV32)/SUM('PCR (M2) Final'!BV28:BV32)</f>
        <v>-91.598364946086775</v>
      </c>
      <c r="BB33" s="32"/>
    </row>
    <row r="34" spans="1:55" s="32" customFormat="1" x14ac:dyDescent="0.3">
      <c r="B34" s="180"/>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359"/>
    </row>
    <row r="35" spans="1:55" x14ac:dyDescent="0.3">
      <c r="A35" s="32" t="s">
        <v>105</v>
      </c>
      <c r="B35" s="179"/>
      <c r="C35" s="176"/>
      <c r="D35" s="78" t="s">
        <v>86</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7"/>
      <c r="BA35" s="32"/>
      <c r="BB35" s="32"/>
    </row>
    <row r="36" spans="1:55" x14ac:dyDescent="0.3">
      <c r="A36" s="32" t="str">
        <f>A22</f>
        <v>RES</v>
      </c>
      <c r="B36" s="69"/>
      <c r="C36" s="70"/>
      <c r="D36" s="70">
        <v>421.67887468030682</v>
      </c>
      <c r="E36" s="70">
        <v>3697.040378516625</v>
      </c>
      <c r="F36" s="70">
        <v>2981.2800000000007</v>
      </c>
      <c r="G36" s="70">
        <v>1990.8299999999995</v>
      </c>
      <c r="H36" s="70">
        <v>2001.8799999999997</v>
      </c>
      <c r="I36" s="70">
        <v>2499.3000000000002</v>
      </c>
      <c r="J36" s="70">
        <v>2918.8999999999996</v>
      </c>
      <c r="K36" s="79">
        <v>2572.46</v>
      </c>
      <c r="L36" s="79">
        <v>2448.5699999999988</v>
      </c>
      <c r="M36" s="79">
        <v>2138.75</v>
      </c>
      <c r="N36" s="79">
        <v>2407.1500000000005</v>
      </c>
      <c r="O36" s="79">
        <v>3497.4900000000002</v>
      </c>
      <c r="P36" s="79">
        <v>3426.53</v>
      </c>
      <c r="Q36" s="79">
        <v>-248.61</v>
      </c>
      <c r="R36" s="79">
        <v>-225.38</v>
      </c>
      <c r="S36" s="79">
        <v>-133.12</v>
      </c>
      <c r="T36" s="79">
        <v>-84.42</v>
      </c>
      <c r="U36" s="79">
        <v>-117.89000000000001</v>
      </c>
      <c r="V36" s="79">
        <v>-161.88</v>
      </c>
      <c r="W36" s="79">
        <v>-177.45</v>
      </c>
      <c r="X36" s="79">
        <v>-158.68</v>
      </c>
      <c r="Y36" s="79">
        <v>-122.53999999999998</v>
      </c>
      <c r="Z36" s="79">
        <v>-131.49</v>
      </c>
      <c r="AA36" s="79">
        <v>-197.09000000000003</v>
      </c>
      <c r="AB36" s="79">
        <v>-220.99</v>
      </c>
      <c r="AC36" s="79">
        <v>-106.7</v>
      </c>
      <c r="AD36" s="79">
        <v>-6.0000000000000005E-2</v>
      </c>
      <c r="AE36" s="79">
        <v>-0.01</v>
      </c>
      <c r="AF36" s="79">
        <v>0.02</v>
      </c>
      <c r="AG36" s="79">
        <v>-0.04</v>
      </c>
      <c r="AH36" s="79">
        <v>4.0000000000000008E-2</v>
      </c>
      <c r="AI36" s="79">
        <v>0.03</v>
      </c>
      <c r="AJ36" s="79">
        <v>-7.0000000000000007E-2</v>
      </c>
      <c r="AK36" s="413">
        <v>0</v>
      </c>
      <c r="AL36" s="413">
        <v>0</v>
      </c>
      <c r="AM36" s="79">
        <v>0.01</v>
      </c>
      <c r="AN36" s="79">
        <v>0</v>
      </c>
      <c r="AO36" s="79">
        <v>-2.95</v>
      </c>
      <c r="AP36" s="79">
        <v>-7.7700000000000005</v>
      </c>
      <c r="AQ36" s="79">
        <v>-0.38</v>
      </c>
      <c r="AR36" s="79">
        <v>-0.1</v>
      </c>
      <c r="AS36" s="79">
        <v>-0.18999999999999997</v>
      </c>
      <c r="AT36" s="79">
        <v>-0.38999999999999996</v>
      </c>
      <c r="AU36" s="79">
        <v>-0.39</v>
      </c>
      <c r="AV36" s="79">
        <v>-0.32000000000000006</v>
      </c>
      <c r="AW36" s="79">
        <v>-0.13</v>
      </c>
      <c r="AX36" s="79">
        <f>'[1]OAR.3 (M2)'!AQ5</f>
        <v>-0.46</v>
      </c>
      <c r="AY36" s="79">
        <f>'[1]OAR.3 (M2)'!AR5</f>
        <v>-2.61</v>
      </c>
      <c r="AZ36" s="360">
        <f>'[1]OAR.3 (M2)'!AS5</f>
        <v>-8.67</v>
      </c>
      <c r="BA36" s="176"/>
      <c r="BB36" s="176"/>
      <c r="BC36" s="74"/>
    </row>
    <row r="37" spans="1:55" x14ac:dyDescent="0.3">
      <c r="A37" s="32"/>
      <c r="B37" s="75"/>
      <c r="C37" s="83"/>
      <c r="D37" s="78" t="s">
        <v>68</v>
      </c>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358"/>
      <c r="BA37" s="74"/>
      <c r="BB37" s="176"/>
      <c r="BC37" s="74"/>
    </row>
    <row r="38" spans="1:55" ht="15" thickBot="1" x14ac:dyDescent="0.35">
      <c r="A38" s="32" t="s">
        <v>88</v>
      </c>
      <c r="B38" s="92">
        <v>-1142.98</v>
      </c>
      <c r="C38" s="93">
        <v>-1406.61</v>
      </c>
      <c r="D38" s="93">
        <v>-1346.15</v>
      </c>
      <c r="E38" s="93">
        <v>-1288.4100000000001</v>
      </c>
      <c r="F38" s="93">
        <v>-1315.95</v>
      </c>
      <c r="G38" s="93">
        <v>-1336.96</v>
      </c>
      <c r="H38" s="93">
        <v>-1160.06</v>
      </c>
      <c r="I38" s="93">
        <v>-1030.1500000000001</v>
      </c>
      <c r="J38" s="93">
        <v>-852.43</v>
      </c>
      <c r="K38" s="94">
        <v>-659.07</v>
      </c>
      <c r="L38" s="94">
        <v>-480.93</v>
      </c>
      <c r="M38" s="94">
        <v>-360.32</v>
      </c>
      <c r="N38" s="94">
        <v>-326.98</v>
      </c>
      <c r="O38" s="94">
        <v>-144.53</v>
      </c>
      <c r="P38" s="94">
        <v>67.83</v>
      </c>
      <c r="Q38" s="94">
        <v>59.92</v>
      </c>
      <c r="R38" s="94">
        <v>52.94</v>
      </c>
      <c r="S38" s="94">
        <v>48.8</v>
      </c>
      <c r="T38" s="94">
        <v>49.06</v>
      </c>
      <c r="U38" s="94">
        <v>45.33</v>
      </c>
      <c r="V38" s="94">
        <v>37.520000000000003</v>
      </c>
      <c r="W38" s="94">
        <v>26.97</v>
      </c>
      <c r="X38" s="94">
        <v>20.03</v>
      </c>
      <c r="Y38" s="94">
        <v>16.34</v>
      </c>
      <c r="Z38" s="94">
        <v>12.76</v>
      </c>
      <c r="AA38" s="94">
        <v>9.7100000000000009</v>
      </c>
      <c r="AB38" s="94">
        <v>4.83</v>
      </c>
      <c r="AC38" s="94">
        <v>3.2</v>
      </c>
      <c r="AD38" s="94">
        <v>3.36</v>
      </c>
      <c r="AE38" s="94">
        <v>1.67</v>
      </c>
      <c r="AF38" s="94">
        <v>0.23</v>
      </c>
      <c r="AG38" s="94">
        <v>0.21</v>
      </c>
      <c r="AH38" s="94">
        <v>0.33</v>
      </c>
      <c r="AI38" s="94">
        <v>0.23</v>
      </c>
      <c r="AJ38" s="94">
        <v>0.21</v>
      </c>
      <c r="AK38" s="94">
        <v>0.34</v>
      </c>
      <c r="AL38" s="94">
        <v>0.43</v>
      </c>
      <c r="AM38" s="94">
        <v>0.49</v>
      </c>
      <c r="AN38" s="94">
        <v>0.35</v>
      </c>
      <c r="AO38" s="94">
        <v>0.47</v>
      </c>
      <c r="AP38" s="94">
        <v>0.57999999999999996</v>
      </c>
      <c r="AQ38" s="94">
        <v>0.78</v>
      </c>
      <c r="AR38" s="94">
        <v>0.95</v>
      </c>
      <c r="AS38" s="94">
        <v>1.02</v>
      </c>
      <c r="AT38" s="94">
        <v>0.85</v>
      </c>
      <c r="AU38" s="94">
        <v>1.45</v>
      </c>
      <c r="AV38" s="94">
        <v>1.56</v>
      </c>
      <c r="AW38" s="94">
        <v>1.34</v>
      </c>
      <c r="AX38" s="94">
        <f>-'[1]OAR.4 (M2)'!$W$53</f>
        <v>1.48</v>
      </c>
      <c r="AY38" s="94">
        <f>-'[1]OAR.4 (M2)'!$W$54</f>
        <v>2.75</v>
      </c>
      <c r="AZ38" s="361">
        <f>-'[1]OAR.4 (M2)'!$W$55</f>
        <v>2.66</v>
      </c>
      <c r="BA38" s="264"/>
      <c r="BB38" s="264"/>
      <c r="BC38" s="264"/>
    </row>
    <row r="39" spans="1:55" x14ac:dyDescent="0.3">
      <c r="B39" s="119"/>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362"/>
      <c r="BA39" s="74"/>
      <c r="BB39" s="74"/>
      <c r="BC39" s="74"/>
    </row>
    <row r="40" spans="1:55" x14ac:dyDescent="0.3">
      <c r="A40" s="32" t="s">
        <v>69</v>
      </c>
      <c r="B40" s="75"/>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7"/>
      <c r="BA40" s="74"/>
      <c r="BB40" s="74"/>
      <c r="BC40" s="74"/>
    </row>
    <row r="41" spans="1:55" x14ac:dyDescent="0.3">
      <c r="A41" s="139" t="s">
        <v>0</v>
      </c>
      <c r="B41" s="85">
        <f>B15-B29</f>
        <v>-921734.3709472178</v>
      </c>
      <c r="C41" s="89">
        <f>C15-C29</f>
        <v>0</v>
      </c>
      <c r="D41" s="89">
        <f t="shared" ref="B41:K45" si="43">D15-D29</f>
        <v>11405.169833633112</v>
      </c>
      <c r="E41" s="89">
        <f t="shared" si="43"/>
        <v>96446.141642676012</v>
      </c>
      <c r="F41" s="89">
        <f t="shared" si="43"/>
        <v>77804.790245856057</v>
      </c>
      <c r="G41" s="89">
        <f t="shared" si="43"/>
        <v>74689.205268610196</v>
      </c>
      <c r="H41" s="89">
        <f t="shared" si="43"/>
        <v>61168.230555256829</v>
      </c>
      <c r="I41" s="89">
        <f t="shared" si="43"/>
        <v>90473.498758317568</v>
      </c>
      <c r="J41" s="89">
        <f t="shared" si="43"/>
        <v>106015.94781095193</v>
      </c>
      <c r="K41" s="86">
        <f t="shared" si="43"/>
        <v>95031.302308900078</v>
      </c>
      <c r="L41" s="86">
        <f t="shared" ref="L41:M41" si="44">L15-L29</f>
        <v>91403.776455583138</v>
      </c>
      <c r="M41" s="86">
        <f t="shared" si="44"/>
        <v>70943.249429097661</v>
      </c>
      <c r="N41" s="86">
        <f>N15-N29</f>
        <v>47100.998093291346</v>
      </c>
      <c r="O41" s="86">
        <f t="shared" ref="O41:X41" si="45">O15-O29</f>
        <v>91820.331890921618</v>
      </c>
      <c r="P41" s="86">
        <f t="shared" si="45"/>
        <v>90548.06124966302</v>
      </c>
      <c r="Q41" s="86">
        <f t="shared" si="45"/>
        <v>-5701.7162648408221</v>
      </c>
      <c r="R41" s="86">
        <f t="shared" si="45"/>
        <v>-5045.644630678953</v>
      </c>
      <c r="S41" s="86">
        <f t="shared" si="45"/>
        <v>-3008.7149063398265</v>
      </c>
      <c r="T41" s="86">
        <f t="shared" si="45"/>
        <v>-2205.7487402894067</v>
      </c>
      <c r="U41" s="86">
        <f t="shared" si="45"/>
        <v>-3999.7763106464781</v>
      </c>
      <c r="V41" s="86">
        <f t="shared" si="45"/>
        <v>-5883.706114971963</v>
      </c>
      <c r="W41" s="86">
        <f t="shared" si="45"/>
        <v>-6388.9480610643432</v>
      </c>
      <c r="X41" s="86">
        <f t="shared" si="45"/>
        <v>-5704.3650860777861</v>
      </c>
      <c r="Y41" s="86">
        <f>Y15-Y29</f>
        <v>-4090.6342270373448</v>
      </c>
      <c r="Z41" s="86">
        <f>Z15-Z29</f>
        <v>-3102.6762433660651</v>
      </c>
      <c r="AA41" s="86">
        <f t="shared" ref="AA41:AI41" si="46">AA15-AA29</f>
        <v>-4827.9481709350366</v>
      </c>
      <c r="AB41" s="86">
        <f t="shared" si="46"/>
        <v>-5577.7147001739477</v>
      </c>
      <c r="AC41" s="86">
        <f t="shared" si="46"/>
        <v>-2440.099428272451</v>
      </c>
      <c r="AD41" s="86">
        <f t="shared" si="46"/>
        <v>-1.4102649906972666</v>
      </c>
      <c r="AE41" s="86">
        <f t="shared" si="46"/>
        <v>0.24470097635506055</v>
      </c>
      <c r="AF41" s="86">
        <f t="shared" si="46"/>
        <v>-0.71914898783500369</v>
      </c>
      <c r="AG41" s="86">
        <f t="shared" si="46"/>
        <v>0.91945699247300272</v>
      </c>
      <c r="AH41" s="86">
        <f t="shared" si="46"/>
        <v>0.26906081066565879</v>
      </c>
      <c r="AI41" s="86">
        <f t="shared" si="46"/>
        <v>0.25480804076002028</v>
      </c>
      <c r="AJ41" s="86">
        <f>AJ15-AJ29</f>
        <v>0.56515122442710575</v>
      </c>
      <c r="AK41" s="86">
        <f>AK15-AK29</f>
        <v>-0.12</v>
      </c>
      <c r="AL41" s="86">
        <f>AL15-AL29</f>
        <v>0.33</v>
      </c>
      <c r="AM41" s="86">
        <f t="shared" ref="AM41:AU41" si="47">AM15-AM29</f>
        <v>-0.28497862559112647</v>
      </c>
      <c r="AN41" s="86">
        <f t="shared" si="47"/>
        <v>-0.16</v>
      </c>
      <c r="AO41" s="86">
        <f t="shared" si="47"/>
        <v>-66.640894656882267</v>
      </c>
      <c r="AP41" s="86">
        <f t="shared" si="47"/>
        <v>-144.69436349246914</v>
      </c>
      <c r="AQ41" s="86">
        <f t="shared" si="47"/>
        <v>-8.7901622288404759</v>
      </c>
      <c r="AR41" s="86">
        <f t="shared" si="47"/>
        <v>-9.2673856864714104</v>
      </c>
      <c r="AS41" s="86">
        <f t="shared" si="47"/>
        <v>-22.090034068817097</v>
      </c>
      <c r="AT41" s="86">
        <f t="shared" si="47"/>
        <v>-35.72734611032444</v>
      </c>
      <c r="AU41" s="86">
        <f t="shared" si="47"/>
        <v>-35.182747412395692</v>
      </c>
      <c r="AV41" s="86">
        <f>AV15-AV29</f>
        <v>-34.701231185590451</v>
      </c>
      <c r="AW41" s="86">
        <f>AW15-AW29</f>
        <v>-15.082826968094709</v>
      </c>
      <c r="AX41" s="86">
        <f>AX15-AX29</f>
        <v>-12.074057328052838</v>
      </c>
      <c r="AY41" s="86">
        <f t="shared" ref="AY41:AZ41" si="48">AY15-AY29</f>
        <v>-40.998508507291596</v>
      </c>
      <c r="AZ41" s="90">
        <f t="shared" si="48"/>
        <v>-172.69493755769554</v>
      </c>
    </row>
    <row r="42" spans="1:55" x14ac:dyDescent="0.3">
      <c r="A42" s="139" t="s">
        <v>4</v>
      </c>
      <c r="B42" s="85">
        <f t="shared" si="43"/>
        <v>-5996.3551165116669</v>
      </c>
      <c r="C42" s="89">
        <f t="shared" si="43"/>
        <v>0</v>
      </c>
      <c r="D42" s="89">
        <f t="shared" si="43"/>
        <v>11.384222363084419</v>
      </c>
      <c r="E42" s="89">
        <f t="shared" si="43"/>
        <v>186.85222631569627</v>
      </c>
      <c r="F42" s="89">
        <f t="shared" si="43"/>
        <v>100.88478136900687</v>
      </c>
      <c r="G42" s="89">
        <f t="shared" si="43"/>
        <v>203.66585374608152</v>
      </c>
      <c r="H42" s="89">
        <f t="shared" si="43"/>
        <v>154.08947480151883</v>
      </c>
      <c r="I42" s="89">
        <f t="shared" si="43"/>
        <v>235.24499901764932</v>
      </c>
      <c r="J42" s="89">
        <f t="shared" si="43"/>
        <v>255.41012630143928</v>
      </c>
      <c r="K42" s="86">
        <f t="shared" si="43"/>
        <v>246.93691362782653</v>
      </c>
      <c r="L42" s="86">
        <f t="shared" ref="L42:M42" si="49">L16-L30</f>
        <v>246.76170011659576</v>
      </c>
      <c r="M42" s="86">
        <f t="shared" si="49"/>
        <v>197.48401612807413</v>
      </c>
      <c r="N42" s="86">
        <f t="shared" ref="N42:Y42" si="50">N16-N30</f>
        <v>-5469.0795452760531</v>
      </c>
      <c r="O42" s="86">
        <f t="shared" si="50"/>
        <v>104.08185850386474</v>
      </c>
      <c r="P42" s="86">
        <f t="shared" si="50"/>
        <v>138.90874431517193</v>
      </c>
      <c r="Q42" s="86">
        <f t="shared" si="50"/>
        <v>558.8085232392973</v>
      </c>
      <c r="R42" s="86">
        <f t="shared" si="50"/>
        <v>519.50274267456757</v>
      </c>
      <c r="S42" s="86">
        <f t="shared" si="50"/>
        <v>392.12912018644721</v>
      </c>
      <c r="T42" s="86">
        <f t="shared" si="50"/>
        <v>360.65580640555669</v>
      </c>
      <c r="U42" s="86">
        <f t="shared" si="50"/>
        <v>439.27639763440209</v>
      </c>
      <c r="V42" s="86">
        <f t="shared" si="50"/>
        <v>521.868772434015</v>
      </c>
      <c r="W42" s="86">
        <f t="shared" si="50"/>
        <v>541.29796040901067</v>
      </c>
      <c r="X42" s="86">
        <f t="shared" si="50"/>
        <v>515.27220046104708</v>
      </c>
      <c r="Y42" s="86">
        <f t="shared" si="50"/>
        <v>450.85820340393286</v>
      </c>
      <c r="Z42" s="86">
        <f t="shared" ref="Z42:AJ42" si="51">Z16-Z30</f>
        <v>394.65383551715644</v>
      </c>
      <c r="AA42" s="86">
        <f t="shared" si="51"/>
        <v>489.70782440204073</v>
      </c>
      <c r="AB42" s="86">
        <f t="shared" si="51"/>
        <v>530.90919958162635</v>
      </c>
      <c r="AC42" s="86">
        <f t="shared" si="51"/>
        <v>254.72710493829186</v>
      </c>
      <c r="AD42" s="86">
        <f t="shared" si="51"/>
        <v>0.33701513700451935</v>
      </c>
      <c r="AE42" s="86">
        <f t="shared" si="51"/>
        <v>-0.14892093099494652</v>
      </c>
      <c r="AF42" s="86">
        <f t="shared" si="51"/>
        <v>9.7862838943283598E-2</v>
      </c>
      <c r="AG42" s="86">
        <f t="shared" si="51"/>
        <v>-0.12567819905114194</v>
      </c>
      <c r="AH42" s="86">
        <f t="shared" si="51"/>
        <v>-0.12432296061665514</v>
      </c>
      <c r="AI42" s="86">
        <f t="shared" si="51"/>
        <v>0.86673854936688111</v>
      </c>
      <c r="AJ42" s="86">
        <f t="shared" si="51"/>
        <v>4.741832363489086E-2</v>
      </c>
      <c r="AK42" s="86">
        <f t="shared" ref="AK42:AV42" si="52">AK16-AK30</f>
        <v>0.13</v>
      </c>
      <c r="AL42" s="86">
        <f t="shared" si="52"/>
        <v>0.08</v>
      </c>
      <c r="AM42" s="86">
        <f t="shared" si="52"/>
        <v>-1.1020894363609731E-3</v>
      </c>
      <c r="AN42" s="86">
        <f t="shared" si="52"/>
        <v>-0.02</v>
      </c>
      <c r="AO42" s="86">
        <f t="shared" si="52"/>
        <v>68.824136308207429</v>
      </c>
      <c r="AP42" s="86">
        <f t="shared" si="52"/>
        <v>171.01861603343562</v>
      </c>
      <c r="AQ42" s="86">
        <f t="shared" si="52"/>
        <v>123.35461704674981</v>
      </c>
      <c r="AR42" s="86">
        <f t="shared" si="52"/>
        <v>122.59165486568271</v>
      </c>
      <c r="AS42" s="86">
        <f t="shared" si="52"/>
        <v>162.53241952729982</v>
      </c>
      <c r="AT42" s="86">
        <f t="shared" si="52"/>
        <v>204.97326620662102</v>
      </c>
      <c r="AU42" s="86">
        <f t="shared" si="52"/>
        <v>204.0333619654821</v>
      </c>
      <c r="AV42" s="86">
        <f t="shared" si="52"/>
        <v>207.31588778844934</v>
      </c>
      <c r="AW42" s="86">
        <f t="shared" ref="AW42:AZ42" si="53">AW16-AW30</f>
        <v>162.37555614334758</v>
      </c>
      <c r="AX42" s="86">
        <f>AX16-AX30</f>
        <v>135.00267007965004</v>
      </c>
      <c r="AY42" s="86">
        <f t="shared" si="53"/>
        <v>158.74368420163526</v>
      </c>
      <c r="AZ42" s="90">
        <f t="shared" si="53"/>
        <v>202.39574895622954</v>
      </c>
    </row>
    <row r="43" spans="1:55" x14ac:dyDescent="0.3">
      <c r="A43" s="139" t="s">
        <v>5</v>
      </c>
      <c r="B43" s="85">
        <f t="shared" si="43"/>
        <v>-13905.086120111719</v>
      </c>
      <c r="C43" s="89">
        <f t="shared" si="43"/>
        <v>0</v>
      </c>
      <c r="D43" s="89">
        <f t="shared" si="43"/>
        <v>6.9416914708189807</v>
      </c>
      <c r="E43" s="89">
        <f t="shared" si="43"/>
        <v>378.46542798248322</v>
      </c>
      <c r="F43" s="89">
        <f t="shared" si="43"/>
        <v>415.47196728559902</v>
      </c>
      <c r="G43" s="89">
        <f t="shared" si="43"/>
        <v>668.72119032891226</v>
      </c>
      <c r="H43" s="89">
        <f t="shared" si="43"/>
        <v>617.78313591375547</v>
      </c>
      <c r="I43" s="89">
        <f t="shared" si="43"/>
        <v>760.03762694007617</v>
      </c>
      <c r="J43" s="89">
        <f t="shared" si="43"/>
        <v>772.29698124796948</v>
      </c>
      <c r="K43" s="86">
        <f t="shared" si="43"/>
        <v>766.73352740163136</v>
      </c>
      <c r="L43" s="86">
        <f t="shared" ref="L43:M43" si="54">L17-L31</f>
        <v>797.55427838965022</v>
      </c>
      <c r="M43" s="86">
        <f t="shared" si="54"/>
        <v>710.06231472430727</v>
      </c>
      <c r="N43" s="86">
        <f t="shared" ref="N43:Y43" si="55">N17-N31</f>
        <v>-12390.142021070533</v>
      </c>
      <c r="O43" s="86">
        <f t="shared" si="55"/>
        <v>421.5368223391082</v>
      </c>
      <c r="P43" s="86">
        <f t="shared" si="55"/>
        <v>474.54795677526852</v>
      </c>
      <c r="Q43" s="86">
        <f t="shared" si="55"/>
        <v>1305.0189801449624</v>
      </c>
      <c r="R43" s="86">
        <f t="shared" si="55"/>
        <v>1230.6840853584299</v>
      </c>
      <c r="S43" s="86">
        <f t="shared" si="55"/>
        <v>1094.7600476722153</v>
      </c>
      <c r="T43" s="86">
        <f t="shared" si="55"/>
        <v>1122.1842420520375</v>
      </c>
      <c r="U43" s="86">
        <f t="shared" si="55"/>
        <v>1252.8823627825852</v>
      </c>
      <c r="V43" s="86">
        <f t="shared" si="55"/>
        <v>1353.4912503448709</v>
      </c>
      <c r="W43" s="86">
        <f t="shared" si="55"/>
        <v>1387.5734347437763</v>
      </c>
      <c r="X43" s="86">
        <f t="shared" si="55"/>
        <v>1398.2655533626214</v>
      </c>
      <c r="Y43" s="86">
        <f t="shared" si="55"/>
        <v>1279.3245104394109</v>
      </c>
      <c r="Z43" s="86">
        <f t="shared" ref="Z43:AJ43" si="56">Z17-Z31</f>
        <v>1134.7067769578891</v>
      </c>
      <c r="AA43" s="86">
        <f t="shared" si="56"/>
        <v>1241.6496745911197</v>
      </c>
      <c r="AB43" s="86">
        <f t="shared" si="56"/>
        <v>1286.5766622120434</v>
      </c>
      <c r="AC43" s="86">
        <f t="shared" si="56"/>
        <v>726.54026537829611</v>
      </c>
      <c r="AD43" s="86">
        <f t="shared" si="56"/>
        <v>6.8949971960276795</v>
      </c>
      <c r="AE43" s="86">
        <f t="shared" si="56"/>
        <v>6.2565300845356817E-2</v>
      </c>
      <c r="AF43" s="86">
        <f t="shared" si="56"/>
        <v>-1.7952332615148221</v>
      </c>
      <c r="AG43" s="86">
        <f t="shared" si="56"/>
        <v>9.9915985889540981E-3</v>
      </c>
      <c r="AH43" s="86">
        <f t="shared" si="56"/>
        <v>-9.3579455509439687E-3</v>
      </c>
      <c r="AI43" s="86">
        <f t="shared" si="56"/>
        <v>-0.71720797422692606</v>
      </c>
      <c r="AJ43" s="86">
        <f t="shared" si="56"/>
        <v>-2.9325402494311224E-3</v>
      </c>
      <c r="AK43" s="86">
        <f t="shared" ref="AK43:AV43" si="57">AK17-AK31</f>
        <v>0</v>
      </c>
      <c r="AL43" s="86">
        <f t="shared" si="57"/>
        <v>-0.08</v>
      </c>
      <c r="AM43" s="86">
        <f t="shared" si="57"/>
        <v>-2.4201247065052216E-3</v>
      </c>
      <c r="AN43" s="86">
        <f t="shared" si="57"/>
        <v>0</v>
      </c>
      <c r="AO43" s="86">
        <f t="shared" si="57"/>
        <v>249.80537707139624</v>
      </c>
      <c r="AP43" s="86">
        <f t="shared" si="57"/>
        <v>543.86148247596134</v>
      </c>
      <c r="AQ43" s="86">
        <f t="shared" si="57"/>
        <v>483.20213968934206</v>
      </c>
      <c r="AR43" s="86">
        <f t="shared" si="57"/>
        <v>492.14785887880817</v>
      </c>
      <c r="AS43" s="86">
        <f t="shared" si="57"/>
        <v>547.11972325001091</v>
      </c>
      <c r="AT43" s="86">
        <f t="shared" si="57"/>
        <v>640.6350730995805</v>
      </c>
      <c r="AU43" s="86">
        <f t="shared" si="57"/>
        <v>635.14445399569365</v>
      </c>
      <c r="AV43" s="86">
        <f t="shared" si="57"/>
        <v>647.12887923076835</v>
      </c>
      <c r="AW43" s="86">
        <f t="shared" ref="AW43:AZ43" si="58">AW17-AW31</f>
        <v>568.86603376809899</v>
      </c>
      <c r="AX43" s="86">
        <f>AX17-AX31</f>
        <v>505.86420053784485</v>
      </c>
      <c r="AY43" s="86">
        <f t="shared" si="58"/>
        <v>552.74173373270287</v>
      </c>
      <c r="AZ43" s="90">
        <f t="shared" si="58"/>
        <v>593.22164775889269</v>
      </c>
    </row>
    <row r="44" spans="1:55" x14ac:dyDescent="0.3">
      <c r="A44" s="139" t="s">
        <v>6</v>
      </c>
      <c r="B44" s="85">
        <f t="shared" si="43"/>
        <v>-6107.6805178623044</v>
      </c>
      <c r="C44" s="89">
        <f t="shared" si="43"/>
        <v>0</v>
      </c>
      <c r="D44" s="89">
        <f t="shared" si="43"/>
        <v>17.444349909353576</v>
      </c>
      <c r="E44" s="89">
        <f t="shared" si="43"/>
        <v>102.48884834768978</v>
      </c>
      <c r="F44" s="89">
        <f t="shared" si="43"/>
        <v>136.80180201620317</v>
      </c>
      <c r="G44" s="89">
        <f t="shared" si="43"/>
        <v>283.47907136467245</v>
      </c>
      <c r="H44" s="89">
        <f t="shared" si="43"/>
        <v>302.4404689809316</v>
      </c>
      <c r="I44" s="89">
        <f t="shared" si="43"/>
        <v>338.48520067729055</v>
      </c>
      <c r="J44" s="89">
        <f t="shared" si="43"/>
        <v>335.48440293608814</v>
      </c>
      <c r="K44" s="86">
        <f t="shared" si="43"/>
        <v>345.55324078098459</v>
      </c>
      <c r="L44" s="86">
        <f t="shared" ref="L44:M44" si="59">L18-L32</f>
        <v>343.96710109653031</v>
      </c>
      <c r="M44" s="86">
        <f t="shared" si="59"/>
        <v>318.06979271047379</v>
      </c>
      <c r="N44" s="86">
        <f t="shared" ref="N44:Y44" si="60">N18-N32</f>
        <v>-5490.0528604685533</v>
      </c>
      <c r="O44" s="86">
        <f t="shared" si="60"/>
        <v>193.99619011626822</v>
      </c>
      <c r="P44" s="86">
        <f t="shared" si="60"/>
        <v>197.86074607841431</v>
      </c>
      <c r="Q44" s="86">
        <f t="shared" si="60"/>
        <v>520.21175282901334</v>
      </c>
      <c r="R44" s="86">
        <f t="shared" si="60"/>
        <v>500.73394889503726</v>
      </c>
      <c r="S44" s="86">
        <f t="shared" si="60"/>
        <v>474.68776294992131</v>
      </c>
      <c r="T44" s="86">
        <f t="shared" si="60"/>
        <v>468.93873268501005</v>
      </c>
      <c r="U44" s="86">
        <f t="shared" si="60"/>
        <v>546.79794672239109</v>
      </c>
      <c r="V44" s="86">
        <f t="shared" si="60"/>
        <v>552.13133649955557</v>
      </c>
      <c r="W44" s="86">
        <f t="shared" si="60"/>
        <v>580.53070180642453</v>
      </c>
      <c r="X44" s="86">
        <f t="shared" si="60"/>
        <v>575.84798515189959</v>
      </c>
      <c r="Y44" s="86">
        <f t="shared" si="60"/>
        <v>531.75664687239737</v>
      </c>
      <c r="Z44" s="86">
        <f t="shared" ref="Z44:AJ44" si="61">Z18-Z32</f>
        <v>494.05566459668285</v>
      </c>
      <c r="AA44" s="86">
        <f t="shared" si="61"/>
        <v>523.5852631743079</v>
      </c>
      <c r="AB44" s="86">
        <f t="shared" si="61"/>
        <v>516.75455094312724</v>
      </c>
      <c r="AC44" s="86">
        <f t="shared" si="61"/>
        <v>337.4267471103858</v>
      </c>
      <c r="AD44" s="86">
        <f t="shared" si="61"/>
        <v>3.4559580699463468</v>
      </c>
      <c r="AE44" s="86">
        <f t="shared" si="61"/>
        <v>1.1663182851595259E-3</v>
      </c>
      <c r="AF44" s="86">
        <f t="shared" si="61"/>
        <v>-2.3978274514162741E-3</v>
      </c>
      <c r="AG44" s="86">
        <f t="shared" si="61"/>
        <v>4.5074777896293656E-3</v>
      </c>
      <c r="AH44" s="86">
        <f t="shared" si="61"/>
        <v>-3.8044912959846466E-3</v>
      </c>
      <c r="AI44" s="86">
        <f t="shared" si="61"/>
        <v>-3.0837581139810137E-3</v>
      </c>
      <c r="AJ44" s="86">
        <f t="shared" si="61"/>
        <v>7.336060384964779E-3</v>
      </c>
      <c r="AK44" s="86">
        <f t="shared" ref="AK44:AV44" si="62">AK18-AK32</f>
        <v>0</v>
      </c>
      <c r="AL44" s="86">
        <f t="shared" si="62"/>
        <v>0</v>
      </c>
      <c r="AM44" s="86">
        <f t="shared" si="62"/>
        <v>-1.0752960398611824E-3</v>
      </c>
      <c r="AN44" s="86">
        <f t="shared" si="62"/>
        <v>0</v>
      </c>
      <c r="AO44" s="86">
        <f t="shared" si="62"/>
        <v>96.951426498864322</v>
      </c>
      <c r="AP44" s="86">
        <f t="shared" si="62"/>
        <v>214.04031581151057</v>
      </c>
      <c r="AQ44" s="86">
        <f t="shared" si="62"/>
        <v>214.91540087870004</v>
      </c>
      <c r="AR44" s="86">
        <f t="shared" si="62"/>
        <v>222.73253693091698</v>
      </c>
      <c r="AS44" s="86">
        <f t="shared" si="62"/>
        <v>214.16969846800282</v>
      </c>
      <c r="AT44" s="86">
        <f t="shared" si="62"/>
        <v>286.56248956344876</v>
      </c>
      <c r="AU44" s="86">
        <f t="shared" si="62"/>
        <v>263.10915118419831</v>
      </c>
      <c r="AV44" s="86">
        <f t="shared" si="62"/>
        <v>266.5124840825905</v>
      </c>
      <c r="AW44" s="86">
        <f t="shared" ref="AW44:AZ44" si="63">AW18-AW32</f>
        <v>229.99457762638849</v>
      </c>
      <c r="AX44" s="86">
        <f>AX18-AX32</f>
        <v>200.61727377125567</v>
      </c>
      <c r="AY44" s="86">
        <f t="shared" si="63"/>
        <v>264.36295471154853</v>
      </c>
      <c r="AZ44" s="90">
        <f t="shared" si="63"/>
        <v>255.97917589648668</v>
      </c>
    </row>
    <row r="45" spans="1:55" x14ac:dyDescent="0.3">
      <c r="A45" s="139" t="s">
        <v>7</v>
      </c>
      <c r="B45" s="85">
        <f t="shared" si="43"/>
        <v>-2843.7872982965264</v>
      </c>
      <c r="C45" s="89">
        <f t="shared" si="43"/>
        <v>0</v>
      </c>
      <c r="D45" s="89">
        <f t="shared" si="43"/>
        <v>-6.9000973763690219</v>
      </c>
      <c r="E45" s="89">
        <f t="shared" si="43"/>
        <v>-50.878145321878819</v>
      </c>
      <c r="F45" s="89">
        <f t="shared" si="43"/>
        <v>-18.108796526887801</v>
      </c>
      <c r="G45" s="89">
        <f t="shared" si="43"/>
        <v>141.21861595014099</v>
      </c>
      <c r="H45" s="89">
        <f t="shared" si="43"/>
        <v>150.43636504697085</v>
      </c>
      <c r="I45" s="89">
        <f t="shared" si="43"/>
        <v>171.65341504744703</v>
      </c>
      <c r="J45" s="89">
        <f t="shared" si="43"/>
        <v>130.24067856255172</v>
      </c>
      <c r="K45" s="86">
        <f t="shared" si="43"/>
        <v>173.19400928947849</v>
      </c>
      <c r="L45" s="86">
        <f t="shared" ref="L45:M45" si="64">L19-L33</f>
        <v>166.38046481407702</v>
      </c>
      <c r="M45" s="86">
        <f t="shared" si="64"/>
        <v>160.94444733948205</v>
      </c>
      <c r="N45" s="86">
        <f t="shared" ref="N45:Y45" si="65">N19-N33</f>
        <v>-2708.6336664762189</v>
      </c>
      <c r="O45" s="86">
        <f t="shared" si="65"/>
        <v>90.313238119130091</v>
      </c>
      <c r="P45" s="86">
        <f t="shared" si="65"/>
        <v>112.68130316812272</v>
      </c>
      <c r="Q45" s="86">
        <f t="shared" si="65"/>
        <v>201.04700862754922</v>
      </c>
      <c r="R45" s="86">
        <f t="shared" si="65"/>
        <v>207.60385375091963</v>
      </c>
      <c r="S45" s="86">
        <f t="shared" si="65"/>
        <v>204.38797553124314</v>
      </c>
      <c r="T45" s="86">
        <f t="shared" si="65"/>
        <v>197.40995914680212</v>
      </c>
      <c r="U45" s="86">
        <f t="shared" si="65"/>
        <v>249.44960350709974</v>
      </c>
      <c r="V45" s="86">
        <f t="shared" si="65"/>
        <v>233.32475569352115</v>
      </c>
      <c r="W45" s="86">
        <f t="shared" si="65"/>
        <v>258.78596410513177</v>
      </c>
      <c r="X45" s="86">
        <f t="shared" si="65"/>
        <v>261.67934710221834</v>
      </c>
      <c r="Y45" s="86">
        <f t="shared" si="65"/>
        <v>246.03486632160318</v>
      </c>
      <c r="Z45" s="86">
        <f t="shared" ref="Z45:AJ45" si="66">Z19-Z33</f>
        <v>219.57996629433683</v>
      </c>
      <c r="AA45" s="86">
        <f t="shared" si="66"/>
        <v>208.25540876756762</v>
      </c>
      <c r="AB45" s="86">
        <f t="shared" si="66"/>
        <v>220.79428743715027</v>
      </c>
      <c r="AC45" s="86">
        <f t="shared" si="66"/>
        <v>176.41531084547756</v>
      </c>
      <c r="AD45" s="86">
        <f t="shared" si="66"/>
        <v>-6.8377054122812799</v>
      </c>
      <c r="AE45" s="86">
        <f t="shared" si="66"/>
        <v>4.8833550936962309E-4</v>
      </c>
      <c r="AF45" s="86">
        <f t="shared" si="66"/>
        <v>-1.0827621420416325E-3</v>
      </c>
      <c r="AG45" s="86">
        <f t="shared" si="66"/>
        <v>-86.378277869800442</v>
      </c>
      <c r="AH45" s="86">
        <f t="shared" si="66"/>
        <v>-1.5754132020750369E-3</v>
      </c>
      <c r="AI45" s="86">
        <f t="shared" si="66"/>
        <v>-1.2548577859941303E-3</v>
      </c>
      <c r="AJ45" s="86">
        <f t="shared" si="66"/>
        <v>3.0269318024697157E-3</v>
      </c>
      <c r="AK45" s="86">
        <f t="shared" ref="AK45:AV45" si="67">AK19-AK33</f>
        <v>0</v>
      </c>
      <c r="AL45" s="86">
        <f t="shared" si="67"/>
        <v>0</v>
      </c>
      <c r="AM45" s="86">
        <f t="shared" si="67"/>
        <v>-4.2386422614618027E-4</v>
      </c>
      <c r="AN45" s="86">
        <f t="shared" si="67"/>
        <v>0</v>
      </c>
      <c r="AO45" s="86">
        <f t="shared" si="67"/>
        <v>34.569954778414292</v>
      </c>
      <c r="AP45" s="86">
        <f t="shared" si="67"/>
        <v>54.313949171561667</v>
      </c>
      <c r="AQ45" s="86">
        <f t="shared" si="67"/>
        <v>89.058004614048642</v>
      </c>
      <c r="AR45" s="86">
        <f t="shared" si="67"/>
        <v>90.465335011063402</v>
      </c>
      <c r="AS45" s="86">
        <f t="shared" si="67"/>
        <v>87.318192823503409</v>
      </c>
      <c r="AT45" s="86">
        <f t="shared" si="67"/>
        <v>111.43651724067425</v>
      </c>
      <c r="AU45" s="86">
        <f t="shared" si="67"/>
        <v>106.0757802670218</v>
      </c>
      <c r="AV45" s="86">
        <f t="shared" si="67"/>
        <v>114.67398008378201</v>
      </c>
      <c r="AW45" s="86">
        <f t="shared" ref="AW45:AZ45" si="68">AW19-AW33</f>
        <v>105.10665943025951</v>
      </c>
      <c r="AX45" s="86">
        <f>AX19-AX33</f>
        <v>69.769912939302316</v>
      </c>
      <c r="AY45" s="86">
        <f t="shared" si="68"/>
        <v>97.980135861405046</v>
      </c>
      <c r="AZ45" s="90">
        <f t="shared" si="68"/>
        <v>91.598364946086775</v>
      </c>
    </row>
    <row r="46" spans="1:55" x14ac:dyDescent="0.3">
      <c r="B46" s="75"/>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7"/>
    </row>
    <row r="47" spans="1:55" x14ac:dyDescent="0.3">
      <c r="A47" s="139" t="s">
        <v>70</v>
      </c>
      <c r="B47" s="75"/>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7"/>
    </row>
    <row r="48" spans="1:55" x14ac:dyDescent="0.3">
      <c r="A48" s="139" t="s">
        <v>0</v>
      </c>
      <c r="B48" s="85">
        <f>B41</f>
        <v>-921734.3709472178</v>
      </c>
      <c r="C48" s="89">
        <f>B48+C41+B55</f>
        <v>-922842.6558288018</v>
      </c>
      <c r="D48" s="89">
        <f t="shared" ref="C48:K52" si="69">C48+D41+C55</f>
        <v>-912801.40206738643</v>
      </c>
      <c r="E48" s="89">
        <f t="shared" si="69"/>
        <v>-817660.09937961609</v>
      </c>
      <c r="F48" s="89">
        <f t="shared" si="69"/>
        <v>-741100.58229807904</v>
      </c>
      <c r="G48" s="89">
        <f t="shared" si="69"/>
        <v>-667679.86084330955</v>
      </c>
      <c r="H48" s="89">
        <f t="shared" si="69"/>
        <v>-607797.5794744374</v>
      </c>
      <c r="I48" s="89">
        <f t="shared" si="69"/>
        <v>-518437.76594842027</v>
      </c>
      <c r="J48" s="89">
        <f t="shared" si="69"/>
        <v>-413406.66023095429</v>
      </c>
      <c r="K48" s="86">
        <f>J48+K41+J55</f>
        <v>-319183.97066979395</v>
      </c>
      <c r="L48" s="86">
        <f t="shared" ref="L48:M52" si="70">K48+L41+K55</f>
        <v>-228398.73178742596</v>
      </c>
      <c r="M48" s="86">
        <f t="shared" si="70"/>
        <v>-157898.7589976459</v>
      </c>
      <c r="N48" s="86">
        <f t="shared" ref="N48:N52" si="71">M48+N41+M55</f>
        <v>-111121.11295689178</v>
      </c>
      <c r="O48" s="86">
        <f t="shared" ref="O48:O52" si="72">N48+O41+N55</f>
        <v>-19534.794351379471</v>
      </c>
      <c r="P48" s="86">
        <f t="shared" ref="P48:P52" si="73">O48+P41+O55</f>
        <v>70968.42511970886</v>
      </c>
      <c r="Q48" s="86">
        <f t="shared" ref="Q48:Q52" si="74">P48+Q41+P55</f>
        <v>65436.423633804625</v>
      </c>
      <c r="R48" s="86">
        <f t="shared" ref="R48:R52" si="75">Q48+R41+Q55</f>
        <v>60545.666527093708</v>
      </c>
      <c r="S48" s="86">
        <f t="shared" ref="S48:S52" si="76">R48+S41+R55</f>
        <v>57677.610051861579</v>
      </c>
      <c r="T48" s="86">
        <f t="shared" ref="T48:T52" si="77">S48+T41+S55</f>
        <v>55599.822646258181</v>
      </c>
      <c r="U48" s="86">
        <f t="shared" ref="U48:U52" si="78">T48+U41+T55</f>
        <v>51724.096999578374</v>
      </c>
      <c r="V48" s="86">
        <f t="shared" ref="V48:V52" si="79">U48+V41+U55</f>
        <v>45954.617389041756</v>
      </c>
      <c r="W48" s="86">
        <f t="shared" ref="W48:W52" si="80">V48+W41+V55</f>
        <v>39665.041171368815</v>
      </c>
      <c r="X48" s="86">
        <f>W48+X41+W55</f>
        <v>34038.392792084123</v>
      </c>
      <c r="Y48" s="86">
        <f>X48+Y41+X55</f>
        <v>30010.6408082376</v>
      </c>
      <c r="Z48" s="86">
        <f t="shared" ref="Z48:AK52" si="81">Y48+Z41+Y55</f>
        <v>26960.831609825735</v>
      </c>
      <c r="AA48" s="86">
        <f t="shared" si="81"/>
        <v>22173.683916919279</v>
      </c>
      <c r="AB48" s="86">
        <f t="shared" si="81"/>
        <v>16631.358397798667</v>
      </c>
      <c r="AC48" s="86">
        <f t="shared" si="81"/>
        <v>14217.440580575712</v>
      </c>
      <c r="AD48" s="86">
        <f t="shared" si="81"/>
        <v>14237.398927363878</v>
      </c>
      <c r="AE48" s="86">
        <f t="shared" si="81"/>
        <v>14260.050826436089</v>
      </c>
      <c r="AF48" s="86">
        <f t="shared" si="81"/>
        <v>14270.483750197069</v>
      </c>
      <c r="AG48" s="86">
        <f t="shared" si="81"/>
        <v>14272.938080961363</v>
      </c>
      <c r="AH48" s="86">
        <f t="shared" si="81"/>
        <v>14274.70141134207</v>
      </c>
      <c r="AI48" s="86">
        <f t="shared" si="81"/>
        <v>14277.259953965684</v>
      </c>
      <c r="AJ48" s="86">
        <f>AI48+AJ41+AI55</f>
        <v>14279.450154815788</v>
      </c>
      <c r="AK48" s="86">
        <f>AJ48+AK41+AJ55</f>
        <v>14280.804698436941</v>
      </c>
      <c r="AL48" s="86">
        <f t="shared" ref="AL48:AL52" si="82">AK48+AL41+AK55</f>
        <v>14283.514832553346</v>
      </c>
      <c r="AM48" s="86">
        <f t="shared" ref="AM48:AM52" si="83">AL48+AM41+AL55</f>
        <v>14286.234676943079</v>
      </c>
      <c r="AN48" s="86">
        <f t="shared" ref="AN48:AN52" si="84">AM48+AN41+AM55</f>
        <v>14289.464074214988</v>
      </c>
      <c r="AO48" s="86">
        <f t="shared" ref="AO48:AO52" si="85">AN48+AO41+AN55</f>
        <v>14225.277859420434</v>
      </c>
      <c r="AP48" s="86">
        <f t="shared" ref="AP48:AP52" si="86">AO48+AP41+AO55</f>
        <v>14083.336288718532</v>
      </c>
      <c r="AQ48" s="86">
        <f t="shared" ref="AQ48:AQ52" si="87">AP48+AQ41+AP55</f>
        <v>14077.053828821488</v>
      </c>
      <c r="AR48" s="86">
        <f t="shared" ref="AR48:AR52" si="88">AQ48+AR41+AQ55</f>
        <v>14070.427333625939</v>
      </c>
      <c r="AS48" s="86">
        <f t="shared" ref="AS48:AS52" si="89">AR48+AS41+AR55</f>
        <v>14050.966968622928</v>
      </c>
      <c r="AT48" s="86">
        <f t="shared" ref="AT48:AT52" si="90">AS48+AT41+AS55</f>
        <v>14017.600875802542</v>
      </c>
      <c r="AU48" s="86">
        <f t="shared" ref="AU48:AU52" si="91">AT48+AU41+AT55</f>
        <v>13984.048246877326</v>
      </c>
      <c r="AV48" s="86">
        <f>AU48+AV41+AU55</f>
        <v>13951.737110951224</v>
      </c>
      <c r="AW48" s="86">
        <f>AV48+AW41+AV55</f>
        <v>13938.900897330763</v>
      </c>
      <c r="AX48" s="86">
        <f>AW48+AX41+AW55</f>
        <v>13928.569202614877</v>
      </c>
      <c r="AY48" s="86">
        <f t="shared" ref="AY48:AZ52" si="92">AX48+AY41+AX55</f>
        <v>13889.34901257339</v>
      </c>
      <c r="AZ48" s="90">
        <f t="shared" si="92"/>
        <v>13719.668804516703</v>
      </c>
    </row>
    <row r="49" spans="1:52" x14ac:dyDescent="0.3">
      <c r="A49" s="139" t="s">
        <v>4</v>
      </c>
      <c r="B49" s="85">
        <f>B42</f>
        <v>-5996.3551165116669</v>
      </c>
      <c r="C49" s="89">
        <f t="shared" si="69"/>
        <v>-6003.5650784374757</v>
      </c>
      <c r="D49" s="89">
        <f t="shared" si="69"/>
        <v>-6001.0538300850385</v>
      </c>
      <c r="E49" s="89">
        <f t="shared" si="69"/>
        <v>-5822.7800402071534</v>
      </c>
      <c r="F49" s="89">
        <f t="shared" si="69"/>
        <v>-5730.7631878606135</v>
      </c>
      <c r="G49" s="89">
        <f t="shared" si="69"/>
        <v>-5536.9062325534096</v>
      </c>
      <c r="H49" s="89">
        <f t="shared" si="69"/>
        <v>-5393.4808206994348</v>
      </c>
      <c r="I49" s="89">
        <f t="shared" si="69"/>
        <v>-5168.1184538994103</v>
      </c>
      <c r="J49" s="89">
        <f t="shared" si="69"/>
        <v>-4922.5258619903789</v>
      </c>
      <c r="K49" s="86">
        <f t="shared" si="69"/>
        <v>-4685.2172817833543</v>
      </c>
      <c r="L49" s="86">
        <f t="shared" si="70"/>
        <v>-4447.5349314893037</v>
      </c>
      <c r="M49" s="86">
        <f t="shared" si="70"/>
        <v>-4258.6826985688222</v>
      </c>
      <c r="N49" s="86">
        <f t="shared" si="71"/>
        <v>-9736.4833623668219</v>
      </c>
      <c r="O49" s="86">
        <f t="shared" si="72"/>
        <v>-9652.9058562702667</v>
      </c>
      <c r="P49" s="86">
        <f t="shared" si="73"/>
        <v>-9536.1551884223118</v>
      </c>
      <c r="Q49" s="86">
        <f t="shared" si="74"/>
        <v>-9000.1515459025486</v>
      </c>
      <c r="R49" s="86">
        <f t="shared" si="75"/>
        <v>-8501.9520944359956</v>
      </c>
      <c r="S49" s="86">
        <f t="shared" si="76"/>
        <v>-8129.5745322313405</v>
      </c>
      <c r="T49" s="86">
        <f t="shared" si="77"/>
        <v>-7786.9546882493014</v>
      </c>
      <c r="U49" s="86">
        <f t="shared" si="78"/>
        <v>-7365.0520312741373</v>
      </c>
      <c r="V49" s="86">
        <f t="shared" si="79"/>
        <v>-6859.4480985824903</v>
      </c>
      <c r="W49" s="86">
        <f t="shared" si="80"/>
        <v>-6332.9829458635804</v>
      </c>
      <c r="X49" s="86">
        <f t="shared" ref="X49:X52" si="93">W49+X42+W56</f>
        <v>-5830.1191172129375</v>
      </c>
      <c r="Y49" s="86">
        <f t="shared" ref="Y49:Y52" si="94">X49+Y42+X56</f>
        <v>-5390.0314272818177</v>
      </c>
      <c r="Z49" s="86">
        <f t="shared" si="81"/>
        <v>-5004.8727250272759</v>
      </c>
      <c r="AA49" s="86">
        <f t="shared" si="81"/>
        <v>-4522.7388954711105</v>
      </c>
      <c r="AB49" s="86">
        <f t="shared" si="81"/>
        <v>-3999.047983397707</v>
      </c>
      <c r="AC49" s="86">
        <f t="shared" si="81"/>
        <v>-3750.6163064313996</v>
      </c>
      <c r="AD49" s="86">
        <f t="shared" si="81"/>
        <v>-3755.9164144692304</v>
      </c>
      <c r="AE49" s="86">
        <f t="shared" si="81"/>
        <v>-3761.9764968110881</v>
      </c>
      <c r="AF49" s="86">
        <f t="shared" si="81"/>
        <v>-3764.8206876914755</v>
      </c>
      <c r="AG49" s="86">
        <f t="shared" si="81"/>
        <v>-3765.3512943169417</v>
      </c>
      <c r="AH49" s="86">
        <f t="shared" si="81"/>
        <v>-3765.8698213179387</v>
      </c>
      <c r="AI49" s="86">
        <f t="shared" si="81"/>
        <v>-3765.6108408079099</v>
      </c>
      <c r="AJ49" s="86">
        <f t="shared" si="81"/>
        <v>-3765.9920274481851</v>
      </c>
      <c r="AK49" s="86">
        <f t="shared" si="81"/>
        <v>-3766.250916338246</v>
      </c>
      <c r="AL49" s="86">
        <f t="shared" si="82"/>
        <v>-3766.7986248243024</v>
      </c>
      <c r="AM49" s="86">
        <f t="shared" si="83"/>
        <v>-3767.5921483404427</v>
      </c>
      <c r="AN49" s="86">
        <f t="shared" si="84"/>
        <v>-3768.5060064379763</v>
      </c>
      <c r="AO49" s="86">
        <f t="shared" si="85"/>
        <v>-3700.3292335128199</v>
      </c>
      <c r="AP49" s="86">
        <f t="shared" si="86"/>
        <v>-3530.0266836073997</v>
      </c>
      <c r="AQ49" s="86">
        <f t="shared" si="87"/>
        <v>-3407.3006289953109</v>
      </c>
      <c r="AR49" s="86">
        <f t="shared" si="88"/>
        <v>-3285.3481922458791</v>
      </c>
      <c r="AS49" s="86">
        <f t="shared" si="89"/>
        <v>-3123.4297823933889</v>
      </c>
      <c r="AT49" s="86">
        <f t="shared" si="90"/>
        <v>-2918.9814059588407</v>
      </c>
      <c r="AU49" s="86">
        <f t="shared" si="91"/>
        <v>-2715.2874947735422</v>
      </c>
      <c r="AV49" s="86">
        <f t="shared" ref="AV49:AV52" si="95">AU49+AV42+AU56</f>
        <v>-2508.4356926100018</v>
      </c>
      <c r="AW49" s="86">
        <f t="shared" ref="AW49:AW52" si="96">AV49+AW42+AV56</f>
        <v>-2346.4640635951459</v>
      </c>
      <c r="AX49" s="86">
        <f>AW49+AX42+AW56</f>
        <v>-2211.754701523445</v>
      </c>
      <c r="AY49" s="86">
        <f t="shared" si="92"/>
        <v>-2053.2934012601977</v>
      </c>
      <c r="AZ49" s="90">
        <f t="shared" si="92"/>
        <v>-1851.343326481023</v>
      </c>
    </row>
    <row r="50" spans="1:52" x14ac:dyDescent="0.3">
      <c r="A50" s="139" t="s">
        <v>5</v>
      </c>
      <c r="B50" s="85">
        <f>B43</f>
        <v>-13905.086120111719</v>
      </c>
      <c r="C50" s="89">
        <f t="shared" si="69"/>
        <v>-13921.805467040494</v>
      </c>
      <c r="D50" s="89">
        <f t="shared" si="69"/>
        <v>-13935.439519561194</v>
      </c>
      <c r="E50" s="89">
        <f t="shared" si="69"/>
        <v>-13576.894639791797</v>
      </c>
      <c r="F50" s="89">
        <f t="shared" si="69"/>
        <v>-13182.09989836392</v>
      </c>
      <c r="G50" s="89">
        <f t="shared" si="69"/>
        <v>-12535.941475833213</v>
      </c>
      <c r="H50" s="89">
        <f t="shared" si="69"/>
        <v>-11942.30252141544</v>
      </c>
      <c r="I50" s="89">
        <f t="shared" si="69"/>
        <v>-11204.147123702511</v>
      </c>
      <c r="J50" s="89">
        <f t="shared" si="69"/>
        <v>-10453.133923139087</v>
      </c>
      <c r="K50" s="86">
        <f t="shared" si="69"/>
        <v>-9706.8464556518229</v>
      </c>
      <c r="L50" s="86">
        <f t="shared" si="70"/>
        <v>-8928.1027999812632</v>
      </c>
      <c r="M50" s="86">
        <f t="shared" si="70"/>
        <v>-8235.3681620513307</v>
      </c>
      <c r="N50" s="86">
        <f t="shared" si="71"/>
        <v>-20642.374933772873</v>
      </c>
      <c r="O50" s="86">
        <f t="shared" si="72"/>
        <v>-20264.309508078044</v>
      </c>
      <c r="P50" s="86">
        <f t="shared" si="73"/>
        <v>-19836.277919153152</v>
      </c>
      <c r="Q50" s="86">
        <f t="shared" si="74"/>
        <v>-18578.695661977526</v>
      </c>
      <c r="R50" s="86">
        <f t="shared" si="75"/>
        <v>-17391.987209910782</v>
      </c>
      <c r="S50" s="86">
        <f t="shared" si="76"/>
        <v>-16337.631864591565</v>
      </c>
      <c r="T50" s="86">
        <f t="shared" si="77"/>
        <v>-15251.693666318422</v>
      </c>
      <c r="U50" s="86">
        <f t="shared" si="78"/>
        <v>-14032.839878374292</v>
      </c>
      <c r="V50" s="86">
        <f t="shared" si="79"/>
        <v>-12710.338482654059</v>
      </c>
      <c r="W50" s="86">
        <f t="shared" si="80"/>
        <v>-11350.249767333738</v>
      </c>
      <c r="X50" s="86">
        <f t="shared" si="93"/>
        <v>-9974.223042096497</v>
      </c>
      <c r="Y50" s="86">
        <f t="shared" si="94"/>
        <v>-8713.3248281865308</v>
      </c>
      <c r="Z50" s="86">
        <f t="shared" si="81"/>
        <v>-7593.9675313792231</v>
      </c>
      <c r="AA50" s="86">
        <f t="shared" si="81"/>
        <v>-6363.8099913742217</v>
      </c>
      <c r="AB50" s="86">
        <f t="shared" si="81"/>
        <v>-5087.3899646052359</v>
      </c>
      <c r="AC50" s="86">
        <f t="shared" si="81"/>
        <v>-4368.8584296099043</v>
      </c>
      <c r="AD50" s="86">
        <f t="shared" si="81"/>
        <v>-4368.52976474142</v>
      </c>
      <c r="AE50" s="86">
        <f t="shared" si="81"/>
        <v>-4375.3425080784518</v>
      </c>
      <c r="AF50" s="86">
        <f t="shared" si="81"/>
        <v>-4380.5594779484099</v>
      </c>
      <c r="AG50" s="86">
        <f t="shared" si="81"/>
        <v>-4381.0206410749379</v>
      </c>
      <c r="AH50" s="86">
        <f t="shared" si="81"/>
        <v>-4381.4886590239539</v>
      </c>
      <c r="AI50" s="86">
        <f t="shared" si="81"/>
        <v>-4382.9129771966582</v>
      </c>
      <c r="AJ50" s="86">
        <f t="shared" si="81"/>
        <v>-4383.4147765443995</v>
      </c>
      <c r="AK50" s="86">
        <f t="shared" si="81"/>
        <v>-4383.8674225656077</v>
      </c>
      <c r="AL50" s="86">
        <f t="shared" si="82"/>
        <v>-4384.6780671360357</v>
      </c>
      <c r="AM50" s="86">
        <f t="shared" si="83"/>
        <v>-4385.6028919857254</v>
      </c>
      <c r="AN50" s="86">
        <f t="shared" si="84"/>
        <v>-4386.6433726171799</v>
      </c>
      <c r="AO50" s="86">
        <f t="shared" si="85"/>
        <v>-4137.591544110941</v>
      </c>
      <c r="AP50" s="86">
        <f t="shared" si="86"/>
        <v>-3594.530744214645</v>
      </c>
      <c r="AQ50" s="86">
        <f t="shared" si="87"/>
        <v>-3111.9686526605024</v>
      </c>
      <c r="AR50" s="86">
        <f t="shared" si="88"/>
        <v>-2620.4046068808548</v>
      </c>
      <c r="AS50" s="86">
        <f t="shared" si="89"/>
        <v>-2073.7746197825059</v>
      </c>
      <c r="AT50" s="86">
        <f t="shared" si="90"/>
        <v>-1433.4880427796343</v>
      </c>
      <c r="AU50" s="86">
        <f t="shared" si="91"/>
        <v>-798.51029030300879</v>
      </c>
      <c r="AV50" s="86">
        <f t="shared" si="95"/>
        <v>-151.51788912393283</v>
      </c>
      <c r="AW50" s="86">
        <f t="shared" si="96"/>
        <v>417.32374609727526</v>
      </c>
      <c r="AX50" s="86">
        <f>AW50+AX43+AW57</f>
        <v>923.24011210338233</v>
      </c>
      <c r="AY50" s="86">
        <f t="shared" si="92"/>
        <v>1476.099719748031</v>
      </c>
      <c r="AZ50" s="90">
        <f t="shared" si="92"/>
        <v>2069.6417598714274</v>
      </c>
    </row>
    <row r="51" spans="1:52" x14ac:dyDescent="0.3">
      <c r="A51" s="139" t="s">
        <v>6</v>
      </c>
      <c r="B51" s="85">
        <f>B44</f>
        <v>-6107.6805178623044</v>
      </c>
      <c r="C51" s="89">
        <f t="shared" si="69"/>
        <v>-6115.0243364209373</v>
      </c>
      <c r="D51" s="89">
        <f t="shared" si="69"/>
        <v>-6106.6176918254514</v>
      </c>
      <c r="E51" s="89">
        <f t="shared" si="69"/>
        <v>-6012.8581822243532</v>
      </c>
      <c r="F51" s="89">
        <f t="shared" si="69"/>
        <v>-5885.213792855362</v>
      </c>
      <c r="G51" s="89">
        <f t="shared" si="69"/>
        <v>-5611.8079809315059</v>
      </c>
      <c r="H51" s="89">
        <f t="shared" si="69"/>
        <v>-5320.1758354158219</v>
      </c>
      <c r="I51" s="89">
        <f t="shared" si="69"/>
        <v>-4991.4389480935588</v>
      </c>
      <c r="J51" s="89">
        <f t="shared" si="69"/>
        <v>-4665.4364531240999</v>
      </c>
      <c r="K51" s="86">
        <f t="shared" si="69"/>
        <v>-4329.0086855216514</v>
      </c>
      <c r="L51" s="86">
        <f t="shared" si="70"/>
        <v>-3993.4306477015475</v>
      </c>
      <c r="M51" s="86">
        <f t="shared" si="70"/>
        <v>-3683.1113118478506</v>
      </c>
      <c r="N51" s="86">
        <f t="shared" si="71"/>
        <v>-9180.7066103315537</v>
      </c>
      <c r="O51" s="86">
        <f t="shared" si="72"/>
        <v>-9006.0443456871817</v>
      </c>
      <c r="P51" s="86">
        <f t="shared" si="73"/>
        <v>-8828.8568167985159</v>
      </c>
      <c r="Q51" s="86">
        <f t="shared" si="74"/>
        <v>-8329.758502521905</v>
      </c>
      <c r="R51" s="86">
        <f t="shared" si="75"/>
        <v>-7848.7410295291484</v>
      </c>
      <c r="S51" s="86">
        <f t="shared" si="76"/>
        <v>-7392.2872982235913</v>
      </c>
      <c r="T51" s="86">
        <f t="shared" si="77"/>
        <v>-6939.7488107674071</v>
      </c>
      <c r="U51" s="86">
        <f t="shared" si="78"/>
        <v>-6408.4343747248031</v>
      </c>
      <c r="V51" s="86">
        <f t="shared" si="79"/>
        <v>-5870.4553018700644</v>
      </c>
      <c r="W51" s="86">
        <f t="shared" si="80"/>
        <v>-5302.618818795896</v>
      </c>
      <c r="X51" s="86">
        <f t="shared" si="93"/>
        <v>-4737.160387261134</v>
      </c>
      <c r="Y51" s="86">
        <f t="shared" si="94"/>
        <v>-4214.1551310118266</v>
      </c>
      <c r="Z51" s="86">
        <f t="shared" si="81"/>
        <v>-3727.5231642354856</v>
      </c>
      <c r="AA51" s="86">
        <f t="shared" si="81"/>
        <v>-3209.5788519474254</v>
      </c>
      <c r="AB51" s="86">
        <f t="shared" si="81"/>
        <v>-2697.9467861773569</v>
      </c>
      <c r="AC51" s="86">
        <f t="shared" si="81"/>
        <v>-2364.7672323327529</v>
      </c>
      <c r="AD51" s="86">
        <f t="shared" si="81"/>
        <v>-2364.8654859121334</v>
      </c>
      <c r="AE51" s="86">
        <f t="shared" si="81"/>
        <v>-2368.5862079586568</v>
      </c>
      <c r="AF51" s="86">
        <f t="shared" si="81"/>
        <v>-2370.4409586300421</v>
      </c>
      <c r="AG51" s="86">
        <f t="shared" si="81"/>
        <v>-2370.6914059049254</v>
      </c>
      <c r="AH51" s="86">
        <f t="shared" si="81"/>
        <v>-2370.9434040062338</v>
      </c>
      <c r="AI51" s="86">
        <f t="shared" si="81"/>
        <v>-2371.3291244413895</v>
      </c>
      <c r="AJ51" s="86">
        <f t="shared" si="81"/>
        <v>-2371.5916950380561</v>
      </c>
      <c r="AK51" s="86">
        <f t="shared" si="81"/>
        <v>-2371.8365935017914</v>
      </c>
      <c r="AL51" s="86">
        <f t="shared" si="82"/>
        <v>-2372.2318996007084</v>
      </c>
      <c r="AM51" s="86">
        <f t="shared" si="83"/>
        <v>-2372.7320213214671</v>
      </c>
      <c r="AN51" s="86">
        <f t="shared" si="84"/>
        <v>-2373.294950016249</v>
      </c>
      <c r="AO51" s="86">
        <f t="shared" si="85"/>
        <v>-2276.7512140571357</v>
      </c>
      <c r="AP51" s="86">
        <f t="shared" si="86"/>
        <v>-2063.151481859521</v>
      </c>
      <c r="AQ51" s="86">
        <f t="shared" si="87"/>
        <v>-1848.6034491722667</v>
      </c>
      <c r="AR51" s="86">
        <f t="shared" si="88"/>
        <v>-1626.2177148699232</v>
      </c>
      <c r="AS51" s="86">
        <f t="shared" si="89"/>
        <v>-1412.3519456513782</v>
      </c>
      <c r="AT51" s="86">
        <f t="shared" si="90"/>
        <v>-1126.0268006554363</v>
      </c>
      <c r="AU51" s="86">
        <f t="shared" si="91"/>
        <v>-863.048596066242</v>
      </c>
      <c r="AV51" s="86">
        <f t="shared" si="95"/>
        <v>-596.68362065365534</v>
      </c>
      <c r="AW51" s="86">
        <f t="shared" si="96"/>
        <v>-366.78512549899165</v>
      </c>
      <c r="AX51" s="86">
        <f>AW51+AX44+AW58</f>
        <v>-166.21369986842336</v>
      </c>
      <c r="AY51" s="86">
        <f t="shared" si="92"/>
        <v>98.128033647505873</v>
      </c>
      <c r="AZ51" s="90">
        <f t="shared" si="92"/>
        <v>354.12850856078921</v>
      </c>
    </row>
    <row r="52" spans="1:52" x14ac:dyDescent="0.3">
      <c r="A52" s="139" t="s">
        <v>7</v>
      </c>
      <c r="B52" s="85">
        <f>B45</f>
        <v>-2843.7872982965264</v>
      </c>
      <c r="C52" s="89">
        <f t="shared" si="69"/>
        <v>-2847.2066418389654</v>
      </c>
      <c r="D52" s="89">
        <f t="shared" si="69"/>
        <v>-2858.3147706443128</v>
      </c>
      <c r="E52" s="89">
        <f t="shared" si="69"/>
        <v>-2913.278843583822</v>
      </c>
      <c r="F52" s="89">
        <f t="shared" si="69"/>
        <v>-2935.8244812465878</v>
      </c>
      <c r="G52" s="89">
        <f t="shared" si="69"/>
        <v>-2799.6308860880786</v>
      </c>
      <c r="H52" s="89">
        <f t="shared" si="69"/>
        <v>-2654.5866007956106</v>
      </c>
      <c r="I52" s="89">
        <f t="shared" si="69"/>
        <v>-2487.7972622022439</v>
      </c>
      <c r="J52" s="89">
        <f t="shared" si="69"/>
        <v>-2362.2824883187113</v>
      </c>
      <c r="K52" s="86">
        <f t="shared" si="69"/>
        <v>-2193.7090425507536</v>
      </c>
      <c r="L52" s="86">
        <f t="shared" si="70"/>
        <v>-2031.5797043351461</v>
      </c>
      <c r="M52" s="86">
        <f t="shared" si="70"/>
        <v>-1874.5781502718037</v>
      </c>
      <c r="N52" s="86">
        <f t="shared" si="71"/>
        <v>-4587.0506606780173</v>
      </c>
      <c r="O52" s="86">
        <f t="shared" si="72"/>
        <v>-4506.3974301567287</v>
      </c>
      <c r="P52" s="86">
        <f t="shared" si="73"/>
        <v>-4404.0604834275755</v>
      </c>
      <c r="Q52" s="86">
        <f t="shared" si="74"/>
        <v>-4213.5454000908512</v>
      </c>
      <c r="R52" s="86">
        <f t="shared" si="75"/>
        <v>-4015.914976700356</v>
      </c>
      <c r="S52" s="86">
        <f t="shared" si="76"/>
        <v>-3820.8566911780877</v>
      </c>
      <c r="T52" s="86">
        <f t="shared" si="77"/>
        <v>-3631.92353822016</v>
      </c>
      <c r="U52" s="86">
        <f t="shared" si="78"/>
        <v>-3390.577243409904</v>
      </c>
      <c r="V52" s="86">
        <f t="shared" si="79"/>
        <v>-3164.7401735146655</v>
      </c>
      <c r="W52" s="86">
        <f t="shared" si="80"/>
        <v>-2912.7976145506236</v>
      </c>
      <c r="X52" s="86">
        <f t="shared" si="93"/>
        <v>-2656.8253846345347</v>
      </c>
      <c r="Y52" s="86">
        <f t="shared" si="94"/>
        <v>-2415.6987153882937</v>
      </c>
      <c r="Z52" s="86">
        <f t="shared" si="81"/>
        <v>-2200.3742681079721</v>
      </c>
      <c r="AA52" s="86">
        <f t="shared" si="81"/>
        <v>-1995.4487388960438</v>
      </c>
      <c r="AB52" s="86">
        <f t="shared" si="81"/>
        <v>-1777.8391859832977</v>
      </c>
      <c r="AC52" s="86">
        <f t="shared" si="81"/>
        <v>-1604.2226058826361</v>
      </c>
      <c r="AD52" s="86">
        <f t="shared" si="81"/>
        <v>-1613.4714351450721</v>
      </c>
      <c r="AE52" s="86">
        <f t="shared" si="81"/>
        <v>-1616.0102711800989</v>
      </c>
      <c r="AF52" s="86">
        <f t="shared" si="81"/>
        <v>-1617.2751547748173</v>
      </c>
      <c r="AG52" s="86">
        <f t="shared" si="81"/>
        <v>-1703.8273800216189</v>
      </c>
      <c r="AH52" s="86">
        <f t="shared" si="81"/>
        <v>-1704.0073333828038</v>
      </c>
      <c r="AI52" s="86">
        <f t="shared" si="81"/>
        <v>-1704.2835908840941</v>
      </c>
      <c r="AJ52" s="86">
        <f t="shared" si="81"/>
        <v>-1704.4745469308425</v>
      </c>
      <c r="AK52" s="86">
        <f t="shared" si="81"/>
        <v>-1704.6505566541405</v>
      </c>
      <c r="AL52" s="86">
        <f t="shared" si="82"/>
        <v>-1704.9346650802495</v>
      </c>
      <c r="AM52" s="86">
        <f t="shared" si="83"/>
        <v>-1705.2937560499686</v>
      </c>
      <c r="AN52" s="86">
        <f t="shared" si="84"/>
        <v>-1705.6983355725133</v>
      </c>
      <c r="AO52" s="86">
        <f t="shared" si="85"/>
        <v>-1671.4213899184294</v>
      </c>
      <c r="AP52" s="86">
        <f t="shared" si="86"/>
        <v>-1617.4308844642867</v>
      </c>
      <c r="AQ52" s="86">
        <f t="shared" si="87"/>
        <v>-1528.6608822892438</v>
      </c>
      <c r="AR52" s="86">
        <f t="shared" si="88"/>
        <v>-1438.4823278813501</v>
      </c>
      <c r="AS52" s="86">
        <f t="shared" si="89"/>
        <v>-1351.4329778150454</v>
      </c>
      <c r="AT52" s="86">
        <f t="shared" si="90"/>
        <v>-1240.2235677600988</v>
      </c>
      <c r="AU52" s="86">
        <f t="shared" si="91"/>
        <v>-1134.2920141252914</v>
      </c>
      <c r="AV52" s="86">
        <f t="shared" si="95"/>
        <v>-1019.811902506347</v>
      </c>
      <c r="AW52" s="86">
        <f t="shared" si="96"/>
        <v>-914.86946083721841</v>
      </c>
      <c r="AX52" s="86">
        <f>AW52+AX45+AW59</f>
        <v>-845.21390658052076</v>
      </c>
      <c r="AY52" s="86">
        <f t="shared" si="92"/>
        <v>-747.3416827002934</v>
      </c>
      <c r="AZ52" s="90">
        <f t="shared" si="92"/>
        <v>-655.90553075757566</v>
      </c>
    </row>
    <row r="53" spans="1:52" x14ac:dyDescent="0.3">
      <c r="B53" s="75"/>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7"/>
    </row>
    <row r="54" spans="1:52" x14ac:dyDescent="0.3">
      <c r="A54" s="139" t="s">
        <v>65</v>
      </c>
      <c r="B54" s="98">
        <f>+'PCR (M2) Final'!X67</f>
        <v>1.2023907500000001E-3</v>
      </c>
      <c r="C54" s="99">
        <f>+'PCR (M2) Final'!Y67</f>
        <v>1.4779508333333333E-3</v>
      </c>
      <c r="D54" s="99">
        <f>+'PCR (M2) Final'!Z67</f>
        <v>1.4294883333333334E-3</v>
      </c>
      <c r="E54" s="99">
        <f>+'PCR (M2) Final'!AA67</f>
        <v>1.5229716666666667E-3</v>
      </c>
      <c r="F54" s="99">
        <f>+'PCR (M2) Final'!AB67</f>
        <v>1.7116216666666665E-3</v>
      </c>
      <c r="G54" s="99">
        <f>+'PCR (M2) Final'!AC67</f>
        <v>1.9259966666666664E-3</v>
      </c>
      <c r="H54" s="99">
        <f>+'PCR (M2) Final'!AD67</f>
        <v>1.8323291666666665E-3</v>
      </c>
      <c r="I54" s="99">
        <f>+'PCR (M2) Final'!AE67</f>
        <v>1.8996341666666667E-3</v>
      </c>
      <c r="J54" s="99">
        <f>+'PCR (M2) Final'!AF67</f>
        <v>1.9559741666666667E-3</v>
      </c>
      <c r="K54" s="160">
        <f>+'PCR (M2) Final'!AG67</f>
        <v>1.9378716666666664E-3</v>
      </c>
      <c r="L54" s="160">
        <f>+'PCR (M2) Final'!AH67</f>
        <v>1.9408016666666668E-3</v>
      </c>
      <c r="M54" s="160">
        <f>+'PCR (M2) Final'!AI67</f>
        <v>2.0478441666666666E-3</v>
      </c>
      <c r="N54" s="160">
        <f>+'PCR (M2) Final'!AJ67</f>
        <v>2.1059300000000002E-3</v>
      </c>
      <c r="O54" s="160">
        <f>+'PCR (M2) Final'!AK67</f>
        <v>2.2954824999999999E-3</v>
      </c>
      <c r="P54" s="160">
        <f>+'PCR (M2) Final'!AL67</f>
        <v>2.3914125E-3</v>
      </c>
      <c r="Q54" s="160">
        <f>+'PCR (M2) Final'!AM67</f>
        <v>2.3669924999999998E-3</v>
      </c>
      <c r="R54" s="160">
        <f>+'PCR (M2) Final'!AN67</f>
        <v>2.3231791666666669E-3</v>
      </c>
      <c r="S54" s="160">
        <f>+'PCR (M2) Final'!AO67</f>
        <v>2.2185616666666667E-3</v>
      </c>
      <c r="T54" s="160">
        <f>+'PCR (M2) Final'!AP67</f>
        <v>2.2311341666666666E-3</v>
      </c>
      <c r="U54" s="160">
        <f>+'PCR (M2) Final'!AQ67</f>
        <v>2.2083808333333331E-3</v>
      </c>
      <c r="V54" s="160">
        <f>+'PCR (M2) Final'!AR67</f>
        <v>2.1623908333333335E-3</v>
      </c>
      <c r="W54" s="160">
        <f>+'PCR (M2) Final'!AS67</f>
        <v>1.959325E-3</v>
      </c>
      <c r="X54" s="160">
        <f>+'PCR (M2) Final'!AT67</f>
        <v>1.8473916666666666E-3</v>
      </c>
      <c r="Y54" s="160">
        <f>+'PCR (M2) Final'!AU67</f>
        <v>1.7616100000000003E-3</v>
      </c>
      <c r="Z54" s="160">
        <f>+'PCR (M2) Final'!AV67</f>
        <v>1.5133241666666667E-3</v>
      </c>
      <c r="AA54" s="160">
        <f>+'PCR (M2) Final'!AW67</f>
        <v>1.5959991666666667E-3</v>
      </c>
      <c r="AB54" s="160">
        <f>+'PCR (M2) Final'!AX67</f>
        <v>1.5742316666666667E-3</v>
      </c>
      <c r="AC54" s="160">
        <f>+'PCR (M2) Final'!AY67</f>
        <v>1.5029858333333332E-3</v>
      </c>
      <c r="AD54" s="160">
        <f>+'PCR (M2) Final'!AZ67</f>
        <v>1.5738266666666667E-3</v>
      </c>
      <c r="AE54" s="160">
        <f>+'PCR (M2) Final'!BA67</f>
        <v>7.8204999999999995E-4</v>
      </c>
      <c r="AF54" s="160">
        <f>+'PCR (M2) Final'!BB67</f>
        <v>1.0755583333333334E-4</v>
      </c>
      <c r="AG54" s="160">
        <f>+'PCR (M2) Final'!BC67</f>
        <v>1.046925E-4</v>
      </c>
      <c r="AH54" s="160">
        <f>+'PCR (M2) Final'!BD67</f>
        <v>1.6138583333333333E-4</v>
      </c>
      <c r="AI54" s="160">
        <f>+'PCR (M2) Final'!BE67</f>
        <v>1.1382083333333333E-4</v>
      </c>
      <c r="AJ54" s="160">
        <f>+'PCR (M2) Final'!BF67</f>
        <v>1.0326333333333334E-4</v>
      </c>
      <c r="AK54" s="160">
        <f>+'PCR (M2) Final'!BG67</f>
        <v>1.6666666666666666E-4</v>
      </c>
      <c r="AL54" s="160">
        <f>+'PCR (M2) Final'!BH67</f>
        <v>2.1037000000000001E-4</v>
      </c>
      <c r="AM54" s="160">
        <f>+'PCR (M2) Final'!BI67</f>
        <v>2.3724916666666669E-4</v>
      </c>
      <c r="AN54" s="160">
        <f>+'PCR (M2) Final'!BJ67</f>
        <v>1.7178250000000002E-4</v>
      </c>
      <c r="AO54" s="160">
        <f>+'PCR (M2) Final'!BK67</f>
        <v>1.9351416666666668E-4</v>
      </c>
      <c r="AP54" s="160">
        <f>+'PCR (M2) Final'!BL67</f>
        <v>1.7806166666666664E-4</v>
      </c>
      <c r="AQ54" s="160">
        <f>+'PCR (M2) Final'!BM67</f>
        <v>1.8760249999999999E-4</v>
      </c>
      <c r="AR54" s="160">
        <f>+'PCR (M2) Final'!BN67</f>
        <v>1.8689333333333334E-4</v>
      </c>
      <c r="AS54" s="160">
        <f>+'PCR (M2) Final'!BO67</f>
        <v>1.6804916666666666E-4</v>
      </c>
      <c r="AT54" s="160">
        <f>+'PCR (M2) Final'!BP67</f>
        <v>1.1629083333333334E-4</v>
      </c>
      <c r="AU54" s="160">
        <f>+'PCR (M2) Final'!BQ67</f>
        <v>1.7091583333333333E-4</v>
      </c>
      <c r="AV54" s="160">
        <f>+'PCR (M2) Final'!BR67</f>
        <v>1.6102749999999998E-4</v>
      </c>
      <c r="AW54" s="160">
        <f>+'PCR (M2) Final'!BS67</f>
        <v>1.25E-4</v>
      </c>
      <c r="AX54" s="160">
        <f>+'PCR (M2) Final'!BT67</f>
        <v>1.2767416666666667E-4</v>
      </c>
      <c r="AY54" s="160">
        <f>+'PCR (M2) Final'!BU67</f>
        <v>2.1705333333333333E-4</v>
      </c>
      <c r="AZ54" s="206">
        <f>+'PCR (M2) Final'!BV67</f>
        <v>1.9537499999999999E-4</v>
      </c>
    </row>
    <row r="55" spans="1:52" x14ac:dyDescent="0.3">
      <c r="A55" s="139" t="s">
        <v>0</v>
      </c>
      <c r="B55" s="85">
        <f t="shared" ref="B55:K59" si="97">B48*B$54</f>
        <v>-1108.2848815840034</v>
      </c>
      <c r="C55" s="89">
        <f t="shared" si="97"/>
        <v>-1363.9160722177241</v>
      </c>
      <c r="D55" s="89">
        <f t="shared" si="97"/>
        <v>-1304.8389549056383</v>
      </c>
      <c r="E55" s="89">
        <f t="shared" si="97"/>
        <v>-1245.2731643190061</v>
      </c>
      <c r="F55" s="89">
        <f t="shared" si="97"/>
        <v>-1268.4838138406751</v>
      </c>
      <c r="G55" s="89">
        <f t="shared" si="97"/>
        <v>-1285.9491863846779</v>
      </c>
      <c r="H55" s="89">
        <f t="shared" si="97"/>
        <v>-1113.685232300413</v>
      </c>
      <c r="I55" s="89">
        <f t="shared" si="97"/>
        <v>-984.84209348595573</v>
      </c>
      <c r="J55" s="89">
        <f t="shared" si="97"/>
        <v>-808.61274773969058</v>
      </c>
      <c r="K55" s="86">
        <f t="shared" si="97"/>
        <v>-618.53757321515798</v>
      </c>
      <c r="L55" s="86">
        <f t="shared" ref="L55:M55" si="98">L48*L$54</f>
        <v>-443.27663931758929</v>
      </c>
      <c r="M55" s="86">
        <f t="shared" si="98"/>
        <v>-323.35205253723501</v>
      </c>
      <c r="N55" s="86">
        <f t="shared" ref="N55:W55" si="99">N48*N$54</f>
        <v>-234.01328540930714</v>
      </c>
      <c r="O55" s="86">
        <f t="shared" si="99"/>
        <v>-44.841778574690423</v>
      </c>
      <c r="P55" s="86">
        <f t="shared" si="99"/>
        <v>169.71477893658576</v>
      </c>
      <c r="Q55" s="86">
        <f t="shared" si="99"/>
        <v>154.88752396803827</v>
      </c>
      <c r="R55" s="86">
        <f t="shared" si="99"/>
        <v>140.65843110769146</v>
      </c>
      <c r="S55" s="86">
        <f t="shared" si="99"/>
        <v>127.96133468600812</v>
      </c>
      <c r="T55" s="86">
        <f t="shared" si="99"/>
        <v>124.05066396667371</v>
      </c>
      <c r="U55" s="86">
        <f t="shared" si="99"/>
        <v>114.22650443534305</v>
      </c>
      <c r="V55" s="86">
        <f t="shared" si="99"/>
        <v>99.371843391404497</v>
      </c>
      <c r="W55" s="86">
        <f t="shared" si="99"/>
        <v>77.7167067930922</v>
      </c>
      <c r="X55" s="86">
        <f>X48*X$54</f>
        <v>62.88224319082294</v>
      </c>
      <c r="Y55" s="86">
        <f>Y48*Y$54</f>
        <v>52.86704495419945</v>
      </c>
      <c r="Z55" s="86">
        <f t="shared" ref="Z55:AJ55" si="100">Z48*Z$54</f>
        <v>40.800478028579853</v>
      </c>
      <c r="AA55" s="86">
        <f t="shared" si="100"/>
        <v>35.389181053333239</v>
      </c>
      <c r="AB55" s="86">
        <f t="shared" si="100"/>
        <v>26.18161104949726</v>
      </c>
      <c r="AC55" s="86">
        <f t="shared" si="100"/>
        <v>21.368611778863734</v>
      </c>
      <c r="AD55" s="86">
        <f t="shared" si="100"/>
        <v>22.407198095856668</v>
      </c>
      <c r="AE55" s="86">
        <f t="shared" si="100"/>
        <v>11.152072748814343</v>
      </c>
      <c r="AF55" s="86">
        <f t="shared" si="100"/>
        <v>1.5348737718222376</v>
      </c>
      <c r="AG55" s="86">
        <f t="shared" si="100"/>
        <v>1.4942695700410475</v>
      </c>
      <c r="AH55" s="86">
        <f t="shared" si="100"/>
        <v>2.3037345828539495</v>
      </c>
      <c r="AI55" s="86">
        <f t="shared" si="100"/>
        <v>1.6250496256770024</v>
      </c>
      <c r="AJ55" s="86">
        <f t="shared" si="100"/>
        <v>1.474543621153461</v>
      </c>
      <c r="AK55" s="86">
        <f t="shared" ref="AK55:AV55" si="101">AK48*AK$54</f>
        <v>2.3801341164061567</v>
      </c>
      <c r="AL55" s="86">
        <f t="shared" si="101"/>
        <v>3.0048230153242477</v>
      </c>
      <c r="AM55" s="86">
        <f t="shared" si="101"/>
        <v>3.3893972719091816</v>
      </c>
      <c r="AN55" s="86">
        <f t="shared" si="101"/>
        <v>2.4546798623288364</v>
      </c>
      <c r="AO55" s="86">
        <f t="shared" si="101"/>
        <v>2.7527927905675291</v>
      </c>
      <c r="AP55" s="86">
        <f t="shared" si="101"/>
        <v>2.5077023317963691</v>
      </c>
      <c r="AQ55" s="86">
        <f t="shared" si="101"/>
        <v>2.6408904909214832</v>
      </c>
      <c r="AR55" s="86">
        <f t="shared" si="101"/>
        <v>2.6296690658057971</v>
      </c>
      <c r="AS55" s="86">
        <f t="shared" si="101"/>
        <v>2.3612532899379426</v>
      </c>
      <c r="AT55" s="86">
        <f t="shared" si="101"/>
        <v>1.6301184871811409</v>
      </c>
      <c r="AU55" s="86">
        <f t="shared" si="101"/>
        <v>2.3900952594885774</v>
      </c>
      <c r="AV55" s="86">
        <f t="shared" si="101"/>
        <v>2.2466133476336978</v>
      </c>
      <c r="AW55" s="86">
        <f>AW48*AW$54</f>
        <v>1.7423626121663454</v>
      </c>
      <c r="AX55" s="86">
        <f t="shared" ref="AX55:AZ55" si="102">AX48*AX$54</f>
        <v>1.7783184658028524</v>
      </c>
      <c r="AY55" s="86">
        <f t="shared" si="102"/>
        <v>3.014729501009096</v>
      </c>
      <c r="AZ55" s="90">
        <f t="shared" si="102"/>
        <v>2.6804802926824509</v>
      </c>
    </row>
    <row r="56" spans="1:52" x14ac:dyDescent="0.3">
      <c r="A56" s="139" t="s">
        <v>4</v>
      </c>
      <c r="B56" s="85">
        <f t="shared" si="97"/>
        <v>-7.209961925808801</v>
      </c>
      <c r="C56" s="89">
        <f t="shared" si="97"/>
        <v>-8.8729740106475656</v>
      </c>
      <c r="D56" s="89">
        <f t="shared" si="97"/>
        <v>-8.5784364378118791</v>
      </c>
      <c r="E56" s="89">
        <f t="shared" si="97"/>
        <v>-8.8679290224676883</v>
      </c>
      <c r="F56" s="89">
        <f t="shared" si="97"/>
        <v>-9.8088984388779625</v>
      </c>
      <c r="G56" s="89">
        <f t="shared" si="97"/>
        <v>-10.664062947543757</v>
      </c>
      <c r="H56" s="89">
        <f t="shared" si="97"/>
        <v>-9.8826322176248436</v>
      </c>
      <c r="I56" s="89">
        <f t="shared" si="97"/>
        <v>-9.8175343924078273</v>
      </c>
      <c r="J56" s="89">
        <f t="shared" si="97"/>
        <v>-9.6283334208017468</v>
      </c>
      <c r="K56" s="86">
        <f t="shared" si="97"/>
        <v>-9.0793498225449767</v>
      </c>
      <c r="L56" s="86">
        <f t="shared" ref="L56:M56" si="103">L49*L$54</f>
        <v>-8.6317832075926599</v>
      </c>
      <c r="M56" s="86">
        <f t="shared" si="103"/>
        <v>-8.7211185219484211</v>
      </c>
      <c r="N56" s="86">
        <f t="shared" ref="N56:Y56" si="104">N49*N$54</f>
        <v>-20.504352407309163</v>
      </c>
      <c r="O56" s="86">
        <f t="shared" si="104"/>
        <v>-22.15807646721591</v>
      </c>
      <c r="P56" s="86">
        <f t="shared" si="104"/>
        <v>-22.804880719532971</v>
      </c>
      <c r="Q56" s="86">
        <f t="shared" si="104"/>
        <v>-21.303291208014738</v>
      </c>
      <c r="R56" s="86">
        <f t="shared" si="104"/>
        <v>-19.751557981791738</v>
      </c>
      <c r="S56" s="86">
        <f t="shared" si="104"/>
        <v>-18.03596242351805</v>
      </c>
      <c r="T56" s="86">
        <f t="shared" si="104"/>
        <v>-17.373740659238198</v>
      </c>
      <c r="U56" s="86">
        <f t="shared" si="104"/>
        <v>-16.264839742368537</v>
      </c>
      <c r="V56" s="86">
        <f t="shared" si="104"/>
        <v>-14.832807690100541</v>
      </c>
      <c r="W56" s="86">
        <f t="shared" si="104"/>
        <v>-12.40837181040416</v>
      </c>
      <c r="X56" s="86">
        <f t="shared" si="104"/>
        <v>-10.770513472813203</v>
      </c>
      <c r="Y56" s="86">
        <f t="shared" si="104"/>
        <v>-9.4951332626139244</v>
      </c>
      <c r="Z56" s="86">
        <f t="shared" ref="Z56:AJ56" si="105">Z49*Z$54</f>
        <v>-7.5739948458746316</v>
      </c>
      <c r="AA56" s="86">
        <f t="shared" si="105"/>
        <v>-7.2182875082228124</v>
      </c>
      <c r="AB56" s="86">
        <f t="shared" si="105"/>
        <v>-6.2954279719841448</v>
      </c>
      <c r="AC56" s="86">
        <f t="shared" si="105"/>
        <v>-5.6371231748353852</v>
      </c>
      <c r="AD56" s="86">
        <f t="shared" si="105"/>
        <v>-5.9111614108627277</v>
      </c>
      <c r="AE56" s="86">
        <f t="shared" si="105"/>
        <v>-2.9420537193311112</v>
      </c>
      <c r="AF56" s="86">
        <f t="shared" si="105"/>
        <v>-0.40492842641522975</v>
      </c>
      <c r="AG56" s="86">
        <f t="shared" si="105"/>
        <v>-0.3942040403802764</v>
      </c>
      <c r="AH56" s="86">
        <f t="shared" si="105"/>
        <v>-0.60775803933824657</v>
      </c>
      <c r="AI56" s="86">
        <f t="shared" si="105"/>
        <v>-0.4286049639097903</v>
      </c>
      <c r="AJ56" s="86">
        <f t="shared" si="105"/>
        <v>-0.38888889006105776</v>
      </c>
      <c r="AK56" s="86">
        <f t="shared" ref="AK56:AV56" si="106">AK49*AK$54</f>
        <v>-0.6277084860563743</v>
      </c>
      <c r="AL56" s="86">
        <f t="shared" si="106"/>
        <v>-0.7924214267042885</v>
      </c>
      <c r="AM56" s="86">
        <f t="shared" si="106"/>
        <v>-0.89385809753364653</v>
      </c>
      <c r="AN56" s="86">
        <f t="shared" si="106"/>
        <v>-0.64736338305093177</v>
      </c>
      <c r="AO56" s="86">
        <f t="shared" si="106"/>
        <v>-0.71606612801553882</v>
      </c>
      <c r="AP56" s="86">
        <f t="shared" si="106"/>
        <v>-0.62856243466093953</v>
      </c>
      <c r="AQ56" s="86">
        <f t="shared" si="106"/>
        <v>-0.63921811625109282</v>
      </c>
      <c r="AR56" s="86">
        <f t="shared" si="106"/>
        <v>-0.61400967480947322</v>
      </c>
      <c r="AS56" s="86">
        <f t="shared" si="106"/>
        <v>-0.52488977207305698</v>
      </c>
      <c r="AT56" s="86">
        <f t="shared" si="106"/>
        <v>-0.33945078018345859</v>
      </c>
      <c r="AU56" s="86">
        <f t="shared" si="106"/>
        <v>-0.46408562490879895</v>
      </c>
      <c r="AV56" s="86">
        <f t="shared" si="106"/>
        <v>-0.40392712849175699</v>
      </c>
      <c r="AW56" s="86">
        <f t="shared" ref="AW56:AZ56" si="107">AW49*AW$54</f>
        <v>-0.29330800794939327</v>
      </c>
      <c r="AX56" s="86">
        <f t="shared" si="107"/>
        <v>-0.2823839383880879</v>
      </c>
      <c r="AY56" s="86">
        <f t="shared" si="107"/>
        <v>-0.44567417705486345</v>
      </c>
      <c r="AZ56" s="90">
        <f t="shared" si="107"/>
        <v>-0.36170620241122986</v>
      </c>
    </row>
    <row r="57" spans="1:52" x14ac:dyDescent="0.3">
      <c r="A57" s="139" t="s">
        <v>5</v>
      </c>
      <c r="B57" s="85">
        <f t="shared" si="97"/>
        <v>-16.719346928775721</v>
      </c>
      <c r="C57" s="89">
        <f t="shared" si="97"/>
        <v>-20.575743991517054</v>
      </c>
      <c r="D57" s="89">
        <f t="shared" si="97"/>
        <v>-19.920548213084999</v>
      </c>
      <c r="E57" s="89">
        <f t="shared" si="97"/>
        <v>-20.677225857721446</v>
      </c>
      <c r="F57" s="89">
        <f t="shared" si="97"/>
        <v>-22.562767798204149</v>
      </c>
      <c r="G57" s="89">
        <f t="shared" si="97"/>
        <v>-24.14418149598318</v>
      </c>
      <c r="H57" s="89">
        <f t="shared" si="97"/>
        <v>-21.882229227146386</v>
      </c>
      <c r="I57" s="89">
        <f t="shared" si="97"/>
        <v>-21.283780684545349</v>
      </c>
      <c r="J57" s="89">
        <f t="shared" si="97"/>
        <v>-20.446059914367037</v>
      </c>
      <c r="K57" s="86">
        <f t="shared" si="97"/>
        <v>-18.810622719091423</v>
      </c>
      <c r="L57" s="86">
        <f t="shared" ref="L57:M57" si="108">L50*L$54</f>
        <v>-17.32767679437497</v>
      </c>
      <c r="M57" s="86">
        <f t="shared" si="108"/>
        <v>-16.864750651009206</v>
      </c>
      <c r="N57" s="86">
        <f t="shared" ref="N57:Y57" si="109">N50*N$54</f>
        <v>-43.471396644280311</v>
      </c>
      <c r="O57" s="86">
        <f t="shared" si="109"/>
        <v>-46.51636785037676</v>
      </c>
      <c r="P57" s="86">
        <f t="shared" si="109"/>
        <v>-47.436722969336834</v>
      </c>
      <c r="Q57" s="86">
        <f t="shared" si="109"/>
        <v>-43.975633291683337</v>
      </c>
      <c r="R57" s="86">
        <f t="shared" si="109"/>
        <v>-40.404702352997859</v>
      </c>
      <c r="S57" s="86">
        <f t="shared" si="109"/>
        <v>-36.246043778894702</v>
      </c>
      <c r="T57" s="86">
        <f t="shared" si="109"/>
        <v>-34.028574838456635</v>
      </c>
      <c r="U57" s="86">
        <f t="shared" si="109"/>
        <v>-30.989854624637449</v>
      </c>
      <c r="V57" s="86">
        <f t="shared" si="109"/>
        <v>-27.484719423455047</v>
      </c>
      <c r="W57" s="86">
        <f t="shared" si="109"/>
        <v>-22.238828125381179</v>
      </c>
      <c r="X57" s="86">
        <f t="shared" si="109"/>
        <v>-18.426296529443718</v>
      </c>
      <c r="Y57" s="86">
        <f t="shared" si="109"/>
        <v>-15.349480150581677</v>
      </c>
      <c r="Z57" s="86">
        <f t="shared" ref="Z57:AJ57" si="110">Z50*Z$54</f>
        <v>-11.492134586118187</v>
      </c>
      <c r="AA57" s="86">
        <f t="shared" si="110"/>
        <v>-10.156635443058265</v>
      </c>
      <c r="AB57" s="86">
        <f t="shared" si="110"/>
        <v>-8.0087303829637744</v>
      </c>
      <c r="AC57" s="86">
        <f t="shared" si="110"/>
        <v>-6.5663323275425993</v>
      </c>
      <c r="AD57" s="86">
        <f t="shared" si="110"/>
        <v>-6.8753086378771071</v>
      </c>
      <c r="AE57" s="86">
        <f t="shared" si="110"/>
        <v>-3.4217366084427532</v>
      </c>
      <c r="AF57" s="86">
        <f t="shared" si="110"/>
        <v>-0.47115472511697287</v>
      </c>
      <c r="AG57" s="86">
        <f t="shared" si="110"/>
        <v>-0.45866000346573793</v>
      </c>
      <c r="AH57" s="86">
        <f t="shared" si="110"/>
        <v>-0.70711019847712997</v>
      </c>
      <c r="AI57" s="86">
        <f t="shared" si="110"/>
        <v>-0.49886680749200463</v>
      </c>
      <c r="AJ57" s="86">
        <f t="shared" si="110"/>
        <v>-0.45264602120856318</v>
      </c>
      <c r="AK57" s="86">
        <f t="shared" ref="AK57:AV57" si="111">AK50*AK$54</f>
        <v>-0.73064457042760123</v>
      </c>
      <c r="AL57" s="86">
        <f t="shared" si="111"/>
        <v>-0.92240472498340786</v>
      </c>
      <c r="AM57" s="86">
        <f t="shared" si="111"/>
        <v>-1.0404806314545367</v>
      </c>
      <c r="AN57" s="86">
        <f t="shared" si="111"/>
        <v>-0.75354856515661084</v>
      </c>
      <c r="AO57" s="86">
        <f t="shared" si="111"/>
        <v>-0.80068257966567535</v>
      </c>
      <c r="AP57" s="86">
        <f t="shared" si="111"/>
        <v>-0.64004813519943327</v>
      </c>
      <c r="AQ57" s="86">
        <f t="shared" si="111"/>
        <v>-0.58381309916074187</v>
      </c>
      <c r="AR57" s="86">
        <f t="shared" si="111"/>
        <v>-0.48973615166198586</v>
      </c>
      <c r="AS57" s="86">
        <f t="shared" si="111"/>
        <v>-0.34849609670893361</v>
      </c>
      <c r="AT57" s="86">
        <f t="shared" si="111"/>
        <v>-0.16670151906821265</v>
      </c>
      <c r="AU57" s="86">
        <f t="shared" si="111"/>
        <v>-0.13647805169238067</v>
      </c>
      <c r="AV57" s="86">
        <f t="shared" si="111"/>
        <v>-2.439854689090409E-2</v>
      </c>
      <c r="AW57" s="86">
        <f t="shared" ref="AW57:AZ57" si="112">AW50*AW$54</f>
        <v>5.2165468262159412E-2</v>
      </c>
      <c r="AX57" s="86">
        <f t="shared" si="112"/>
        <v>0.11787391194603926</v>
      </c>
      <c r="AY57" s="86">
        <f t="shared" si="112"/>
        <v>0.32039236450370928</v>
      </c>
      <c r="AZ57" s="90">
        <f t="shared" si="112"/>
        <v>0.40435625883488013</v>
      </c>
    </row>
    <row r="58" spans="1:52" x14ac:dyDescent="0.3">
      <c r="A58" s="139" t="s">
        <v>6</v>
      </c>
      <c r="B58" s="85">
        <f t="shared" si="97"/>
        <v>-7.3438185586328446</v>
      </c>
      <c r="C58" s="89">
        <f t="shared" si="97"/>
        <v>-9.0377053138669385</v>
      </c>
      <c r="D58" s="89">
        <f t="shared" si="97"/>
        <v>-8.7293387465914112</v>
      </c>
      <c r="E58" s="89">
        <f t="shared" si="97"/>
        <v>-9.1574126472125261</v>
      </c>
      <c r="F58" s="89">
        <f t="shared" si="97"/>
        <v>-10.073259440816749</v>
      </c>
      <c r="G58" s="89">
        <f t="shared" si="97"/>
        <v>-10.808323465247476</v>
      </c>
      <c r="H58" s="89">
        <f t="shared" si="97"/>
        <v>-9.7483133550276087</v>
      </c>
      <c r="I58" s="89">
        <f t="shared" si="97"/>
        <v>-9.481907966629251</v>
      </c>
      <c r="J58" s="89">
        <f t="shared" si="97"/>
        <v>-9.1254731785356995</v>
      </c>
      <c r="K58" s="86">
        <f t="shared" si="97"/>
        <v>-8.3890632764263167</v>
      </c>
      <c r="L58" s="86">
        <f t="shared" ref="L58:M58" si="113">L51*L$54</f>
        <v>-7.7504568567769097</v>
      </c>
      <c r="M58" s="86">
        <f t="shared" si="113"/>
        <v>-7.5424380151516353</v>
      </c>
      <c r="N58" s="86">
        <f t="shared" ref="N58:Y58" si="114">N51*N$54</f>
        <v>-19.33392547189553</v>
      </c>
      <c r="O58" s="86">
        <f t="shared" si="114"/>
        <v>-20.673217189748875</v>
      </c>
      <c r="P58" s="86">
        <f t="shared" si="114"/>
        <v>-21.113438552402179</v>
      </c>
      <c r="Q58" s="86">
        <f t="shared" si="114"/>
        <v>-19.716475902280578</v>
      </c>
      <c r="R58" s="86">
        <f t="shared" si="114"/>
        <v>-18.234031644364006</v>
      </c>
      <c r="S58" s="86">
        <f t="shared" si="114"/>
        <v>-16.40024522882576</v>
      </c>
      <c r="T58" s="86">
        <f t="shared" si="114"/>
        <v>-15.48351067978753</v>
      </c>
      <c r="U58" s="86">
        <f t="shared" si="114"/>
        <v>-14.152263644816738</v>
      </c>
      <c r="V58" s="86">
        <f t="shared" si="114"/>
        <v>-12.694218732256894</v>
      </c>
      <c r="W58" s="86">
        <f t="shared" si="114"/>
        <v>-10.389553617137269</v>
      </c>
      <c r="X58" s="86">
        <f t="shared" si="114"/>
        <v>-8.7513906230896588</v>
      </c>
      <c r="Y58" s="86">
        <f t="shared" si="114"/>
        <v>-7.4236978203417445</v>
      </c>
      <c r="Z58" s="86">
        <f t="shared" ref="Z58:AJ58" si="115">Z51*Z$54</f>
        <v>-5.6409508862473627</v>
      </c>
      <c r="AA58" s="86">
        <f t="shared" si="115"/>
        <v>-5.1224851730590473</v>
      </c>
      <c r="AB58" s="86">
        <f t="shared" si="115"/>
        <v>-4.2471932657819575</v>
      </c>
      <c r="AC58" s="86">
        <f t="shared" si="115"/>
        <v>-3.5542116493270024</v>
      </c>
      <c r="AD58" s="86">
        <f t="shared" si="115"/>
        <v>-3.72188836480814</v>
      </c>
      <c r="AE58" s="86">
        <f t="shared" si="115"/>
        <v>-1.8523528439340675</v>
      </c>
      <c r="AF58" s="86">
        <f t="shared" si="115"/>
        <v>-0.25495475267291973</v>
      </c>
      <c r="AG58" s="86">
        <f t="shared" si="115"/>
        <v>-0.2481936100127014</v>
      </c>
      <c r="AH58" s="86">
        <f t="shared" si="115"/>
        <v>-0.38263667704171606</v>
      </c>
      <c r="AI58" s="86">
        <f t="shared" si="115"/>
        <v>-0.26990665705152267</v>
      </c>
      <c r="AJ58" s="86">
        <f t="shared" si="115"/>
        <v>-0.24489846373527982</v>
      </c>
      <c r="AK58" s="86">
        <f t="shared" ref="AK58:AV58" si="116">AK51*AK$54</f>
        <v>-0.39530609891696522</v>
      </c>
      <c r="AL58" s="86">
        <f t="shared" si="116"/>
        <v>-0.49904642471900107</v>
      </c>
      <c r="AM58" s="86">
        <f t="shared" si="116"/>
        <v>-0.56292869478183372</v>
      </c>
      <c r="AN58" s="86">
        <f t="shared" si="116"/>
        <v>-0.40769053975116637</v>
      </c>
      <c r="AO58" s="86">
        <f t="shared" si="116"/>
        <v>-0.44058361389558826</v>
      </c>
      <c r="AP58" s="86">
        <f t="shared" si="116"/>
        <v>-0.36736819144570937</v>
      </c>
      <c r="AQ58" s="86">
        <f t="shared" si="116"/>
        <v>-0.34680262857334015</v>
      </c>
      <c r="AR58" s="86">
        <f t="shared" si="116"/>
        <v>-0.30392924945775618</v>
      </c>
      <c r="AS58" s="86">
        <f t="shared" si="116"/>
        <v>-0.23734456750675939</v>
      </c>
      <c r="AT58" s="86">
        <f t="shared" si="116"/>
        <v>-0.13094659500388792</v>
      </c>
      <c r="AU58" s="86">
        <f t="shared" si="116"/>
        <v>-0.14750867000382514</v>
      </c>
      <c r="AV58" s="86">
        <f t="shared" si="116"/>
        <v>-9.6082471724806481E-2</v>
      </c>
      <c r="AW58" s="86">
        <f t="shared" ref="AW58:AZ58" si="117">AW51*AW$54</f>
        <v>-4.5848140687373959E-2</v>
      </c>
      <c r="AX58" s="86">
        <f t="shared" si="117"/>
        <v>-2.1221195619284396E-2</v>
      </c>
      <c r="AY58" s="86">
        <f t="shared" si="117"/>
        <v>2.1299016796636643E-2</v>
      </c>
      <c r="AZ58" s="90">
        <f t="shared" si="117"/>
        <v>6.9187857360064192E-2</v>
      </c>
    </row>
    <row r="59" spans="1:52" ht="15" thickBot="1" x14ac:dyDescent="0.35">
      <c r="A59" s="139" t="s">
        <v>7</v>
      </c>
      <c r="B59" s="85">
        <f t="shared" si="97"/>
        <v>-3.4193435424392344</v>
      </c>
      <c r="C59" s="89">
        <f t="shared" si="97"/>
        <v>-4.2080314289781002</v>
      </c>
      <c r="D59" s="89">
        <f t="shared" si="97"/>
        <v>-4.0859276176303876</v>
      </c>
      <c r="E59" s="89">
        <f t="shared" si="97"/>
        <v>-4.436841135877593</v>
      </c>
      <c r="F59" s="89">
        <f t="shared" si="97"/>
        <v>-5.0250207916320866</v>
      </c>
      <c r="G59" s="89">
        <f t="shared" si="97"/>
        <v>-5.3920797545026851</v>
      </c>
      <c r="H59" s="89">
        <f t="shared" si="97"/>
        <v>-4.8640764540803199</v>
      </c>
      <c r="I59" s="89">
        <f t="shared" si="97"/>
        <v>-4.7259046790191741</v>
      </c>
      <c r="J59" s="89">
        <f t="shared" si="97"/>
        <v>-4.6205635215204515</v>
      </c>
      <c r="K59" s="86">
        <f t="shared" si="97"/>
        <v>-4.2511265984695656</v>
      </c>
      <c r="L59" s="86">
        <f t="shared" ref="L59:M59" si="118">L52*L$54</f>
        <v>-3.9428932761398254</v>
      </c>
      <c r="M59" s="86">
        <f t="shared" si="118"/>
        <v>-3.8388439299949031</v>
      </c>
      <c r="N59" s="86">
        <f t="shared" ref="N59:Y59" si="119">N52*N$54</f>
        <v>-9.6600075978416573</v>
      </c>
      <c r="O59" s="86">
        <f t="shared" si="119"/>
        <v>-10.344356438969742</v>
      </c>
      <c r="P59" s="86">
        <f t="shared" si="119"/>
        <v>-10.531925290824747</v>
      </c>
      <c r="Q59" s="86">
        <f t="shared" si="119"/>
        <v>-9.973430360424544</v>
      </c>
      <c r="R59" s="86">
        <f t="shared" si="119"/>
        <v>-9.3296900089749197</v>
      </c>
      <c r="S59" s="86">
        <f t="shared" si="119"/>
        <v>-8.4768061888745443</v>
      </c>
      <c r="T59" s="86">
        <f t="shared" si="119"/>
        <v>-8.1033086968438877</v>
      </c>
      <c r="U59" s="86">
        <f t="shared" si="119"/>
        <v>-7.4876857982825991</v>
      </c>
      <c r="V59" s="86">
        <f t="shared" si="119"/>
        <v>-6.843405141089856</v>
      </c>
      <c r="W59" s="86">
        <f t="shared" si="119"/>
        <v>-5.707117186129401</v>
      </c>
      <c r="X59" s="86">
        <f t="shared" si="119"/>
        <v>-4.9081970753623008</v>
      </c>
      <c r="Y59" s="86">
        <f t="shared" si="119"/>
        <v>-4.2555190140151726</v>
      </c>
      <c r="Z59" s="86">
        <f t="shared" ref="Z59:AJ59" si="120">Z52*Z$54</f>
        <v>-3.3298795556392733</v>
      </c>
      <c r="AA59" s="86">
        <f t="shared" si="120"/>
        <v>-3.1847345244041367</v>
      </c>
      <c r="AB59" s="86">
        <f t="shared" si="120"/>
        <v>-2.798730744815797</v>
      </c>
      <c r="AC59" s="86">
        <f t="shared" si="120"/>
        <v>-2.4111238501546852</v>
      </c>
      <c r="AD59" s="86">
        <f t="shared" si="120"/>
        <v>-2.5393243705362516</v>
      </c>
      <c r="AE59" s="86">
        <f t="shared" si="120"/>
        <v>-1.2638008325763963</v>
      </c>
      <c r="AF59" s="86">
        <f t="shared" si="120"/>
        <v>-0.17394737700110113</v>
      </c>
      <c r="AG59" s="86">
        <f t="shared" si="120"/>
        <v>-0.17837794798291334</v>
      </c>
      <c r="AH59" s="86">
        <f t="shared" si="120"/>
        <v>-0.27500264350409492</v>
      </c>
      <c r="AI59" s="86">
        <f t="shared" si="120"/>
        <v>-0.19398297855075333</v>
      </c>
      <c r="AJ59" s="86">
        <f t="shared" si="120"/>
        <v>-0.1760097232979019</v>
      </c>
      <c r="AK59" s="86">
        <f t="shared" ref="AK59:AV59" si="121">AK52*AK$54</f>
        <v>-0.28410842610902343</v>
      </c>
      <c r="AL59" s="86">
        <f t="shared" si="121"/>
        <v>-0.35866710549293207</v>
      </c>
      <c r="AM59" s="86">
        <f t="shared" si="121"/>
        <v>-0.40457952254472507</v>
      </c>
      <c r="AN59" s="86">
        <f t="shared" si="121"/>
        <v>-0.29300912433048532</v>
      </c>
      <c r="AO59" s="86">
        <f t="shared" si="121"/>
        <v>-0.32344371741890665</v>
      </c>
      <c r="AP59" s="86">
        <f t="shared" si="121"/>
        <v>-0.2880024390058516</v>
      </c>
      <c r="AQ59" s="86">
        <f t="shared" si="121"/>
        <v>-0.28678060316966786</v>
      </c>
      <c r="AR59" s="86">
        <f t="shared" si="121"/>
        <v>-0.26884275719883843</v>
      </c>
      <c r="AS59" s="86">
        <f t="shared" si="121"/>
        <v>-0.22710718572767019</v>
      </c>
      <c r="AT59" s="86">
        <f t="shared" si="121"/>
        <v>-0.14422663221446169</v>
      </c>
      <c r="AU59" s="86">
        <f t="shared" si="121"/>
        <v>-0.19386846483756928</v>
      </c>
      <c r="AV59" s="86">
        <f t="shared" si="121"/>
        <v>-0.16421776113084077</v>
      </c>
      <c r="AW59" s="86">
        <f t="shared" ref="AW59:AZ59" si="122">AW52*AW$54</f>
        <v>-0.1143586826046523</v>
      </c>
      <c r="AX59" s="86">
        <f t="shared" si="122"/>
        <v>-0.10791198117774584</v>
      </c>
      <c r="AY59" s="86">
        <f t="shared" si="122"/>
        <v>-0.16221300336904101</v>
      </c>
      <c r="AZ59" s="90">
        <f t="shared" si="122"/>
        <v>-0.12814754307176135</v>
      </c>
    </row>
    <row r="60" spans="1:52" ht="15.6" thickTop="1" thickBot="1" x14ac:dyDescent="0.35">
      <c r="A60" s="101" t="s">
        <v>71</v>
      </c>
      <c r="B60" s="105">
        <f>SUM(B55:B59)+SUM(B48:B52)-B63</f>
        <v>0</v>
      </c>
      <c r="C60" s="106">
        <f>SUM(C55:C59)+SUM(C48:C52)-C63</f>
        <v>0</v>
      </c>
      <c r="D60" s="106">
        <f>SUM(D55:D59)+SUM(D48:D52)-D63</f>
        <v>0</v>
      </c>
      <c r="E60" s="106">
        <f t="shared" ref="E60:K60" si="123">SUM(E55:E59)+SUM(E48:E52)-E63</f>
        <v>0</v>
      </c>
      <c r="F60" s="106">
        <f t="shared" si="123"/>
        <v>0</v>
      </c>
      <c r="G60" s="106">
        <f t="shared" si="123"/>
        <v>0</v>
      </c>
      <c r="H60" s="106">
        <f t="shared" si="123"/>
        <v>0</v>
      </c>
      <c r="I60" s="106">
        <f t="shared" si="123"/>
        <v>0</v>
      </c>
      <c r="J60" s="106">
        <f t="shared" si="123"/>
        <v>0</v>
      </c>
      <c r="K60" s="128">
        <f t="shared" si="123"/>
        <v>0</v>
      </c>
      <c r="L60" s="128">
        <f t="shared" ref="L60:M60" si="124">SUM(L55:L59)+SUM(L48:L52)-L63</f>
        <v>0</v>
      </c>
      <c r="M60" s="128">
        <f t="shared" si="124"/>
        <v>0</v>
      </c>
      <c r="N60" s="128">
        <f t="shared" ref="N60:X60" si="125">SUM(N55:N59)+SUM(N48:N52)-N63</f>
        <v>0</v>
      </c>
      <c r="O60" s="128">
        <f t="shared" si="125"/>
        <v>1.3824319466948509E-10</v>
      </c>
      <c r="P60" s="128">
        <f t="shared" si="125"/>
        <v>1.3460521586239338E-10</v>
      </c>
      <c r="Q60" s="128">
        <f t="shared" si="125"/>
        <v>1.3824319466948509E-10</v>
      </c>
      <c r="R60" s="128">
        <f t="shared" si="125"/>
        <v>1.3460521586239338E-10</v>
      </c>
      <c r="S60" s="128">
        <f t="shared" si="125"/>
        <v>1.3824319466948509E-10</v>
      </c>
      <c r="T60" s="128">
        <f t="shared" si="125"/>
        <v>1.4188117347657681E-10</v>
      </c>
      <c r="U60" s="128">
        <f t="shared" si="125"/>
        <v>1.4188117347657681E-10</v>
      </c>
      <c r="V60" s="128">
        <f t="shared" si="125"/>
        <v>1.4188117347657681E-10</v>
      </c>
      <c r="W60" s="128">
        <f t="shared" si="125"/>
        <v>1.4370016288012266E-10</v>
      </c>
      <c r="X60" s="128">
        <f t="shared" si="125"/>
        <v>1.4733814168721437E-10</v>
      </c>
      <c r="Y60" s="128">
        <f>SUM(Y55:Y59)+SUM(Y48:Y52)-Y63</f>
        <v>1.4006218407303095E-10</v>
      </c>
      <c r="Z60" s="128">
        <f t="shared" ref="Z60:AJ60" si="126">SUM(Z55:Z59)+SUM(Z48:Z52)-Z63</f>
        <v>1.4188117347657681E-10</v>
      </c>
      <c r="AA60" s="128">
        <f t="shared" si="126"/>
        <v>1.4097167877480388E-10</v>
      </c>
      <c r="AB60" s="128">
        <f t="shared" si="126"/>
        <v>1.4233592082746327E-10</v>
      </c>
      <c r="AC60" s="128">
        <f t="shared" si="126"/>
        <v>1.4279066817834973E-10</v>
      </c>
      <c r="AD60" s="128">
        <f t="shared" si="126"/>
        <v>1.4006218407303095E-10</v>
      </c>
      <c r="AE60" s="128">
        <f t="shared" si="126"/>
        <v>1.3824319466948509E-10</v>
      </c>
      <c r="AF60" s="128">
        <f t="shared" si="126"/>
        <v>1.3960743672214448E-10</v>
      </c>
      <c r="AG60" s="128">
        <f t="shared" si="126"/>
        <v>1.3824319466948509E-10</v>
      </c>
      <c r="AH60" s="128">
        <f t="shared" si="126"/>
        <v>1.4142642612569034E-10</v>
      </c>
      <c r="AI60" s="128">
        <f t="shared" si="126"/>
        <v>1.4051693142391741E-10</v>
      </c>
      <c r="AJ60" s="128">
        <f t="shared" si="126"/>
        <v>1.3915268937125802E-10</v>
      </c>
      <c r="AK60" s="128">
        <f t="shared" ref="AK60" si="127">SUM(AK55:AK59)+SUM(AK48:AK52)-AK63</f>
        <v>1.3960743672214448E-10</v>
      </c>
      <c r="AL60" s="128">
        <f t="shared" ref="AL60:AV60" si="128">SUM(AL55:AL59)+SUM(AL48:AL52)-AL63</f>
        <v>1.3915268937125802E-10</v>
      </c>
      <c r="AM60" s="128">
        <f t="shared" si="128"/>
        <v>1.3733369996771216E-10</v>
      </c>
      <c r="AN60" s="128">
        <f t="shared" si="128"/>
        <v>1.3824319466948509E-10</v>
      </c>
      <c r="AO60" s="128">
        <f t="shared" si="128"/>
        <v>1.3733369996771216E-10</v>
      </c>
      <c r="AP60" s="128">
        <f t="shared" si="128"/>
        <v>1.3551471056416631E-10</v>
      </c>
      <c r="AQ60" s="128">
        <f t="shared" si="128"/>
        <v>1.3733369996771216E-10</v>
      </c>
      <c r="AR60" s="128">
        <f t="shared" si="128"/>
        <v>1.3824319466948509E-10</v>
      </c>
      <c r="AS60" s="128">
        <f t="shared" si="128"/>
        <v>1.3824319466948509E-10</v>
      </c>
      <c r="AT60" s="128">
        <f t="shared" si="128"/>
        <v>1.3915268937125802E-10</v>
      </c>
      <c r="AU60" s="128">
        <f t="shared" si="128"/>
        <v>1.3824319466948509E-10</v>
      </c>
      <c r="AV60" s="128">
        <f t="shared" si="128"/>
        <v>1.4006218407303095E-10</v>
      </c>
      <c r="AW60" s="128">
        <f t="shared" ref="AW60:AZ60" si="129">SUM(AW55:AW59)+SUM(AW48:AW52)-AW63</f>
        <v>1.3824319466948509E-10</v>
      </c>
      <c r="AX60" s="128">
        <f t="shared" si="129"/>
        <v>1.3824319466948509E-10</v>
      </c>
      <c r="AY60" s="128">
        <f t="shared" si="129"/>
        <v>1.4006218407303095E-10</v>
      </c>
      <c r="AZ60" s="107">
        <f t="shared" si="129"/>
        <v>1.3824319466948509E-10</v>
      </c>
    </row>
    <row r="61" spans="1:52" ht="15.6" thickTop="1" thickBot="1" x14ac:dyDescent="0.35">
      <c r="A61" s="101" t="s">
        <v>72</v>
      </c>
      <c r="B61" s="105">
        <f>SUM(B55:B59)-B38</f>
        <v>2.6474603400856722E-3</v>
      </c>
      <c r="C61" s="106">
        <f>SUM(C55:C59)-C38</f>
        <v>-5.26962734056724E-4</v>
      </c>
      <c r="D61" s="106">
        <f t="shared" ref="D61:J61" si="130">SUM(D55:D59)-D38</f>
        <v>-3.2059207569545833E-3</v>
      </c>
      <c r="E61" s="106">
        <f t="shared" si="130"/>
        <v>-2.5729822853008955E-3</v>
      </c>
      <c r="F61" s="106">
        <f t="shared" si="130"/>
        <v>-3.7603102061893878E-3</v>
      </c>
      <c r="G61" s="106">
        <f>SUM(G55:G59)-G38</f>
        <v>2.1659520450612035E-3</v>
      </c>
      <c r="H61" s="106">
        <f t="shared" si="130"/>
        <v>-2.4835542922119203E-3</v>
      </c>
      <c r="I61" s="106">
        <f t="shared" si="130"/>
        <v>-1.2212085571263742E-3</v>
      </c>
      <c r="J61" s="106">
        <f t="shared" si="130"/>
        <v>-3.1777749155708079E-3</v>
      </c>
      <c r="K61" s="128">
        <f>SUM(K55:K59)-K38</f>
        <v>2.264368309852216E-3</v>
      </c>
      <c r="L61" s="128">
        <f t="shared" ref="L61" si="131">SUM(L55:L59)-L38</f>
        <v>5.5054752635896875E-4</v>
      </c>
      <c r="M61" s="128">
        <f>SUM(M55:M59)-M38</f>
        <v>7.9634466084144151E-4</v>
      </c>
      <c r="N61" s="128">
        <f t="shared" ref="N61:Y61" si="132">SUM(N55:N59)-N38</f>
        <v>-2.9675306338390328E-3</v>
      </c>
      <c r="O61" s="128">
        <f t="shared" si="132"/>
        <v>-3.7965210017034678E-3</v>
      </c>
      <c r="P61" s="128">
        <f t="shared" si="132"/>
        <v>-2.1885955109866018E-3</v>
      </c>
      <c r="Q61" s="128">
        <f t="shared" si="132"/>
        <v>-1.3067943649360814E-3</v>
      </c>
      <c r="R61" s="128">
        <f t="shared" si="132"/>
        <v>-1.5508804370654161E-3</v>
      </c>
      <c r="S61" s="128">
        <f t="shared" si="132"/>
        <v>2.277065895071928E-3</v>
      </c>
      <c r="T61" s="128">
        <f t="shared" si="132"/>
        <v>1.5290923474609031E-3</v>
      </c>
      <c r="U61" s="128">
        <f t="shared" si="132"/>
        <v>1.860625237725344E-3</v>
      </c>
      <c r="V61" s="128">
        <f t="shared" si="132"/>
        <v>-3.3075954978372124E-3</v>
      </c>
      <c r="W61" s="128">
        <f t="shared" si="132"/>
        <v>2.8360540401948242E-3</v>
      </c>
      <c r="X61" s="128">
        <f t="shared" si="132"/>
        <v>-4.1545098859359086E-3</v>
      </c>
      <c r="Y61" s="128">
        <f t="shared" si="132"/>
        <v>3.2147066469327967E-3</v>
      </c>
      <c r="Z61" s="128">
        <f t="shared" ref="Z61:AJ61" si="133">SUM(Z55:Z59)-Z38</f>
        <v>3.5181547003997338E-3</v>
      </c>
      <c r="AA61" s="128">
        <f t="shared" si="133"/>
        <v>-2.9615954110244758E-3</v>
      </c>
      <c r="AB61" s="128">
        <f t="shared" si="133"/>
        <v>1.5286839515873396E-3</v>
      </c>
      <c r="AC61" s="128">
        <f t="shared" si="133"/>
        <v>-1.792229959383107E-4</v>
      </c>
      <c r="AD61" s="128">
        <f t="shared" si="133"/>
        <v>-4.8468822756042584E-4</v>
      </c>
      <c r="AE61" s="128">
        <f t="shared" si="133"/>
        <v>2.1287445300142149E-3</v>
      </c>
      <c r="AF61" s="128">
        <f t="shared" si="133"/>
        <v>-1.1150938398588051E-4</v>
      </c>
      <c r="AG61" s="128">
        <f t="shared" si="133"/>
        <v>4.8339681994183648E-3</v>
      </c>
      <c r="AH61" s="128">
        <f t="shared" si="133"/>
        <v>1.2270244927621299E-3</v>
      </c>
      <c r="AI61" s="128">
        <f t="shared" si="133"/>
        <v>3.6882186729315647E-3</v>
      </c>
      <c r="AJ61" s="128">
        <f t="shared" si="133"/>
        <v>2.1005228506584817E-3</v>
      </c>
      <c r="AK61" s="128">
        <f t="shared" ref="AK61" si="134">SUM(AK55:AK59)-AK38</f>
        <v>2.3665348961923738E-3</v>
      </c>
      <c r="AL61" s="128">
        <f t="shared" ref="AL61:AV61" si="135">SUM(AL55:AL59)-AL38</f>
        <v>2.2833334246183945E-3</v>
      </c>
      <c r="AM61" s="128">
        <f t="shared" si="135"/>
        <v>-2.4496744055602093E-3</v>
      </c>
      <c r="AN61" s="128">
        <f t="shared" si="135"/>
        <v>3.068250039642284E-3</v>
      </c>
      <c r="AO61" s="128">
        <f t="shared" si="135"/>
        <v>2.0167515718201301E-3</v>
      </c>
      <c r="AP61" s="128">
        <f t="shared" si="135"/>
        <v>3.7211314844353138E-3</v>
      </c>
      <c r="AQ61" s="128">
        <f t="shared" si="135"/>
        <v>4.2760437666404805E-3</v>
      </c>
      <c r="AR61" s="128">
        <f t="shared" si="135"/>
        <v>3.1512326777433097E-3</v>
      </c>
      <c r="AS61" s="128">
        <f t="shared" si="135"/>
        <v>3.4156679215224806E-3</v>
      </c>
      <c r="AT61" s="128">
        <f t="shared" si="135"/>
        <v>-1.2070392888797743E-3</v>
      </c>
      <c r="AU61" s="128">
        <f t="shared" si="135"/>
        <v>-1.8455519539966048E-3</v>
      </c>
      <c r="AV61" s="128">
        <f t="shared" si="135"/>
        <v>-2.0125606046106359E-3</v>
      </c>
      <c r="AW61" s="128">
        <f t="shared" ref="AW61:AZ61" si="136">SUM(AW55:AW59)-AW38</f>
        <v>1.0132491870853411E-3</v>
      </c>
      <c r="AX61" s="128">
        <f t="shared" si="136"/>
        <v>4.6752625637733747E-3</v>
      </c>
      <c r="AY61" s="128">
        <f t="shared" si="136"/>
        <v>-1.4662981144626386E-3</v>
      </c>
      <c r="AZ61" s="107">
        <f t="shared" si="136"/>
        <v>4.1706633944036398E-3</v>
      </c>
    </row>
    <row r="62" spans="1:52" ht="15" thickTop="1" x14ac:dyDescent="0.3">
      <c r="B62" s="75"/>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7"/>
    </row>
    <row r="63" spans="1:52" x14ac:dyDescent="0.3">
      <c r="A63" s="139" t="s">
        <v>73</v>
      </c>
      <c r="B63" s="85">
        <f>(SUM(B15:B19)-SUM(B22:B26))+SUM(B55:B59)</f>
        <v>-951730.2573525398</v>
      </c>
      <c r="C63" s="89">
        <f>(SUM(C15:C19)-SUM(C22:C26))+SUM(C55:C59)+B63</f>
        <v>-953136.86787950259</v>
      </c>
      <c r="D63" s="89">
        <f t="shared" ref="D63:K63" si="137">(SUM(D15:D19)-SUM(D22:D26))+SUM(D55:D59)+C63</f>
        <v>-943048.98108542338</v>
      </c>
      <c r="E63" s="89">
        <f t="shared" si="137"/>
        <v>-847274.32365840569</v>
      </c>
      <c r="F63" s="89">
        <f t="shared" si="137"/>
        <v>-770150.43741871591</v>
      </c>
      <c r="G63" s="89">
        <f t="shared" si="137"/>
        <v>-695501.10525276384</v>
      </c>
      <c r="H63" s="89">
        <f t="shared" si="137"/>
        <v>-634268.1877363181</v>
      </c>
      <c r="I63" s="89">
        <f t="shared" si="137"/>
        <v>-543319.41895752668</v>
      </c>
      <c r="J63" s="89">
        <f t="shared" si="137"/>
        <v>-436662.47213530162</v>
      </c>
      <c r="K63" s="86">
        <f t="shared" si="137"/>
        <v>-340757.81987093331</v>
      </c>
      <c r="L63" s="86">
        <f t="shared" ref="L63" si="138">(SUM(L15:L19)-SUM(L22:L26))+SUM(L55:L59)+K63</f>
        <v>-248280.3093203858</v>
      </c>
      <c r="M63" s="86">
        <f t="shared" ref="M63" si="139">(SUM(M15:M19)-SUM(M22:M26))+SUM(M55:M59)+L63</f>
        <v>-176310.81852404115</v>
      </c>
      <c r="N63" s="86">
        <f t="shared" ref="N63" si="140">(SUM(N15:N19)-SUM(N22:N26))+SUM(N55:N59)+M63</f>
        <v>-155594.7114915718</v>
      </c>
      <c r="O63" s="86">
        <f t="shared" ref="O63" si="141">(SUM(O15:O19)-SUM(O22:O26))+SUM(O55:O59)+N63</f>
        <v>-63108.985288092823</v>
      </c>
      <c r="P63" s="86">
        <f t="shared" ref="P63" si="142">(SUM(P15:P19)-SUM(P22:P26))+SUM(P55:P59)+O63</f>
        <v>28430.902523311655</v>
      </c>
      <c r="Q63" s="86">
        <f t="shared" ref="Q63" si="143">(SUM(Q15:Q19)-SUM(Q22:Q26))+SUM(Q55:Q59)+P63</f>
        <v>25374.191216517291</v>
      </c>
      <c r="R63" s="86">
        <f t="shared" ref="R63" si="144">(SUM(R15:R19)-SUM(R22:R26))+SUM(R55:R59)+Q63</f>
        <v>22840.009665636855</v>
      </c>
      <c r="S63" s="86">
        <f t="shared" ref="S63" si="145">(SUM(S15:S19)-SUM(S22:S26))+SUM(S55:S59)+R63</f>
        <v>22046.061942702749</v>
      </c>
      <c r="T63" s="86">
        <f t="shared" ref="T63" si="146">(SUM(T15:T19)-SUM(T22:T26))+SUM(T55:T59)+S63</f>
        <v>22038.563471795096</v>
      </c>
      <c r="U63" s="86">
        <f t="shared" ref="U63" si="147">(SUM(U15:U19)-SUM(U22:U26))+SUM(U55:U59)+T63</f>
        <v>20572.525332420333</v>
      </c>
      <c r="V63" s="86">
        <f t="shared" ref="V63" si="148">(SUM(V15:V19)-SUM(V22:V26))+SUM(V55:V59)+U63</f>
        <v>17387.152024824834</v>
      </c>
      <c r="W63" s="86">
        <f t="shared" ref="W63" si="149">(SUM(W15:W19)-SUM(W22:W26))+SUM(W55:W59)+V63</f>
        <v>13793.364860878875</v>
      </c>
      <c r="X63" s="86">
        <f t="shared" ref="X63" si="150">(SUM(X15:X19)-SUM(X22:X26))+SUM(X55:X59)+W63</f>
        <v>10860.09070636899</v>
      </c>
      <c r="Y63" s="86">
        <f>(SUM(Y15:Y19)-SUM(Y22:Y26))+SUM(Y55:Y59)+X63</f>
        <v>9293.7739210756372</v>
      </c>
      <c r="Z63" s="86">
        <f t="shared" ref="Z63:AK63" si="151">(SUM(Z15:Z19)-SUM(Z22:Z26))+SUM(Z55:Z59)+Y63</f>
        <v>8446.8574392303381</v>
      </c>
      <c r="AA63" s="86">
        <f t="shared" si="151"/>
        <v>6091.8144776349263</v>
      </c>
      <c r="AB63" s="86">
        <f t="shared" si="151"/>
        <v>3073.9660063188776</v>
      </c>
      <c r="AC63" s="86">
        <f t="shared" si="151"/>
        <v>2132.1758270958817</v>
      </c>
      <c r="AD63" s="86">
        <f t="shared" si="151"/>
        <v>2137.9753424076539</v>
      </c>
      <c r="AE63" s="86">
        <f t="shared" si="151"/>
        <v>2139.807471152184</v>
      </c>
      <c r="AF63" s="86">
        <f t="shared" si="151"/>
        <v>2137.6173596428002</v>
      </c>
      <c r="AG63" s="86">
        <f t="shared" si="151"/>
        <v>2052.2621936109995</v>
      </c>
      <c r="AH63" s="86">
        <f t="shared" si="151"/>
        <v>2052.7234206354924</v>
      </c>
      <c r="AI63" s="86">
        <f t="shared" si="151"/>
        <v>2053.3571088541653</v>
      </c>
      <c r="AJ63" s="86">
        <f t="shared" si="151"/>
        <v>2054.1892093770161</v>
      </c>
      <c r="AK63" s="86">
        <f t="shared" si="151"/>
        <v>2054.5415759119123</v>
      </c>
      <c r="AL63" s="86">
        <f t="shared" ref="AL63" si="152">(SUM(AL15:AL19)-SUM(AL22:AL26))+SUM(AL55:AL59)+AK63</f>
        <v>2055.3038592453368</v>
      </c>
      <c r="AM63" s="86">
        <f t="shared" ref="AM63" si="153">(SUM(AM15:AM19)-SUM(AM22:AM26))+SUM(AM55:AM59)+AL63</f>
        <v>2055.5014095709312</v>
      </c>
      <c r="AN63" s="86">
        <f t="shared" ref="AN63" si="154">(SUM(AN15:AN19)-SUM(AN22:AN26))+SUM(AN55:AN59)+AM63</f>
        <v>2055.6744778209709</v>
      </c>
      <c r="AO63" s="86">
        <f t="shared" ref="AO63" si="155">(SUM(AO15:AO19)-SUM(AO22:AO26))+SUM(AO55:AO59)+AN63</f>
        <v>2439.6564945725427</v>
      </c>
      <c r="AP63" s="86">
        <f t="shared" ref="AP63" si="156">(SUM(AP15:AP19)-SUM(AP22:AP26))+SUM(AP55:AP59)+AO63</f>
        <v>3278.7802157040273</v>
      </c>
      <c r="AQ63" s="86">
        <f t="shared" ref="AQ63" si="157">(SUM(AQ15:AQ19)-SUM(AQ22:AQ26))+SUM(AQ55:AQ59)+AP63</f>
        <v>4181.3044917477937</v>
      </c>
      <c r="AR63" s="86">
        <f t="shared" ref="AR63" si="158">(SUM(AR15:AR19)-SUM(AR22:AR26))+SUM(AR55:AR59)+AQ63</f>
        <v>5100.9276429804713</v>
      </c>
      <c r="AS63" s="86">
        <f t="shared" ref="AS63" si="159">(SUM(AS15:AS19)-SUM(AS22:AS26))+SUM(AS55:AS59)+AR63</f>
        <v>6091.0010586483932</v>
      </c>
      <c r="AT63" s="86">
        <f t="shared" ref="AT63" si="160">(SUM(AT15:AT19)-SUM(AT22:AT26))+SUM(AT55:AT59)+AS63</f>
        <v>7299.7298516091041</v>
      </c>
      <c r="AU63" s="86">
        <f t="shared" ref="AU63" si="161">(SUM(AU15:AU19)-SUM(AU22:AU26))+SUM(AU55:AU59)+AT63</f>
        <v>8474.3580060571494</v>
      </c>
      <c r="AV63" s="86">
        <f t="shared" ref="AV63" si="162">(SUM(AV15:AV19)-SUM(AV22:AV26))+SUM(AV55:AV59)+AU63</f>
        <v>9676.8459934965449</v>
      </c>
      <c r="AW63" s="86">
        <f>(SUM(AW15:AW19)-SUM(AW22:AW26))+SUM(AW55:AW59)+AV63</f>
        <v>10729.447006745731</v>
      </c>
      <c r="AX63" s="86">
        <f>(SUM(AX15:AX19)-SUM(AX22:AX26))+SUM(AX55:AX59)+AW63</f>
        <v>11630.111682008295</v>
      </c>
      <c r="AY63" s="86">
        <f t="shared" ref="AY63:AZ63" si="163">(SUM(AY15:AY19)-SUM(AY22:AY26))+SUM(AY55:AY59)+AX63</f>
        <v>12665.690215710181</v>
      </c>
      <c r="AZ63" s="90">
        <f t="shared" si="163"/>
        <v>13638.854386373576</v>
      </c>
    </row>
    <row r="64" spans="1:52" x14ac:dyDescent="0.3">
      <c r="A64" s="139" t="s">
        <v>74</v>
      </c>
      <c r="B64" s="75"/>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7"/>
    </row>
    <row r="65" spans="1:52" ht="15" thickBot="1" x14ac:dyDescent="0.35">
      <c r="A65" s="79">
        <v>0</v>
      </c>
      <c r="B65" s="124"/>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10"/>
    </row>
    <row r="67" spans="1:52" x14ac:dyDescent="0.3">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row>
    <row r="68" spans="1:52" x14ac:dyDescent="0.3">
      <c r="AJ68" s="336"/>
      <c r="AK68" s="31"/>
      <c r="AL68" s="31"/>
      <c r="AM68" s="31"/>
      <c r="AN68" s="31"/>
      <c r="AO68" s="31"/>
      <c r="AP68" s="31"/>
      <c r="AQ68" s="31"/>
      <c r="AR68" s="31"/>
      <c r="AS68" s="31"/>
      <c r="AT68" s="31"/>
      <c r="AU68" s="31"/>
      <c r="AV68" s="31"/>
      <c r="AW68" s="336"/>
      <c r="AX68" s="31"/>
      <c r="AY68" s="31"/>
      <c r="AZ68" s="31"/>
    </row>
    <row r="69" spans="1:52" x14ac:dyDescent="0.3">
      <c r="AK69" s="31"/>
      <c r="AL69" s="31"/>
      <c r="AM69" s="31"/>
      <c r="AN69" s="31"/>
      <c r="AO69" s="31"/>
      <c r="AP69" s="31"/>
      <c r="AQ69" s="31"/>
      <c r="AR69" s="31"/>
      <c r="AS69" s="31"/>
      <c r="AT69" s="31"/>
      <c r="AU69" s="31"/>
      <c r="AV69" s="31"/>
      <c r="AW69" s="31"/>
      <c r="AX69" s="31"/>
      <c r="AY69" s="31"/>
      <c r="AZ69" s="31"/>
    </row>
  </sheetData>
  <pageMargins left="0.7" right="0.7" top="0.75" bottom="0.75" header="0.3" footer="0.3"/>
  <pageSetup scale="7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6" tint="0.59999389629810485"/>
    <pageSetUpPr fitToPage="1"/>
  </sheetPr>
  <dimension ref="A1:AF81"/>
  <sheetViews>
    <sheetView zoomScale="80" zoomScaleNormal="80" workbookViewId="0">
      <pane xSplit="1" ySplit="14" topLeftCell="B55" activePane="bottomRight" state="frozen"/>
      <selection activeCell="AC68" sqref="AC68"/>
      <selection pane="topRight" activeCell="AC68" sqref="AC68"/>
      <selection pane="bottomLeft" activeCell="AC68" sqref="AC68"/>
      <selection pane="bottomRight" activeCell="E76" sqref="E76"/>
    </sheetView>
  </sheetViews>
  <sheetFormatPr defaultColWidth="9.109375" defaultRowHeight="14.4" x14ac:dyDescent="0.3"/>
  <cols>
    <col min="1" max="1" width="23.44140625" style="139" customWidth="1"/>
    <col min="2" max="11" width="16" style="139" customWidth="1"/>
    <col min="12" max="12" width="15" style="139" customWidth="1"/>
    <col min="13" max="22" width="16" style="139" customWidth="1"/>
    <col min="23" max="23" width="16.44140625" style="139" customWidth="1"/>
    <col min="24" max="24" width="17.33203125" style="139" customWidth="1"/>
    <col min="25" max="25" width="16.88671875" style="139" customWidth="1"/>
    <col min="26" max="26" width="13.88671875" style="139" bestFit="1" customWidth="1"/>
    <col min="27" max="27" width="10.88671875" style="139" bestFit="1" customWidth="1"/>
    <col min="28" max="28" width="9.109375" style="139"/>
    <col min="29" max="29" width="12.6640625" style="139" bestFit="1" customWidth="1"/>
    <col min="30" max="16384" width="9.109375" style="139"/>
  </cols>
  <sheetData>
    <row r="1" spans="1:32" x14ac:dyDescent="0.3">
      <c r="A1" s="32" t="s">
        <v>167</v>
      </c>
    </row>
    <row r="2" spans="1:32" x14ac:dyDescent="0.3">
      <c r="B2" s="158" t="s">
        <v>121</v>
      </c>
      <c r="I2" s="2" t="s">
        <v>26</v>
      </c>
    </row>
    <row r="3" spans="1:32" x14ac:dyDescent="0.3">
      <c r="B3" s="396" t="s">
        <v>175</v>
      </c>
      <c r="C3" s="396" t="s">
        <v>129</v>
      </c>
      <c r="D3" s="396" t="s">
        <v>64</v>
      </c>
      <c r="E3" s="396" t="s">
        <v>91</v>
      </c>
      <c r="F3" s="396" t="s">
        <v>65</v>
      </c>
      <c r="G3" s="396" t="s">
        <v>122</v>
      </c>
      <c r="H3" s="39"/>
      <c r="I3" s="39" t="s">
        <v>125</v>
      </c>
      <c r="J3" s="32"/>
      <c r="K3" s="32"/>
      <c r="L3" s="32"/>
      <c r="M3" s="32"/>
      <c r="N3" s="32"/>
      <c r="O3" s="32"/>
      <c r="P3" s="32"/>
      <c r="Q3" s="32"/>
      <c r="R3" s="32"/>
      <c r="S3" s="32"/>
      <c r="T3" s="32"/>
      <c r="U3" s="32"/>
      <c r="V3" s="32"/>
      <c r="W3" s="32"/>
    </row>
    <row r="4" spans="1:32" x14ac:dyDescent="0.3">
      <c r="A4" s="139" t="s">
        <v>0</v>
      </c>
      <c r="B4" s="21">
        <f>M65</f>
        <v>13722.349284809385</v>
      </c>
      <c r="C4" s="21">
        <f>SUM(B15:Y15)</f>
        <v>-108895.23616696717</v>
      </c>
      <c r="D4" s="21">
        <f>SUM(B29:Y29)</f>
        <v>-107206.24292462476</v>
      </c>
      <c r="E4" s="21">
        <f>B4+C4-D4</f>
        <v>12033.356042466985</v>
      </c>
      <c r="F4" s="21">
        <f>SUM(B55:Y55)</f>
        <v>-1586.0653808980708</v>
      </c>
      <c r="G4" s="26">
        <f>E4+F4</f>
        <v>10447.290661568913</v>
      </c>
      <c r="H4" s="39"/>
      <c r="I4" s="39" t="s">
        <v>126</v>
      </c>
      <c r="J4" s="32"/>
      <c r="K4" s="32"/>
      <c r="L4" s="32"/>
      <c r="M4" s="32"/>
      <c r="N4" s="32"/>
      <c r="O4" s="32"/>
      <c r="P4" s="296"/>
      <c r="Q4" s="296"/>
      <c r="R4" s="296"/>
      <c r="S4" s="296"/>
      <c r="T4" s="296"/>
      <c r="U4" s="296"/>
      <c r="V4" s="32"/>
      <c r="W4" s="32"/>
    </row>
    <row r="5" spans="1:32" x14ac:dyDescent="0.3">
      <c r="A5" s="139" t="s">
        <v>4</v>
      </c>
      <c r="B5" s="21">
        <f t="shared" ref="B5:B8" si="0">M66</f>
        <v>-1851.7050326834342</v>
      </c>
      <c r="C5" s="21">
        <f t="shared" ref="C5:C8" si="1">SUM(B16:Y16)</f>
        <v>-20501.429230921403</v>
      </c>
      <c r="D5" s="21">
        <f t="shared" ref="D5:D8" si="2">SUM(B30:Y30)</f>
        <v>-22202.597935120364</v>
      </c>
      <c r="E5" s="21">
        <f t="shared" ref="E5:E8" si="3">B5+C5-D5</f>
        <v>-150.5363284844716</v>
      </c>
      <c r="F5" s="21">
        <f t="shared" ref="F5:F8" si="4">SUM(B56:Y56)</f>
        <v>-368.31720434523618</v>
      </c>
      <c r="G5" s="26">
        <f>E5+F5</f>
        <v>-518.85353282970777</v>
      </c>
      <c r="H5" s="39"/>
      <c r="I5" s="39" t="s">
        <v>107</v>
      </c>
      <c r="J5" s="32"/>
      <c r="K5" s="296"/>
      <c r="L5" s="32"/>
      <c r="M5" s="32"/>
      <c r="N5" s="32"/>
      <c r="O5" s="32"/>
      <c r="P5" s="296"/>
      <c r="Q5" s="296"/>
      <c r="R5" s="296"/>
      <c r="S5" s="296"/>
      <c r="T5" s="296"/>
      <c r="U5" s="296"/>
      <c r="V5" s="32"/>
      <c r="W5" s="32"/>
    </row>
    <row r="6" spans="1:32" x14ac:dyDescent="0.3">
      <c r="A6" s="139" t="s">
        <v>5</v>
      </c>
      <c r="B6" s="21">
        <f t="shared" si="0"/>
        <v>2070.0461161302624</v>
      </c>
      <c r="C6" s="21">
        <f t="shared" si="1"/>
        <v>-45329.373333000876</v>
      </c>
      <c r="D6" s="21">
        <f t="shared" si="2"/>
        <v>-44979.532374863076</v>
      </c>
      <c r="E6" s="21">
        <f t="shared" si="3"/>
        <v>1720.2051579924591</v>
      </c>
      <c r="F6" s="21">
        <f t="shared" si="4"/>
        <v>-730.87294147464866</v>
      </c>
      <c r="G6" s="26">
        <f>E6+F6</f>
        <v>989.33221651781048</v>
      </c>
      <c r="H6" s="39"/>
      <c r="I6" s="39" t="s">
        <v>127</v>
      </c>
      <c r="J6" s="32"/>
      <c r="K6" s="296"/>
      <c r="L6" s="32"/>
      <c r="M6" s="32"/>
      <c r="N6" s="32"/>
      <c r="O6" s="32"/>
      <c r="P6" s="296"/>
      <c r="Q6" s="296"/>
      <c r="R6" s="296"/>
      <c r="S6" s="296"/>
      <c r="T6" s="296"/>
      <c r="U6" s="296"/>
      <c r="V6" s="32"/>
      <c r="W6" s="32"/>
    </row>
    <row r="7" spans="1:32" x14ac:dyDescent="0.3">
      <c r="A7" s="139" t="s">
        <v>6</v>
      </c>
      <c r="B7" s="21">
        <f t="shared" si="0"/>
        <v>354.19769641814929</v>
      </c>
      <c r="C7" s="21">
        <f t="shared" si="1"/>
        <v>-19393.080386121183</v>
      </c>
      <c r="D7" s="21">
        <f t="shared" si="2"/>
        <v>-18731.733744642333</v>
      </c>
      <c r="E7" s="21">
        <f t="shared" si="3"/>
        <v>-307.1489450607005</v>
      </c>
      <c r="F7" s="21">
        <f t="shared" si="4"/>
        <v>-331.16972108632802</v>
      </c>
      <c r="G7" s="26">
        <f>E7+F7</f>
        <v>-638.31866614702858</v>
      </c>
      <c r="H7" s="39"/>
      <c r="I7" s="39" t="s">
        <v>82</v>
      </c>
      <c r="J7" s="32"/>
      <c r="K7" s="296"/>
      <c r="L7" s="32"/>
      <c r="M7" s="32"/>
      <c r="N7" s="32"/>
      <c r="O7" s="32"/>
      <c r="P7" s="296"/>
      <c r="Q7" s="296"/>
      <c r="R7" s="296"/>
      <c r="S7" s="296"/>
      <c r="T7" s="296"/>
      <c r="U7" s="296"/>
      <c r="V7" s="32"/>
      <c r="W7" s="32"/>
    </row>
    <row r="8" spans="1:32" ht="15" thickBot="1" x14ac:dyDescent="0.35">
      <c r="A8" s="139" t="s">
        <v>7</v>
      </c>
      <c r="B8" s="21">
        <f t="shared" si="0"/>
        <v>-656.03367830064747</v>
      </c>
      <c r="C8" s="21">
        <f t="shared" si="1"/>
        <v>-7819.6308829893251</v>
      </c>
      <c r="D8" s="21">
        <f t="shared" si="2"/>
        <v>-6658.5231129175409</v>
      </c>
      <c r="E8" s="21">
        <f t="shared" si="3"/>
        <v>-1817.1414483724311</v>
      </c>
      <c r="F8" s="21">
        <f t="shared" si="4"/>
        <v>-165.72930404329603</v>
      </c>
      <c r="G8" s="26">
        <f>E8+F8</f>
        <v>-1982.8707524157271</v>
      </c>
      <c r="H8" s="39"/>
      <c r="I8" s="39" t="s">
        <v>96</v>
      </c>
      <c r="J8" s="32"/>
      <c r="K8" s="296"/>
      <c r="L8" s="32"/>
      <c r="M8" s="32"/>
      <c r="N8" s="32"/>
      <c r="O8" s="32"/>
      <c r="P8" s="296"/>
      <c r="Q8" s="296"/>
      <c r="R8" s="296"/>
      <c r="S8" s="296"/>
      <c r="T8" s="296"/>
      <c r="U8" s="296"/>
      <c r="V8" s="32"/>
      <c r="W8" s="32"/>
    </row>
    <row r="9" spans="1:32" ht="15.6" thickTop="1" thickBot="1" x14ac:dyDescent="0.35">
      <c r="B9" s="62">
        <f t="shared" ref="B9" si="5">SUM(B4:B8)</f>
        <v>13638.854386373714</v>
      </c>
      <c r="C9" s="62">
        <f>SUM(C4:C8)</f>
        <v>-201938.74999999994</v>
      </c>
      <c r="D9" s="62">
        <f t="shared" ref="D9" si="6">SUM(D4:D8)</f>
        <v>-199778.63009216811</v>
      </c>
      <c r="E9" s="62">
        <f>SUM(E4:E8)</f>
        <v>11478.734478541841</v>
      </c>
      <c r="F9" s="62">
        <f>SUM(F4:F8)</f>
        <v>-3182.1545518475796</v>
      </c>
      <c r="G9" s="62">
        <f>SUM(G4:G8)</f>
        <v>8296.5799266942613</v>
      </c>
      <c r="H9" s="384"/>
      <c r="I9" s="39" t="s">
        <v>128</v>
      </c>
      <c r="J9" s="32"/>
      <c r="K9" s="296"/>
      <c r="L9" s="32"/>
      <c r="M9" s="32"/>
      <c r="N9" s="32"/>
      <c r="O9" s="32"/>
      <c r="P9" s="296"/>
      <c r="Q9" s="296"/>
      <c r="R9" s="296"/>
      <c r="S9" s="296"/>
      <c r="T9" s="296"/>
      <c r="U9" s="296"/>
      <c r="V9" s="32"/>
      <c r="W9" s="32"/>
    </row>
    <row r="10" spans="1:32" ht="15.6" thickTop="1" thickBot="1" x14ac:dyDescent="0.35">
      <c r="E10" s="23" t="s">
        <v>25</v>
      </c>
      <c r="F10" s="18">
        <f>F9-SUM(B38:AX38)</f>
        <v>0.24887169357725725</v>
      </c>
      <c r="G10" s="32"/>
      <c r="K10" s="236"/>
      <c r="L10" s="32"/>
      <c r="M10" s="32"/>
      <c r="N10" s="32"/>
      <c r="O10" s="32"/>
      <c r="P10" s="296"/>
      <c r="Q10" s="296"/>
      <c r="R10" s="296"/>
      <c r="S10" s="296"/>
      <c r="T10" s="296"/>
      <c r="U10" s="296"/>
      <c r="V10" s="32"/>
      <c r="W10" s="32"/>
    </row>
    <row r="11" spans="1:32" ht="15" thickTop="1" x14ac:dyDescent="0.3"/>
    <row r="12" spans="1:32" ht="15" thickBot="1" x14ac:dyDescent="0.35">
      <c r="B12" s="35"/>
      <c r="C12" s="35"/>
      <c r="D12" s="35"/>
      <c r="E12" s="35"/>
      <c r="F12" s="35"/>
      <c r="G12" s="35"/>
      <c r="H12" s="35"/>
      <c r="I12" s="35"/>
      <c r="J12" s="35"/>
      <c r="K12" s="35"/>
      <c r="L12" s="35"/>
      <c r="M12" s="35"/>
      <c r="N12" s="35"/>
      <c r="O12" s="35"/>
      <c r="P12" s="35"/>
      <c r="Q12" s="35"/>
      <c r="R12" s="35"/>
      <c r="S12" s="35"/>
      <c r="T12" s="35"/>
      <c r="U12" s="35"/>
      <c r="V12" s="35"/>
      <c r="W12" s="236"/>
      <c r="X12" s="236"/>
      <c r="Y12" s="32"/>
      <c r="Z12" s="32"/>
    </row>
    <row r="13" spans="1:32" ht="15" thickBot="1" x14ac:dyDescent="0.35">
      <c r="B13" s="113" t="s">
        <v>108</v>
      </c>
      <c r="C13" s="95"/>
      <c r="D13" s="95"/>
      <c r="E13" s="95"/>
      <c r="F13" s="95"/>
      <c r="G13" s="95"/>
      <c r="H13" s="95"/>
      <c r="I13" s="95"/>
      <c r="J13" s="95"/>
      <c r="K13" s="95"/>
      <c r="L13" s="95"/>
      <c r="M13" s="95"/>
      <c r="N13" s="95"/>
      <c r="O13" s="95"/>
      <c r="P13" s="95"/>
      <c r="Q13" s="95"/>
      <c r="R13" s="95"/>
      <c r="S13" s="95"/>
      <c r="T13" s="95"/>
      <c r="U13" s="95"/>
      <c r="V13" s="95"/>
      <c r="W13" s="425" t="s">
        <v>67</v>
      </c>
      <c r="X13" s="426"/>
      <c r="Y13" s="427"/>
    </row>
    <row r="14" spans="1:32" x14ac:dyDescent="0.3">
      <c r="A14" s="139" t="s">
        <v>123</v>
      </c>
      <c r="B14" s="66">
        <v>44228</v>
      </c>
      <c r="C14" s="67">
        <f t="shared" ref="C14:J14" si="7">EDATE(B14,1)</f>
        <v>44256</v>
      </c>
      <c r="D14" s="67">
        <f t="shared" si="7"/>
        <v>44287</v>
      </c>
      <c r="E14" s="67">
        <f t="shared" si="7"/>
        <v>44317</v>
      </c>
      <c r="F14" s="67">
        <f t="shared" si="7"/>
        <v>44348</v>
      </c>
      <c r="G14" s="67">
        <f t="shared" si="7"/>
        <v>44378</v>
      </c>
      <c r="H14" s="67">
        <f t="shared" si="7"/>
        <v>44409</v>
      </c>
      <c r="I14" s="67">
        <f t="shared" si="7"/>
        <v>44440</v>
      </c>
      <c r="J14" s="267">
        <f t="shared" si="7"/>
        <v>44470</v>
      </c>
      <c r="K14" s="267">
        <f t="shared" ref="K14" si="8">EDATE(J14,1)</f>
        <v>44501</v>
      </c>
      <c r="L14" s="67">
        <f t="shared" ref="L14" si="9">EDATE(K14,1)</f>
        <v>44531</v>
      </c>
      <c r="M14" s="67">
        <f t="shared" ref="M14" si="10">EDATE(L14,1)</f>
        <v>44562</v>
      </c>
      <c r="N14" s="67">
        <f t="shared" ref="N14" si="11">EDATE(M14,1)</f>
        <v>44593</v>
      </c>
      <c r="O14" s="67">
        <f t="shared" ref="O14" si="12">EDATE(N14,1)</f>
        <v>44621</v>
      </c>
      <c r="P14" s="67">
        <f t="shared" ref="P14" si="13">EDATE(O14,1)</f>
        <v>44652</v>
      </c>
      <c r="Q14" s="67">
        <f t="shared" ref="Q14" si="14">EDATE(P14,1)</f>
        <v>44682</v>
      </c>
      <c r="R14" s="67">
        <f t="shared" ref="R14" si="15">EDATE(Q14,1)</f>
        <v>44713</v>
      </c>
      <c r="S14" s="67">
        <f t="shared" ref="S14" si="16">EDATE(R14,1)</f>
        <v>44743</v>
      </c>
      <c r="T14" s="67">
        <f t="shared" ref="T14" si="17">EDATE(S14,1)</f>
        <v>44774</v>
      </c>
      <c r="U14" s="67">
        <f t="shared" ref="U14" si="18">EDATE(T14,1)</f>
        <v>44805</v>
      </c>
      <c r="V14" s="67">
        <f t="shared" ref="V14" si="19">EDATE(U14,1)</f>
        <v>44835</v>
      </c>
      <c r="W14" s="66">
        <f>EDATE(V14,1)</f>
        <v>44866</v>
      </c>
      <c r="X14" s="67">
        <f t="shared" ref="X14:Y14" si="20">EDATE(W14,1)</f>
        <v>44896</v>
      </c>
      <c r="Y14" s="68">
        <f t="shared" si="20"/>
        <v>44927</v>
      </c>
      <c r="Z14" s="1"/>
      <c r="AA14" s="1"/>
      <c r="AB14" s="1"/>
      <c r="AC14" s="1"/>
      <c r="AD14" s="1"/>
      <c r="AE14" s="1"/>
      <c r="AF14" s="1"/>
    </row>
    <row r="15" spans="1:32" x14ac:dyDescent="0.3">
      <c r="A15" s="32" t="s">
        <v>0</v>
      </c>
      <c r="B15" s="79">
        <v>-26962.441870856175</v>
      </c>
      <c r="C15" s="79"/>
      <c r="D15" s="79"/>
      <c r="E15" s="79"/>
      <c r="F15" s="79"/>
      <c r="G15" s="79"/>
      <c r="H15" s="79"/>
      <c r="I15" s="79"/>
      <c r="J15" s="79">
        <f>-82899.8346287395</f>
        <v>-82899.834628739496</v>
      </c>
      <c r="K15" s="394">
        <f>-'[1]OAR.1C (M3)'!$R$13</f>
        <v>967.04033262850135</v>
      </c>
      <c r="L15" s="79"/>
      <c r="M15" s="79"/>
      <c r="N15" s="79"/>
      <c r="O15" s="79"/>
      <c r="P15" s="79"/>
      <c r="Q15" s="79"/>
      <c r="R15" s="79"/>
      <c r="S15" s="79"/>
      <c r="T15" s="79"/>
      <c r="U15" s="79"/>
      <c r="V15" s="79"/>
      <c r="W15" s="114">
        <v>0</v>
      </c>
      <c r="X15" s="115">
        <v>0</v>
      </c>
      <c r="Y15" s="116">
        <v>0</v>
      </c>
      <c r="Z15" s="32"/>
    </row>
    <row r="16" spans="1:32" x14ac:dyDescent="0.3">
      <c r="A16" s="32" t="s">
        <v>4</v>
      </c>
      <c r="B16" s="79">
        <v>-5076.1503750323909</v>
      </c>
      <c r="C16" s="79"/>
      <c r="D16" s="79"/>
      <c r="E16" s="79"/>
      <c r="F16" s="79"/>
      <c r="G16" s="79"/>
      <c r="H16" s="79"/>
      <c r="I16" s="79"/>
      <c r="J16" s="79">
        <f>-15607.34108047</f>
        <v>-15607.34108047</v>
      </c>
      <c r="K16" s="394">
        <f>-'[1]OAR.1C (M3)'!$R$14</f>
        <v>182.06222458098637</v>
      </c>
      <c r="L16" s="79"/>
      <c r="M16" s="79"/>
      <c r="N16" s="79"/>
      <c r="O16" s="79"/>
      <c r="P16" s="79"/>
      <c r="Q16" s="79"/>
      <c r="R16" s="79"/>
      <c r="S16" s="79"/>
      <c r="T16" s="79"/>
      <c r="U16" s="79"/>
      <c r="V16" s="79"/>
      <c r="W16" s="114">
        <v>0</v>
      </c>
      <c r="X16" s="115">
        <v>0</v>
      </c>
      <c r="Y16" s="116">
        <v>0</v>
      </c>
      <c r="Z16" s="32"/>
    </row>
    <row r="17" spans="1:27" x14ac:dyDescent="0.3">
      <c r="A17" s="32" t="s">
        <v>5</v>
      </c>
      <c r="B17" s="79">
        <v>-11223.545093004912</v>
      </c>
      <c r="C17" s="79"/>
      <c r="D17" s="79"/>
      <c r="E17" s="79"/>
      <c r="F17" s="79"/>
      <c r="G17" s="79"/>
      <c r="H17" s="79"/>
      <c r="I17" s="79"/>
      <c r="J17" s="79">
        <f>-34508.3741530107</f>
        <v>-34508.3741530107</v>
      </c>
      <c r="K17" s="394">
        <f>-'[1]OAR.1C (M3)'!$R$15</f>
        <v>402.54591301473556</v>
      </c>
      <c r="L17" s="79"/>
      <c r="M17" s="79"/>
      <c r="N17" s="79"/>
      <c r="O17" s="79"/>
      <c r="P17" s="79"/>
      <c r="Q17" s="79"/>
      <c r="R17" s="79"/>
      <c r="S17" s="79"/>
      <c r="T17" s="79"/>
      <c r="U17" s="79"/>
      <c r="V17" s="79"/>
      <c r="W17" s="114">
        <v>0</v>
      </c>
      <c r="X17" s="115">
        <v>0</v>
      </c>
      <c r="Y17" s="116">
        <v>0</v>
      </c>
      <c r="Z17" s="32"/>
    </row>
    <row r="18" spans="1:27" x14ac:dyDescent="0.3">
      <c r="A18" s="32" t="s">
        <v>6</v>
      </c>
      <c r="B18" s="79">
        <v>-4801.723390414465</v>
      </c>
      <c r="C18" s="79"/>
      <c r="D18" s="79"/>
      <c r="E18" s="79"/>
      <c r="F18" s="79"/>
      <c r="G18" s="79"/>
      <c r="H18" s="79"/>
      <c r="I18" s="79"/>
      <c r="J18" s="79">
        <f>-14763.576567172</f>
        <v>-14763.576567172</v>
      </c>
      <c r="K18" s="394">
        <f>-'[1]OAR.1C (M3)'!$R$16</f>
        <v>172.21957146528257</v>
      </c>
      <c r="L18" s="79"/>
      <c r="M18" s="79"/>
      <c r="N18" s="79"/>
      <c r="O18" s="79"/>
      <c r="P18" s="79"/>
      <c r="Q18" s="79"/>
      <c r="R18" s="79"/>
      <c r="S18" s="79"/>
      <c r="T18" s="79"/>
      <c r="U18" s="79"/>
      <c r="V18" s="79"/>
      <c r="W18" s="114">
        <v>0</v>
      </c>
      <c r="X18" s="115">
        <v>0</v>
      </c>
      <c r="Y18" s="116">
        <v>0</v>
      </c>
      <c r="Z18" s="32"/>
    </row>
    <row r="19" spans="1:27" x14ac:dyDescent="0.3">
      <c r="A19" s="32" t="s">
        <v>7</v>
      </c>
      <c r="B19" s="79">
        <v>-1936.1392706920603</v>
      </c>
      <c r="C19" s="79"/>
      <c r="D19" s="79"/>
      <c r="E19" s="79"/>
      <c r="F19" s="79"/>
      <c r="G19" s="79"/>
      <c r="H19" s="79"/>
      <c r="I19" s="79"/>
      <c r="J19" s="79">
        <f>-5952.93357060776</f>
        <v>-5952.93357060776</v>
      </c>
      <c r="K19" s="394">
        <f>-'[1]OAR.1C (M3)'!$R$17</f>
        <v>69.441958310495465</v>
      </c>
      <c r="L19" s="79"/>
      <c r="M19" s="79"/>
      <c r="N19" s="79"/>
      <c r="O19" s="79"/>
      <c r="P19" s="79"/>
      <c r="Q19" s="79"/>
      <c r="R19" s="79"/>
      <c r="S19" s="79"/>
      <c r="T19" s="79"/>
      <c r="U19" s="79"/>
      <c r="V19" s="79"/>
      <c r="W19" s="114">
        <v>0</v>
      </c>
      <c r="X19" s="115">
        <v>0</v>
      </c>
      <c r="Y19" s="116">
        <v>0</v>
      </c>
      <c r="Z19" s="32"/>
    </row>
    <row r="20" spans="1:27" x14ac:dyDescent="0.3">
      <c r="B20" s="74"/>
      <c r="C20" s="74"/>
      <c r="D20" s="74"/>
      <c r="E20" s="74"/>
      <c r="F20" s="74"/>
      <c r="G20" s="74"/>
      <c r="H20" s="74"/>
      <c r="I20" s="74"/>
      <c r="J20" s="74"/>
      <c r="K20" s="74"/>
      <c r="L20" s="74"/>
      <c r="M20" s="74"/>
      <c r="N20" s="74"/>
      <c r="O20" s="74"/>
      <c r="P20" s="74"/>
      <c r="Q20" s="74"/>
      <c r="R20" s="74"/>
      <c r="S20" s="74"/>
      <c r="T20" s="74"/>
      <c r="U20" s="74"/>
      <c r="V20" s="74"/>
      <c r="W20" s="73"/>
      <c r="X20" s="74"/>
      <c r="Y20" s="77"/>
    </row>
    <row r="21" spans="1:27" x14ac:dyDescent="0.3">
      <c r="A21" s="139" t="s">
        <v>124</v>
      </c>
      <c r="B21" s="78" t="s">
        <v>68</v>
      </c>
      <c r="C21" s="74"/>
      <c r="D21" s="74"/>
      <c r="E21" s="74"/>
      <c r="F21" s="74"/>
      <c r="G21" s="74"/>
      <c r="H21" s="74"/>
      <c r="I21" s="74"/>
      <c r="J21" s="74"/>
      <c r="K21" s="74"/>
      <c r="L21" s="74"/>
      <c r="M21" s="74"/>
      <c r="N21" s="74"/>
      <c r="O21" s="74"/>
      <c r="P21" s="74"/>
      <c r="Q21" s="74"/>
      <c r="R21" s="74"/>
      <c r="S21" s="74"/>
      <c r="T21" s="74"/>
      <c r="U21" s="74"/>
      <c r="V21" s="74"/>
      <c r="W21" s="73"/>
      <c r="X21" s="74"/>
      <c r="Y21" s="77"/>
      <c r="Z21" s="91" t="s">
        <v>106</v>
      </c>
      <c r="AA21" s="32"/>
    </row>
    <row r="22" spans="1:27" x14ac:dyDescent="0.3">
      <c r="A22" s="32" t="s">
        <v>0</v>
      </c>
      <c r="B22" s="70">
        <v>0</v>
      </c>
      <c r="C22" s="70">
        <v>0</v>
      </c>
      <c r="D22" s="70">
        <v>0</v>
      </c>
      <c r="E22" s="70">
        <v>0</v>
      </c>
      <c r="F22" s="70">
        <v>0</v>
      </c>
      <c r="G22" s="70">
        <v>0</v>
      </c>
      <c r="H22" s="70">
        <v>0</v>
      </c>
      <c r="I22" s="70">
        <v>0</v>
      </c>
      <c r="J22" s="79">
        <v>0</v>
      </c>
      <c r="K22" s="79">
        <v>0</v>
      </c>
      <c r="L22" s="79">
        <v>0</v>
      </c>
      <c r="M22" s="79">
        <v>0</v>
      </c>
      <c r="N22" s="79">
        <f>-'[1]OAR.2 (M3)'!B5</f>
        <v>-3957.47</v>
      </c>
      <c r="O22" s="79">
        <f>-'[1]OAR.2 (M3)'!C5</f>
        <v>-9416.89</v>
      </c>
      <c r="P22" s="79">
        <f>-'[1]OAR.2 (M3)'!D5</f>
        <v>-7275.1400000000012</v>
      </c>
      <c r="Q22" s="79">
        <f>-'[1]OAR.2 (M3)'!E5</f>
        <v>-6981.91</v>
      </c>
      <c r="R22" s="79">
        <f>-'[1]OAR.2 (M3)'!F5</f>
        <v>-9215.5400000000027</v>
      </c>
      <c r="S22" s="79">
        <f>-'[1]OAR.2 (M3)'!G5</f>
        <v>-12631.340000000002</v>
      </c>
      <c r="T22" s="79">
        <f>-'[1]OAR.2 (M3)'!H5</f>
        <v>-12064.529999999997</v>
      </c>
      <c r="U22" s="79">
        <f>-'[1]OAR.2 (M3)'!I5</f>
        <v>-10087.510000000002</v>
      </c>
      <c r="V22" s="79">
        <f>-'[1]OAR.2 (M3)'!J5</f>
        <v>-7025.22</v>
      </c>
      <c r="W22" s="306">
        <f>'PCR (M3)'!AW28*$Z22+W36</f>
        <v>-6287.9052479004595</v>
      </c>
      <c r="X22" s="352">
        <f>'PCR (M3)'!AX28*$Z22+X36</f>
        <v>-9037.2939158023601</v>
      </c>
      <c r="Y22" s="371">
        <f>'PCR (M3)'!AY28*$Z22+Y36</f>
        <v>-11172.12205926288</v>
      </c>
      <c r="Z22" s="80">
        <v>-7.9999999999999996E-6</v>
      </c>
      <c r="AA22" s="32"/>
    </row>
    <row r="23" spans="1:27" x14ac:dyDescent="0.3">
      <c r="A23" s="32" t="s">
        <v>4</v>
      </c>
      <c r="B23" s="70">
        <v>0</v>
      </c>
      <c r="C23" s="70">
        <v>0</v>
      </c>
      <c r="D23" s="70">
        <v>0</v>
      </c>
      <c r="E23" s="70">
        <v>0</v>
      </c>
      <c r="F23" s="70">
        <v>0</v>
      </c>
      <c r="G23" s="70">
        <v>0</v>
      </c>
      <c r="H23" s="70">
        <v>0</v>
      </c>
      <c r="I23" s="70">
        <v>0</v>
      </c>
      <c r="J23" s="79">
        <v>0</v>
      </c>
      <c r="K23" s="79">
        <v>0</v>
      </c>
      <c r="L23" s="79">
        <v>0</v>
      </c>
      <c r="M23" s="79">
        <v>0</v>
      </c>
      <c r="N23" s="79">
        <f>-'[1]OAR.2 (M3)'!B6</f>
        <v>-985.13</v>
      </c>
      <c r="O23" s="79">
        <f>-'[1]OAR.2 (M3)'!C6</f>
        <v>-1906.5700000000002</v>
      </c>
      <c r="P23" s="79">
        <f>-'[1]OAR.2 (M3)'!D6</f>
        <v>-1665.0300000000002</v>
      </c>
      <c r="Q23" s="79">
        <f>-'[1]OAR.2 (M3)'!E6</f>
        <v>-1617.3499999999995</v>
      </c>
      <c r="R23" s="79">
        <f>-'[1]OAR.2 (M3)'!F6</f>
        <v>-1918.73</v>
      </c>
      <c r="S23" s="79">
        <f>-'[1]OAR.2 (M3)'!G6</f>
        <v>-2337.6800000000003</v>
      </c>
      <c r="T23" s="79">
        <f>-'[1]OAR.2 (M3)'!H6</f>
        <v>-2274.25</v>
      </c>
      <c r="U23" s="79">
        <f>-'[1]OAR.2 (M3)'!I6</f>
        <v>-2069.08</v>
      </c>
      <c r="V23" s="79">
        <f>-'[1]OAR.2 (M3)'!J6</f>
        <v>-1663.4899999999998</v>
      </c>
      <c r="W23" s="306">
        <f>'PCR (M3)'!AW29*$Z23</f>
        <v>-1712.0527264334694</v>
      </c>
      <c r="X23" s="352">
        <f>'PCR (M3)'!AX29*$Z23</f>
        <v>-2073.6671942444123</v>
      </c>
      <c r="Y23" s="371">
        <f>'PCR (M3)'!AY29*$Z23</f>
        <v>-2447.6274736151145</v>
      </c>
      <c r="Z23" s="80">
        <v>-7.9999999999999996E-6</v>
      </c>
      <c r="AA23" s="32"/>
    </row>
    <row r="24" spans="1:27" x14ac:dyDescent="0.3">
      <c r="A24" s="32" t="s">
        <v>5</v>
      </c>
      <c r="B24" s="70">
        <v>0</v>
      </c>
      <c r="C24" s="70">
        <v>0</v>
      </c>
      <c r="D24" s="70">
        <v>0</v>
      </c>
      <c r="E24" s="70">
        <v>0</v>
      </c>
      <c r="F24" s="70">
        <v>0</v>
      </c>
      <c r="G24" s="70">
        <v>0</v>
      </c>
      <c r="H24" s="70">
        <v>0</v>
      </c>
      <c r="I24" s="70">
        <v>0</v>
      </c>
      <c r="J24" s="79">
        <v>0</v>
      </c>
      <c r="K24" s="79">
        <v>0</v>
      </c>
      <c r="L24" s="79">
        <v>0</v>
      </c>
      <c r="M24" s="79">
        <v>0</v>
      </c>
      <c r="N24" s="79">
        <f>-'[1]OAR.2 (M3)'!B7</f>
        <v>-1901.57</v>
      </c>
      <c r="O24" s="79">
        <f>-'[1]OAR.2 (M3)'!C7</f>
        <v>-3716.6100000000006</v>
      </c>
      <c r="P24" s="79">
        <f>-'[1]OAR.2 (M3)'!D7</f>
        <v>-3537.0699999999997</v>
      </c>
      <c r="Q24" s="79">
        <f>-'[1]OAR.2 (M3)'!E7</f>
        <v>-3610.63</v>
      </c>
      <c r="R24" s="79">
        <f>-'[1]OAR.2 (M3)'!F7</f>
        <v>-4063.1800000000003</v>
      </c>
      <c r="S24" s="79">
        <f>-'[1]OAR.2 (M3)'!G7</f>
        <v>-4852.5699999999988</v>
      </c>
      <c r="T24" s="79">
        <f>-'[1]OAR.2 (M3)'!H7</f>
        <v>-4516.2700000000013</v>
      </c>
      <c r="U24" s="79">
        <f>-'[1]OAR.2 (M3)'!I7</f>
        <v>-4325.6100000000006</v>
      </c>
      <c r="V24" s="79">
        <f>-'[1]OAR.2 (M3)'!J7</f>
        <v>-3711.7500000000009</v>
      </c>
      <c r="W24" s="306">
        <f>'PCR (M3)'!AW30*$Z24</f>
        <v>-3533.9648237082888</v>
      </c>
      <c r="X24" s="352">
        <f>'PCR (M3)'!AX30*$Z24</f>
        <v>-3922.5180752851757</v>
      </c>
      <c r="Y24" s="371">
        <f>'PCR (M3)'!AY30*$Z24</f>
        <v>-4293.6218211007999</v>
      </c>
      <c r="Z24" s="80">
        <v>-6.9999999999999999E-6</v>
      </c>
      <c r="AA24" s="32"/>
    </row>
    <row r="25" spans="1:27" x14ac:dyDescent="0.3">
      <c r="A25" s="32" t="s">
        <v>6</v>
      </c>
      <c r="B25" s="70">
        <v>0</v>
      </c>
      <c r="C25" s="70">
        <v>0</v>
      </c>
      <c r="D25" s="70">
        <v>0</v>
      </c>
      <c r="E25" s="70">
        <v>0</v>
      </c>
      <c r="F25" s="70">
        <v>0</v>
      </c>
      <c r="G25" s="70">
        <v>0</v>
      </c>
      <c r="H25" s="70">
        <v>0</v>
      </c>
      <c r="I25" s="70">
        <v>0</v>
      </c>
      <c r="J25" s="79">
        <v>0</v>
      </c>
      <c r="K25" s="79">
        <v>0</v>
      </c>
      <c r="L25" s="79">
        <v>0</v>
      </c>
      <c r="M25" s="79">
        <v>0</v>
      </c>
      <c r="N25" s="79">
        <f>-'[1]OAR.2 (M3)'!B8</f>
        <v>-663.11</v>
      </c>
      <c r="O25" s="79">
        <f>-'[1]OAR.2 (M3)'!C8</f>
        <v>-1515.26</v>
      </c>
      <c r="P25" s="79">
        <f>-'[1]OAR.2 (M3)'!D8</f>
        <v>-1566.9300000000003</v>
      </c>
      <c r="Q25" s="79">
        <f>-'[1]OAR.2 (M3)'!E8</f>
        <v>-1582.0300000000004</v>
      </c>
      <c r="R25" s="79">
        <f>-'[1]OAR.2 (M3)'!F8</f>
        <v>-1806.1399999999999</v>
      </c>
      <c r="S25" s="79">
        <f>-'[1]OAR.2 (M3)'!G8</f>
        <v>-1872.56</v>
      </c>
      <c r="T25" s="79">
        <f>-'[1]OAR.2 (M3)'!H8</f>
        <v>-1857.5200000000004</v>
      </c>
      <c r="U25" s="79">
        <f>-'[1]OAR.2 (M3)'!I8</f>
        <v>-1807.0499999999995</v>
      </c>
      <c r="V25" s="79">
        <f>-'[1]OAR.2 (M3)'!J8</f>
        <v>-1604.3099999999997</v>
      </c>
      <c r="W25" s="306">
        <f>'PCR (M3)'!AW31*$Z25</f>
        <v>-1561.9571811392666</v>
      </c>
      <c r="X25" s="352">
        <f>'PCR (M3)'!AX31*$Z25</f>
        <v>-1627.749856460666</v>
      </c>
      <c r="Y25" s="371">
        <f>'PCR (M3)'!AY31*$Z25</f>
        <v>-1690.9066422043256</v>
      </c>
      <c r="Z25" s="80">
        <v>-6.9999999999999999E-6</v>
      </c>
      <c r="AA25" s="32"/>
    </row>
    <row r="26" spans="1:27" x14ac:dyDescent="0.3">
      <c r="A26" s="32" t="s">
        <v>7</v>
      </c>
      <c r="B26" s="70">
        <v>0</v>
      </c>
      <c r="C26" s="70">
        <v>0</v>
      </c>
      <c r="D26" s="70">
        <v>0</v>
      </c>
      <c r="E26" s="70">
        <v>0</v>
      </c>
      <c r="F26" s="70">
        <v>0</v>
      </c>
      <c r="G26" s="70">
        <v>0</v>
      </c>
      <c r="H26" s="70">
        <v>0</v>
      </c>
      <c r="I26" s="70">
        <v>0</v>
      </c>
      <c r="J26" s="79">
        <v>0</v>
      </c>
      <c r="K26" s="79">
        <v>0</v>
      </c>
      <c r="L26" s="79">
        <v>0</v>
      </c>
      <c r="M26" s="79">
        <v>0</v>
      </c>
      <c r="N26" s="79">
        <f>-'[1]OAR.2 (M3)'!B9</f>
        <v>-149.44999999999999</v>
      </c>
      <c r="O26" s="79">
        <f>-'[1]OAR.2 (M3)'!C9</f>
        <v>-555.80999999999995</v>
      </c>
      <c r="P26" s="79">
        <f>-'[1]OAR.2 (M3)'!D9</f>
        <v>-466.15999999999997</v>
      </c>
      <c r="Q26" s="79">
        <f>-'[1]OAR.2 (M3)'!E9</f>
        <v>-499.44000000000005</v>
      </c>
      <c r="R26" s="79">
        <f>-'[1]OAR.2 (M3)'!F9</f>
        <v>-608.84</v>
      </c>
      <c r="S26" s="79">
        <f>-'[1]OAR.2 (M3)'!G9</f>
        <v>-698.47</v>
      </c>
      <c r="T26" s="79">
        <f>-'[1]OAR.2 (M3)'!H9</f>
        <v>-690.65</v>
      </c>
      <c r="U26" s="79">
        <f>-'[1]OAR.2 (M3)'!I9</f>
        <v>-720.05</v>
      </c>
      <c r="V26" s="79">
        <f>-'[1]OAR.2 (M3)'!J9</f>
        <v>-618.54999999999995</v>
      </c>
      <c r="W26" s="306">
        <f>'PCR (M3)'!AW32*$Z26</f>
        <v>-599.81755901366091</v>
      </c>
      <c r="X26" s="352">
        <f>'PCR (M3)'!AX32*$Z26</f>
        <v>-587.73339719267972</v>
      </c>
      <c r="Y26" s="371">
        <f>'PCR (M3)'!AY32*$Z26</f>
        <v>-619.24211880453254</v>
      </c>
      <c r="Z26" s="80">
        <v>-6.9999999999999999E-6</v>
      </c>
      <c r="AA26" s="32"/>
    </row>
    <row r="27" spans="1:27" x14ac:dyDescent="0.3">
      <c r="A27" s="32"/>
      <c r="B27" s="83"/>
      <c r="C27" s="83"/>
      <c r="D27" s="83"/>
      <c r="E27" s="83"/>
      <c r="F27" s="83"/>
      <c r="G27" s="83"/>
      <c r="H27" s="83"/>
      <c r="I27" s="83"/>
      <c r="J27" s="83"/>
      <c r="K27" s="83"/>
      <c r="L27" s="83"/>
      <c r="M27" s="83"/>
      <c r="N27" s="83"/>
      <c r="O27" s="83"/>
      <c r="P27" s="83"/>
      <c r="Q27" s="83"/>
      <c r="R27" s="83"/>
      <c r="S27" s="83"/>
      <c r="T27" s="83"/>
      <c r="U27" s="83"/>
      <c r="V27" s="83"/>
      <c r="W27" s="75"/>
      <c r="X27" s="74"/>
      <c r="Y27" s="77"/>
    </row>
    <row r="28" spans="1:27" x14ac:dyDescent="0.3">
      <c r="A28" s="32" t="s">
        <v>101</v>
      </c>
      <c r="B28" s="74"/>
      <c r="C28" s="74"/>
      <c r="D28" s="74"/>
      <c r="E28" s="74"/>
      <c r="F28" s="74"/>
      <c r="G28" s="74"/>
      <c r="H28" s="74"/>
      <c r="I28" s="74"/>
      <c r="J28" s="74"/>
      <c r="K28" s="74"/>
      <c r="L28" s="74"/>
      <c r="M28" s="74"/>
      <c r="N28" s="74"/>
      <c r="O28" s="74"/>
      <c r="P28" s="74"/>
      <c r="Q28" s="74"/>
      <c r="R28" s="74"/>
      <c r="S28" s="74"/>
      <c r="T28" s="74"/>
      <c r="U28" s="74"/>
      <c r="V28" s="74"/>
      <c r="W28" s="73"/>
      <c r="X28" s="74"/>
      <c r="Y28" s="77"/>
    </row>
    <row r="29" spans="1:27" x14ac:dyDescent="0.3">
      <c r="A29" s="139" t="s">
        <v>0</v>
      </c>
      <c r="B29" s="332">
        <f>+(B22-B36)+(B36*'PCR (M3)'!AB28)/SUM('PCR (M3)'!AB28:AB32)</f>
        <v>0</v>
      </c>
      <c r="C29" s="332">
        <f>+(C22-C36)+(C36*'PCR (M3)'!AC28)/SUM('PCR (M3)'!AC28:AC32)</f>
        <v>0</v>
      </c>
      <c r="D29" s="332">
        <f>+(D22-D36)+(D36*'PCR (M3)'!AD28)/SUM('PCR (M3)'!AD28:AD32)</f>
        <v>0</v>
      </c>
      <c r="E29" s="332">
        <f>+(E22-E36)+(E36*'PCR (M3)'!AE28)/SUM('PCR (M3)'!AE28:AE32)</f>
        <v>0</v>
      </c>
      <c r="F29" s="332">
        <f>+(F22-F36)+(F36*'PCR (M3)'!AF28)/SUM('PCR (M3)'!AF28:AF32)</f>
        <v>0</v>
      </c>
      <c r="G29" s="332">
        <f>+(G22-G36)+(G36*'PCR (M3)'!AG28)/SUM('PCR (M3)'!AG28:AG32)</f>
        <v>0.15686485692455363</v>
      </c>
      <c r="H29" s="332">
        <f>+(H22-H36)+(H36*'PCR (M3)'!AH28)/SUM('PCR (M3)'!AH28:AH32)</f>
        <v>0</v>
      </c>
      <c r="I29" s="332">
        <f>+(I22-I36)+(I36*'PCR (M3)'!AI28)/SUM('PCR (M3)'!AI28:AI32)</f>
        <v>0</v>
      </c>
      <c r="J29" s="332">
        <f>+(J22-J36)+(J36*'PCR (M3)'!AJ28)/SUM('PCR (M3)'!AJ28:AJ32)</f>
        <v>2.8010372344118704E-2</v>
      </c>
      <c r="K29" s="332">
        <f>+(K22-K36)+(K36*'PCR (M3)'!AK28)/SUM('PCR (M3)'!AK28:AK32)</f>
        <v>0</v>
      </c>
      <c r="L29" s="332">
        <f>+(L22-L36)+(L36*'PCR (M3)'!AL28)/SUM('PCR (M3)'!AL28:AL32)</f>
        <v>0</v>
      </c>
      <c r="M29" s="332">
        <f>+(M22-M36)+(M36*'PCR (M3)'!AM28)/SUM('PCR (M3)'!AM28:AM32)</f>
        <v>0</v>
      </c>
      <c r="N29" s="332">
        <f>+(N22-N36)+(N36*'PCR (M3)'!AN28)/SUM('PCR (M3)'!AN28:AN32)</f>
        <v>-4047.0629511177281</v>
      </c>
      <c r="O29" s="332">
        <f>+(O22-O36)+(O36*'PCR (M3)'!AO28)/SUM('PCR (M3)'!AO28:AO32)</f>
        <v>-9639.7381297718857</v>
      </c>
      <c r="P29" s="332">
        <f>+(P22-P36)+(P36*'PCR (M3)'!AP28)/SUM('PCR (M3)'!AP28:AP32)</f>
        <v>-7452.2854126414959</v>
      </c>
      <c r="Q29" s="332">
        <f>+(Q22-Q36)+(Q36*'PCR (M3)'!AQ28)/SUM('PCR (M3)'!AQ28:AQ32)</f>
        <v>-7114.8111207440816</v>
      </c>
      <c r="R29" s="332">
        <f>+(R22-R36)+(R36*'PCR (M3)'!AR28)/SUM('PCR (M3)'!AR28:AR32)</f>
        <v>-9358.1112396599638</v>
      </c>
      <c r="S29" s="332">
        <f>+(S22-S36)+(S36*'PCR (M3)'!AS28)/SUM('PCR (M3)'!AS28:AS32)</f>
        <v>-12807.752014937581</v>
      </c>
      <c r="T29" s="332">
        <f>+(T22-T36)+(T36*'PCR (M3)'!AT28)/SUM('PCR (M3)'!AT28:AT32)</f>
        <v>-12242.723481482135</v>
      </c>
      <c r="U29" s="332">
        <f>+(U22-U36)+(U36*'PCR (M3)'!AU28)/SUM('PCR (M3)'!AU28:AU32)</f>
        <v>-10253.565461444761</v>
      </c>
      <c r="V29" s="341">
        <f>+(V22-V36)+(V36*'PCR (M3)'!AV28)/SUM('PCR (M3)'!AV28:AV32)</f>
        <v>-7164.6087355623667</v>
      </c>
      <c r="W29" s="333">
        <f>+(W22-W36)+(W36*'PCR (M3)'!AW28)/SUM('PCR (M3)'!AW28:AW32)</f>
        <v>-6455.8500854282793</v>
      </c>
      <c r="X29" s="332">
        <f>+(X22-X36)+(X36*'PCR (M3)'!AX28)/SUM('PCR (M3)'!AX28:AX32)</f>
        <v>-9250.2357865316208</v>
      </c>
      <c r="Y29" s="334">
        <f>+(Y22-Y36)+(Y36*'PCR (M3)'!AY28)/SUM('PCR (M3)'!AY28:AY32)</f>
        <v>-11419.683380532151</v>
      </c>
      <c r="Z29" s="178"/>
    </row>
    <row r="30" spans="1:27" x14ac:dyDescent="0.3">
      <c r="A30" s="139" t="s">
        <v>4</v>
      </c>
      <c r="B30" s="332">
        <f>+B23+(B36*'PCR (M3)'!AB29)/SUM('PCR (M3)'!AB28:AB32)</f>
        <v>0</v>
      </c>
      <c r="C30" s="332">
        <f>+C23+(C36*'PCR (M3)'!AC29)/SUM('PCR (M3)'!AC28:AC32)</f>
        <v>0</v>
      </c>
      <c r="D30" s="332">
        <f>+D23+(D36*'PCR (M3)'!AD29)/SUM('PCR (M3)'!AD28:AD32)</f>
        <v>0</v>
      </c>
      <c r="E30" s="332">
        <f>+E23+(E36*'PCR (M3)'!AE29)/SUM('PCR (M3)'!AE28:AE32)</f>
        <v>0</v>
      </c>
      <c r="F30" s="332">
        <f>+F23+(F36*'PCR (M3)'!AF29)/SUM('PCR (M3)'!AF28:AF32)</f>
        <v>0</v>
      </c>
      <c r="G30" s="332">
        <f>+G23+(G36*'PCR (M3)'!AG29)/SUM('PCR (M3)'!AG28:AG32)</f>
        <v>-3.4391087314137973E-2</v>
      </c>
      <c r="H30" s="332">
        <f>+H23+(H36*'PCR (M3)'!AH29)/SUM('PCR (M3)'!AH28:AH32)</f>
        <v>0</v>
      </c>
      <c r="I30" s="332">
        <f>+I23+(I36*'PCR (M3)'!AI29)/SUM('PCR (M3)'!AI28:AI32)</f>
        <v>0</v>
      </c>
      <c r="J30" s="332">
        <f>+J23+(J36*'PCR (M3)'!AJ29)/SUM('PCR (M3)'!AJ28:AJ32)</f>
        <v>-5.9831320567712357E-3</v>
      </c>
      <c r="K30" s="332">
        <f>+K23+(K36*'PCR (M3)'!AK29)/SUM('PCR (M3)'!AK28:AK32)</f>
        <v>0</v>
      </c>
      <c r="L30" s="332">
        <f>+L23+(L36*'PCR (M3)'!AL29)/SUM('PCR (M3)'!AL28:AL32)</f>
        <v>0</v>
      </c>
      <c r="M30" s="332">
        <f>+M23+(M36*'PCR (M3)'!AM29)/SUM('PCR (M3)'!AM28:AM32)</f>
        <v>0</v>
      </c>
      <c r="N30" s="332">
        <f>+N23+(N36*'PCR (M3)'!AN29)/SUM('PCR (M3)'!AN28:AN32)</f>
        <v>-962.74242476715358</v>
      </c>
      <c r="O30" s="332">
        <f>+O23+(O36*'PCR (M3)'!AO29)/SUM('PCR (M3)'!AO28:AO32)</f>
        <v>-1853.5252382828273</v>
      </c>
      <c r="P30" s="332">
        <f>+P23+(P36*'PCR (M3)'!AP29)/SUM('PCR (M3)'!AP28:AP32)</f>
        <v>-1626.0722048795992</v>
      </c>
      <c r="Q30" s="332">
        <f>+Q23+(Q36*'PCR (M3)'!AQ29)/SUM('PCR (M3)'!AQ28:AQ32)</f>
        <v>-1588.6522019991728</v>
      </c>
      <c r="R30" s="332">
        <f>+R23+(R36*'PCR (M3)'!AR29)/SUM('PCR (M3)'!AR28:AR32)</f>
        <v>-1887.1973094561836</v>
      </c>
      <c r="S30" s="332">
        <f>+S23+(S36*'PCR (M3)'!AS29)/SUM('PCR (M3)'!AS28:AS32)</f>
        <v>-2296.2644995684414</v>
      </c>
      <c r="T30" s="332">
        <f>+T23+(T36*'PCR (M3)'!AT29)/SUM('PCR (M3)'!AT28:AT32)</f>
        <v>-2233.0651450749374</v>
      </c>
      <c r="U30" s="332">
        <f>+U23+(U36*'PCR (M3)'!AU29)/SUM('PCR (M3)'!AU28:AU32)</f>
        <v>-2032.145585206091</v>
      </c>
      <c r="V30" s="341">
        <f>+V23+(V36*'PCR (M3)'!AV29)/SUM('PCR (M3)'!AV28:AV32)</f>
        <v>-1633.7295266289884</v>
      </c>
      <c r="W30" s="333">
        <f>+W23+(W36*'PCR (M3)'!AW29)/SUM('PCR (M3)'!AW28:AW32)</f>
        <v>-1677.0796086110608</v>
      </c>
      <c r="X30" s="332">
        <f>+X23+(X36*'PCR (M3)'!AX29)/SUM('PCR (M3)'!AX28:AX32)</f>
        <v>-2025.0816943939374</v>
      </c>
      <c r="Y30" s="334">
        <f>+Y23+(Y36*'PCR (M3)'!AY29)/SUM('PCR (M3)'!AY28:AY32)</f>
        <v>-2387.0021220325993</v>
      </c>
    </row>
    <row r="31" spans="1:27" x14ac:dyDescent="0.3">
      <c r="A31" s="139" t="s">
        <v>5</v>
      </c>
      <c r="B31" s="332">
        <f>+B24+(B36*'PCR (M3)'!AB30)/SUM('PCR (M3)'!AB28:AB32)</f>
        <v>0</v>
      </c>
      <c r="C31" s="332">
        <f>+C24+(C36*'PCR (M3)'!AC30)/SUM('PCR (M3)'!AC28:AC32)</f>
        <v>0</v>
      </c>
      <c r="D31" s="332">
        <f>+D24+(D36*'PCR (M3)'!AD30)/SUM('PCR (M3)'!AD28:AD32)</f>
        <v>0</v>
      </c>
      <c r="E31" s="332">
        <f>+E24+(E36*'PCR (M3)'!AE30)/SUM('PCR (M3)'!AE28:AE32)</f>
        <v>0</v>
      </c>
      <c r="F31" s="332">
        <f>+F24+(F36*'PCR (M3)'!AF30)/SUM('PCR (M3)'!AF28:AF32)</f>
        <v>0</v>
      </c>
      <c r="G31" s="332">
        <f>+G24+(G36*'PCR (M3)'!AG30)/SUM('PCR (M3)'!AG28:AG32)</f>
        <v>-7.557092530758569E-2</v>
      </c>
      <c r="H31" s="332">
        <f>+H24+(H36*'PCR (M3)'!AH30)/SUM('PCR (M3)'!AH28:AH32)</f>
        <v>0</v>
      </c>
      <c r="I31" s="332">
        <f>+I24+(I36*'PCR (M3)'!AI30)/SUM('PCR (M3)'!AI28:AI32)</f>
        <v>0</v>
      </c>
      <c r="J31" s="332">
        <f>+J24+(J36*'PCR (M3)'!AJ30)/SUM('PCR (M3)'!AJ28:AJ32)</f>
        <v>-1.3859141576579205E-2</v>
      </c>
      <c r="K31" s="332">
        <f>+K24+(K36*'PCR (M3)'!AK30)/SUM('PCR (M3)'!AK28:AK32)</f>
        <v>0</v>
      </c>
      <c r="L31" s="332">
        <f>+L24+(L36*'PCR (M3)'!AL30)/SUM('PCR (M3)'!AL28:AL32)</f>
        <v>0</v>
      </c>
      <c r="M31" s="332">
        <f>+M24+(M36*'PCR (M3)'!AM30)/SUM('PCR (M3)'!AM28:AM32)</f>
        <v>0</v>
      </c>
      <c r="N31" s="332">
        <f>+N24+(N36*'PCR (M3)'!AN30)/SUM('PCR (M3)'!AN28:AN32)</f>
        <v>-1858.2738116198464</v>
      </c>
      <c r="O31" s="332">
        <f>+O24+(O36*'PCR (M3)'!AO30)/SUM('PCR (M3)'!AO28:AO32)</f>
        <v>-3608.0915933947713</v>
      </c>
      <c r="P31" s="332">
        <f>+P24+(P36*'PCR (M3)'!AP30)/SUM('PCR (M3)'!AP28:AP32)</f>
        <v>-3451.6376831010307</v>
      </c>
      <c r="Q31" s="332">
        <f>+Q24+(Q36*'PCR (M3)'!AQ30)/SUM('PCR (M3)'!AQ28:AQ32)</f>
        <v>-3544.5217026929399</v>
      </c>
      <c r="R31" s="332">
        <f>+R24+(R36*'PCR (M3)'!AR30)/SUM('PCR (M3)'!AR28:AR32)</f>
        <v>-3993.0315091342927</v>
      </c>
      <c r="S31" s="332">
        <f>+S24+(S36*'PCR (M3)'!AS30)/SUM('PCR (M3)'!AS28:AS32)</f>
        <v>-4766.2766286142241</v>
      </c>
      <c r="T31" s="332">
        <f>+T24+(T36*'PCR (M3)'!AT30)/SUM('PCR (M3)'!AT28:AT32)</f>
        <v>-4429.2581279114056</v>
      </c>
      <c r="U31" s="332">
        <f>+U24+(U36*'PCR (M3)'!AU30)/SUM('PCR (M3)'!AU28:AU32)</f>
        <v>-4244.1405181655809</v>
      </c>
      <c r="V31" s="341">
        <f>+V24+(V36*'PCR (M3)'!AV30)/SUM('PCR (M3)'!AV28:AV32)</f>
        <v>-3643.1841863651393</v>
      </c>
      <c r="W31" s="333">
        <f>+W24+(W36*'PCR (M3)'!AW30)/SUM('PCR (M3)'!AW28:AW32)</f>
        <v>-3451.4615114135181</v>
      </c>
      <c r="X31" s="332">
        <f>+X24+(X36*'PCR (M3)'!AX30)/SUM('PCR (M3)'!AX28:AX32)</f>
        <v>-3817.4853779931723</v>
      </c>
      <c r="Y31" s="334">
        <f>+Y24+(Y36*'PCR (M3)'!AY30)/SUM('PCR (M3)'!AY28:AY32)</f>
        <v>-4172.080294390269</v>
      </c>
    </row>
    <row r="32" spans="1:27" x14ac:dyDescent="0.3">
      <c r="A32" s="139" t="s">
        <v>6</v>
      </c>
      <c r="B32" s="332">
        <f>+B25+(B36*'PCR (M3)'!AB31)/SUM('PCR (M3)'!AB28:AB32)</f>
        <v>0</v>
      </c>
      <c r="C32" s="332">
        <f>+C25+(C36*'PCR (M3)'!AC31)/SUM('PCR (M3)'!AC28:AC32)</f>
        <v>0</v>
      </c>
      <c r="D32" s="332">
        <f>+D25+(D36*'PCR (M3)'!AD31)/SUM('PCR (M3)'!AD28:AD32)</f>
        <v>0</v>
      </c>
      <c r="E32" s="332">
        <f>+E25+(E36*'PCR (M3)'!AE31)/SUM('PCR (M3)'!AE28:AE32)</f>
        <v>0</v>
      </c>
      <c r="F32" s="332">
        <f>+F25+(F36*'PCR (M3)'!AF31)/SUM('PCR (M3)'!AF28:AF32)</f>
        <v>0</v>
      </c>
      <c r="G32" s="332">
        <f>+G25+(G36*'PCR (M3)'!AG31)/SUM('PCR (M3)'!AG28:AG32)</f>
        <v>-3.3773755561765012E-2</v>
      </c>
      <c r="H32" s="332">
        <f>+H25+(H36*'PCR (M3)'!AH31)/SUM('PCR (M3)'!AH28:AH32)</f>
        <v>0</v>
      </c>
      <c r="I32" s="332">
        <f>+I25+(I36*'PCR (M3)'!AI31)/SUM('PCR (M3)'!AI28:AI32)</f>
        <v>0</v>
      </c>
      <c r="J32" s="332">
        <f>+J25+(J36*'PCR (M3)'!AJ31)/SUM('PCR (M3)'!AJ28:AJ32)</f>
        <v>-5.6067793801923838E-3</v>
      </c>
      <c r="K32" s="332">
        <f>+K25+(K36*'PCR (M3)'!AK31)/SUM('PCR (M3)'!AK28:AK32)</f>
        <v>0</v>
      </c>
      <c r="L32" s="332">
        <f>+L25+(L36*'PCR (M3)'!AL31)/SUM('PCR (M3)'!AL28:AL32)</f>
        <v>0</v>
      </c>
      <c r="M32" s="332">
        <f>+M25+(M36*'PCR (M3)'!AM31)/SUM('PCR (M3)'!AM28:AM32)</f>
        <v>0</v>
      </c>
      <c r="N32" s="332">
        <f>+N25+(N36*'PCR (M3)'!AN31)/SUM('PCR (M3)'!AN28:AN32)</f>
        <v>-645.51593863973255</v>
      </c>
      <c r="O32" s="332">
        <f>+O25+(O36*'PCR (M3)'!AO31)/SUM('PCR (M3)'!AO28:AO32)</f>
        <v>-1470.4359670333033</v>
      </c>
      <c r="P32" s="332">
        <f>+P25+(P36*'PCR (M3)'!AP31)/SUM('PCR (M3)'!AP28:AP32)</f>
        <v>-1528.635490421781</v>
      </c>
      <c r="Q32" s="332">
        <f>+Q25+(Q36*'PCR (M3)'!AQ31)/SUM('PCR (M3)'!AQ28:AQ32)</f>
        <v>-1553.0760962113773</v>
      </c>
      <c r="R32" s="332">
        <f>+R25+(R36*'PCR (M3)'!AR31)/SUM('PCR (M3)'!AR28:AR32)</f>
        <v>-1775.7704477798277</v>
      </c>
      <c r="S32" s="332">
        <f>+S25+(S36*'PCR (M3)'!AS31)/SUM('PCR (M3)'!AS28:AS32)</f>
        <v>-1837.0883518029723</v>
      </c>
      <c r="T32" s="332">
        <f>+T25+(T36*'PCR (M3)'!AT31)/SUM('PCR (M3)'!AT28:AT32)</f>
        <v>-1820.8308399016335</v>
      </c>
      <c r="U32" s="332">
        <f>+U25+(U36*'PCR (M3)'!AU31)/SUM('PCR (M3)'!AU28:AU32)</f>
        <v>-1772.9697598215166</v>
      </c>
      <c r="V32" s="341">
        <f>+V25+(V36*'PCR (M3)'!AV31)/SUM('PCR (M3)'!AV28:AV32)</f>
        <v>-1574.6742597253885</v>
      </c>
      <c r="W32" s="333">
        <f>+W25+(W36*'PCR (M3)'!AW31)/SUM('PCR (M3)'!AW28:AW32)</f>
        <v>-1525.4920074504778</v>
      </c>
      <c r="X32" s="332">
        <f>+X25+(X36*'PCR (M3)'!AX31)/SUM('PCR (M3)'!AX28:AX32)</f>
        <v>-1584.1638347625237</v>
      </c>
      <c r="Y32" s="334">
        <f>+Y25+(Y36*'PCR (M3)'!AY31)/SUM('PCR (M3)'!AY28:AY32)</f>
        <v>-1643.0413705568562</v>
      </c>
    </row>
    <row r="33" spans="1:29" x14ac:dyDescent="0.3">
      <c r="A33" s="139" t="s">
        <v>7</v>
      </c>
      <c r="B33" s="332">
        <f>+B26+(B36*'PCR (M3)'!AB32)/SUM('PCR (M3)'!AB28:AB32)</f>
        <v>0</v>
      </c>
      <c r="C33" s="332">
        <f>+C26+(C36*'PCR (M3)'!AC32)/SUM('PCR (M3)'!AC28:AC32)</f>
        <v>0</v>
      </c>
      <c r="D33" s="332">
        <f>+D26+(D36*'PCR (M3)'!AD32)/SUM('PCR (M3)'!AD28:AD32)</f>
        <v>0</v>
      </c>
      <c r="E33" s="332">
        <f>+E26+(E36*'PCR (M3)'!AE32)/SUM('PCR (M3)'!AE28:AE32)</f>
        <v>0</v>
      </c>
      <c r="F33" s="332">
        <f>+F26+(F36*'PCR (M3)'!AF32)/SUM('PCR (M3)'!AF28:AF32)</f>
        <v>0</v>
      </c>
      <c r="G33" s="332">
        <f>+G26+(G36*'PCR (M3)'!AG32)/SUM('PCR (M3)'!AG28:AG32)</f>
        <v>-1.3129088741064937E-2</v>
      </c>
      <c r="H33" s="332">
        <f>+H26+(H36*'PCR (M3)'!AH32)/SUM('PCR (M3)'!AH28:AH32)</f>
        <v>0</v>
      </c>
      <c r="I33" s="332">
        <f>+I26+(I36*'PCR (M3)'!AI32)/SUM('PCR (M3)'!AI28:AI32)</f>
        <v>0</v>
      </c>
      <c r="J33" s="332">
        <f>+J26+(J36*'PCR (M3)'!AJ32)/SUM('PCR (M3)'!AJ28:AJ32)</f>
        <v>-2.561319330575879E-3</v>
      </c>
      <c r="K33" s="332">
        <f>+K26+(K36*'PCR (M3)'!AK32)/SUM('PCR (M3)'!AK28:AK32)</f>
        <v>0</v>
      </c>
      <c r="L33" s="332">
        <f>+L26+(L36*'PCR (M3)'!AL32)/SUM('PCR (M3)'!AL28:AL32)</f>
        <v>0</v>
      </c>
      <c r="M33" s="332">
        <f>+M26+(M36*'PCR (M3)'!AM32)/SUM('PCR (M3)'!AM28:AM32)</f>
        <v>0</v>
      </c>
      <c r="N33" s="332">
        <f>+N26+(N36*'PCR (M3)'!AN32)/SUM('PCR (M3)'!AN28:AN32)</f>
        <v>-143.13487385553915</v>
      </c>
      <c r="O33" s="332">
        <f>+O26+(O36*'PCR (M3)'!AO32)/SUM('PCR (M3)'!AO28:AO32)</f>
        <v>-539.34907151721313</v>
      </c>
      <c r="P33" s="332">
        <f>+P26+(P36*'PCR (M3)'!AP32)/SUM('PCR (M3)'!AP28:AP32)</f>
        <v>-451.69920895609437</v>
      </c>
      <c r="Q33" s="332">
        <f>+Q26+(Q36*'PCR (M3)'!AQ32)/SUM('PCR (M3)'!AQ28:AQ32)</f>
        <v>-490.2988783524288</v>
      </c>
      <c r="R33" s="332">
        <f>+R26+(R36*'PCR (M3)'!AR32)/SUM('PCR (M3)'!AR28:AR32)</f>
        <v>-598.31949396973391</v>
      </c>
      <c r="S33" s="332">
        <f>+S26+(S36*'PCR (M3)'!AS32)/SUM('PCR (M3)'!AS28:AS32)</f>
        <v>-685.23850507678094</v>
      </c>
      <c r="T33" s="332">
        <f>+T26+(T36*'PCR (M3)'!AT32)/SUM('PCR (M3)'!AT28:AT32)</f>
        <v>-677.34240562988782</v>
      </c>
      <c r="U33" s="332">
        <f>+U26+(U36*'PCR (M3)'!AU32)/SUM('PCR (M3)'!AU28:AU32)</f>
        <v>-706.47867536205138</v>
      </c>
      <c r="V33" s="341">
        <f>+V26+(V36*'PCR (M3)'!AV32)/SUM('PCR (M3)'!AV28:AV32)</f>
        <v>-607.123291718117</v>
      </c>
      <c r="W33" s="333">
        <f>+W26+(W36*'PCR (M3)'!AW32)/SUM('PCR (M3)'!AW28:AW32)</f>
        <v>-585.81432529180881</v>
      </c>
      <c r="X33" s="332">
        <f>+X26+(X36*'PCR (M3)'!AX32)/SUM('PCR (M3)'!AX28:AX32)</f>
        <v>-571.99574530403891</v>
      </c>
      <c r="Y33" s="334">
        <f>+Y26+(Y36*'PCR (M3)'!AY32)/SUM('PCR (M3)'!AY28:AY32)</f>
        <v>-601.7129474757752</v>
      </c>
    </row>
    <row r="34" spans="1:29" s="32" customFormat="1" x14ac:dyDescent="0.3">
      <c r="B34" s="167"/>
      <c r="C34" s="167"/>
      <c r="D34" s="167"/>
      <c r="E34" s="167"/>
      <c r="F34" s="167"/>
      <c r="G34" s="167"/>
      <c r="H34" s="167"/>
      <c r="I34" s="167"/>
      <c r="J34" s="167"/>
      <c r="K34" s="167"/>
      <c r="L34" s="167"/>
      <c r="M34" s="167"/>
      <c r="N34" s="167"/>
      <c r="O34" s="167"/>
      <c r="P34" s="167"/>
      <c r="Q34" s="167"/>
      <c r="R34" s="167"/>
      <c r="S34" s="167"/>
      <c r="T34" s="167"/>
      <c r="U34" s="167"/>
      <c r="V34" s="167"/>
      <c r="W34" s="73"/>
      <c r="X34" s="74"/>
      <c r="Y34" s="77"/>
    </row>
    <row r="35" spans="1:29" x14ac:dyDescent="0.3">
      <c r="A35" s="32" t="s">
        <v>105</v>
      </c>
      <c r="B35" s="78" t="s">
        <v>86</v>
      </c>
      <c r="C35" s="74"/>
      <c r="D35" s="74"/>
      <c r="E35" s="74"/>
      <c r="F35" s="74"/>
      <c r="G35" s="74"/>
      <c r="H35" s="74"/>
      <c r="I35" s="74"/>
      <c r="J35" s="74"/>
      <c r="K35" s="74"/>
      <c r="L35" s="74"/>
      <c r="M35" s="74"/>
      <c r="N35" s="74"/>
      <c r="O35" s="74"/>
      <c r="P35" s="74"/>
      <c r="Q35" s="74"/>
      <c r="R35" s="74"/>
      <c r="S35" s="74"/>
      <c r="T35" s="74"/>
      <c r="U35" s="74"/>
      <c r="V35" s="74"/>
      <c r="W35" s="73"/>
      <c r="X35" s="74"/>
      <c r="Y35" s="77"/>
      <c r="Z35" s="166"/>
      <c r="AA35" s="32"/>
    </row>
    <row r="36" spans="1:29" x14ac:dyDescent="0.3">
      <c r="A36" s="32" t="str">
        <f>A22</f>
        <v>RES</v>
      </c>
      <c r="B36" s="79">
        <v>0</v>
      </c>
      <c r="C36" s="79">
        <v>0</v>
      </c>
      <c r="D36" s="79">
        <v>0</v>
      </c>
      <c r="E36" s="79">
        <v>0</v>
      </c>
      <c r="F36" s="79">
        <v>0</v>
      </c>
      <c r="G36" s="79">
        <v>-0.31</v>
      </c>
      <c r="H36" s="79">
        <v>0</v>
      </c>
      <c r="I36" s="79">
        <v>0</v>
      </c>
      <c r="J36" s="79">
        <v>-0.05</v>
      </c>
      <c r="K36" s="79"/>
      <c r="L36" s="79"/>
      <c r="M36" s="79"/>
      <c r="N36" s="79">
        <f>'[1]OAR.3 (M3)'!D7</f>
        <v>137.64999999999998</v>
      </c>
      <c r="O36" s="79">
        <f>'[1]OAR.3 (M3)'!E7</f>
        <v>348.01</v>
      </c>
      <c r="P36" s="79">
        <f>'[1]OAR.3 (M3)'!F7</f>
        <v>274.48999999999995</v>
      </c>
      <c r="Q36" s="79">
        <f>'[1]OAR.3 (M3)'!G7</f>
        <v>233.85000000000002</v>
      </c>
      <c r="R36" s="79">
        <f>'[1]OAR.3 (M3)'!H7</f>
        <v>270.81</v>
      </c>
      <c r="S36" s="79">
        <f>'[1]OAR.3 (M3)'!I7</f>
        <v>369.65999999999997</v>
      </c>
      <c r="T36" s="79">
        <f>'[1]OAR.3 (M3)'!J7</f>
        <v>365.74999999999994</v>
      </c>
      <c r="U36" s="79">
        <f>'[1]OAR.3 (M3)'!K7</f>
        <v>319.05999999999995</v>
      </c>
      <c r="V36" s="79">
        <f>'[1]OAR.3 (M3)'!L7</f>
        <v>247.63</v>
      </c>
      <c r="W36" s="85">
        <f>-('PCR (M3)'!AW28*'OAR (M3)'!$Z$22*PPC!$B$14)</f>
        <v>302.57243929591885</v>
      </c>
      <c r="X36" s="89">
        <f>-('PCR (M3)'!AX28*'OAR (M3)'!$Z$22*PPC!$B$14)</f>
        <v>434.87233934568565</v>
      </c>
      <c r="Y36" s="90">
        <f>-('PCR (M3)'!AY28*'OAR (M3)'!$Z$22*PPC!$B$14)</f>
        <v>537.59973954945099</v>
      </c>
      <c r="Z36" s="178"/>
      <c r="AA36" s="176"/>
      <c r="AB36" s="74"/>
      <c r="AC36" s="74"/>
    </row>
    <row r="37" spans="1:29" x14ac:dyDescent="0.3">
      <c r="A37" s="32"/>
      <c r="B37" s="78" t="s">
        <v>68</v>
      </c>
      <c r="C37" s="83"/>
      <c r="D37" s="83"/>
      <c r="E37" s="83"/>
      <c r="F37" s="83"/>
      <c r="G37" s="83"/>
      <c r="H37" s="83"/>
      <c r="I37" s="83"/>
      <c r="J37" s="83"/>
      <c r="K37" s="83"/>
      <c r="L37" s="83"/>
      <c r="M37" s="83"/>
      <c r="N37" s="83"/>
      <c r="O37" s="83"/>
      <c r="P37" s="83"/>
      <c r="Q37" s="83"/>
      <c r="R37" s="83"/>
      <c r="S37" s="83"/>
      <c r="T37" s="83"/>
      <c r="U37" s="83"/>
      <c r="V37" s="83"/>
      <c r="W37" s="82"/>
      <c r="X37" s="83"/>
      <c r="Y37" s="77"/>
      <c r="AA37" s="74"/>
      <c r="AB37" s="74"/>
      <c r="AC37" s="74"/>
    </row>
    <row r="38" spans="1:29" ht="15" thickBot="1" x14ac:dyDescent="0.35">
      <c r="A38" s="32" t="s">
        <v>88</v>
      </c>
      <c r="B38" s="94">
        <v>-9.68</v>
      </c>
      <c r="C38" s="94">
        <v>-8.9</v>
      </c>
      <c r="D38" s="94">
        <v>-8.9</v>
      </c>
      <c r="E38" s="94">
        <v>-9.35</v>
      </c>
      <c r="F38" s="94">
        <v>-8.89</v>
      </c>
      <c r="G38" s="94">
        <v>-5.82</v>
      </c>
      <c r="H38" s="94">
        <v>-8.5500000000000007</v>
      </c>
      <c r="I38" s="94">
        <v>-8.06</v>
      </c>
      <c r="J38" s="94">
        <v>-25.48</v>
      </c>
      <c r="K38" s="94">
        <f>-(SUM('[1]OAR.4 (M3)'!$W$16:$W$18))</f>
        <v>-1850.36</v>
      </c>
      <c r="L38" s="94">
        <f>-'[1]OAR.4 (M3)'!$W$19</f>
        <v>-44.25</v>
      </c>
      <c r="M38" s="94">
        <f>-'[1]OAR.4 (M3)'!$W$20</f>
        <v>-39.840000000000003</v>
      </c>
      <c r="N38" s="94">
        <f>-'[1]OAR.4 (M3)'!$W$21</f>
        <v>-45.04</v>
      </c>
      <c r="O38" s="94">
        <f>-'[1]OAR.4 (M3)'!$W$22</f>
        <v>-94.99</v>
      </c>
      <c r="P38" s="94">
        <f>-'[1]OAR.4 (M3)'!$W$23</f>
        <v>-75.650000000000006</v>
      </c>
      <c r="Q38" s="94">
        <f>-'[1]OAR.4 (M3)'!$W$24</f>
        <v>-108.4</v>
      </c>
      <c r="R38" s="94">
        <f>-'[1]OAR.4 (M3)'!$W$25</f>
        <v>-147.93</v>
      </c>
      <c r="S38" s="94">
        <f>-'[1]OAR.4 (M3)'!$W$26</f>
        <v>-166.64</v>
      </c>
      <c r="T38" s="94">
        <f>-'[1]OAR.4 (M3)'!$W$27</f>
        <v>-162.37</v>
      </c>
      <c r="U38" s="94">
        <f>-'[1]OAR.4 (M3)'!$W$28</f>
        <v>-135.32</v>
      </c>
      <c r="V38" s="94">
        <f>-'[1]OAR.4 (M3)'!$W$29</f>
        <v>-123.35</v>
      </c>
      <c r="W38" s="196">
        <f>'[2]MEEIA 3 calcs'!AX79</f>
        <v>-84.096350354399888</v>
      </c>
      <c r="X38" s="197">
        <f>'[2]MEEIA 3 calcs'!AY79</f>
        <v>-34.45956276150001</v>
      </c>
      <c r="Y38" s="126">
        <f>'[2]MEEIA 3 calcs'!AZ79</f>
        <v>23.922489574742499</v>
      </c>
      <c r="Z38" s="32"/>
      <c r="AA38" s="264"/>
      <c r="AB38" s="264"/>
      <c r="AC38" s="264"/>
    </row>
    <row r="39" spans="1:29" x14ac:dyDescent="0.3">
      <c r="B39" s="120"/>
      <c r="C39" s="120"/>
      <c r="D39" s="120"/>
      <c r="E39" s="120"/>
      <c r="F39" s="120"/>
      <c r="G39" s="120"/>
      <c r="H39" s="120"/>
      <c r="I39" s="120"/>
      <c r="J39" s="120"/>
      <c r="K39" s="120"/>
      <c r="L39" s="120"/>
      <c r="M39" s="120"/>
      <c r="N39" s="120"/>
      <c r="O39" s="120"/>
      <c r="P39" s="120"/>
      <c r="Q39" s="120"/>
      <c r="R39" s="120"/>
      <c r="S39" s="120"/>
      <c r="T39" s="120"/>
      <c r="U39" s="120"/>
      <c r="V39" s="120"/>
      <c r="W39" s="121"/>
      <c r="X39" s="122"/>
      <c r="Y39" s="123"/>
      <c r="AA39" s="74"/>
      <c r="AB39" s="74"/>
      <c r="AC39" s="74"/>
    </row>
    <row r="40" spans="1:29" x14ac:dyDescent="0.3">
      <c r="A40" s="32" t="s">
        <v>69</v>
      </c>
      <c r="B40" s="74"/>
      <c r="C40" s="74"/>
      <c r="D40" s="74"/>
      <c r="E40" s="74"/>
      <c r="F40" s="74"/>
      <c r="G40" s="74"/>
      <c r="H40" s="74"/>
      <c r="I40" s="74"/>
      <c r="J40" s="74"/>
      <c r="K40" s="74"/>
      <c r="L40" s="74"/>
      <c r="M40" s="74"/>
      <c r="N40" s="74"/>
      <c r="O40" s="74"/>
      <c r="P40" s="74"/>
      <c r="Q40" s="74"/>
      <c r="R40" s="74"/>
      <c r="S40" s="74"/>
      <c r="T40" s="74"/>
      <c r="U40" s="74"/>
      <c r="V40" s="74"/>
      <c r="W40" s="73"/>
      <c r="X40" s="74"/>
      <c r="Y40" s="77"/>
      <c r="AA40" s="74"/>
      <c r="AB40" s="74"/>
      <c r="AC40" s="74"/>
    </row>
    <row r="41" spans="1:29" x14ac:dyDescent="0.3">
      <c r="A41" s="139" t="s">
        <v>0</v>
      </c>
      <c r="B41" s="86">
        <f t="shared" ref="B41:I41" si="21">B15-B29</f>
        <v>-26962.441870856175</v>
      </c>
      <c r="C41" s="86">
        <f t="shared" si="21"/>
        <v>0</v>
      </c>
      <c r="D41" s="86">
        <f t="shared" si="21"/>
        <v>0</v>
      </c>
      <c r="E41" s="86">
        <f t="shared" si="21"/>
        <v>0</v>
      </c>
      <c r="F41" s="86">
        <f t="shared" si="21"/>
        <v>0</v>
      </c>
      <c r="G41" s="86">
        <f t="shared" si="21"/>
        <v>-0.15686485692455363</v>
      </c>
      <c r="H41" s="86">
        <f t="shared" si="21"/>
        <v>0</v>
      </c>
      <c r="I41" s="86">
        <f t="shared" si="21"/>
        <v>0</v>
      </c>
      <c r="J41" s="86">
        <f>J15-J29</f>
        <v>-82899.862639111845</v>
      </c>
      <c r="K41" s="390">
        <f t="shared" ref="K41:V41" si="22">K15-K29</f>
        <v>967.04033262850135</v>
      </c>
      <c r="L41" s="86">
        <f t="shared" si="22"/>
        <v>0</v>
      </c>
      <c r="M41" s="86">
        <f t="shared" si="22"/>
        <v>0</v>
      </c>
      <c r="N41" s="86">
        <f t="shared" si="22"/>
        <v>4047.0629511177281</v>
      </c>
      <c r="O41" s="86">
        <f t="shared" si="22"/>
        <v>9639.7381297718857</v>
      </c>
      <c r="P41" s="86">
        <f t="shared" si="22"/>
        <v>7452.2854126414959</v>
      </c>
      <c r="Q41" s="86">
        <f t="shared" si="22"/>
        <v>7114.8111207440816</v>
      </c>
      <c r="R41" s="86">
        <f t="shared" si="22"/>
        <v>9358.1112396599638</v>
      </c>
      <c r="S41" s="86">
        <f t="shared" si="22"/>
        <v>12807.752014937581</v>
      </c>
      <c r="T41" s="86">
        <f t="shared" si="22"/>
        <v>12242.723481482135</v>
      </c>
      <c r="U41" s="86">
        <f t="shared" si="22"/>
        <v>10253.565461444761</v>
      </c>
      <c r="V41" s="86">
        <f t="shared" si="22"/>
        <v>7164.6087355623667</v>
      </c>
      <c r="W41" s="85">
        <f>W15-W29</f>
        <v>6455.8500854282793</v>
      </c>
      <c r="X41" s="89">
        <f t="shared" ref="B41:Y45" si="23">X15-X29</f>
        <v>9250.2357865316208</v>
      </c>
      <c r="Y41" s="90">
        <f t="shared" si="23"/>
        <v>11419.683380532151</v>
      </c>
    </row>
    <row r="42" spans="1:29" x14ac:dyDescent="0.3">
      <c r="A42" s="139" t="s">
        <v>4</v>
      </c>
      <c r="B42" s="86">
        <f t="shared" si="23"/>
        <v>-5076.1503750323909</v>
      </c>
      <c r="C42" s="86">
        <f t="shared" si="23"/>
        <v>0</v>
      </c>
      <c r="D42" s="86">
        <f t="shared" si="23"/>
        <v>0</v>
      </c>
      <c r="E42" s="86">
        <f t="shared" si="23"/>
        <v>0</v>
      </c>
      <c r="F42" s="86">
        <f t="shared" si="23"/>
        <v>0</v>
      </c>
      <c r="G42" s="86">
        <f t="shared" si="23"/>
        <v>3.4391087314137973E-2</v>
      </c>
      <c r="H42" s="86">
        <f t="shared" si="23"/>
        <v>0</v>
      </c>
      <c r="I42" s="86">
        <f t="shared" si="23"/>
        <v>0</v>
      </c>
      <c r="J42" s="86">
        <f t="shared" si="23"/>
        <v>-15607.335097337944</v>
      </c>
      <c r="K42" s="390">
        <f t="shared" ref="K42:V42" si="24">K16-K30</f>
        <v>182.06222458098637</v>
      </c>
      <c r="L42" s="86">
        <f t="shared" si="24"/>
        <v>0</v>
      </c>
      <c r="M42" s="86">
        <f t="shared" si="24"/>
        <v>0</v>
      </c>
      <c r="N42" s="86">
        <f t="shared" si="24"/>
        <v>962.74242476715358</v>
      </c>
      <c r="O42" s="86">
        <f t="shared" si="24"/>
        <v>1853.5252382828273</v>
      </c>
      <c r="P42" s="86">
        <f t="shared" si="24"/>
        <v>1626.0722048795992</v>
      </c>
      <c r="Q42" s="86">
        <f t="shared" si="24"/>
        <v>1588.6522019991728</v>
      </c>
      <c r="R42" s="86">
        <f t="shared" si="24"/>
        <v>1887.1973094561836</v>
      </c>
      <c r="S42" s="86">
        <f t="shared" si="24"/>
        <v>2296.2644995684414</v>
      </c>
      <c r="T42" s="86">
        <f t="shared" si="24"/>
        <v>2233.0651450749374</v>
      </c>
      <c r="U42" s="86">
        <f t="shared" si="24"/>
        <v>2032.145585206091</v>
      </c>
      <c r="V42" s="86">
        <f t="shared" si="24"/>
        <v>1633.7295266289884</v>
      </c>
      <c r="W42" s="85">
        <f t="shared" si="23"/>
        <v>1677.0796086110608</v>
      </c>
      <c r="X42" s="89">
        <f t="shared" si="23"/>
        <v>2025.0816943939374</v>
      </c>
      <c r="Y42" s="90">
        <f t="shared" si="23"/>
        <v>2387.0021220325993</v>
      </c>
    </row>
    <row r="43" spans="1:29" x14ac:dyDescent="0.3">
      <c r="A43" s="139" t="s">
        <v>5</v>
      </c>
      <c r="B43" s="86">
        <f t="shared" si="23"/>
        <v>-11223.545093004912</v>
      </c>
      <c r="C43" s="86">
        <f t="shared" si="23"/>
        <v>0</v>
      </c>
      <c r="D43" s="86">
        <f t="shared" si="23"/>
        <v>0</v>
      </c>
      <c r="E43" s="86">
        <f t="shared" si="23"/>
        <v>0</v>
      </c>
      <c r="F43" s="86">
        <f t="shared" si="23"/>
        <v>0</v>
      </c>
      <c r="G43" s="86">
        <f t="shared" si="23"/>
        <v>7.557092530758569E-2</v>
      </c>
      <c r="H43" s="86">
        <f t="shared" si="23"/>
        <v>0</v>
      </c>
      <c r="I43" s="86">
        <f t="shared" si="23"/>
        <v>0</v>
      </c>
      <c r="J43" s="86">
        <f t="shared" si="23"/>
        <v>-34508.360293869126</v>
      </c>
      <c r="K43" s="390">
        <f t="shared" ref="K43:V43" si="25">K17-K31</f>
        <v>402.54591301473556</v>
      </c>
      <c r="L43" s="86">
        <f t="shared" si="25"/>
        <v>0</v>
      </c>
      <c r="M43" s="86">
        <f t="shared" si="25"/>
        <v>0</v>
      </c>
      <c r="N43" s="86">
        <f t="shared" si="25"/>
        <v>1858.2738116198464</v>
      </c>
      <c r="O43" s="86">
        <f t="shared" si="25"/>
        <v>3608.0915933947713</v>
      </c>
      <c r="P43" s="86">
        <f t="shared" si="25"/>
        <v>3451.6376831010307</v>
      </c>
      <c r="Q43" s="86">
        <f t="shared" si="25"/>
        <v>3544.5217026929399</v>
      </c>
      <c r="R43" s="86">
        <f t="shared" si="25"/>
        <v>3993.0315091342927</v>
      </c>
      <c r="S43" s="86">
        <f t="shared" si="25"/>
        <v>4766.2766286142241</v>
      </c>
      <c r="T43" s="86">
        <f t="shared" si="25"/>
        <v>4429.2581279114056</v>
      </c>
      <c r="U43" s="86">
        <f t="shared" si="25"/>
        <v>4244.1405181655809</v>
      </c>
      <c r="V43" s="86">
        <f t="shared" si="25"/>
        <v>3643.1841863651393</v>
      </c>
      <c r="W43" s="85">
        <f t="shared" si="23"/>
        <v>3451.4615114135181</v>
      </c>
      <c r="X43" s="89">
        <f t="shared" si="23"/>
        <v>3817.4853779931723</v>
      </c>
      <c r="Y43" s="90">
        <f t="shared" si="23"/>
        <v>4172.080294390269</v>
      </c>
    </row>
    <row r="44" spans="1:29" x14ac:dyDescent="0.3">
      <c r="A44" s="139" t="s">
        <v>6</v>
      </c>
      <c r="B44" s="86">
        <f t="shared" si="23"/>
        <v>-4801.723390414465</v>
      </c>
      <c r="C44" s="86">
        <f t="shared" si="23"/>
        <v>0</v>
      </c>
      <c r="D44" s="86">
        <f t="shared" si="23"/>
        <v>0</v>
      </c>
      <c r="E44" s="86">
        <f t="shared" si="23"/>
        <v>0</v>
      </c>
      <c r="F44" s="86">
        <f t="shared" si="23"/>
        <v>0</v>
      </c>
      <c r="G44" s="86">
        <f t="shared" si="23"/>
        <v>3.3773755561765012E-2</v>
      </c>
      <c r="H44" s="86">
        <f t="shared" si="23"/>
        <v>0</v>
      </c>
      <c r="I44" s="86">
        <f t="shared" si="23"/>
        <v>0</v>
      </c>
      <c r="J44" s="86">
        <f t="shared" si="23"/>
        <v>-14763.570960392621</v>
      </c>
      <c r="K44" s="390">
        <f t="shared" ref="K44:V44" si="26">K18-K32</f>
        <v>172.21957146528257</v>
      </c>
      <c r="L44" s="86">
        <f t="shared" si="26"/>
        <v>0</v>
      </c>
      <c r="M44" s="86">
        <f t="shared" si="26"/>
        <v>0</v>
      </c>
      <c r="N44" s="86">
        <f t="shared" si="26"/>
        <v>645.51593863973255</v>
      </c>
      <c r="O44" s="86">
        <f t="shared" si="26"/>
        <v>1470.4359670333033</v>
      </c>
      <c r="P44" s="86">
        <f t="shared" si="26"/>
        <v>1528.635490421781</v>
      </c>
      <c r="Q44" s="86">
        <f t="shared" si="26"/>
        <v>1553.0760962113773</v>
      </c>
      <c r="R44" s="86">
        <f t="shared" si="26"/>
        <v>1775.7704477798277</v>
      </c>
      <c r="S44" s="86">
        <f t="shared" si="26"/>
        <v>1837.0883518029723</v>
      </c>
      <c r="T44" s="86">
        <f t="shared" si="26"/>
        <v>1820.8308399016335</v>
      </c>
      <c r="U44" s="86">
        <f t="shared" si="26"/>
        <v>1772.9697598215166</v>
      </c>
      <c r="V44" s="86">
        <f t="shared" si="26"/>
        <v>1574.6742597253885</v>
      </c>
      <c r="W44" s="85">
        <f t="shared" si="23"/>
        <v>1525.4920074504778</v>
      </c>
      <c r="X44" s="89">
        <f t="shared" si="23"/>
        <v>1584.1638347625237</v>
      </c>
      <c r="Y44" s="90">
        <f t="shared" si="23"/>
        <v>1643.0413705568562</v>
      </c>
    </row>
    <row r="45" spans="1:29" x14ac:dyDescent="0.3">
      <c r="A45" s="139" t="s">
        <v>7</v>
      </c>
      <c r="B45" s="86">
        <f t="shared" si="23"/>
        <v>-1936.1392706920603</v>
      </c>
      <c r="C45" s="86">
        <f t="shared" si="23"/>
        <v>0</v>
      </c>
      <c r="D45" s="86">
        <f t="shared" si="23"/>
        <v>0</v>
      </c>
      <c r="E45" s="86">
        <f t="shared" si="23"/>
        <v>0</v>
      </c>
      <c r="F45" s="86">
        <f t="shared" si="23"/>
        <v>0</v>
      </c>
      <c r="G45" s="86">
        <f t="shared" si="23"/>
        <v>1.3129088741064937E-2</v>
      </c>
      <c r="H45" s="86">
        <f t="shared" si="23"/>
        <v>0</v>
      </c>
      <c r="I45" s="86">
        <f t="shared" si="23"/>
        <v>0</v>
      </c>
      <c r="J45" s="86">
        <f t="shared" si="23"/>
        <v>-5952.9310092884298</v>
      </c>
      <c r="K45" s="390">
        <f t="shared" ref="K45:V45" si="27">K19-K33</f>
        <v>69.441958310495465</v>
      </c>
      <c r="L45" s="86">
        <f t="shared" si="27"/>
        <v>0</v>
      </c>
      <c r="M45" s="86">
        <f t="shared" si="27"/>
        <v>0</v>
      </c>
      <c r="N45" s="86">
        <f t="shared" si="27"/>
        <v>143.13487385553915</v>
      </c>
      <c r="O45" s="86">
        <f t="shared" si="27"/>
        <v>539.34907151721313</v>
      </c>
      <c r="P45" s="86">
        <f t="shared" si="27"/>
        <v>451.69920895609437</v>
      </c>
      <c r="Q45" s="86">
        <f t="shared" si="27"/>
        <v>490.2988783524288</v>
      </c>
      <c r="R45" s="86">
        <f t="shared" si="27"/>
        <v>598.31949396973391</v>
      </c>
      <c r="S45" s="86">
        <f t="shared" si="27"/>
        <v>685.23850507678094</v>
      </c>
      <c r="T45" s="86">
        <f t="shared" si="27"/>
        <v>677.34240562988782</v>
      </c>
      <c r="U45" s="86">
        <f t="shared" si="27"/>
        <v>706.47867536205138</v>
      </c>
      <c r="V45" s="86">
        <f t="shared" si="27"/>
        <v>607.123291718117</v>
      </c>
      <c r="W45" s="85">
        <f t="shared" si="23"/>
        <v>585.81432529180881</v>
      </c>
      <c r="X45" s="89">
        <f t="shared" si="23"/>
        <v>571.99574530403891</v>
      </c>
      <c r="Y45" s="90">
        <f t="shared" si="23"/>
        <v>601.7129474757752</v>
      </c>
    </row>
    <row r="46" spans="1:29" x14ac:dyDescent="0.3">
      <c r="B46" s="74"/>
      <c r="C46" s="74"/>
      <c r="D46" s="74"/>
      <c r="E46" s="74"/>
      <c r="F46" s="74"/>
      <c r="G46" s="74"/>
      <c r="H46" s="74"/>
      <c r="I46" s="74"/>
      <c r="J46" s="74"/>
      <c r="K46" s="74"/>
      <c r="L46" s="74"/>
      <c r="M46" s="74"/>
      <c r="N46" s="74"/>
      <c r="O46" s="74"/>
      <c r="P46" s="74"/>
      <c r="Q46" s="74"/>
      <c r="R46" s="74"/>
      <c r="S46" s="74"/>
      <c r="T46" s="74"/>
      <c r="U46" s="74"/>
      <c r="V46" s="74"/>
      <c r="W46" s="73"/>
      <c r="X46" s="74"/>
      <c r="Y46" s="77"/>
    </row>
    <row r="47" spans="1:29" x14ac:dyDescent="0.3">
      <c r="A47" s="139" t="s">
        <v>70</v>
      </c>
      <c r="B47" s="74"/>
      <c r="C47" s="74"/>
      <c r="D47" s="74"/>
      <c r="E47" s="74"/>
      <c r="F47" s="74"/>
      <c r="G47" s="74"/>
      <c r="H47" s="74"/>
      <c r="I47" s="74"/>
      <c r="J47" s="74"/>
      <c r="K47" s="74"/>
      <c r="L47" s="74"/>
      <c r="M47" s="74"/>
      <c r="N47" s="74"/>
      <c r="O47" s="74"/>
      <c r="P47" s="74"/>
      <c r="Q47" s="74"/>
      <c r="R47" s="74"/>
      <c r="S47" s="74"/>
      <c r="T47" s="74"/>
      <c r="U47" s="74"/>
      <c r="V47" s="74"/>
      <c r="W47" s="73"/>
      <c r="X47" s="74"/>
      <c r="Y47" s="77"/>
    </row>
    <row r="48" spans="1:29" x14ac:dyDescent="0.3">
      <c r="A48" s="139" t="s">
        <v>0</v>
      </c>
      <c r="B48" s="86">
        <f>B41</f>
        <v>-26962.441870856175</v>
      </c>
      <c r="C48" s="86">
        <f t="shared" ref="C48:J52" si="28">B48+C41+B55</f>
        <v>-26967.659485326112</v>
      </c>
      <c r="D48" s="86">
        <f t="shared" si="28"/>
        <v>-26972.461391720168</v>
      </c>
      <c r="E48" s="86">
        <f t="shared" si="28"/>
        <v>-26977.521492908407</v>
      </c>
      <c r="F48" s="86">
        <f t="shared" si="28"/>
        <v>-26982.563411825289</v>
      </c>
      <c r="G48" s="86">
        <f t="shared" si="28"/>
        <v>-26987.254673978099</v>
      </c>
      <c r="H48" s="86">
        <f t="shared" si="28"/>
        <v>-26990.393044313514</v>
      </c>
      <c r="I48" s="86">
        <f t="shared" si="28"/>
        <v>-26995.006129832676</v>
      </c>
      <c r="J48" s="86">
        <f>I48+J41+I55</f>
        <v>-109899.21570729409</v>
      </c>
      <c r="K48" s="86">
        <f>J48+K41+J55</f>
        <v>-108945.912776629</v>
      </c>
      <c r="L48" s="86">
        <f>K48+L41+K55</f>
        <v>-109943.59154963001</v>
      </c>
      <c r="M48" s="86">
        <f>L48+M41+L55</f>
        <v>-109967.4551726545</v>
      </c>
      <c r="N48" s="86">
        <f>M48+N41+M55+M65</f>
        <v>-92219.527828281745</v>
      </c>
      <c r="O48" s="86">
        <f t="shared" ref="K48:V52" si="29">N48+O41+N55</f>
        <v>-82602.525577750261</v>
      </c>
      <c r="P48" s="86">
        <f t="shared" si="29"/>
        <v>-75197.619321729653</v>
      </c>
      <c r="Q48" s="86">
        <f t="shared" si="29"/>
        <v>-68120.433079154463</v>
      </c>
      <c r="R48" s="86">
        <f t="shared" si="29"/>
        <v>-58816.233769409031</v>
      </c>
      <c r="S48" s="86">
        <f t="shared" si="29"/>
        <v>-46081.309289476463</v>
      </c>
      <c r="T48" s="86">
        <f t="shared" si="29"/>
        <v>-33917.56494799647</v>
      </c>
      <c r="U48" s="86">
        <f t="shared" si="29"/>
        <v>-23736.471543281015</v>
      </c>
      <c r="V48" s="86">
        <f t="shared" si="29"/>
        <v>-16628.072671250862</v>
      </c>
      <c r="W48" s="306">
        <f>V48+W41+V55</f>
        <v>-10220.307092104216</v>
      </c>
      <c r="X48" s="89">
        <f>W48+X41+W55</f>
        <v>-999.62604894463948</v>
      </c>
      <c r="Y48" s="371">
        <f>X48+Y41+X55</f>
        <v>10417.166646300042</v>
      </c>
      <c r="Z48" s="31"/>
    </row>
    <row r="49" spans="1:26" x14ac:dyDescent="0.3">
      <c r="A49" s="139" t="s">
        <v>4</v>
      </c>
      <c r="B49" s="86">
        <f>B42</f>
        <v>-5076.1503750323909</v>
      </c>
      <c r="C49" s="86">
        <f t="shared" si="28"/>
        <v>-5077.13268204209</v>
      </c>
      <c r="D49" s="86">
        <f t="shared" si="28"/>
        <v>-5078.0367247493423</v>
      </c>
      <c r="E49" s="86">
        <f t="shared" si="28"/>
        <v>-5078.9893771339966</v>
      </c>
      <c r="F49" s="86">
        <f t="shared" si="28"/>
        <v>-5079.9386063886541</v>
      </c>
      <c r="G49" s="86">
        <f t="shared" si="28"/>
        <v>-5080.7578947508609</v>
      </c>
      <c r="H49" s="86">
        <f t="shared" si="28"/>
        <v>-5081.3487403204063</v>
      </c>
      <c r="I49" s="86">
        <f t="shared" si="28"/>
        <v>-5082.2172232748153</v>
      </c>
      <c r="J49" s="86">
        <f t="shared" si="28"/>
        <v>-20690.37069734668</v>
      </c>
      <c r="K49" s="86">
        <f>J49+K42+J56</f>
        <v>-20510.894769102862</v>
      </c>
      <c r="L49" s="86">
        <f t="shared" si="29"/>
        <v>-20698.725205346589</v>
      </c>
      <c r="M49" s="86">
        <f>L49+M42+L56</f>
        <v>-20703.21793264816</v>
      </c>
      <c r="N49" s="86">
        <f>M49+N42+M56+M66</f>
        <v>-21596.225431768027</v>
      </c>
      <c r="O49" s="86">
        <f t="shared" si="29"/>
        <v>-19748.024544900003</v>
      </c>
      <c r="P49" s="86">
        <f t="shared" si="29"/>
        <v>-18133.279411938867</v>
      </c>
      <c r="Q49" s="86">
        <f t="shared" si="29"/>
        <v>-16553.700135849194</v>
      </c>
      <c r="R49" s="86">
        <f t="shared" si="29"/>
        <v>-14679.603769549274</v>
      </c>
      <c r="S49" s="86">
        <f t="shared" si="29"/>
        <v>-12401.51587342637</v>
      </c>
      <c r="T49" s="86">
        <f t="shared" si="29"/>
        <v>-10189.705789752863</v>
      </c>
      <c r="U49" s="86">
        <f t="shared" si="29"/>
        <v>-8179.3326677876385</v>
      </c>
      <c r="V49" s="86">
        <f t="shared" si="29"/>
        <v>-6564.9724552625848</v>
      </c>
      <c r="W49" s="306">
        <f t="shared" ref="W49:X52" si="30">V49+W42+V56</f>
        <v>-4906.8772151652374</v>
      </c>
      <c r="X49" s="89">
        <f t="shared" si="30"/>
        <v>-2895.9850647395415</v>
      </c>
      <c r="Y49" s="371">
        <f t="shared" ref="Y49" si="31">X49+Y42+X56</f>
        <v>-517.35745578432045</v>
      </c>
      <c r="Z49" s="31"/>
    </row>
    <row r="50" spans="1:26" x14ac:dyDescent="0.3">
      <c r="A50" s="139" t="s">
        <v>5</v>
      </c>
      <c r="B50" s="86">
        <f>B43</f>
        <v>-11223.545093004912</v>
      </c>
      <c r="C50" s="86">
        <f t="shared" si="28"/>
        <v>-11225.717007980631</v>
      </c>
      <c r="D50" s="86">
        <f t="shared" si="28"/>
        <v>-11227.715877860601</v>
      </c>
      <c r="E50" s="86">
        <f t="shared" si="28"/>
        <v>-11229.822225428577</v>
      </c>
      <c r="F50" s="86">
        <f t="shared" si="28"/>
        <v>-11231.921004337029</v>
      </c>
      <c r="G50" s="86">
        <f t="shared" si="28"/>
        <v>-11233.732948376566</v>
      </c>
      <c r="H50" s="86">
        <f t="shared" si="28"/>
        <v>-11235.039328542576</v>
      </c>
      <c r="I50" s="86">
        <f t="shared" si="28"/>
        <v>-11236.959574651946</v>
      </c>
      <c r="J50" s="86">
        <f t="shared" si="28"/>
        <v>-45747.129328028983</v>
      </c>
      <c r="K50" s="86">
        <f t="shared" si="29"/>
        <v>-45350.30180618025</v>
      </c>
      <c r="L50" s="86">
        <f t="shared" si="29"/>
        <v>-45765.601435853343</v>
      </c>
      <c r="M50" s="86">
        <f t="shared" si="29"/>
        <v>-45775.535012196997</v>
      </c>
      <c r="N50" s="86">
        <f>M50+N43+M57+M67</f>
        <v>-41856.158479599901</v>
      </c>
      <c r="O50" s="86">
        <f t="shared" si="29"/>
        <v>-38258.386138396825</v>
      </c>
      <c r="P50" s="86">
        <f t="shared" si="29"/>
        <v>-34828.692700417057</v>
      </c>
      <c r="Q50" s="86">
        <f t="shared" si="29"/>
        <v>-31301.597418021131</v>
      </c>
      <c r="R50" s="86">
        <f t="shared" si="29"/>
        <v>-27333.338645200074</v>
      </c>
      <c r="S50" s="86">
        <f t="shared" si="29"/>
        <v>-22600.906748718673</v>
      </c>
      <c r="T50" s="86">
        <f t="shared" si="29"/>
        <v>-18210.384503224785</v>
      </c>
      <c r="U50" s="86">
        <f t="shared" si="29"/>
        <v>-14005.154326081731</v>
      </c>
      <c r="V50" s="86">
        <f t="shared" si="29"/>
        <v>-10395.135465573099</v>
      </c>
      <c r="W50" s="306">
        <f t="shared" si="30"/>
        <v>-6973.7342603944107</v>
      </c>
      <c r="X50" s="89">
        <f t="shared" si="30"/>
        <v>-3176.4152946776385</v>
      </c>
      <c r="Y50" s="371">
        <f t="shared" ref="Y50" si="32">X50+Y43+X57</f>
        <v>986.47954784399155</v>
      </c>
      <c r="Z50" s="31"/>
    </row>
    <row r="51" spans="1:26" x14ac:dyDescent="0.3">
      <c r="A51" s="139" t="s">
        <v>6</v>
      </c>
      <c r="B51" s="86">
        <f>B44</f>
        <v>-4801.723390414465</v>
      </c>
      <c r="C51" s="86">
        <f t="shared" si="28"/>
        <v>-4802.6525919149253</v>
      </c>
      <c r="D51" s="86">
        <f t="shared" si="28"/>
        <v>-4803.5077602398624</v>
      </c>
      <c r="E51" s="86">
        <f t="shared" si="28"/>
        <v>-4804.4089103044525</v>
      </c>
      <c r="F51" s="86">
        <f t="shared" si="28"/>
        <v>-4805.3068223003957</v>
      </c>
      <c r="G51" s="86">
        <f t="shared" si="28"/>
        <v>-4806.0805763518993</v>
      </c>
      <c r="H51" s="86">
        <f t="shared" si="28"/>
        <v>-4806.6394794671905</v>
      </c>
      <c r="I51" s="86">
        <f t="shared" si="28"/>
        <v>-4807.461010259357</v>
      </c>
      <c r="J51" s="86">
        <f t="shared" si="28"/>
        <v>-19571.806104079806</v>
      </c>
      <c r="K51" s="86">
        <f t="shared" si="29"/>
        <v>-19402.03300837753</v>
      </c>
      <c r="L51" s="86">
        <f t="shared" si="29"/>
        <v>-19579.708950132197</v>
      </c>
      <c r="M51" s="86">
        <f t="shared" si="29"/>
        <v>-19583.958791225519</v>
      </c>
      <c r="N51" s="86">
        <f>M51+N44+M58+M68</f>
        <v>-18588.071372116476</v>
      </c>
      <c r="O51" s="86">
        <f t="shared" si="29"/>
        <v>-17122.218123689312</v>
      </c>
      <c r="P51" s="86">
        <f t="shared" si="29"/>
        <v>-15603.403595138918</v>
      </c>
      <c r="Q51" s="86">
        <f t="shared" si="29"/>
        <v>-14058.134609905024</v>
      </c>
      <c r="R51" s="86">
        <f t="shared" si="29"/>
        <v>-12293.490062733281</v>
      </c>
      <c r="S51" s="86">
        <f t="shared" si="29"/>
        <v>-10471.623776684937</v>
      </c>
      <c r="T51" s="86">
        <f t="shared" si="29"/>
        <v>-8668.7403400376952</v>
      </c>
      <c r="U51" s="86">
        <f t="shared" si="29"/>
        <v>-6914.2931788360411</v>
      </c>
      <c r="V51" s="86">
        <f t="shared" si="29"/>
        <v>-5355.99251850159</v>
      </c>
      <c r="W51" s="306">
        <f t="shared" si="30"/>
        <v>-3845.9887916830307</v>
      </c>
      <c r="X51" s="89">
        <f t="shared" si="30"/>
        <v>-2272.9466591086698</v>
      </c>
      <c r="Y51" s="371">
        <f t="shared" ref="Y51" si="33">X51+Y44+X58</f>
        <v>-636.47811993573532</v>
      </c>
      <c r="Z51" s="31"/>
    </row>
    <row r="52" spans="1:26" x14ac:dyDescent="0.3">
      <c r="A52" s="139" t="s">
        <v>7</v>
      </c>
      <c r="B52" s="86">
        <f>B45</f>
        <v>-1936.1392706920603</v>
      </c>
      <c r="C52" s="86">
        <f t="shared" si="28"/>
        <v>-1936.513941069579</v>
      </c>
      <c r="D52" s="86">
        <f t="shared" si="28"/>
        <v>-1936.858759969449</v>
      </c>
      <c r="E52" s="86">
        <f t="shared" si="28"/>
        <v>-1937.2221195149662</v>
      </c>
      <c r="F52" s="86">
        <f t="shared" si="28"/>
        <v>-1937.5841734142894</v>
      </c>
      <c r="G52" s="86">
        <f t="shared" si="28"/>
        <v>-1937.8966537312369</v>
      </c>
      <c r="H52" s="86">
        <f t="shared" si="28"/>
        <v>-1938.1220133480133</v>
      </c>
      <c r="I52" s="86">
        <f t="shared" si="28"/>
        <v>-1938.4532690870265</v>
      </c>
      <c r="J52" s="86">
        <f t="shared" si="28"/>
        <v>-7891.6964226592445</v>
      </c>
      <c r="K52" s="86">
        <f t="shared" si="29"/>
        <v>-7823.2409264015814</v>
      </c>
      <c r="L52" s="86">
        <f t="shared" si="29"/>
        <v>-7894.8829891432333</v>
      </c>
      <c r="M52" s="86">
        <f t="shared" si="29"/>
        <v>-7896.5965998123038</v>
      </c>
      <c r="N52" s="86">
        <f>M52+N45+M59+M69</f>
        <v>-8411.0382018181008</v>
      </c>
      <c r="O52" s="86">
        <f t="shared" si="29"/>
        <v>-7873.7627946683624</v>
      </c>
      <c r="P52" s="86">
        <f t="shared" si="29"/>
        <v>-7426.5798185760341</v>
      </c>
      <c r="Q52" s="86">
        <f t="shared" si="29"/>
        <v>-6939.9968046805634</v>
      </c>
      <c r="R52" s="86">
        <f t="shared" si="29"/>
        <v>-6347.1697687653204</v>
      </c>
      <c r="S52" s="86">
        <f t="shared" si="29"/>
        <v>-5669.7904668182364</v>
      </c>
      <c r="T52" s="86">
        <f t="shared" si="29"/>
        <v>-5002.1655623176821</v>
      </c>
      <c r="U52" s="86">
        <f t="shared" si="29"/>
        <v>-4306.3750724712336</v>
      </c>
      <c r="V52" s="86">
        <f t="shared" si="29"/>
        <v>-3709.4496214347346</v>
      </c>
      <c r="W52" s="306">
        <f t="shared" si="30"/>
        <v>-3134.3621589098698</v>
      </c>
      <c r="X52" s="89">
        <f t="shared" si="30"/>
        <v>-2571.4302576182281</v>
      </c>
      <c r="Y52" s="371">
        <f t="shared" ref="Y52" si="34">X52+Y45+X59</f>
        <v>-1977.1532864470912</v>
      </c>
      <c r="Z52" s="31"/>
    </row>
    <row r="53" spans="1:26" x14ac:dyDescent="0.3">
      <c r="B53" s="74"/>
      <c r="C53" s="74"/>
      <c r="D53" s="74"/>
      <c r="E53" s="74"/>
      <c r="F53" s="74"/>
      <c r="G53" s="74"/>
      <c r="H53" s="74"/>
      <c r="I53" s="74"/>
      <c r="J53" s="74"/>
      <c r="K53" s="74"/>
      <c r="L53" s="74"/>
      <c r="M53" s="74"/>
      <c r="N53" s="74"/>
      <c r="O53" s="74"/>
      <c r="P53" s="74"/>
      <c r="Q53" s="74"/>
      <c r="R53" s="74"/>
      <c r="S53" s="74"/>
      <c r="T53" s="74"/>
      <c r="U53" s="74"/>
      <c r="V53" s="74"/>
      <c r="W53" s="73"/>
      <c r="X53" s="74"/>
      <c r="Y53" s="77"/>
    </row>
    <row r="54" spans="1:26" x14ac:dyDescent="0.3">
      <c r="A54" s="139" t="s">
        <v>65</v>
      </c>
      <c r="B54" s="160">
        <f>'PCR (M3)'!AB67</f>
        <v>1.9351416666666668E-4</v>
      </c>
      <c r="C54" s="160">
        <f>'PCR (M3)'!AC67</f>
        <v>1.7806166666666664E-4</v>
      </c>
      <c r="D54" s="160">
        <f>'PCR (M3)'!AD67</f>
        <v>1.8760249999999999E-4</v>
      </c>
      <c r="E54" s="160">
        <f>'PCR (M3)'!AE67</f>
        <v>1.8689333333333334E-4</v>
      </c>
      <c r="F54" s="160">
        <f>'PCR (M3)'!AF67</f>
        <v>1.6804916666666666E-4</v>
      </c>
      <c r="G54" s="160">
        <f>'PCR (M3)'!AG67</f>
        <v>1.1629083333333334E-4</v>
      </c>
      <c r="H54" s="160">
        <f>'PCR (M3)'!AH67</f>
        <v>1.7091583333333333E-4</v>
      </c>
      <c r="I54" s="160">
        <f>'PCR (M3)'!AI67</f>
        <v>1.6102749999999998E-4</v>
      </c>
      <c r="J54" s="160">
        <f>'PCR (M3)'!AJ67</f>
        <v>1.25E-4</v>
      </c>
      <c r="K54" s="160">
        <f>'PCR (M3)'!AK67</f>
        <v>1.2767416666666667E-4</v>
      </c>
      <c r="L54" s="160">
        <f>'PCR (M3)'!AL67</f>
        <v>2.1705333333333333E-4</v>
      </c>
      <c r="M54" s="160">
        <f>'PCR (M3)'!AM67</f>
        <v>1.9537499999999999E-4</v>
      </c>
      <c r="N54" s="160">
        <f>'PCR (M3)'!AN67</f>
        <v>2.4654083333333334E-4</v>
      </c>
      <c r="O54" s="160">
        <f>'PCR (M3)'!AO67</f>
        <v>5.7357999999999997E-4</v>
      </c>
      <c r="P54" s="160">
        <f>'PCR (M3)'!AP67</f>
        <v>5.0034666666666668E-4</v>
      </c>
      <c r="Q54" s="160">
        <f>'PCR (M3)'!AQ67</f>
        <v>7.9142083333333336E-4</v>
      </c>
      <c r="R54" s="160">
        <f>'PCR (M3)'!AR67</f>
        <v>1.2382216666666666E-3</v>
      </c>
      <c r="S54" s="160">
        <f>'PCR (M3)'!AS67</f>
        <v>1.7139083333333333E-3</v>
      </c>
      <c r="T54" s="160">
        <f>'PCR (M3)'!AT67</f>
        <v>2.1367116666666667E-3</v>
      </c>
      <c r="U54" s="160">
        <f>'PCR (M3)'!AU67</f>
        <v>2.3680800000000003E-3</v>
      </c>
      <c r="V54" s="160">
        <f>'PCR (M3)'!AV67</f>
        <v>2.8917666666666668E-3</v>
      </c>
      <c r="W54" s="258">
        <f>V54</f>
        <v>2.8917666666666668E-3</v>
      </c>
      <c r="X54" s="160">
        <f>W54</f>
        <v>2.8917666666666668E-3</v>
      </c>
      <c r="Y54" s="206">
        <f>W54</f>
        <v>2.8917666666666668E-3</v>
      </c>
    </row>
    <row r="55" spans="1:26" x14ac:dyDescent="0.3">
      <c r="A55" s="139" t="s">
        <v>0</v>
      </c>
      <c r="B55" s="86">
        <f t="shared" ref="B55:I59" si="35">B48*B$54</f>
        <v>-5.2176144699371738</v>
      </c>
      <c r="C55" s="86">
        <f t="shared" si="35"/>
        <v>-4.8019063940563091</v>
      </c>
      <c r="D55" s="86">
        <f t="shared" si="35"/>
        <v>-5.060101188240183</v>
      </c>
      <c r="E55" s="86">
        <f t="shared" si="35"/>
        <v>-5.0419189168812952</v>
      </c>
      <c r="F55" s="86">
        <f t="shared" si="35"/>
        <v>-4.5343972958877297</v>
      </c>
      <c r="G55" s="86">
        <f t="shared" si="35"/>
        <v>-3.1383703354158086</v>
      </c>
      <c r="H55" s="86">
        <f t="shared" si="35"/>
        <v>-4.6130855191630475</v>
      </c>
      <c r="I55" s="86">
        <f t="shared" si="35"/>
        <v>-4.3469383495716309</v>
      </c>
      <c r="J55" s="86">
        <f>J48*J$54</f>
        <v>-13.737401963411761</v>
      </c>
      <c r="K55" s="393">
        <v>-997.67877300101168</v>
      </c>
      <c r="L55" s="86">
        <f t="shared" ref="L55:U55" si="36">L48*L$54</f>
        <v>-23.863623024485694</v>
      </c>
      <c r="M55" s="86">
        <f t="shared" si="36"/>
        <v>-21.484891554357372</v>
      </c>
      <c r="N55" s="86">
        <f t="shared" si="36"/>
        <v>-22.735879240391107</v>
      </c>
      <c r="O55" s="86">
        <f t="shared" si="36"/>
        <v>-47.379156620885993</v>
      </c>
      <c r="P55" s="86">
        <f t="shared" si="36"/>
        <v>-37.624878168896359</v>
      </c>
      <c r="Q55" s="86">
        <f t="shared" si="36"/>
        <v>-53.911929914531996</v>
      </c>
      <c r="R55" s="86">
        <f t="shared" si="36"/>
        <v>-72.827535005013928</v>
      </c>
      <c r="S55" s="86">
        <f t="shared" si="36"/>
        <v>-78.979140002144447</v>
      </c>
      <c r="T55" s="86">
        <f t="shared" si="36"/>
        <v>-72.472056729308449</v>
      </c>
      <c r="U55" s="86">
        <f t="shared" si="36"/>
        <v>-56.209863532212914</v>
      </c>
      <c r="V55" s="86">
        <f>V48*V$54</f>
        <v>-48.084506281634205</v>
      </c>
      <c r="W55" s="306">
        <f>(W48*W$54)</f>
        <v>-29.554743372043905</v>
      </c>
      <c r="X55" s="89">
        <f t="shared" ref="X55:Y59" si="37">X48*X$54</f>
        <v>-2.8906852874698106</v>
      </c>
      <c r="Y55" s="90">
        <f t="shared" si="37"/>
        <v>30.124015268882253</v>
      </c>
    </row>
    <row r="56" spans="1:26" x14ac:dyDescent="0.3">
      <c r="A56" s="139" t="s">
        <v>4</v>
      </c>
      <c r="B56" s="86">
        <f t="shared" si="35"/>
        <v>-0.98230700969908069</v>
      </c>
      <c r="C56" s="86">
        <f t="shared" si="35"/>
        <v>-0.9040427072522178</v>
      </c>
      <c r="D56" s="86">
        <f t="shared" si="35"/>
        <v>-0.95265238465478841</v>
      </c>
      <c r="E56" s="86">
        <f t="shared" si="35"/>
        <v>-0.94922925465716312</v>
      </c>
      <c r="F56" s="86">
        <f t="shared" si="35"/>
        <v>-0.85367944952144126</v>
      </c>
      <c r="G56" s="86">
        <f t="shared" si="35"/>
        <v>-0.59084556954548995</v>
      </c>
      <c r="H56" s="86">
        <f t="shared" si="35"/>
        <v>-0.8684829544091458</v>
      </c>
      <c r="I56" s="86">
        <f t="shared" si="35"/>
        <v>-0.81837673392088528</v>
      </c>
      <c r="J56" s="86">
        <f>J49*J$54</f>
        <v>-2.586296337168335</v>
      </c>
      <c r="K56" s="393">
        <v>-187.83043624372615</v>
      </c>
      <c r="L56" s="86">
        <f t="shared" ref="L56:V56" si="38">L49*L$54</f>
        <v>-4.4927273015711613</v>
      </c>
      <c r="M56" s="86">
        <f t="shared" si="38"/>
        <v>-4.044891203591134</v>
      </c>
      <c r="N56" s="86">
        <f t="shared" si="38"/>
        <v>-5.3243514148026163</v>
      </c>
      <c r="O56" s="86">
        <f t="shared" si="38"/>
        <v>-11.327071918463743</v>
      </c>
      <c r="P56" s="86">
        <f t="shared" si="38"/>
        <v>-9.0729259094989061</v>
      </c>
      <c r="Q56" s="86">
        <f t="shared" si="38"/>
        <v>-13.100943156263883</v>
      </c>
      <c r="R56" s="86">
        <f t="shared" si="38"/>
        <v>-18.176603445537584</v>
      </c>
      <c r="S56" s="86">
        <f t="shared" si="38"/>
        <v>-21.255061401431067</v>
      </c>
      <c r="T56" s="86">
        <f t="shared" si="38"/>
        <v>-21.772463240865822</v>
      </c>
      <c r="U56" s="86">
        <f t="shared" si="38"/>
        <v>-19.369314103934553</v>
      </c>
      <c r="V56" s="86">
        <f t="shared" si="38"/>
        <v>-18.984368513713168</v>
      </c>
      <c r="W56" s="306">
        <f>(W49*W$54)</f>
        <v>-14.189543968240995</v>
      </c>
      <c r="X56" s="89">
        <f t="shared" si="37"/>
        <v>-8.3745130773783156</v>
      </c>
      <c r="Y56" s="90">
        <f t="shared" si="37"/>
        <v>-1.4960770453885719</v>
      </c>
    </row>
    <row r="57" spans="1:26" x14ac:dyDescent="0.3">
      <c r="A57" s="139" t="s">
        <v>5</v>
      </c>
      <c r="B57" s="86">
        <f t="shared" si="35"/>
        <v>-2.1719149757186016</v>
      </c>
      <c r="C57" s="86">
        <f t="shared" si="35"/>
        <v>-1.9988698799693776</v>
      </c>
      <c r="D57" s="86">
        <f t="shared" si="35"/>
        <v>-2.1063475679763433</v>
      </c>
      <c r="E57" s="86">
        <f t="shared" si="35"/>
        <v>-2.0987789084510982</v>
      </c>
      <c r="F57" s="86">
        <f t="shared" si="35"/>
        <v>-1.8875149648446674</v>
      </c>
      <c r="G57" s="86">
        <f t="shared" si="35"/>
        <v>-1.3063801660108345</v>
      </c>
      <c r="H57" s="86">
        <f t="shared" si="35"/>
        <v>-1.9202461093706282</v>
      </c>
      <c r="I57" s="86">
        <f t="shared" si="35"/>
        <v>-1.8094595079072662</v>
      </c>
      <c r="J57" s="86">
        <f>J50*J$54</f>
        <v>-5.7183911660036228</v>
      </c>
      <c r="K57" s="393">
        <v>-415.29962967309069</v>
      </c>
      <c r="L57" s="86">
        <f t="shared" ref="L57:V57" si="39">L50*L$54</f>
        <v>-9.933576343656755</v>
      </c>
      <c r="M57" s="86">
        <f t="shared" si="39"/>
        <v>-8.9433951530079874</v>
      </c>
      <c r="N57" s="86">
        <f t="shared" si="39"/>
        <v>-10.319252191692627</v>
      </c>
      <c r="O57" s="86">
        <f t="shared" si="39"/>
        <v>-21.944245121261648</v>
      </c>
      <c r="P57" s="86">
        <f t="shared" si="39"/>
        <v>-17.42642029701134</v>
      </c>
      <c r="Q57" s="86">
        <f t="shared" si="39"/>
        <v>-24.772736313234798</v>
      </c>
      <c r="R57" s="86">
        <f t="shared" si="39"/>
        <v>-33.844732132824042</v>
      </c>
      <c r="S57" s="86">
        <f t="shared" si="39"/>
        <v>-38.735882417518503</v>
      </c>
      <c r="T57" s="86">
        <f t="shared" si="39"/>
        <v>-38.910341022526268</v>
      </c>
      <c r="U57" s="86">
        <f t="shared" si="39"/>
        <v>-33.165325856507629</v>
      </c>
      <c r="V57" s="86">
        <f t="shared" si="39"/>
        <v>-30.060306234828772</v>
      </c>
      <c r="W57" s="306">
        <f>(W50*W$54)</f>
        <v>-20.166412276399878</v>
      </c>
      <c r="X57" s="89">
        <f t="shared" si="37"/>
        <v>-9.1854518686389728</v>
      </c>
      <c r="Y57" s="90">
        <f t="shared" si="37"/>
        <v>2.85266867380366</v>
      </c>
    </row>
    <row r="58" spans="1:26" x14ac:dyDescent="0.3">
      <c r="A58" s="139" t="s">
        <v>6</v>
      </c>
      <c r="B58" s="86">
        <f t="shared" si="35"/>
        <v>-0.92920150045989658</v>
      </c>
      <c r="C58" s="86">
        <f t="shared" si="35"/>
        <v>-0.85516832493735806</v>
      </c>
      <c r="D58" s="86">
        <f t="shared" si="35"/>
        <v>-0.9011500645903987</v>
      </c>
      <c r="E58" s="86">
        <f t="shared" si="35"/>
        <v>-0.89791199594316684</v>
      </c>
      <c r="F58" s="86">
        <f t="shared" si="35"/>
        <v>-0.80752780706522953</v>
      </c>
      <c r="G58" s="86">
        <f t="shared" si="35"/>
        <v>-0.55890311529110936</v>
      </c>
      <c r="H58" s="86">
        <f t="shared" si="35"/>
        <v>-0.82153079216603442</v>
      </c>
      <c r="I58" s="86">
        <f t="shared" si="35"/>
        <v>-0.77413342782953853</v>
      </c>
      <c r="J58" s="86">
        <f>J51*J$54</f>
        <v>-2.4464757630099756</v>
      </c>
      <c r="K58" s="393">
        <v>-177.67594175466829</v>
      </c>
      <c r="L58" s="86">
        <f t="shared" ref="L58:V58" si="40">L51*L$54</f>
        <v>-4.2498410933226936</v>
      </c>
      <c r="M58" s="86">
        <f t="shared" si="40"/>
        <v>-3.8262159488356855</v>
      </c>
      <c r="N58" s="86">
        <f t="shared" si="40"/>
        <v>-4.5827186061410723</v>
      </c>
      <c r="O58" s="86">
        <f t="shared" si="40"/>
        <v>-9.8209618713857143</v>
      </c>
      <c r="P58" s="86">
        <f t="shared" si="40"/>
        <v>-7.8071109774824405</v>
      </c>
      <c r="Q58" s="86">
        <f t="shared" si="40"/>
        <v>-11.12590060808321</v>
      </c>
      <c r="R58" s="86">
        <f t="shared" si="40"/>
        <v>-15.222065754627707</v>
      </c>
      <c r="S58" s="86">
        <f t="shared" si="40"/>
        <v>-17.947403254391784</v>
      </c>
      <c r="T58" s="86">
        <f t="shared" si="40"/>
        <v>-18.52259861986251</v>
      </c>
      <c r="U58" s="86">
        <f t="shared" si="40"/>
        <v>-16.373599390938054</v>
      </c>
      <c r="V58" s="86">
        <f t="shared" si="40"/>
        <v>-15.488280631918949</v>
      </c>
      <c r="W58" s="306">
        <f>(W51*W$54)</f>
        <v>-11.121702188162599</v>
      </c>
      <c r="X58" s="89">
        <f t="shared" si="37"/>
        <v>-6.5728313839218142</v>
      </c>
      <c r="Y58" s="90">
        <f t="shared" si="37"/>
        <v>-1.8405462112928284</v>
      </c>
    </row>
    <row r="59" spans="1:26" ht="15" thickBot="1" x14ac:dyDescent="0.35">
      <c r="A59" s="139" t="s">
        <v>7</v>
      </c>
      <c r="B59" s="86">
        <f t="shared" si="35"/>
        <v>-0.37467037751858184</v>
      </c>
      <c r="C59" s="86">
        <f t="shared" si="35"/>
        <v>-0.34481889987008429</v>
      </c>
      <c r="D59" s="86">
        <f t="shared" si="35"/>
        <v>-0.36335954551716854</v>
      </c>
      <c r="E59" s="86">
        <f t="shared" si="35"/>
        <v>-0.36205389932321708</v>
      </c>
      <c r="F59" s="86">
        <f t="shared" si="35"/>
        <v>-0.32560940568879349</v>
      </c>
      <c r="G59" s="86">
        <f t="shared" si="35"/>
        <v>-0.22535961677628366</v>
      </c>
      <c r="H59" s="86">
        <f t="shared" si="35"/>
        <v>-0.3312557390130535</v>
      </c>
      <c r="I59" s="86">
        <f t="shared" si="35"/>
        <v>-0.31214428378791109</v>
      </c>
      <c r="J59" s="86">
        <f>J52*J$54</f>
        <v>-0.98646205283240562</v>
      </c>
      <c r="K59" s="393">
        <v>-71.642062741651557</v>
      </c>
      <c r="L59" s="86">
        <f t="shared" ref="L59:V59" si="41">L52*L$54</f>
        <v>-1.7136106690701693</v>
      </c>
      <c r="M59" s="86">
        <f t="shared" si="41"/>
        <v>-1.5427975606883289</v>
      </c>
      <c r="N59" s="86">
        <f t="shared" si="41"/>
        <v>-2.0736643674747359</v>
      </c>
      <c r="O59" s="86">
        <f t="shared" si="41"/>
        <v>-4.5162328637658788</v>
      </c>
      <c r="P59" s="86">
        <f t="shared" si="41"/>
        <v>-3.7158644569584567</v>
      </c>
      <c r="Q59" s="86">
        <f t="shared" si="41"/>
        <v>-5.492458054490962</v>
      </c>
      <c r="R59" s="86">
        <f t="shared" si="41"/>
        <v>-7.8592031296968763</v>
      </c>
      <c r="S59" s="86">
        <f t="shared" si="41"/>
        <v>-9.7175011293336642</v>
      </c>
      <c r="T59" s="86">
        <f t="shared" si="41"/>
        <v>-10.688185515602418</v>
      </c>
      <c r="U59" s="86">
        <f t="shared" si="41"/>
        <v>-10.197840681617681</v>
      </c>
      <c r="V59" s="86">
        <f t="shared" si="41"/>
        <v>-10.726862766944251</v>
      </c>
      <c r="W59" s="306">
        <f>(W52*W$54)</f>
        <v>-9.063844012396931</v>
      </c>
      <c r="X59" s="89">
        <f t="shared" si="37"/>
        <v>-7.4359763046384719</v>
      </c>
      <c r="Y59" s="90">
        <f t="shared" si="37"/>
        <v>-5.7174659686381499</v>
      </c>
    </row>
    <row r="60" spans="1:26" ht="15.6" thickTop="1" thickBot="1" x14ac:dyDescent="0.35">
      <c r="A60" s="101" t="s">
        <v>71</v>
      </c>
      <c r="B60" s="128">
        <f t="shared" ref="B60:J60" si="42">SUM(B55:B59)+SUM(B48:B52)-B63</f>
        <v>0</v>
      </c>
      <c r="C60" s="128">
        <f t="shared" si="42"/>
        <v>0</v>
      </c>
      <c r="D60" s="128">
        <f t="shared" si="42"/>
        <v>0</v>
      </c>
      <c r="E60" s="128">
        <f t="shared" si="42"/>
        <v>0</v>
      </c>
      <c r="F60" s="128">
        <f t="shared" si="42"/>
        <v>0</v>
      </c>
      <c r="G60" s="128">
        <f t="shared" si="42"/>
        <v>0</v>
      </c>
      <c r="H60" s="128">
        <f t="shared" si="42"/>
        <v>0</v>
      </c>
      <c r="I60" s="128">
        <f t="shared" si="42"/>
        <v>0</v>
      </c>
      <c r="J60" s="128">
        <f t="shared" si="42"/>
        <v>0</v>
      </c>
      <c r="K60" s="128">
        <f>SUM(K55:K59)+SUM(K48:K52)-K63</f>
        <v>0</v>
      </c>
      <c r="L60" s="128">
        <f t="shared" ref="L60:U60" si="43">SUM(L55:L59)+SUM(L48:L52)-L63</f>
        <v>0</v>
      </c>
      <c r="M60" s="128">
        <f t="shared" si="43"/>
        <v>0</v>
      </c>
      <c r="N60" s="128">
        <f t="shared" si="43"/>
        <v>0</v>
      </c>
      <c r="O60" s="128">
        <f t="shared" si="43"/>
        <v>0</v>
      </c>
      <c r="P60" s="128">
        <f t="shared" si="43"/>
        <v>0</v>
      </c>
      <c r="Q60" s="128">
        <f t="shared" si="43"/>
        <v>0</v>
      </c>
      <c r="R60" s="128">
        <f t="shared" si="43"/>
        <v>1.1641532182693481E-10</v>
      </c>
      <c r="S60" s="128">
        <f t="shared" si="43"/>
        <v>1.1641532182693481E-10</v>
      </c>
      <c r="T60" s="128">
        <f t="shared" si="43"/>
        <v>1.1641532182693481E-10</v>
      </c>
      <c r="U60" s="128">
        <f t="shared" si="43"/>
        <v>1.1641532182693481E-10</v>
      </c>
      <c r="V60" s="128">
        <f>SUM(V55:V59)+SUM(V48:V52)-V63</f>
        <v>1.3096723705530167E-10</v>
      </c>
      <c r="W60" s="307">
        <f>SUM(W55:W59)+SUM(W48:W52)-W63</f>
        <v>1.2005330063402653E-10</v>
      </c>
      <c r="X60" s="300">
        <f>SUM(X55:X59)+SUM(X48:X52)-X63</f>
        <v>1.2005330063402653E-10</v>
      </c>
      <c r="Y60" s="309">
        <f>SUM(Y55:Y59)+SUM(Y48:Y52)-Y63</f>
        <v>1.2187229003757238E-10</v>
      </c>
    </row>
    <row r="61" spans="1:26" ht="15.6" thickTop="1" thickBot="1" x14ac:dyDescent="0.35">
      <c r="A61" s="101" t="s">
        <v>72</v>
      </c>
      <c r="B61" s="128">
        <f t="shared" ref="B61:J61" si="44">SUM(B55:B59)-B38</f>
        <v>4.2916666666652503E-3</v>
      </c>
      <c r="C61" s="128">
        <f t="shared" si="44"/>
        <v>-4.8062060853464317E-3</v>
      </c>
      <c r="D61" s="128">
        <f t="shared" si="44"/>
        <v>-0.4836107509788814</v>
      </c>
      <c r="E61" s="128">
        <f t="shared" si="44"/>
        <v>1.0702474406087958E-4</v>
      </c>
      <c r="F61" s="128">
        <f t="shared" si="44"/>
        <v>0.48127107699214022</v>
      </c>
      <c r="G61" s="128">
        <f t="shared" si="44"/>
        <v>1.4119696047476538E-4</v>
      </c>
      <c r="H61" s="128">
        <f t="shared" si="44"/>
        <v>-4.6011141219093332E-3</v>
      </c>
      <c r="I61" s="128">
        <f t="shared" si="44"/>
        <v>-1.0523030172322478E-3</v>
      </c>
      <c r="J61" s="128">
        <f t="shared" si="44"/>
        <v>4.9727175738993878E-3</v>
      </c>
      <c r="K61" s="128">
        <f>SUM(K55:K59)-K38</f>
        <v>0.23315658585147503</v>
      </c>
      <c r="L61" s="128">
        <f t="shared" ref="L61:U61" si="45">SUM(L55:L59)-L38</f>
        <v>-3.3784321064729284E-3</v>
      </c>
      <c r="M61" s="128">
        <f t="shared" si="45"/>
        <v>-2.1914204805071336E-3</v>
      </c>
      <c r="N61" s="128">
        <f t="shared" si="45"/>
        <v>4.1341794978464463E-3</v>
      </c>
      <c r="O61" s="128">
        <f t="shared" si="45"/>
        <v>2.3316042370140622E-3</v>
      </c>
      <c r="P61" s="128">
        <f t="shared" si="45"/>
        <v>2.8001901524987716E-3</v>
      </c>
      <c r="Q61" s="128">
        <f t="shared" si="45"/>
        <v>-3.9680466048537255E-3</v>
      </c>
      <c r="R61" s="128">
        <f t="shared" si="45"/>
        <v>-1.3946770013717469E-4</v>
      </c>
      <c r="S61" s="128">
        <f t="shared" si="45"/>
        <v>5.011795180507761E-3</v>
      </c>
      <c r="T61" s="128">
        <f t="shared" si="45"/>
        <v>4.3548718345221005E-3</v>
      </c>
      <c r="U61" s="128">
        <f t="shared" si="45"/>
        <v>4.0564347891631769E-3</v>
      </c>
      <c r="V61" s="128">
        <f>SUM(V55:V59)-V38</f>
        <v>5.6755709606477467E-3</v>
      </c>
      <c r="W61" s="330">
        <f>SUM(W55:W59)-W38</f>
        <v>1.0453715557900978E-4</v>
      </c>
      <c r="X61" s="106">
        <f>SUM(X55:X59)-X38</f>
        <v>1.0483945262507177E-4</v>
      </c>
      <c r="Y61" s="107">
        <f>SUM(Y55:Y59)-Y38</f>
        <v>1.0514262386607243E-4</v>
      </c>
    </row>
    <row r="62" spans="1:26" ht="15" thickTop="1" x14ac:dyDescent="0.3">
      <c r="B62" s="74"/>
      <c r="C62" s="74"/>
      <c r="D62" s="74"/>
      <c r="E62" s="74"/>
      <c r="F62" s="74"/>
      <c r="G62" s="74"/>
      <c r="H62" s="74"/>
      <c r="I62" s="74"/>
      <c r="J62" s="74"/>
      <c r="K62" s="74"/>
      <c r="L62" s="74"/>
      <c r="M62" s="74"/>
      <c r="N62" s="74"/>
      <c r="O62" s="74"/>
      <c r="P62" s="74"/>
      <c r="Q62" s="74"/>
      <c r="R62" s="74"/>
      <c r="S62" s="74"/>
      <c r="T62" s="74"/>
      <c r="U62" s="74"/>
      <c r="V62" s="74"/>
      <c r="W62" s="73"/>
      <c r="X62" s="74"/>
      <c r="Y62" s="77"/>
    </row>
    <row r="63" spans="1:26" x14ac:dyDescent="0.3">
      <c r="A63" s="139" t="s">
        <v>73</v>
      </c>
      <c r="B63" s="86">
        <f>(SUM(B15:B19)-SUM(B22:B26))+SUM(B55:B59)</f>
        <v>-50009.675708333336</v>
      </c>
      <c r="C63" s="86">
        <f t="shared" ref="C63:J63" si="46">(SUM(C15:C19)-SUM(C22:C26))+SUM(C55:C59)+B63</f>
        <v>-50018.580514539419</v>
      </c>
      <c r="D63" s="86">
        <f t="shared" si="46"/>
        <v>-50027.964125290397</v>
      </c>
      <c r="E63" s="86">
        <f t="shared" si="46"/>
        <v>-50037.31401826565</v>
      </c>
      <c r="F63" s="86">
        <f t="shared" si="46"/>
        <v>-50045.722747188658</v>
      </c>
      <c r="G63" s="86">
        <f t="shared" si="46"/>
        <v>-50051.542605991701</v>
      </c>
      <c r="H63" s="86">
        <f t="shared" si="46"/>
        <v>-50060.09720710582</v>
      </c>
      <c r="I63" s="86">
        <f t="shared" si="46"/>
        <v>-50068.15825940884</v>
      </c>
      <c r="J63" s="86">
        <f t="shared" si="46"/>
        <v>-203825.69328669124</v>
      </c>
      <c r="K63" s="86">
        <f>(SUM(K15:K19)-SUM(K22:K26))+SUM(K55:K59)+J63</f>
        <v>-203882.51013010539</v>
      </c>
      <c r="L63" s="86">
        <f>(SUM(L15:L19)-SUM(L22:L26))+SUM(L55:L59)+K63</f>
        <v>-203926.76350853749</v>
      </c>
      <c r="M63" s="86">
        <f>(SUM(M15:M19)-SUM(M22:M26))+SUM(M55:M59)+L63</f>
        <v>-203966.60569995796</v>
      </c>
      <c r="N63" s="86">
        <f>(SUM(N15:N19)-SUM(N22:N26))+SUM(N55:N59)+M63+M64</f>
        <v>-182716.05717940489</v>
      </c>
      <c r="O63" s="86">
        <f t="shared" ref="O63" si="47">(SUM(O15:O19)-SUM(O22:O26))+SUM(O55:O59)+N63</f>
        <v>-165699.90484780064</v>
      </c>
      <c r="P63" s="86">
        <f t="shared" ref="P63" si="48">(SUM(P15:P19)-SUM(P22:P26))+SUM(P55:P59)+O63</f>
        <v>-151265.2220476105</v>
      </c>
      <c r="Q63" s="86">
        <f t="shared" ref="Q63" si="49">(SUM(Q15:Q19)-SUM(Q22:Q26))+SUM(Q55:Q59)+P63</f>
        <v>-137082.26601565711</v>
      </c>
      <c r="R63" s="86">
        <f t="shared" ref="R63" si="50">(SUM(R15:R19)-SUM(R22:R26))+SUM(R55:R59)+Q63</f>
        <v>-119617.7661551248</v>
      </c>
      <c r="S63" s="86">
        <f t="shared" ref="S63" si="51">(SUM(S15:S19)-SUM(S22:S26))+SUM(S55:S59)+R63</f>
        <v>-97391.781143329616</v>
      </c>
      <c r="T63" s="86">
        <f t="shared" ref="T63" si="52">(SUM(T15:T19)-SUM(T22:T26))+SUM(T55:T59)+S63</f>
        <v>-76150.926788457786</v>
      </c>
      <c r="U63" s="86">
        <f t="shared" ref="U63" si="53">(SUM(U15:U19)-SUM(U22:U26))+SUM(U55:U59)+T63</f>
        <v>-57276.942732022995</v>
      </c>
      <c r="V63" s="86">
        <f>(SUM(V15:V19)-SUM(V22:V26))+SUM(V55:V59)+U63</f>
        <v>-42776.967056452035</v>
      </c>
      <c r="W63" s="306">
        <f>(SUM(W15:W19)-SUM(W22:W26))+SUM(W55:W59)+V63</f>
        <v>-29165.365764074129</v>
      </c>
      <c r="X63" s="89">
        <f>(SUM(X15:X19)-SUM(X22:X26))+SUM(X55:X59)+W63</f>
        <v>-11950.862783010885</v>
      </c>
      <c r="Y63" s="90">
        <f>(SUM(Y15:Y19)-SUM(Y22:Y26))+SUM(Y55:Y59)+X63</f>
        <v>8296.5799266941322</v>
      </c>
    </row>
    <row r="64" spans="1:26" x14ac:dyDescent="0.3">
      <c r="A64" s="139" t="s">
        <v>74</v>
      </c>
      <c r="B64" s="74"/>
      <c r="C64" s="74"/>
      <c r="D64" s="74"/>
      <c r="E64" s="74"/>
      <c r="F64" s="74"/>
      <c r="G64" s="74"/>
      <c r="H64" s="74"/>
      <c r="I64" s="74"/>
      <c r="J64" s="74"/>
      <c r="K64" s="74"/>
      <c r="L64" s="190" t="s">
        <v>162</v>
      </c>
      <c r="M64" s="383">
        <f>'OAR (M2) Final'!AZ63</f>
        <v>13638.854386373576</v>
      </c>
      <c r="N64" s="74"/>
      <c r="O64" s="74"/>
      <c r="P64" s="74"/>
      <c r="Q64" s="74"/>
      <c r="R64" s="74"/>
      <c r="S64" s="74"/>
      <c r="T64" s="74"/>
      <c r="U64" s="74"/>
      <c r="V64" s="74"/>
      <c r="W64" s="73"/>
      <c r="X64" s="74"/>
      <c r="Y64" s="77"/>
    </row>
    <row r="65" spans="1:25" x14ac:dyDescent="0.3">
      <c r="A65" s="173" t="s">
        <v>0</v>
      </c>
      <c r="B65" s="74"/>
      <c r="C65" s="74"/>
      <c r="D65" s="74"/>
      <c r="E65" s="74"/>
      <c r="F65" s="74"/>
      <c r="G65" s="74"/>
      <c r="H65" s="74"/>
      <c r="I65" s="74"/>
      <c r="J65" s="74"/>
      <c r="K65" s="74"/>
      <c r="L65" s="316"/>
      <c r="M65" s="367">
        <f>'OAR (M2) Final'!AZ48+'OAR (M2) Final'!AZ55</f>
        <v>13722.349284809385</v>
      </c>
      <c r="N65" s="74"/>
      <c r="O65" s="74"/>
      <c r="P65" s="74"/>
      <c r="Q65" s="74"/>
      <c r="R65" s="74"/>
      <c r="S65" s="74"/>
      <c r="T65" s="74"/>
      <c r="U65" s="74"/>
      <c r="V65" s="74"/>
      <c r="W65" s="310"/>
      <c r="X65" s="74"/>
      <c r="Y65" s="77"/>
    </row>
    <row r="66" spans="1:25" x14ac:dyDescent="0.3">
      <c r="A66" s="173" t="s">
        <v>4</v>
      </c>
      <c r="B66" s="74"/>
      <c r="C66" s="74"/>
      <c r="D66" s="74"/>
      <c r="E66" s="74"/>
      <c r="F66" s="74"/>
      <c r="G66" s="74"/>
      <c r="H66" s="74"/>
      <c r="I66" s="74"/>
      <c r="J66" s="74"/>
      <c r="K66" s="74"/>
      <c r="L66" s="316"/>
      <c r="M66" s="367">
        <f>'OAR (M2) Final'!AZ49+'OAR (M2) Final'!AZ56</f>
        <v>-1851.7050326834342</v>
      </c>
      <c r="N66" s="74"/>
      <c r="O66" s="74"/>
      <c r="P66" s="74"/>
      <c r="Q66" s="74"/>
      <c r="R66" s="74"/>
      <c r="S66" s="74"/>
      <c r="T66" s="74"/>
      <c r="U66" s="74"/>
      <c r="V66" s="74"/>
      <c r="W66" s="310"/>
      <c r="X66" s="74"/>
      <c r="Y66" s="77"/>
    </row>
    <row r="67" spans="1:25" x14ac:dyDescent="0.3">
      <c r="A67" s="173" t="s">
        <v>5</v>
      </c>
      <c r="B67" s="74"/>
      <c r="C67" s="74"/>
      <c r="D67" s="74"/>
      <c r="E67" s="74"/>
      <c r="F67" s="74"/>
      <c r="G67" s="74"/>
      <c r="H67" s="74"/>
      <c r="I67" s="74"/>
      <c r="J67" s="74"/>
      <c r="K67" s="74"/>
      <c r="L67" s="316"/>
      <c r="M67" s="367">
        <f>'OAR (M2) Final'!AZ50+'OAR (M2) Final'!AZ57</f>
        <v>2070.0461161302624</v>
      </c>
      <c r="N67" s="74"/>
      <c r="O67" s="74"/>
      <c r="P67" s="74"/>
      <c r="Q67" s="74"/>
      <c r="R67" s="74"/>
      <c r="S67" s="74"/>
      <c r="T67" s="74"/>
      <c r="U67" s="74"/>
      <c r="V67" s="74"/>
      <c r="W67" s="310"/>
      <c r="X67" s="74"/>
      <c r="Y67" s="77"/>
    </row>
    <row r="68" spans="1:25" x14ac:dyDescent="0.3">
      <c r="A68" s="173" t="s">
        <v>6</v>
      </c>
      <c r="B68" s="74"/>
      <c r="C68" s="74"/>
      <c r="D68" s="74"/>
      <c r="E68" s="74"/>
      <c r="F68" s="74"/>
      <c r="G68" s="74"/>
      <c r="H68" s="74"/>
      <c r="I68" s="74"/>
      <c r="J68" s="74"/>
      <c r="K68" s="74"/>
      <c r="L68" s="316"/>
      <c r="M68" s="367">
        <f>'OAR (M2) Final'!AZ51+'OAR (M2) Final'!AZ58</f>
        <v>354.19769641814929</v>
      </c>
      <c r="N68" s="74"/>
      <c r="O68" s="74"/>
      <c r="P68" s="74"/>
      <c r="Q68" s="74"/>
      <c r="R68" s="74"/>
      <c r="S68" s="74"/>
      <c r="T68" s="74"/>
      <c r="U68" s="74"/>
      <c r="V68" s="74"/>
      <c r="W68" s="310"/>
      <c r="X68" s="74"/>
      <c r="Y68" s="77"/>
    </row>
    <row r="69" spans="1:25" ht="15" thickBot="1" x14ac:dyDescent="0.35">
      <c r="A69" s="173" t="s">
        <v>7</v>
      </c>
      <c r="B69" s="109"/>
      <c r="C69" s="109"/>
      <c r="D69" s="109"/>
      <c r="E69" s="109"/>
      <c r="F69" s="109"/>
      <c r="G69" s="109"/>
      <c r="H69" s="109"/>
      <c r="I69" s="109"/>
      <c r="J69" s="109"/>
      <c r="K69" s="109"/>
      <c r="L69" s="319"/>
      <c r="M69" s="369">
        <f>'OAR (M2) Final'!AZ52+'OAR (M2) Final'!AZ59</f>
        <v>-656.03367830064747</v>
      </c>
      <c r="N69" s="109"/>
      <c r="O69" s="109"/>
      <c r="P69" s="109"/>
      <c r="Q69" s="109"/>
      <c r="R69" s="109"/>
      <c r="S69" s="109"/>
      <c r="T69" s="109"/>
      <c r="U69" s="109"/>
      <c r="V69" s="109"/>
      <c r="W69" s="311"/>
      <c r="X69" s="109"/>
      <c r="Y69" s="110"/>
    </row>
    <row r="71" spans="1:25" x14ac:dyDescent="0.3">
      <c r="B71" s="31"/>
      <c r="C71" s="31"/>
      <c r="D71" s="31"/>
      <c r="E71" s="31"/>
      <c r="F71" s="31"/>
      <c r="G71" s="31"/>
      <c r="H71" s="31"/>
      <c r="I71" s="31"/>
      <c r="J71" s="336"/>
      <c r="K71" s="31"/>
      <c r="L71" s="31"/>
      <c r="M71" s="31"/>
      <c r="N71" s="31"/>
      <c r="O71" s="31"/>
      <c r="P71" s="31"/>
      <c r="Q71" s="31"/>
      <c r="R71" s="31"/>
      <c r="S71" s="31"/>
      <c r="T71" s="31"/>
      <c r="U71" s="31"/>
      <c r="V71" s="31"/>
      <c r="W71" s="31"/>
      <c r="X71" s="31"/>
      <c r="Y71" s="31"/>
    </row>
    <row r="76" spans="1:25" x14ac:dyDescent="0.3">
      <c r="J76" s="31"/>
    </row>
    <row r="77" spans="1:25" x14ac:dyDescent="0.3">
      <c r="B77" s="173"/>
    </row>
    <row r="78" spans="1:25" x14ac:dyDescent="0.3">
      <c r="B78" s="173"/>
    </row>
    <row r="79" spans="1:25" x14ac:dyDescent="0.3">
      <c r="B79" s="173"/>
    </row>
    <row r="80" spans="1:25" x14ac:dyDescent="0.3">
      <c r="B80" s="173"/>
    </row>
    <row r="81" spans="2:2" x14ac:dyDescent="0.3">
      <c r="B81" s="173"/>
    </row>
  </sheetData>
  <mergeCells count="1">
    <mergeCell ref="W13:Y13"/>
  </mergeCells>
  <pageMargins left="0.7" right="0.7" top="0.75" bottom="0.75" header="0.3" footer="0.3"/>
  <pageSetup scale="7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92D050"/>
  </sheetPr>
  <dimension ref="B2:Y42"/>
  <sheetViews>
    <sheetView topLeftCell="A7" workbookViewId="0">
      <selection activeCell="Q20" sqref="Q20"/>
    </sheetView>
  </sheetViews>
  <sheetFormatPr defaultColWidth="9.109375" defaultRowHeight="14.4" x14ac:dyDescent="0.3"/>
  <cols>
    <col min="1" max="2" width="9.109375" style="139"/>
    <col min="3" max="3" width="16.5546875" style="139" customWidth="1"/>
    <col min="4" max="5" width="15.5546875" style="139" customWidth="1"/>
    <col min="6" max="6" width="12.44140625" style="139" bestFit="1" customWidth="1"/>
    <col min="7" max="7" width="17.109375" style="139" customWidth="1"/>
    <col min="8" max="8" width="14.88671875" style="139" bestFit="1" customWidth="1"/>
    <col min="9" max="9" width="5.6640625" style="139" customWidth="1"/>
    <col min="10" max="10" width="14.88671875" style="139" customWidth="1"/>
    <col min="11" max="11" width="17.5546875" style="139" customWidth="1"/>
    <col min="12" max="12" width="14.5546875" style="139" bestFit="1" customWidth="1"/>
    <col min="13" max="13" width="16" style="139" bestFit="1" customWidth="1"/>
    <col min="14" max="14" width="11.5546875" style="139" bestFit="1" customWidth="1"/>
    <col min="15" max="15" width="2.5546875" style="139" customWidth="1"/>
    <col min="16" max="17" width="11" style="139" bestFit="1" customWidth="1"/>
    <col min="18" max="18" width="10.33203125" style="139" customWidth="1"/>
    <col min="19" max="20" width="11" style="139" bestFit="1" customWidth="1"/>
    <col min="21" max="16384" width="9.109375" style="139"/>
  </cols>
  <sheetData>
    <row r="2" spans="2:25" ht="15" thickBot="1" x14ac:dyDescent="0.35">
      <c r="J2" s="428" t="s">
        <v>28</v>
      </c>
      <c r="K2" s="428"/>
      <c r="L2" s="428"/>
      <c r="M2" s="428"/>
      <c r="P2" s="428" t="s">
        <v>134</v>
      </c>
      <c r="Q2" s="428"/>
      <c r="R2" s="428"/>
      <c r="S2" s="428"/>
      <c r="T2" s="428"/>
    </row>
    <row r="3" spans="2:25" ht="28.2" thickBot="1" x14ac:dyDescent="0.35">
      <c r="B3" s="7" t="s">
        <v>11</v>
      </c>
      <c r="C3" s="134" t="s">
        <v>33</v>
      </c>
      <c r="D3" s="134" t="s">
        <v>34</v>
      </c>
      <c r="E3" s="134" t="s">
        <v>43</v>
      </c>
      <c r="F3" s="134" t="s">
        <v>35</v>
      </c>
      <c r="G3" s="134" t="s">
        <v>13</v>
      </c>
      <c r="H3" s="9" t="s">
        <v>14</v>
      </c>
      <c r="J3" s="137" t="s">
        <v>29</v>
      </c>
      <c r="K3" s="137" t="s">
        <v>44</v>
      </c>
      <c r="L3" s="137" t="s">
        <v>133</v>
      </c>
      <c r="M3" s="137" t="s">
        <v>132</v>
      </c>
      <c r="N3" s="137"/>
      <c r="P3" s="139" t="s">
        <v>33</v>
      </c>
      <c r="Q3" s="139" t="s">
        <v>34</v>
      </c>
      <c r="R3" s="139" t="s">
        <v>43</v>
      </c>
      <c r="S3" s="139" t="s">
        <v>35</v>
      </c>
      <c r="T3" s="139" t="s">
        <v>9</v>
      </c>
    </row>
    <row r="4" spans="2:25" ht="15" thickBot="1" x14ac:dyDescent="0.35">
      <c r="B4" s="10" t="s">
        <v>15</v>
      </c>
      <c r="C4" s="232">
        <f>C16+C26</f>
        <v>29345325.85843781</v>
      </c>
      <c r="D4" s="207">
        <f>D16+D26</f>
        <v>10811084.401880302</v>
      </c>
      <c r="E4" s="207">
        <f>E16+E26</f>
        <v>4796647.8614301225</v>
      </c>
      <c r="F4" s="385">
        <f>F16+F26</f>
        <v>10447.290661568913</v>
      </c>
      <c r="G4" s="42">
        <f>PPC!B15</f>
        <v>12323838391.771854</v>
      </c>
      <c r="H4" s="321">
        <f>SUM(C4:F4)/G4</f>
        <v>3.648498461520737E-3</v>
      </c>
      <c r="J4" s="323">
        <f>C4/G4</f>
        <v>2.3811839238358189E-3</v>
      </c>
      <c r="K4" s="323">
        <f>(D4)/G4</f>
        <v>8.7724977058271393E-4</v>
      </c>
      <c r="L4" s="323">
        <f>(E4)/G4</f>
        <v>3.8921703684727455E-4</v>
      </c>
      <c r="M4" s="323">
        <f>(F4)/G4</f>
        <v>8.4773025492967848E-7</v>
      </c>
      <c r="N4" s="201">
        <f>SUM(J4:M4)-H4</f>
        <v>0</v>
      </c>
      <c r="P4" s="138">
        <f>ROUND(C4/G4,6)</f>
        <v>2.3809999999999999E-3</v>
      </c>
      <c r="Q4" s="138">
        <f>ROUND(D4/G4,6)</f>
        <v>8.7699999999999996E-4</v>
      </c>
      <c r="R4" s="138">
        <f>+ROUND(E4/G4,6)</f>
        <v>3.8900000000000002E-4</v>
      </c>
      <c r="S4" s="138">
        <f>ROUND(F4/G4,6)</f>
        <v>9.9999999999999995E-7</v>
      </c>
      <c r="T4" s="138">
        <f>SUM(P4:S4)</f>
        <v>3.6479999999999998E-3</v>
      </c>
      <c r="W4" s="43"/>
      <c r="Y4" s="44"/>
    </row>
    <row r="5" spans="2:25" ht="15" thickBot="1" x14ac:dyDescent="0.35">
      <c r="B5" s="10" t="s">
        <v>16</v>
      </c>
      <c r="C5" s="232">
        <f t="shared" ref="C5:D9" si="0">C17+C27</f>
        <v>7495501.0952834589</v>
      </c>
      <c r="D5" s="207">
        <f>D17+D27</f>
        <v>1672797.1868615814</v>
      </c>
      <c r="E5" s="207">
        <f t="shared" ref="E5:F8" si="1">E17+E27</f>
        <v>1234749.9354878555</v>
      </c>
      <c r="F5" s="324">
        <f t="shared" si="1"/>
        <v>-518.85353282970777</v>
      </c>
      <c r="G5" s="14">
        <f>PPC!B6</f>
        <v>3015420391.7946997</v>
      </c>
      <c r="H5" s="321">
        <f t="shared" ref="H5:H8" si="2">SUM(C5:F5)/G5</f>
        <v>3.4497774812449122E-3</v>
      </c>
      <c r="J5" s="323">
        <f t="shared" ref="J5:J8" si="3">C5/G5</f>
        <v>2.4857234220739392E-3</v>
      </c>
      <c r="K5" s="323">
        <f t="shared" ref="K5:K8" si="4">(D5)/G5</f>
        <v>5.5474758723972686E-4</v>
      </c>
      <c r="L5" s="323">
        <f t="shared" ref="L5:L8" si="5">(E5)/G5</f>
        <v>4.0947853866338165E-4</v>
      </c>
      <c r="M5" s="323">
        <f t="shared" ref="M5:M8" si="6">(F5)/G5</f>
        <v>-1.7206673213511688E-7</v>
      </c>
      <c r="N5" s="201">
        <f t="shared" ref="N5:N8" si="7">SUM(J5:M5)-H5</f>
        <v>0</v>
      </c>
      <c r="P5" s="138">
        <f>ROUND(C5/G5,6)</f>
        <v>2.4859999999999999E-3</v>
      </c>
      <c r="Q5" s="138">
        <f>ROUND(D5/G5,6)</f>
        <v>5.5500000000000005E-4</v>
      </c>
      <c r="R5" s="138">
        <f t="shared" ref="R5:R8" si="8">+ROUND(E5/G5,6)</f>
        <v>4.0900000000000002E-4</v>
      </c>
      <c r="S5" s="138">
        <f>ROUND(F5/G5,6)</f>
        <v>0</v>
      </c>
      <c r="T5" s="138">
        <f t="shared" ref="T5:T8" si="9">SUM(P5:S5)</f>
        <v>3.4499999999999999E-3</v>
      </c>
      <c r="W5" s="43"/>
    </row>
    <row r="6" spans="2:25" ht="15" thickBot="1" x14ac:dyDescent="0.35">
      <c r="B6" s="10" t="s">
        <v>17</v>
      </c>
      <c r="C6" s="232">
        <f t="shared" si="0"/>
        <v>17516017.151785921</v>
      </c>
      <c r="D6" s="207">
        <f t="shared" si="0"/>
        <v>10322309.711525211</v>
      </c>
      <c r="E6" s="207">
        <f t="shared" si="1"/>
        <v>2795003.3815670959</v>
      </c>
      <c r="F6" s="385">
        <f t="shared" si="1"/>
        <v>989.33221651781048</v>
      </c>
      <c r="G6" s="14">
        <f>PPC!B7</f>
        <v>6710766435.5801058</v>
      </c>
      <c r="H6" s="321">
        <f t="shared" si="2"/>
        <v>4.5649509443024729E-3</v>
      </c>
      <c r="J6" s="323">
        <f t="shared" si="3"/>
        <v>2.610136609570702E-3</v>
      </c>
      <c r="K6" s="323">
        <f t="shared" si="4"/>
        <v>1.5381715055372671E-3</v>
      </c>
      <c r="L6" s="323">
        <f t="shared" si="5"/>
        <v>4.1649540457080211E-4</v>
      </c>
      <c r="M6" s="323">
        <f t="shared" si="6"/>
        <v>1.4742462370205984E-7</v>
      </c>
      <c r="N6" s="201">
        <f t="shared" si="7"/>
        <v>0</v>
      </c>
      <c r="P6" s="138">
        <f>ROUND(C6/G6,6)</f>
        <v>2.6099999999999999E-3</v>
      </c>
      <c r="Q6" s="138">
        <f>ROUND(D6/G6,6)</f>
        <v>1.5380000000000001E-3</v>
      </c>
      <c r="R6" s="138">
        <f t="shared" si="8"/>
        <v>4.1599999999999997E-4</v>
      </c>
      <c r="S6" s="138">
        <f>ROUND(F6/G6,6)</f>
        <v>0</v>
      </c>
      <c r="T6" s="138">
        <f t="shared" si="9"/>
        <v>4.5639999999999995E-3</v>
      </c>
    </row>
    <row r="7" spans="2:25" ht="15" thickBot="1" x14ac:dyDescent="0.35">
      <c r="B7" s="10" t="s">
        <v>18</v>
      </c>
      <c r="C7" s="232">
        <f t="shared" si="0"/>
        <v>7508593.8335158555</v>
      </c>
      <c r="D7" s="207">
        <f t="shared" si="0"/>
        <v>2559729.4537455402</v>
      </c>
      <c r="E7" s="207">
        <f t="shared" si="1"/>
        <v>1189685.2907852936</v>
      </c>
      <c r="F7" s="324">
        <f t="shared" si="1"/>
        <v>-638.31866614702858</v>
      </c>
      <c r="G7" s="14">
        <f>PPC!B8</f>
        <v>2808126985.1604629</v>
      </c>
      <c r="H7" s="321">
        <f t="shared" si="2"/>
        <v>4.0088537017271926E-3</v>
      </c>
      <c r="J7" s="323">
        <f t="shared" si="3"/>
        <v>2.6738797330729674E-3</v>
      </c>
      <c r="K7" s="323">
        <f t="shared" si="4"/>
        <v>9.1154334090745234E-4</v>
      </c>
      <c r="L7" s="323">
        <f t="shared" si="5"/>
        <v>4.236579389294648E-4</v>
      </c>
      <c r="M7" s="323">
        <f t="shared" si="6"/>
        <v>-2.2731118269231461E-7</v>
      </c>
      <c r="N7" s="201">
        <f t="shared" si="7"/>
        <v>0</v>
      </c>
      <c r="P7" s="138">
        <f>ROUND(C7/G7,6)</f>
        <v>2.6740000000000002E-3</v>
      </c>
      <c r="Q7" s="138">
        <f>ROUND(D7/G7,6)</f>
        <v>9.1200000000000005E-4</v>
      </c>
      <c r="R7" s="138">
        <f>+ROUND(E7/G7,6)</f>
        <v>4.2400000000000001E-4</v>
      </c>
      <c r="S7" s="138">
        <f>ROUND(F7/G7,6)</f>
        <v>0</v>
      </c>
      <c r="T7" s="138">
        <f t="shared" si="9"/>
        <v>4.0100000000000005E-3</v>
      </c>
    </row>
    <row r="8" spans="2:25" ht="15" thickBot="1" x14ac:dyDescent="0.35">
      <c r="B8" s="10" t="s">
        <v>19</v>
      </c>
      <c r="C8" s="232">
        <f t="shared" si="0"/>
        <v>3211820.0981794624</v>
      </c>
      <c r="D8" s="207">
        <f t="shared" si="0"/>
        <v>372935.1346809328</v>
      </c>
      <c r="E8" s="207">
        <f t="shared" si="1"/>
        <v>659763.36153454054</v>
      </c>
      <c r="F8" s="324">
        <f t="shared" si="1"/>
        <v>-1982.8707524157271</v>
      </c>
      <c r="G8" s="14">
        <f>PPC!B9</f>
        <v>1103283414.1067083</v>
      </c>
      <c r="H8" s="321">
        <f t="shared" si="2"/>
        <v>3.8453725211463992E-3</v>
      </c>
      <c r="J8" s="323">
        <f t="shared" si="3"/>
        <v>2.9111469066903047E-3</v>
      </c>
      <c r="K8" s="323">
        <f t="shared" si="4"/>
        <v>3.3802296845265813E-4</v>
      </c>
      <c r="L8" s="323">
        <f t="shared" si="5"/>
        <v>5.9799989114195915E-4</v>
      </c>
      <c r="M8" s="323">
        <f t="shared" si="6"/>
        <v>-1.797245138522445E-6</v>
      </c>
      <c r="N8" s="201">
        <f t="shared" si="7"/>
        <v>0</v>
      </c>
      <c r="P8" s="138">
        <f>ROUND(C8/G8,6)</f>
        <v>2.911E-3</v>
      </c>
      <c r="Q8" s="138">
        <f>ROUND(D8/G8,6)</f>
        <v>3.3799999999999998E-4</v>
      </c>
      <c r="R8" s="138">
        <f t="shared" si="8"/>
        <v>5.9800000000000001E-4</v>
      </c>
      <c r="S8" s="138">
        <f>ROUND(F8/G8,6)</f>
        <v>-1.9999999999999999E-6</v>
      </c>
      <c r="T8" s="138">
        <f t="shared" si="9"/>
        <v>3.8450000000000003E-3</v>
      </c>
    </row>
    <row r="9" spans="2:25" ht="15" thickBot="1" x14ac:dyDescent="0.35">
      <c r="B9" s="10" t="s">
        <v>20</v>
      </c>
      <c r="C9" s="11">
        <f t="shared" si="0"/>
        <v>0</v>
      </c>
      <c r="D9" s="140">
        <f t="shared" si="0"/>
        <v>0</v>
      </c>
      <c r="E9" s="135">
        <v>0</v>
      </c>
      <c r="F9" s="208">
        <v>0</v>
      </c>
      <c r="G9" s="14">
        <v>0</v>
      </c>
      <c r="H9" s="321">
        <v>0</v>
      </c>
    </row>
    <row r="10" spans="2:25" x14ac:dyDescent="0.3">
      <c r="F10" s="32"/>
      <c r="K10" s="191"/>
      <c r="L10" s="191"/>
    </row>
    <row r="11" spans="2:25" x14ac:dyDescent="0.3">
      <c r="F11" s="32"/>
    </row>
    <row r="12" spans="2:25" x14ac:dyDescent="0.3">
      <c r="F12" s="32"/>
    </row>
    <row r="13" spans="2:25" x14ac:dyDescent="0.3">
      <c r="F13" s="32"/>
    </row>
    <row r="14" spans="2:25" ht="15" thickBot="1" x14ac:dyDescent="0.35">
      <c r="F14" s="32"/>
      <c r="I14" s="32"/>
      <c r="J14" s="32"/>
      <c r="K14" s="32"/>
      <c r="L14" s="32"/>
    </row>
    <row r="15" spans="2:25" ht="28.2" thickBot="1" x14ac:dyDescent="0.35">
      <c r="B15" s="7" t="s">
        <v>11</v>
      </c>
      <c r="C15" s="134" t="s">
        <v>21</v>
      </c>
      <c r="D15" s="134" t="s">
        <v>22</v>
      </c>
      <c r="E15" s="134" t="s">
        <v>42</v>
      </c>
      <c r="F15" s="209" t="s">
        <v>130</v>
      </c>
      <c r="G15" s="134" t="s">
        <v>12</v>
      </c>
      <c r="I15" s="32"/>
      <c r="J15" s="351" t="s">
        <v>169</v>
      </c>
      <c r="K15" s="32"/>
      <c r="L15" s="32"/>
    </row>
    <row r="16" spans="2:25" ht="15" thickBot="1" x14ac:dyDescent="0.35">
      <c r="B16" s="10" t="s">
        <v>15</v>
      </c>
      <c r="C16" s="208">
        <f>PPC!C5</f>
        <v>34900085.35985665</v>
      </c>
      <c r="D16" s="208">
        <f>PTD!C5</f>
        <v>7389934.1371085709</v>
      </c>
      <c r="E16" s="208">
        <f>EO!C12</f>
        <v>5624189.1429652143</v>
      </c>
      <c r="F16" s="208">
        <v>0</v>
      </c>
      <c r="G16" s="11">
        <f>SUM(C16:F16)</f>
        <v>47914208.639930435</v>
      </c>
      <c r="I16" s="41" t="s">
        <v>15</v>
      </c>
      <c r="J16" s="239">
        <f>SUM(C4:F4)</f>
        <v>44963505.412409805</v>
      </c>
      <c r="K16" s="239"/>
      <c r="L16" s="32"/>
    </row>
    <row r="17" spans="2:16" ht="15" thickBot="1" x14ac:dyDescent="0.35">
      <c r="B17" s="10" t="s">
        <v>16</v>
      </c>
      <c r="C17" s="208">
        <f>PPC!C6</f>
        <v>8646426.0251942519</v>
      </c>
      <c r="D17" s="208">
        <f>PTD!C6</f>
        <v>2130235.5894864802</v>
      </c>
      <c r="E17" s="208">
        <f>EO!C13</f>
        <v>1374222.4763457133</v>
      </c>
      <c r="F17" s="208">
        <v>0</v>
      </c>
      <c r="G17" s="11">
        <f t="shared" ref="G17:G21" si="10">SUM(C17:F17)</f>
        <v>12150884.091026444</v>
      </c>
      <c r="I17" s="41" t="s">
        <v>16</v>
      </c>
      <c r="J17" s="239">
        <f t="shared" ref="J17:J21" si="11">SUM(C5:F5)</f>
        <v>10402529.364100065</v>
      </c>
      <c r="K17" s="239"/>
      <c r="L17" s="32"/>
    </row>
    <row r="18" spans="2:16" ht="15" thickBot="1" x14ac:dyDescent="0.35">
      <c r="B18" s="10" t="s">
        <v>17</v>
      </c>
      <c r="C18" s="208">
        <f>PPC!C7</f>
        <v>19242473.028135698</v>
      </c>
      <c r="D18" s="208">
        <f>PTD!C7</f>
        <v>7446607.2763517089</v>
      </c>
      <c r="E18" s="208">
        <f>EO!C14</f>
        <v>2986799.4788868697</v>
      </c>
      <c r="F18" s="208">
        <v>0</v>
      </c>
      <c r="G18" s="11">
        <f t="shared" si="10"/>
        <v>29675879.783374276</v>
      </c>
      <c r="I18" s="41" t="s">
        <v>17</v>
      </c>
      <c r="J18" s="239">
        <f t="shared" si="11"/>
        <v>30634319.577094745</v>
      </c>
      <c r="K18" s="239"/>
      <c r="L18" s="32"/>
    </row>
    <row r="19" spans="2:16" ht="15" thickBot="1" x14ac:dyDescent="0.35">
      <c r="B19" s="10" t="s">
        <v>18</v>
      </c>
      <c r="C19" s="208">
        <f>PPC!C8</f>
        <v>8052032.2514933702</v>
      </c>
      <c r="D19" s="208">
        <f>PTD!C8</f>
        <v>2553041.1653351495</v>
      </c>
      <c r="E19" s="208">
        <f>EO!C15</f>
        <v>1263653.2576030018</v>
      </c>
      <c r="F19" s="208">
        <v>0</v>
      </c>
      <c r="G19" s="11">
        <f t="shared" si="10"/>
        <v>11868726.674431521</v>
      </c>
      <c r="I19" s="41" t="s">
        <v>18</v>
      </c>
      <c r="J19" s="239">
        <f t="shared" si="11"/>
        <v>11257370.259380544</v>
      </c>
      <c r="K19" s="239"/>
      <c r="L19" s="32"/>
      <c r="P19" s="32"/>
    </row>
    <row r="20" spans="2:16" ht="15" thickBot="1" x14ac:dyDescent="0.35">
      <c r="B20" s="10" t="s">
        <v>19</v>
      </c>
      <c r="C20" s="208">
        <f>PPC!C9</f>
        <v>3163558.3717797212</v>
      </c>
      <c r="D20" s="208">
        <f>PTD!C9</f>
        <v>424729.56085309939</v>
      </c>
      <c r="E20" s="208">
        <f>EO!C16</f>
        <v>498624.75620232191</v>
      </c>
      <c r="F20" s="208">
        <v>0</v>
      </c>
      <c r="G20" s="11">
        <f t="shared" si="10"/>
        <v>4086912.6888351426</v>
      </c>
      <c r="I20" s="41" t="s">
        <v>19</v>
      </c>
      <c r="J20" s="239">
        <f t="shared" si="11"/>
        <v>4242535.7236425197</v>
      </c>
      <c r="K20" s="239"/>
      <c r="L20" s="32"/>
    </row>
    <row r="21" spans="2:16" ht="15" thickBot="1" x14ac:dyDescent="0.35">
      <c r="B21" s="10" t="s">
        <v>20</v>
      </c>
      <c r="C21" s="15">
        <v>0</v>
      </c>
      <c r="D21" s="208">
        <v>0</v>
      </c>
      <c r="E21" s="208">
        <v>0</v>
      </c>
      <c r="F21" s="208">
        <v>0</v>
      </c>
      <c r="G21" s="11">
        <f t="shared" si="10"/>
        <v>0</v>
      </c>
      <c r="I21" s="41" t="s">
        <v>20</v>
      </c>
      <c r="J21" s="239">
        <f t="shared" si="11"/>
        <v>0</v>
      </c>
      <c r="K21" s="239"/>
      <c r="L21" s="32"/>
    </row>
    <row r="22" spans="2:16" ht="15" thickBot="1" x14ac:dyDescent="0.35">
      <c r="B22" s="10" t="s">
        <v>9</v>
      </c>
      <c r="C22" s="15">
        <f>SUM(C16:C21)</f>
        <v>74004575.036459684</v>
      </c>
      <c r="D22" s="208">
        <f t="shared" ref="D22:G22" si="12">SUM(D16:D21)</f>
        <v>19944547.729135007</v>
      </c>
      <c r="E22" s="208">
        <f t="shared" si="12"/>
        <v>11747489.112003122</v>
      </c>
      <c r="F22" s="208">
        <f t="shared" si="12"/>
        <v>0</v>
      </c>
      <c r="G22" s="11">
        <f t="shared" si="12"/>
        <v>105696611.87759782</v>
      </c>
      <c r="I22" s="41" t="s">
        <v>9</v>
      </c>
      <c r="J22" s="240">
        <f>SUM(J16:J21)</f>
        <v>101500260.33662768</v>
      </c>
      <c r="K22" s="239"/>
      <c r="L22" s="239"/>
    </row>
    <row r="23" spans="2:16" ht="15" thickBot="1" x14ac:dyDescent="0.35">
      <c r="F23" s="32"/>
      <c r="I23" s="32"/>
      <c r="J23" s="239"/>
      <c r="K23" s="32"/>
      <c r="L23" s="241"/>
    </row>
    <row r="24" spans="2:16" ht="15" thickBot="1" x14ac:dyDescent="0.35">
      <c r="F24" s="32"/>
      <c r="I24" s="429" t="s">
        <v>168</v>
      </c>
      <c r="J24" s="430"/>
      <c r="K24" s="430"/>
      <c r="L24" s="431"/>
    </row>
    <row r="25" spans="2:16" ht="28.2" thickBot="1" x14ac:dyDescent="0.35">
      <c r="B25" s="7" t="s">
        <v>11</v>
      </c>
      <c r="C25" s="134" t="s">
        <v>23</v>
      </c>
      <c r="D25" s="134" t="s">
        <v>24</v>
      </c>
      <c r="E25" s="134" t="s">
        <v>41</v>
      </c>
      <c r="F25" s="209" t="s">
        <v>131</v>
      </c>
      <c r="G25" s="134" t="s">
        <v>32</v>
      </c>
      <c r="I25" s="254"/>
      <c r="J25" s="343" t="s">
        <v>119</v>
      </c>
      <c r="K25" s="343" t="s">
        <v>120</v>
      </c>
      <c r="L25" s="344" t="s">
        <v>9</v>
      </c>
      <c r="N25" s="192"/>
    </row>
    <row r="26" spans="2:16" ht="15" thickBot="1" x14ac:dyDescent="0.35">
      <c r="B26" s="10" t="s">
        <v>15</v>
      </c>
      <c r="C26" s="324">
        <f>'PCR (M3)'!H4</f>
        <v>-5554759.5014188392</v>
      </c>
      <c r="D26" s="207">
        <f>'TDR (M3)'!F4</f>
        <v>3421150.2647717306</v>
      </c>
      <c r="E26" s="208">
        <f>'EOR (M3)'!G4</f>
        <v>-827541.28153509169</v>
      </c>
      <c r="F26" s="208">
        <f>'OAR (M3)'!G4</f>
        <v>10447.290661568913</v>
      </c>
      <c r="G26" s="327">
        <f>SUM(C26:F26)</f>
        <v>-2950703.2275206316</v>
      </c>
      <c r="I26" s="244" t="s">
        <v>15</v>
      </c>
      <c r="J26" s="345">
        <f>+G26+'tariff tables (M2)'!G26</f>
        <v>-2735548.2909753122</v>
      </c>
      <c r="K26" s="346">
        <f>+G16+'tariff tables (M2)'!G16</f>
        <v>47914208.639930435</v>
      </c>
      <c r="L26" s="347">
        <f>+K26+J26</f>
        <v>45178660.348955125</v>
      </c>
    </row>
    <row r="27" spans="2:16" ht="15" thickBot="1" x14ac:dyDescent="0.35">
      <c r="B27" s="10" t="s">
        <v>16</v>
      </c>
      <c r="C27" s="324">
        <f>'PCR (M3)'!H5</f>
        <v>-1150924.9299107932</v>
      </c>
      <c r="D27" s="324">
        <f>'TDR (M3)'!F5</f>
        <v>-457438.40262489882</v>
      </c>
      <c r="E27" s="208">
        <f>'EOR (M3)'!G5</f>
        <v>-139472.54085785788</v>
      </c>
      <c r="F27" s="208">
        <f>'OAR (M3)'!G5</f>
        <v>-518.85353282970777</v>
      </c>
      <c r="G27" s="327">
        <f t="shared" ref="G27:G31" si="13">SUM(C27:F27)</f>
        <v>-1748354.7269263796</v>
      </c>
      <c r="I27" s="244" t="s">
        <v>16</v>
      </c>
      <c r="J27" s="345">
        <f>+G27+'tariff tables (M2)'!G27</f>
        <v>-1689555.2929879692</v>
      </c>
      <c r="K27" s="346">
        <f>+G17+'tariff tables (M2)'!G17</f>
        <v>12150884.091026444</v>
      </c>
      <c r="L27" s="347">
        <f t="shared" ref="L27:L31" si="14">+K27+J27</f>
        <v>10461328.798038475</v>
      </c>
    </row>
    <row r="28" spans="2:16" ht="15" thickBot="1" x14ac:dyDescent="0.35">
      <c r="B28" s="10" t="s">
        <v>17</v>
      </c>
      <c r="C28" s="324">
        <f>'PCR (M3)'!H6</f>
        <v>-1726455.8763497777</v>
      </c>
      <c r="D28" s="385">
        <f>'TDR (M3)'!F6</f>
        <v>2875702.4351735022</v>
      </c>
      <c r="E28" s="208">
        <f>'EOR (M3)'!G6</f>
        <v>-191796.09731977378</v>
      </c>
      <c r="F28" s="208">
        <f>'OAR (M3)'!G6</f>
        <v>989.33221651781048</v>
      </c>
      <c r="G28" s="386">
        <f t="shared" si="13"/>
        <v>958439.79372046853</v>
      </c>
      <c r="I28" s="244" t="s">
        <v>17</v>
      </c>
      <c r="J28" s="345">
        <f>+G28+'tariff tables (M2)'!G28</f>
        <v>1003668.0174267011</v>
      </c>
      <c r="K28" s="346">
        <f>+G18+'tariff tables (M2)'!G18</f>
        <v>29675879.783374276</v>
      </c>
      <c r="L28" s="347">
        <f t="shared" si="14"/>
        <v>30679547.800800975</v>
      </c>
    </row>
    <row r="29" spans="2:16" ht="15" thickBot="1" x14ac:dyDescent="0.35">
      <c r="B29" s="10" t="s">
        <v>18</v>
      </c>
      <c r="C29" s="324">
        <f>'PCR (M3)'!H7</f>
        <v>-543438.41797751491</v>
      </c>
      <c r="D29" s="385">
        <f>'TDR (M3)'!F7</f>
        <v>6688.2884103909155</v>
      </c>
      <c r="E29" s="208">
        <f>'EOR (M3)'!G7</f>
        <v>-73967.966817708249</v>
      </c>
      <c r="F29" s="208">
        <f>'OAR (M3)'!G7</f>
        <v>-638.31866614702858</v>
      </c>
      <c r="G29" s="327">
        <f t="shared" si="13"/>
        <v>-611356.41505097924</v>
      </c>
      <c r="I29" s="244" t="s">
        <v>18</v>
      </c>
      <c r="J29" s="345">
        <f>+G29+'tariff tables (M2)'!G29</f>
        <v>-601368.58586818248</v>
      </c>
      <c r="K29" s="346">
        <f>+G19+'tariff tables (M2)'!G19</f>
        <v>11868726.674431521</v>
      </c>
      <c r="L29" s="347">
        <f t="shared" si="14"/>
        <v>11267358.08856334</v>
      </c>
    </row>
    <row r="30" spans="2:16" ht="15" thickBot="1" x14ac:dyDescent="0.35">
      <c r="B30" s="10" t="s">
        <v>19</v>
      </c>
      <c r="C30" s="207">
        <f>'PCR (M3)'!H8</f>
        <v>48261.72639974115</v>
      </c>
      <c r="D30" s="324">
        <f>'TDR (M3)'!F8</f>
        <v>-51794.426172166583</v>
      </c>
      <c r="E30" s="208">
        <f>'EOR (M3)'!G8</f>
        <v>161138.60533221866</v>
      </c>
      <c r="F30" s="208">
        <f>'OAR (M3)'!G8</f>
        <v>-1982.8707524157271</v>
      </c>
      <c r="G30" s="386">
        <f>SUM(C30:F30)</f>
        <v>155623.03480737749</v>
      </c>
      <c r="I30" s="244" t="s">
        <v>19</v>
      </c>
      <c r="J30" s="345">
        <f>+G30+'tariff tables (M2)'!G30</f>
        <v>155349.59807247907</v>
      </c>
      <c r="K30" s="346">
        <f>+G20+'tariff tables (M2)'!G20</f>
        <v>4086912.6888351426</v>
      </c>
      <c r="L30" s="347">
        <f t="shared" si="14"/>
        <v>4242262.2869076217</v>
      </c>
    </row>
    <row r="31" spans="2:16" ht="15" thickBot="1" x14ac:dyDescent="0.35">
      <c r="B31" s="10" t="s">
        <v>20</v>
      </c>
      <c r="C31" s="140">
        <v>0</v>
      </c>
      <c r="D31" s="140">
        <v>0</v>
      </c>
      <c r="E31" s="208">
        <v>0</v>
      </c>
      <c r="F31" s="208">
        <v>0</v>
      </c>
      <c r="G31" s="16">
        <f t="shared" si="13"/>
        <v>0</v>
      </c>
      <c r="I31" s="244" t="s">
        <v>20</v>
      </c>
      <c r="J31" s="345">
        <f>+G31+'tariff tables (M2)'!G31</f>
        <v>0</v>
      </c>
      <c r="K31" s="346">
        <f>+G21+'tariff tables (M2)'!G21</f>
        <v>0</v>
      </c>
      <c r="L31" s="347">
        <f t="shared" si="14"/>
        <v>0</v>
      </c>
    </row>
    <row r="32" spans="2:16" ht="15" thickBot="1" x14ac:dyDescent="0.35">
      <c r="B32" s="10" t="s">
        <v>9</v>
      </c>
      <c r="C32" s="325">
        <f>SUM(C26:C31)</f>
        <v>-8927316.9992571827</v>
      </c>
      <c r="D32" s="140">
        <f t="shared" ref="D32:G32" si="15">SUM(D26:D31)</f>
        <v>5794308.1595585588</v>
      </c>
      <c r="E32" s="208">
        <f t="shared" si="15"/>
        <v>-1071639.2811982131</v>
      </c>
      <c r="F32" s="208">
        <f t="shared" si="15"/>
        <v>8296.5799266942613</v>
      </c>
      <c r="G32" s="327">
        <f t="shared" si="15"/>
        <v>-4196351.5409701448</v>
      </c>
      <c r="I32" s="348" t="s">
        <v>9</v>
      </c>
      <c r="J32" s="349">
        <f>SUM(J26:J31)</f>
        <v>-3867454.5543322838</v>
      </c>
      <c r="K32" s="349">
        <f>SUM(K26:K31)</f>
        <v>105696611.87759782</v>
      </c>
      <c r="L32" s="350">
        <f>SUM(L26:L31)</f>
        <v>101829157.32326554</v>
      </c>
    </row>
    <row r="33" spans="3:12" x14ac:dyDescent="0.3">
      <c r="I33" s="32"/>
      <c r="J33" s="32"/>
      <c r="K33" s="242"/>
      <c r="L33" s="242"/>
    </row>
    <row r="34" spans="3:12" x14ac:dyDescent="0.3">
      <c r="E34" s="239"/>
      <c r="F34" s="32"/>
      <c r="G34" s="242"/>
      <c r="H34" s="239"/>
      <c r="I34" s="242"/>
      <c r="J34" s="242"/>
      <c r="K34" s="242"/>
      <c r="L34" s="242"/>
    </row>
    <row r="35" spans="3:12" x14ac:dyDescent="0.3">
      <c r="C35" s="40"/>
      <c r="E35" s="239"/>
      <c r="F35" s="239"/>
      <c r="G35" s="239"/>
      <c r="H35" s="239"/>
      <c r="I35" s="32"/>
      <c r="J35" s="32"/>
      <c r="K35" s="242"/>
      <c r="L35" s="242"/>
    </row>
    <row r="36" spans="3:12" x14ac:dyDescent="0.3">
      <c r="C36" s="40"/>
      <c r="E36" s="239"/>
      <c r="F36" s="32"/>
      <c r="G36" s="239"/>
      <c r="H36" s="239"/>
      <c r="I36" s="32"/>
      <c r="J36" s="32"/>
      <c r="K36" s="32"/>
      <c r="L36" s="32"/>
    </row>
    <row r="37" spans="3:12" x14ac:dyDescent="0.3">
      <c r="C37" s="40"/>
      <c r="D37" s="40"/>
      <c r="E37" s="40"/>
    </row>
    <row r="38" spans="3:12" x14ac:dyDescent="0.3">
      <c r="C38" s="40"/>
      <c r="D38" s="40"/>
      <c r="E38" s="40"/>
    </row>
    <row r="39" spans="3:12" x14ac:dyDescent="0.3">
      <c r="C39" s="40"/>
      <c r="D39" s="40"/>
      <c r="E39" s="40"/>
    </row>
    <row r="40" spans="3:12" x14ac:dyDescent="0.3">
      <c r="D40" s="40"/>
      <c r="E40" s="40"/>
    </row>
    <row r="41" spans="3:12" x14ac:dyDescent="0.3">
      <c r="D41" s="40"/>
      <c r="E41" s="40"/>
    </row>
    <row r="42" spans="3:12" x14ac:dyDescent="0.3">
      <c r="D42" s="40"/>
      <c r="E42" s="40"/>
    </row>
  </sheetData>
  <mergeCells count="3">
    <mergeCell ref="J2:M2"/>
    <mergeCell ref="P2:T2"/>
    <mergeCell ref="I24:L2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B2:Y42"/>
  <sheetViews>
    <sheetView workbookViewId="0">
      <selection activeCell="R18" sqref="R18"/>
    </sheetView>
  </sheetViews>
  <sheetFormatPr defaultRowHeight="14.4" x14ac:dyDescent="0.3"/>
  <cols>
    <col min="3" max="3" width="16.5546875" customWidth="1"/>
    <col min="4" max="4" width="15.5546875" customWidth="1"/>
    <col min="5" max="5" width="16.109375" customWidth="1"/>
    <col min="6" max="6" width="17.33203125" bestFit="1" customWidth="1"/>
    <col min="7" max="7" width="17.109375" customWidth="1"/>
    <col min="8" max="8" width="17.33203125" bestFit="1" customWidth="1"/>
    <col min="9" max="9" width="5.6640625" customWidth="1"/>
    <col min="10" max="10" width="16" bestFit="1" customWidth="1"/>
    <col min="11" max="11" width="17.5546875" customWidth="1"/>
    <col min="12" max="12" width="16" style="139" bestFit="1" customWidth="1"/>
    <col min="13" max="13" width="16" bestFit="1" customWidth="1"/>
    <col min="14" max="14" width="11" bestFit="1" customWidth="1"/>
    <col min="15" max="15" width="2.5546875" customWidth="1"/>
    <col min="16" max="17" width="11" bestFit="1" customWidth="1"/>
    <col min="18" max="18" width="11" style="139" bestFit="1" customWidth="1"/>
    <col min="19" max="20" width="11" bestFit="1" customWidth="1"/>
  </cols>
  <sheetData>
    <row r="2" spans="2:25" ht="15" thickBot="1" x14ac:dyDescent="0.35">
      <c r="J2" s="428" t="s">
        <v>28</v>
      </c>
      <c r="K2" s="428"/>
      <c r="L2" s="428"/>
      <c r="M2" s="428"/>
      <c r="P2" s="428" t="s">
        <v>134</v>
      </c>
      <c r="Q2" s="428"/>
      <c r="R2" s="428"/>
      <c r="S2" s="428"/>
      <c r="T2" s="428"/>
    </row>
    <row r="3" spans="2:25" ht="28.2" thickBot="1" x14ac:dyDescent="0.35">
      <c r="B3" s="7" t="s">
        <v>11</v>
      </c>
      <c r="C3" s="8" t="s">
        <v>33</v>
      </c>
      <c r="D3" s="8" t="s">
        <v>34</v>
      </c>
      <c r="E3" s="8" t="s">
        <v>43</v>
      </c>
      <c r="F3" s="8" t="s">
        <v>35</v>
      </c>
      <c r="G3" s="8" t="s">
        <v>13</v>
      </c>
      <c r="H3" s="9" t="s">
        <v>14</v>
      </c>
      <c r="J3" s="30" t="s">
        <v>29</v>
      </c>
      <c r="K3" s="30" t="s">
        <v>44</v>
      </c>
      <c r="L3" s="137" t="s">
        <v>133</v>
      </c>
      <c r="M3" s="137" t="s">
        <v>132</v>
      </c>
      <c r="N3" s="137"/>
      <c r="P3" t="s">
        <v>33</v>
      </c>
      <c r="Q3" t="s">
        <v>34</v>
      </c>
      <c r="R3" s="139" t="s">
        <v>43</v>
      </c>
      <c r="S3" t="s">
        <v>35</v>
      </c>
      <c r="T3" t="s">
        <v>9</v>
      </c>
    </row>
    <row r="4" spans="2:25" ht="15" thickBot="1" x14ac:dyDescent="0.35">
      <c r="B4" s="10" t="s">
        <v>15</v>
      </c>
      <c r="C4" s="292">
        <f>C16+C26</f>
        <v>0</v>
      </c>
      <c r="D4" s="387">
        <f>D16+D26</f>
        <v>215154.93654531921</v>
      </c>
      <c r="E4" s="387">
        <f>E16+E26</f>
        <v>0</v>
      </c>
      <c r="F4" s="387">
        <f>F16+F26</f>
        <v>0</v>
      </c>
      <c r="G4" s="42">
        <f>PPC!B15</f>
        <v>12323838391.771854</v>
      </c>
      <c r="H4" s="414">
        <f>SUM(C4:F4)/G4</f>
        <v>1.7458435408319681E-5</v>
      </c>
      <c r="J4" s="323">
        <f>C4/G4</f>
        <v>0</v>
      </c>
      <c r="K4" s="323">
        <f>(D4)/G4</f>
        <v>1.7458435408319681E-5</v>
      </c>
      <c r="L4" s="323">
        <f>(E4)/G4</f>
        <v>0</v>
      </c>
      <c r="M4" s="323">
        <f>(F4)/G4</f>
        <v>0</v>
      </c>
      <c r="N4" s="201">
        <f>SUM(J4:M4)-H4</f>
        <v>0</v>
      </c>
      <c r="P4" s="45">
        <f>ROUND(C4/G4,6)</f>
        <v>0</v>
      </c>
      <c r="Q4" s="45">
        <f>ROUND(D4/G4,6)</f>
        <v>1.7E-5</v>
      </c>
      <c r="R4" s="138">
        <f>+ROUND(E4/G4,6)</f>
        <v>0</v>
      </c>
      <c r="S4" s="138">
        <f>ROUND(F4/G4,6)</f>
        <v>0</v>
      </c>
      <c r="T4" s="45">
        <f>SUM(P4:S4)</f>
        <v>1.7E-5</v>
      </c>
      <c r="W4" s="43"/>
      <c r="Y4" s="44"/>
    </row>
    <row r="5" spans="2:25" ht="15" thickBot="1" x14ac:dyDescent="0.35">
      <c r="B5" s="10" t="s">
        <v>16</v>
      </c>
      <c r="C5" s="385">
        <f t="shared" ref="C5:D9" si="0">C17+C27</f>
        <v>0</v>
      </c>
      <c r="D5" s="387">
        <f>D17+D27</f>
        <v>58799.433938410366</v>
      </c>
      <c r="E5" s="387">
        <f>E17+E27</f>
        <v>0</v>
      </c>
      <c r="F5" s="387">
        <f t="shared" ref="F5:F8" si="1">F17+F27</f>
        <v>0</v>
      </c>
      <c r="G5" s="14">
        <f>PPC!B6</f>
        <v>3015420391.7946997</v>
      </c>
      <c r="H5" s="414">
        <f t="shared" ref="H5:H8" si="2">SUM(C5:F5)/G5</f>
        <v>1.949958092026249E-5</v>
      </c>
      <c r="J5" s="323">
        <f t="shared" ref="J5:J8" si="3">C5/G5</f>
        <v>0</v>
      </c>
      <c r="K5" s="323">
        <f t="shared" ref="K5:K8" si="4">(D5)/G5</f>
        <v>1.949958092026249E-5</v>
      </c>
      <c r="L5" s="323">
        <f t="shared" ref="L5:L8" si="5">(E5)/G5</f>
        <v>0</v>
      </c>
      <c r="M5" s="323">
        <f t="shared" ref="M5:M8" si="6">(F5)/G5</f>
        <v>0</v>
      </c>
      <c r="N5" s="201">
        <f t="shared" ref="N5:N8" si="7">SUM(J5:M5)-H5</f>
        <v>0</v>
      </c>
      <c r="P5" s="138">
        <f>ROUND(C5/G5,6)</f>
        <v>0</v>
      </c>
      <c r="Q5" s="138">
        <f>ROUND(D5/G5,6)</f>
        <v>1.9000000000000001E-5</v>
      </c>
      <c r="R5" s="138">
        <f t="shared" ref="R5:R8" si="8">+ROUND(E5/G5,6)</f>
        <v>0</v>
      </c>
      <c r="S5" s="138">
        <f>ROUND(F5/G5,6)</f>
        <v>0</v>
      </c>
      <c r="T5" s="138">
        <f t="shared" ref="T5:T8" si="9">SUM(P5:S5)</f>
        <v>1.9000000000000001E-5</v>
      </c>
      <c r="V5" s="36"/>
      <c r="W5" s="43"/>
    </row>
    <row r="6" spans="2:25" ht="15" thickBot="1" x14ac:dyDescent="0.35">
      <c r="B6" s="10" t="s">
        <v>17</v>
      </c>
      <c r="C6" s="385">
        <f t="shared" si="0"/>
        <v>0</v>
      </c>
      <c r="D6" s="387">
        <f t="shared" si="0"/>
        <v>45228.223706232595</v>
      </c>
      <c r="E6" s="387">
        <f t="shared" ref="E6" si="10">E18+E28</f>
        <v>0</v>
      </c>
      <c r="F6" s="387">
        <f t="shared" si="1"/>
        <v>0</v>
      </c>
      <c r="G6" s="14">
        <f>PPC!B7</f>
        <v>6710766435.5801058</v>
      </c>
      <c r="H6" s="414">
        <f t="shared" si="2"/>
        <v>6.7396509981982239E-6</v>
      </c>
      <c r="J6" s="323">
        <f t="shared" si="3"/>
        <v>0</v>
      </c>
      <c r="K6" s="323">
        <f t="shared" si="4"/>
        <v>6.7396509981982239E-6</v>
      </c>
      <c r="L6" s="323">
        <f t="shared" si="5"/>
        <v>0</v>
      </c>
      <c r="M6" s="323">
        <f t="shared" si="6"/>
        <v>0</v>
      </c>
      <c r="N6" s="201">
        <f t="shared" si="7"/>
        <v>0</v>
      </c>
      <c r="P6" s="138">
        <f>ROUND(C6/G6,6)</f>
        <v>0</v>
      </c>
      <c r="Q6" s="138">
        <f>ROUND(D6/G6,6)</f>
        <v>6.9999999999999999E-6</v>
      </c>
      <c r="R6" s="138">
        <f t="shared" si="8"/>
        <v>0</v>
      </c>
      <c r="S6" s="138">
        <f>ROUND(F6/G6,6)</f>
        <v>0</v>
      </c>
      <c r="T6" s="138">
        <f t="shared" si="9"/>
        <v>6.9999999999999999E-6</v>
      </c>
    </row>
    <row r="7" spans="2:25" ht="15" thickBot="1" x14ac:dyDescent="0.35">
      <c r="B7" s="10" t="s">
        <v>18</v>
      </c>
      <c r="C7" s="385">
        <f t="shared" si="0"/>
        <v>0</v>
      </c>
      <c r="D7" s="387">
        <f t="shared" si="0"/>
        <v>9987.8291827968187</v>
      </c>
      <c r="E7" s="387">
        <f t="shared" ref="E7" si="11">E19+E29</f>
        <v>0</v>
      </c>
      <c r="F7" s="387">
        <f t="shared" si="1"/>
        <v>0</v>
      </c>
      <c r="G7" s="14">
        <f>PPC!B8</f>
        <v>2808126985.1604629</v>
      </c>
      <c r="H7" s="414">
        <f t="shared" si="2"/>
        <v>3.5567583786550491E-6</v>
      </c>
      <c r="J7" s="323">
        <f t="shared" si="3"/>
        <v>0</v>
      </c>
      <c r="K7" s="323">
        <f t="shared" si="4"/>
        <v>3.5567583786550491E-6</v>
      </c>
      <c r="L7" s="323">
        <f t="shared" si="5"/>
        <v>0</v>
      </c>
      <c r="M7" s="323">
        <f t="shared" si="6"/>
        <v>0</v>
      </c>
      <c r="N7" s="201">
        <f t="shared" si="7"/>
        <v>0</v>
      </c>
      <c r="P7" s="138">
        <f>ROUND(C7/G7,6)</f>
        <v>0</v>
      </c>
      <c r="Q7" s="138">
        <f>ROUND(D7/G7,6)</f>
        <v>3.9999999999999998E-6</v>
      </c>
      <c r="R7" s="138">
        <f t="shared" si="8"/>
        <v>0</v>
      </c>
      <c r="S7" s="138">
        <f>ROUND(F7/G7,6)</f>
        <v>0</v>
      </c>
      <c r="T7" s="138">
        <f t="shared" si="9"/>
        <v>3.9999999999999998E-6</v>
      </c>
    </row>
    <row r="8" spans="2:25" ht="15" thickBot="1" x14ac:dyDescent="0.35">
      <c r="B8" s="10" t="s">
        <v>19</v>
      </c>
      <c r="C8" s="385">
        <f t="shared" si="0"/>
        <v>0</v>
      </c>
      <c r="D8" s="325">
        <f t="shared" si="0"/>
        <v>-273.43673489841967</v>
      </c>
      <c r="E8" s="387">
        <f t="shared" ref="E8" si="12">E20+E30</f>
        <v>0</v>
      </c>
      <c r="F8" s="387">
        <f t="shared" si="1"/>
        <v>0</v>
      </c>
      <c r="G8" s="14">
        <f>PPC!B9</f>
        <v>1103283414.1067083</v>
      </c>
      <c r="H8" s="326">
        <f t="shared" si="2"/>
        <v>-2.4783906963725389E-7</v>
      </c>
      <c r="J8" s="323">
        <f t="shared" si="3"/>
        <v>0</v>
      </c>
      <c r="K8" s="323">
        <f t="shared" si="4"/>
        <v>-2.4783906963725389E-7</v>
      </c>
      <c r="L8" s="323">
        <f t="shared" si="5"/>
        <v>0</v>
      </c>
      <c r="M8" s="323">
        <f t="shared" si="6"/>
        <v>0</v>
      </c>
      <c r="N8" s="201">
        <f t="shared" si="7"/>
        <v>0</v>
      </c>
      <c r="P8" s="138">
        <f>ROUND(C8/G8,6)</f>
        <v>0</v>
      </c>
      <c r="Q8" s="138">
        <f>ROUND(D8/G8,6)</f>
        <v>0</v>
      </c>
      <c r="R8" s="138">
        <f t="shared" si="8"/>
        <v>0</v>
      </c>
      <c r="S8" s="138">
        <f>ROUND(F8/G8,6)</f>
        <v>0</v>
      </c>
      <c r="T8" s="138">
        <f t="shared" si="9"/>
        <v>0</v>
      </c>
    </row>
    <row r="9" spans="2:25" ht="15" thickBot="1" x14ac:dyDescent="0.35">
      <c r="B9" s="10" t="s">
        <v>20</v>
      </c>
      <c r="C9" s="292">
        <f t="shared" si="0"/>
        <v>0</v>
      </c>
      <c r="D9" s="12">
        <f t="shared" si="0"/>
        <v>0</v>
      </c>
      <c r="E9" s="13">
        <v>0</v>
      </c>
      <c r="F9" s="13">
        <v>0</v>
      </c>
      <c r="G9" s="14">
        <v>0</v>
      </c>
      <c r="H9" s="322">
        <v>0</v>
      </c>
      <c r="M9" s="139"/>
    </row>
    <row r="10" spans="2:25" x14ac:dyDescent="0.3">
      <c r="K10" s="191"/>
      <c r="L10" s="191"/>
    </row>
    <row r="14" spans="2:25" ht="15" thickBot="1" x14ac:dyDescent="0.35">
      <c r="I14" s="32"/>
      <c r="J14" s="39"/>
      <c r="K14" s="32"/>
      <c r="L14" s="32"/>
      <c r="M14" s="32"/>
    </row>
    <row r="15" spans="2:25" ht="28.2" thickBot="1" x14ac:dyDescent="0.35">
      <c r="B15" s="7" t="s">
        <v>11</v>
      </c>
      <c r="C15" s="8" t="s">
        <v>21</v>
      </c>
      <c r="D15" s="8" t="s">
        <v>22</v>
      </c>
      <c r="E15" s="8" t="s">
        <v>42</v>
      </c>
      <c r="F15" s="134" t="s">
        <v>130</v>
      </c>
      <c r="G15" s="8" t="s">
        <v>12</v>
      </c>
      <c r="I15" s="32"/>
      <c r="J15" s="351" t="s">
        <v>170</v>
      </c>
      <c r="K15" s="238"/>
      <c r="L15" s="288"/>
      <c r="M15" s="32"/>
    </row>
    <row r="16" spans="2:25" ht="15" thickBot="1" x14ac:dyDescent="0.35">
      <c r="B16" s="10" t="s">
        <v>15</v>
      </c>
      <c r="C16" s="208">
        <v>0</v>
      </c>
      <c r="D16" s="208">
        <v>0</v>
      </c>
      <c r="E16" s="208">
        <v>0</v>
      </c>
      <c r="F16" s="208">
        <v>0</v>
      </c>
      <c r="G16" s="11">
        <f>SUM(C16:F16)</f>
        <v>0</v>
      </c>
      <c r="I16" s="142" t="s">
        <v>15</v>
      </c>
      <c r="J16" s="239">
        <f>SUM(C4:F4)</f>
        <v>215154.93654531921</v>
      </c>
      <c r="K16" s="239"/>
      <c r="L16" s="239"/>
      <c r="M16" s="32"/>
    </row>
    <row r="17" spans="2:13" ht="15" thickBot="1" x14ac:dyDescent="0.35">
      <c r="B17" s="10" t="s">
        <v>16</v>
      </c>
      <c r="C17" s="208">
        <v>0</v>
      </c>
      <c r="D17" s="208">
        <v>0</v>
      </c>
      <c r="E17" s="208">
        <v>0</v>
      </c>
      <c r="F17" s="208">
        <v>0</v>
      </c>
      <c r="G17" s="11">
        <f t="shared" ref="G17:G21" si="13">SUM(C17:F17)</f>
        <v>0</v>
      </c>
      <c r="I17" s="142" t="s">
        <v>16</v>
      </c>
      <c r="J17" s="239">
        <f t="shared" ref="J17:J21" si="14">SUM(C5:F5)</f>
        <v>58799.433938410366</v>
      </c>
      <c r="K17" s="239"/>
      <c r="L17" s="239"/>
      <c r="M17" s="32"/>
    </row>
    <row r="18" spans="2:13" ht="15" thickBot="1" x14ac:dyDescent="0.35">
      <c r="B18" s="10" t="s">
        <v>17</v>
      </c>
      <c r="C18" s="208">
        <v>0</v>
      </c>
      <c r="D18" s="208">
        <v>0</v>
      </c>
      <c r="E18" s="208">
        <v>0</v>
      </c>
      <c r="F18" s="208">
        <v>0</v>
      </c>
      <c r="G18" s="11">
        <f t="shared" si="13"/>
        <v>0</v>
      </c>
      <c r="I18" s="142" t="s">
        <v>17</v>
      </c>
      <c r="J18" s="239">
        <f t="shared" si="14"/>
        <v>45228.223706232595</v>
      </c>
      <c r="K18" s="239"/>
      <c r="L18" s="239"/>
      <c r="M18" s="32"/>
    </row>
    <row r="19" spans="2:13" ht="15" thickBot="1" x14ac:dyDescent="0.35">
      <c r="B19" s="10" t="s">
        <v>18</v>
      </c>
      <c r="C19" s="208">
        <v>0</v>
      </c>
      <c r="D19" s="208">
        <v>0</v>
      </c>
      <c r="E19" s="208">
        <v>0</v>
      </c>
      <c r="F19" s="208">
        <v>0</v>
      </c>
      <c r="G19" s="11">
        <f t="shared" si="13"/>
        <v>0</v>
      </c>
      <c r="I19" s="142" t="s">
        <v>18</v>
      </c>
      <c r="J19" s="239">
        <f t="shared" si="14"/>
        <v>9987.8291827968187</v>
      </c>
      <c r="K19" s="239"/>
      <c r="L19" s="239"/>
      <c r="M19" s="32"/>
    </row>
    <row r="20" spans="2:13" ht="15" thickBot="1" x14ac:dyDescent="0.35">
      <c r="B20" s="10" t="s">
        <v>19</v>
      </c>
      <c r="C20" s="208">
        <v>0</v>
      </c>
      <c r="D20" s="208">
        <v>0</v>
      </c>
      <c r="E20" s="208">
        <v>0</v>
      </c>
      <c r="F20" s="208">
        <v>0</v>
      </c>
      <c r="G20" s="11">
        <f t="shared" si="13"/>
        <v>0</v>
      </c>
      <c r="I20" s="142" t="s">
        <v>19</v>
      </c>
      <c r="J20" s="239">
        <f t="shared" si="14"/>
        <v>-273.43673489841967</v>
      </c>
      <c r="K20" s="239"/>
      <c r="L20" s="239"/>
      <c r="M20" s="32"/>
    </row>
    <row r="21" spans="2:13" ht="15" thickBot="1" x14ac:dyDescent="0.35">
      <c r="B21" s="10" t="s">
        <v>20</v>
      </c>
      <c r="C21" s="208">
        <v>0</v>
      </c>
      <c r="D21" s="208">
        <v>0</v>
      </c>
      <c r="E21" s="208">
        <v>0</v>
      </c>
      <c r="F21" s="208">
        <v>0</v>
      </c>
      <c r="G21" s="11">
        <f t="shared" si="13"/>
        <v>0</v>
      </c>
      <c r="I21" s="142" t="s">
        <v>20</v>
      </c>
      <c r="J21" s="239">
        <f t="shared" si="14"/>
        <v>0</v>
      </c>
      <c r="K21" s="239"/>
      <c r="L21" s="239"/>
      <c r="M21" s="32"/>
    </row>
    <row r="22" spans="2:13" ht="15" thickBot="1" x14ac:dyDescent="0.35">
      <c r="B22" s="10" t="s">
        <v>9</v>
      </c>
      <c r="C22" s="208">
        <f>SUM(C16:C21)</f>
        <v>0</v>
      </c>
      <c r="D22" s="208">
        <f>SUM(D16:D21)</f>
        <v>0</v>
      </c>
      <c r="E22" s="208">
        <f>SUM(E16:E21)</f>
        <v>0</v>
      </c>
      <c r="F22" s="208">
        <f t="shared" ref="F22:G22" si="15">SUM(F16:F21)</f>
        <v>0</v>
      </c>
      <c r="G22" s="11">
        <f t="shared" si="15"/>
        <v>0</v>
      </c>
      <c r="I22" s="142" t="s">
        <v>9</v>
      </c>
      <c r="J22" s="240">
        <f>SUM(J16:J21)</f>
        <v>328896.98663786059</v>
      </c>
      <c r="K22" s="240"/>
      <c r="L22" s="239"/>
      <c r="M22" s="32"/>
    </row>
    <row r="23" spans="2:13" x14ac:dyDescent="0.3">
      <c r="C23" s="32"/>
      <c r="D23" s="32"/>
      <c r="E23" s="32"/>
      <c r="F23" s="32"/>
      <c r="J23" s="32"/>
      <c r="K23" s="32"/>
      <c r="L23" s="241"/>
      <c r="M23" s="32"/>
    </row>
    <row r="24" spans="2:13" ht="15" thickBot="1" x14ac:dyDescent="0.35">
      <c r="C24" s="32"/>
      <c r="D24" s="32"/>
      <c r="E24" s="32"/>
      <c r="F24" s="32"/>
      <c r="I24" s="32"/>
      <c r="J24" s="240"/>
      <c r="K24" s="32"/>
      <c r="L24" s="241"/>
      <c r="M24" s="32"/>
    </row>
    <row r="25" spans="2:13" ht="28.2" thickBot="1" x14ac:dyDescent="0.35">
      <c r="B25" s="7" t="s">
        <v>11</v>
      </c>
      <c r="C25" s="209" t="s">
        <v>23</v>
      </c>
      <c r="D25" s="209" t="s">
        <v>24</v>
      </c>
      <c r="E25" s="209" t="s">
        <v>41</v>
      </c>
      <c r="F25" s="209" t="s">
        <v>131</v>
      </c>
      <c r="G25" s="8" t="s">
        <v>32</v>
      </c>
      <c r="I25" s="32"/>
      <c r="J25" s="289"/>
      <c r="K25" s="238"/>
      <c r="L25" s="288"/>
      <c r="M25" s="32"/>
    </row>
    <row r="26" spans="2:13" ht="15" thickBot="1" x14ac:dyDescent="0.35">
      <c r="B26" s="10" t="s">
        <v>15</v>
      </c>
      <c r="C26" s="385">
        <v>0</v>
      </c>
      <c r="D26" s="385">
        <f>'TDR (M2)'!G4</f>
        <v>215154.93654531921</v>
      </c>
      <c r="E26" s="385">
        <v>0</v>
      </c>
      <c r="F26" s="385">
        <v>0</v>
      </c>
      <c r="G26" s="386">
        <f>SUM(C26:F26)</f>
        <v>215154.93654531921</v>
      </c>
      <c r="I26" s="41"/>
      <c r="J26" s="239"/>
      <c r="K26" s="239"/>
      <c r="L26" s="239"/>
      <c r="M26" s="32"/>
    </row>
    <row r="27" spans="2:13" ht="15" thickBot="1" x14ac:dyDescent="0.35">
      <c r="B27" s="10" t="s">
        <v>16</v>
      </c>
      <c r="C27" s="385">
        <v>0</v>
      </c>
      <c r="D27" s="385">
        <f>'TDR (M2)'!G5</f>
        <v>58799.433938410366</v>
      </c>
      <c r="E27" s="388">
        <v>0</v>
      </c>
      <c r="F27" s="385">
        <v>0</v>
      </c>
      <c r="G27" s="386">
        <f t="shared" ref="G27:G31" si="16">SUM(C27:F27)</f>
        <v>58799.433938410366</v>
      </c>
      <c r="I27" s="41"/>
      <c r="J27" s="239"/>
      <c r="K27" s="239"/>
      <c r="L27" s="239"/>
      <c r="M27" s="32"/>
    </row>
    <row r="28" spans="2:13" ht="15" thickBot="1" x14ac:dyDescent="0.35">
      <c r="B28" s="10" t="s">
        <v>17</v>
      </c>
      <c r="C28" s="385">
        <v>0</v>
      </c>
      <c r="D28" s="385">
        <f>'TDR (M2)'!G6</f>
        <v>45228.223706232595</v>
      </c>
      <c r="E28" s="388">
        <v>0</v>
      </c>
      <c r="F28" s="385">
        <v>0</v>
      </c>
      <c r="G28" s="386">
        <f t="shared" si="16"/>
        <v>45228.223706232595</v>
      </c>
      <c r="I28" s="41"/>
      <c r="J28" s="239"/>
      <c r="K28" s="239"/>
      <c r="L28" s="239"/>
      <c r="M28" s="32"/>
    </row>
    <row r="29" spans="2:13" ht="15" thickBot="1" x14ac:dyDescent="0.35">
      <c r="B29" s="10" t="s">
        <v>18</v>
      </c>
      <c r="C29" s="385">
        <v>0</v>
      </c>
      <c r="D29" s="385">
        <f>'TDR (M2)'!G7</f>
        <v>9987.8291827968187</v>
      </c>
      <c r="E29" s="388">
        <v>0</v>
      </c>
      <c r="F29" s="385">
        <v>0</v>
      </c>
      <c r="G29" s="386">
        <f t="shared" si="16"/>
        <v>9987.8291827968187</v>
      </c>
      <c r="I29" s="41"/>
      <c r="J29" s="239"/>
      <c r="K29" s="239"/>
      <c r="L29" s="239"/>
      <c r="M29" s="32"/>
    </row>
    <row r="30" spans="2:13" ht="15" thickBot="1" x14ac:dyDescent="0.35">
      <c r="B30" s="10" t="s">
        <v>19</v>
      </c>
      <c r="C30" s="385">
        <v>0</v>
      </c>
      <c r="D30" s="324">
        <f>'TDR (M2)'!G8</f>
        <v>-273.43673489841967</v>
      </c>
      <c r="E30" s="388">
        <v>0</v>
      </c>
      <c r="F30" s="385">
        <v>0</v>
      </c>
      <c r="G30" s="327">
        <f t="shared" si="16"/>
        <v>-273.43673489841967</v>
      </c>
      <c r="I30" s="41"/>
      <c r="J30" s="239"/>
      <c r="K30" s="239"/>
      <c r="L30" s="239"/>
      <c r="M30" s="32"/>
    </row>
    <row r="31" spans="2:13" ht="15" thickBot="1" x14ac:dyDescent="0.35">
      <c r="B31" s="10" t="s">
        <v>20</v>
      </c>
      <c r="C31" s="387">
        <v>0</v>
      </c>
      <c r="D31" s="12">
        <v>0</v>
      </c>
      <c r="E31" s="389">
        <v>0</v>
      </c>
      <c r="F31" s="385">
        <v>0</v>
      </c>
      <c r="G31" s="16">
        <f t="shared" si="16"/>
        <v>0</v>
      </c>
      <c r="I31" s="41"/>
      <c r="J31" s="239"/>
      <c r="K31" s="239"/>
      <c r="L31" s="239"/>
      <c r="M31" s="32"/>
    </row>
    <row r="32" spans="2:13" ht="15" thickBot="1" x14ac:dyDescent="0.35">
      <c r="B32" s="10" t="s">
        <v>9</v>
      </c>
      <c r="C32" s="387">
        <f>SUM(C26:C31)</f>
        <v>0</v>
      </c>
      <c r="D32" s="140">
        <f t="shared" ref="D32:G32" si="17">SUM(D26:D31)</f>
        <v>328896.98663786059</v>
      </c>
      <c r="E32" s="389">
        <f t="shared" si="17"/>
        <v>0</v>
      </c>
      <c r="F32" s="385">
        <f t="shared" si="17"/>
        <v>0</v>
      </c>
      <c r="G32" s="386">
        <f t="shared" si="17"/>
        <v>328896.98663786059</v>
      </c>
      <c r="I32" s="41"/>
      <c r="J32" s="240"/>
      <c r="K32" s="240"/>
      <c r="L32" s="239"/>
      <c r="M32" s="32"/>
    </row>
    <row r="33" spans="6:13" x14ac:dyDescent="0.3">
      <c r="F33" s="192"/>
      <c r="G33" s="20"/>
      <c r="H33" s="192"/>
      <c r="I33" s="32"/>
      <c r="J33" s="241"/>
      <c r="K33" s="242"/>
      <c r="L33" s="242"/>
      <c r="M33" s="32"/>
    </row>
    <row r="34" spans="6:13" x14ac:dyDescent="0.3">
      <c r="F34" s="192"/>
      <c r="G34" s="20"/>
      <c r="H34" s="192"/>
      <c r="I34" s="32"/>
      <c r="J34" s="243"/>
      <c r="K34" s="242"/>
      <c r="L34" s="242"/>
      <c r="M34" s="32"/>
    </row>
    <row r="35" spans="6:13" x14ac:dyDescent="0.3">
      <c r="F35" s="192"/>
      <c r="G35" s="20"/>
      <c r="H35" s="192"/>
      <c r="I35" s="32"/>
      <c r="J35" s="137"/>
      <c r="K35" s="238"/>
      <c r="L35" s="242"/>
      <c r="M35" s="32"/>
    </row>
    <row r="36" spans="6:13" x14ac:dyDescent="0.3">
      <c r="F36" s="192"/>
      <c r="G36" s="20"/>
      <c r="H36" s="192"/>
      <c r="I36" s="41"/>
      <c r="J36" s="239"/>
      <c r="K36" s="239"/>
      <c r="L36" s="239"/>
      <c r="M36" s="32"/>
    </row>
    <row r="37" spans="6:13" x14ac:dyDescent="0.3">
      <c r="F37" s="192"/>
      <c r="G37" s="20"/>
      <c r="H37" s="192"/>
      <c r="I37" s="41"/>
      <c r="J37" s="239"/>
      <c r="K37" s="239"/>
      <c r="L37" s="239"/>
      <c r="M37" s="32"/>
    </row>
    <row r="38" spans="6:13" x14ac:dyDescent="0.3">
      <c r="F38" s="192"/>
      <c r="G38" s="20"/>
      <c r="H38" s="192"/>
      <c r="I38" s="41"/>
      <c r="J38" s="239"/>
      <c r="K38" s="239"/>
      <c r="L38" s="239"/>
      <c r="M38" s="32"/>
    </row>
    <row r="39" spans="6:13" x14ac:dyDescent="0.3">
      <c r="I39" s="41"/>
      <c r="J39" s="239"/>
      <c r="K39" s="239"/>
      <c r="L39" s="239"/>
      <c r="M39" s="32"/>
    </row>
    <row r="40" spans="6:13" x14ac:dyDescent="0.3">
      <c r="I40" s="41"/>
      <c r="J40" s="239"/>
      <c r="K40" s="239"/>
      <c r="L40" s="239"/>
      <c r="M40" s="32"/>
    </row>
    <row r="41" spans="6:13" x14ac:dyDescent="0.3">
      <c r="I41" s="41"/>
      <c r="J41" s="239"/>
      <c r="K41" s="239"/>
      <c r="L41" s="239"/>
      <c r="M41" s="32"/>
    </row>
    <row r="42" spans="6:13" x14ac:dyDescent="0.3">
      <c r="I42" s="41"/>
      <c r="J42" s="240"/>
      <c r="K42" s="240"/>
      <c r="L42" s="239"/>
      <c r="M42" s="32"/>
    </row>
  </sheetData>
  <mergeCells count="2">
    <mergeCell ref="J2:M2"/>
    <mergeCell ref="P2:T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92D050"/>
  </sheetPr>
  <dimension ref="C2:I31"/>
  <sheetViews>
    <sheetView zoomScaleNormal="100" workbookViewId="0">
      <selection activeCell="Q14" sqref="Q14"/>
    </sheetView>
  </sheetViews>
  <sheetFormatPr defaultRowHeight="14.4" x14ac:dyDescent="0.3"/>
  <cols>
    <col min="3" max="3" width="33.88671875" bestFit="1" customWidth="1"/>
    <col min="4" max="5" width="13.5546875" bestFit="1" customWidth="1"/>
    <col min="6" max="7" width="12.44140625" bestFit="1" customWidth="1"/>
    <col min="8" max="8" width="12" bestFit="1" customWidth="1"/>
    <col min="9" max="9" width="10.33203125" bestFit="1" customWidth="1"/>
  </cols>
  <sheetData>
    <row r="2" spans="3:9" ht="15" thickBot="1" x14ac:dyDescent="0.35">
      <c r="C2" s="54" t="s">
        <v>56</v>
      </c>
    </row>
    <row r="3" spans="3:9" x14ac:dyDescent="0.3">
      <c r="C3" s="432" t="s">
        <v>11</v>
      </c>
      <c r="D3" s="51" t="s">
        <v>46</v>
      </c>
      <c r="E3" s="51" t="s">
        <v>48</v>
      </c>
      <c r="F3" s="51" t="s">
        <v>63</v>
      </c>
      <c r="G3" s="51" t="s">
        <v>49</v>
      </c>
    </row>
    <row r="4" spans="3:9" ht="15" thickBot="1" x14ac:dyDescent="0.35">
      <c r="C4" s="433"/>
      <c r="D4" s="52" t="s">
        <v>47</v>
      </c>
      <c r="E4" s="52" t="s">
        <v>47</v>
      </c>
      <c r="F4" s="52" t="s">
        <v>47</v>
      </c>
      <c r="G4" s="52" t="s">
        <v>47</v>
      </c>
    </row>
    <row r="5" spans="3:9" ht="15" thickBot="1" x14ac:dyDescent="0.35">
      <c r="C5" s="53" t="s">
        <v>50</v>
      </c>
      <c r="D5" s="130">
        <f>'tariff tables (M2)'!P4</f>
        <v>0</v>
      </c>
      <c r="E5" s="130">
        <f>'tariff tables (M2)'!Q4</f>
        <v>1.7E-5</v>
      </c>
      <c r="F5" s="130">
        <f>'tariff tables (M2)'!R4</f>
        <v>0</v>
      </c>
      <c r="G5" s="55">
        <f>'tariff tables (M2)'!S4</f>
        <v>0</v>
      </c>
      <c r="H5" s="237">
        <f>SUM(D5:G5)</f>
        <v>1.7E-5</v>
      </c>
      <c r="I5" s="138"/>
    </row>
    <row r="6" spans="3:9" ht="15" thickBot="1" x14ac:dyDescent="0.35">
      <c r="C6" s="53" t="s">
        <v>51</v>
      </c>
      <c r="D6" s="130">
        <f>'tariff tables (M2)'!P5</f>
        <v>0</v>
      </c>
      <c r="E6" s="130">
        <f>'tariff tables (M2)'!Q5</f>
        <v>1.9000000000000001E-5</v>
      </c>
      <c r="F6" s="130">
        <f>'tariff tables (M2)'!R5</f>
        <v>0</v>
      </c>
      <c r="G6" s="55">
        <f>'tariff tables (M2)'!S5</f>
        <v>0</v>
      </c>
      <c r="H6" s="237">
        <f t="shared" ref="H6:H10" si="0">SUM(D6:G6)</f>
        <v>1.9000000000000001E-5</v>
      </c>
      <c r="I6" s="138"/>
    </row>
    <row r="7" spans="3:9" ht="15" thickBot="1" x14ac:dyDescent="0.35">
      <c r="C7" s="53" t="s">
        <v>52</v>
      </c>
      <c r="D7" s="130">
        <f>'tariff tables (M2)'!P6</f>
        <v>0</v>
      </c>
      <c r="E7" s="130">
        <f>'tariff tables (M2)'!Q6</f>
        <v>6.9999999999999999E-6</v>
      </c>
      <c r="F7" s="130">
        <f>'tariff tables (M2)'!R6</f>
        <v>0</v>
      </c>
      <c r="G7" s="55">
        <f>'tariff tables (M2)'!S6</f>
        <v>0</v>
      </c>
      <c r="H7" s="237">
        <f t="shared" si="0"/>
        <v>6.9999999999999999E-6</v>
      </c>
      <c r="I7" s="138"/>
    </row>
    <row r="8" spans="3:9" ht="15" thickBot="1" x14ac:dyDescent="0.35">
      <c r="C8" s="53" t="s">
        <v>53</v>
      </c>
      <c r="D8" s="130">
        <f>'tariff tables (M2)'!P7</f>
        <v>0</v>
      </c>
      <c r="E8" s="130">
        <f>'tariff tables (M2)'!Q7</f>
        <v>3.9999999999999998E-6</v>
      </c>
      <c r="F8" s="130">
        <f>'tariff tables (M2)'!R7</f>
        <v>0</v>
      </c>
      <c r="G8" s="55">
        <f>'tariff tables (M2)'!S7</f>
        <v>0</v>
      </c>
      <c r="H8" s="237">
        <f t="shared" si="0"/>
        <v>3.9999999999999998E-6</v>
      </c>
      <c r="I8" s="138"/>
    </row>
    <row r="9" spans="3:9" ht="15" thickBot="1" x14ac:dyDescent="0.35">
      <c r="C9" s="53" t="s">
        <v>54</v>
      </c>
      <c r="D9" s="130">
        <f>'tariff tables (M2)'!P8</f>
        <v>0</v>
      </c>
      <c r="E9" s="130">
        <f>'tariff tables (M2)'!Q8</f>
        <v>0</v>
      </c>
      <c r="F9" s="130">
        <f>'tariff tables (M2)'!R8</f>
        <v>0</v>
      </c>
      <c r="G9" s="55">
        <f>'tariff tables (M2)'!S8</f>
        <v>0</v>
      </c>
      <c r="H9" s="237">
        <f t="shared" si="0"/>
        <v>0</v>
      </c>
      <c r="I9" s="138"/>
    </row>
    <row r="10" spans="3:9" ht="15" thickBot="1" x14ac:dyDescent="0.35">
      <c r="C10" s="53" t="s">
        <v>55</v>
      </c>
      <c r="D10" s="130">
        <f>'tariff tables (M2)'!P9</f>
        <v>0</v>
      </c>
      <c r="E10" s="130">
        <f>'tariff tables (M2)'!Q9</f>
        <v>0</v>
      </c>
      <c r="F10" s="130">
        <f>'tariff tables (M2)'!R9</f>
        <v>0</v>
      </c>
      <c r="G10" s="55">
        <f>'tariff tables (M2)'!Q9</f>
        <v>0</v>
      </c>
      <c r="H10" s="237">
        <f t="shared" si="0"/>
        <v>0</v>
      </c>
    </row>
    <row r="11" spans="3:9" x14ac:dyDescent="0.3">
      <c r="D11" s="45"/>
      <c r="E11" s="45"/>
      <c r="F11" s="45"/>
      <c r="G11" s="45"/>
      <c r="H11" s="237"/>
    </row>
    <row r="12" spans="3:9" s="139" customFormat="1" ht="15" thickBot="1" x14ac:dyDescent="0.35">
      <c r="C12" s="54" t="s">
        <v>136</v>
      </c>
      <c r="H12" s="237"/>
    </row>
    <row r="13" spans="3:9" s="139" customFormat="1" x14ac:dyDescent="0.3">
      <c r="C13" s="432" t="s">
        <v>11</v>
      </c>
      <c r="D13" s="51" t="s">
        <v>46</v>
      </c>
      <c r="E13" s="51" t="s">
        <v>48</v>
      </c>
      <c r="F13" s="51" t="s">
        <v>63</v>
      </c>
      <c r="G13" s="51" t="s">
        <v>49</v>
      </c>
      <c r="H13" s="237"/>
    </row>
    <row r="14" spans="3:9" s="139" customFormat="1" ht="15" thickBot="1" x14ac:dyDescent="0.35">
      <c r="C14" s="433"/>
      <c r="D14" s="52" t="s">
        <v>47</v>
      </c>
      <c r="E14" s="52" t="s">
        <v>47</v>
      </c>
      <c r="F14" s="52" t="s">
        <v>47</v>
      </c>
      <c r="G14" s="52" t="s">
        <v>47</v>
      </c>
      <c r="H14" s="237"/>
    </row>
    <row r="15" spans="3:9" s="139" customFormat="1" ht="15" thickBot="1" x14ac:dyDescent="0.35">
      <c r="C15" s="53" t="s">
        <v>50</v>
      </c>
      <c r="D15" s="55">
        <f>+'tariff tables (M3)'!P4</f>
        <v>2.3809999999999999E-3</v>
      </c>
      <c r="E15" s="55">
        <f>+'tariff tables (M3)'!Q4</f>
        <v>8.7699999999999996E-4</v>
      </c>
      <c r="F15" s="55">
        <f>+'tariff tables (M3)'!R4</f>
        <v>3.8900000000000002E-4</v>
      </c>
      <c r="G15" s="55">
        <f>+'tariff tables (M3)'!S4</f>
        <v>9.9999999999999995E-7</v>
      </c>
      <c r="H15" s="237">
        <f>SUM(D15:G15)</f>
        <v>3.6479999999999998E-3</v>
      </c>
    </row>
    <row r="16" spans="3:9" s="139" customFormat="1" ht="15" thickBot="1" x14ac:dyDescent="0.35">
      <c r="C16" s="53" t="s">
        <v>51</v>
      </c>
      <c r="D16" s="55">
        <f>+'tariff tables (M3)'!P5</f>
        <v>2.4859999999999999E-3</v>
      </c>
      <c r="E16" s="55">
        <f>+'tariff tables (M3)'!Q5</f>
        <v>5.5500000000000005E-4</v>
      </c>
      <c r="F16" s="55">
        <f>+'tariff tables (M3)'!R5</f>
        <v>4.0900000000000002E-4</v>
      </c>
      <c r="G16" s="55">
        <f>+'tariff tables (M3)'!S5</f>
        <v>0</v>
      </c>
      <c r="H16" s="237">
        <f t="shared" ref="H16:H20" si="1">SUM(D16:G16)</f>
        <v>3.4499999999999999E-3</v>
      </c>
    </row>
    <row r="17" spans="3:9" s="139" customFormat="1" ht="15" thickBot="1" x14ac:dyDescent="0.35">
      <c r="C17" s="53" t="s">
        <v>52</v>
      </c>
      <c r="D17" s="55">
        <f>+'tariff tables (M3)'!P6</f>
        <v>2.6099999999999999E-3</v>
      </c>
      <c r="E17" s="55">
        <f>+'tariff tables (M3)'!Q6</f>
        <v>1.5380000000000001E-3</v>
      </c>
      <c r="F17" s="55">
        <f>+'tariff tables (M3)'!R6</f>
        <v>4.1599999999999997E-4</v>
      </c>
      <c r="G17" s="55">
        <f>+'tariff tables (M3)'!S6</f>
        <v>0</v>
      </c>
      <c r="H17" s="237">
        <f t="shared" si="1"/>
        <v>4.5639999999999995E-3</v>
      </c>
    </row>
    <row r="18" spans="3:9" s="139" customFormat="1" ht="15" thickBot="1" x14ac:dyDescent="0.35">
      <c r="C18" s="53" t="s">
        <v>53</v>
      </c>
      <c r="D18" s="55">
        <f>+'tariff tables (M3)'!P7</f>
        <v>2.6740000000000002E-3</v>
      </c>
      <c r="E18" s="55">
        <f>+'tariff tables (M3)'!Q7</f>
        <v>9.1200000000000005E-4</v>
      </c>
      <c r="F18" s="55">
        <f>+'tariff tables (M3)'!R7</f>
        <v>4.2400000000000001E-4</v>
      </c>
      <c r="G18" s="55">
        <f>+'tariff tables (M3)'!S7</f>
        <v>0</v>
      </c>
      <c r="H18" s="237">
        <f t="shared" si="1"/>
        <v>4.0100000000000005E-3</v>
      </c>
    </row>
    <row r="19" spans="3:9" s="139" customFormat="1" ht="15" thickBot="1" x14ac:dyDescent="0.35">
      <c r="C19" s="53" t="s">
        <v>54</v>
      </c>
      <c r="D19" s="55">
        <f>+'tariff tables (M3)'!P8</f>
        <v>2.911E-3</v>
      </c>
      <c r="E19" s="55">
        <f>+'tariff tables (M3)'!Q8</f>
        <v>3.3799999999999998E-4</v>
      </c>
      <c r="F19" s="55">
        <f>+'tariff tables (M3)'!R8</f>
        <v>5.9800000000000001E-4</v>
      </c>
      <c r="G19" s="55">
        <f>+'tariff tables (M3)'!S8</f>
        <v>-1.9999999999999999E-6</v>
      </c>
      <c r="H19" s="237">
        <f t="shared" si="1"/>
        <v>3.8450000000000003E-3</v>
      </c>
    </row>
    <row r="20" spans="3:9" s="139" customFormat="1" ht="15" thickBot="1" x14ac:dyDescent="0.35">
      <c r="C20" s="53" t="s">
        <v>55</v>
      </c>
      <c r="D20" s="55">
        <f>+'tariff tables (M3)'!P9</f>
        <v>0</v>
      </c>
      <c r="E20" s="55">
        <f>+'tariff tables (M3)'!Q9</f>
        <v>0</v>
      </c>
      <c r="F20" s="55">
        <f>+'tariff tables (M3)'!R9</f>
        <v>0</v>
      </c>
      <c r="G20" s="55">
        <f>+'tariff tables (M3)'!S9</f>
        <v>0</v>
      </c>
      <c r="H20" s="237">
        <f t="shared" si="1"/>
        <v>0</v>
      </c>
    </row>
    <row r="21" spans="3:9" s="139" customFormat="1" x14ac:dyDescent="0.3">
      <c r="D21" s="138"/>
      <c r="E21" s="138"/>
      <c r="F21" s="138"/>
      <c r="G21" s="138"/>
      <c r="H21" s="138"/>
    </row>
    <row r="22" spans="3:9" ht="15" thickBot="1" x14ac:dyDescent="0.35">
      <c r="C22" s="54" t="s">
        <v>59</v>
      </c>
      <c r="D22" s="45"/>
      <c r="E22" s="45"/>
      <c r="F22" s="45"/>
      <c r="G22" s="45"/>
      <c r="H22" s="45"/>
    </row>
    <row r="23" spans="3:9" x14ac:dyDescent="0.3">
      <c r="C23" s="432" t="s">
        <v>11</v>
      </c>
      <c r="D23" s="56" t="s">
        <v>33</v>
      </c>
      <c r="E23" s="56" t="s">
        <v>34</v>
      </c>
      <c r="F23" s="56" t="s">
        <v>57</v>
      </c>
      <c r="G23" s="56" t="s">
        <v>35</v>
      </c>
      <c r="H23" s="56" t="s">
        <v>9</v>
      </c>
    </row>
    <row r="24" spans="3:9" x14ac:dyDescent="0.3">
      <c r="C24" s="434"/>
      <c r="D24" s="57" t="s">
        <v>47</v>
      </c>
      <c r="E24" s="57" t="s">
        <v>47</v>
      </c>
      <c r="F24" s="57" t="s">
        <v>47</v>
      </c>
      <c r="G24" s="57" t="s">
        <v>47</v>
      </c>
      <c r="H24" s="57" t="s">
        <v>58</v>
      </c>
    </row>
    <row r="25" spans="3:9" ht="15" thickBot="1" x14ac:dyDescent="0.35">
      <c r="C25" s="433"/>
      <c r="D25" s="58"/>
      <c r="E25" s="58"/>
      <c r="F25" s="58"/>
      <c r="G25" s="58"/>
      <c r="H25" s="59" t="s">
        <v>47</v>
      </c>
      <c r="I25" s="32"/>
    </row>
    <row r="26" spans="3:9" ht="15" thickBot="1" x14ac:dyDescent="0.35">
      <c r="C26" s="53" t="s">
        <v>50</v>
      </c>
      <c r="D26" s="130">
        <f>D5+D15</f>
        <v>2.3809999999999999E-3</v>
      </c>
      <c r="E26" s="130">
        <f t="shared" ref="E26:G26" si="2">E5+E15</f>
        <v>8.9399999999999994E-4</v>
      </c>
      <c r="F26" s="130">
        <f t="shared" si="2"/>
        <v>3.8900000000000002E-4</v>
      </c>
      <c r="G26" s="130">
        <f t="shared" si="2"/>
        <v>9.9999999999999995E-7</v>
      </c>
      <c r="H26" s="130">
        <f>SUM(D26:G26)</f>
        <v>3.6649999999999999E-3</v>
      </c>
      <c r="I26" s="32"/>
    </row>
    <row r="27" spans="3:9" ht="15" thickBot="1" x14ac:dyDescent="0.35">
      <c r="C27" s="53" t="s">
        <v>51</v>
      </c>
      <c r="D27" s="130">
        <f t="shared" ref="D27:G31" si="3">D6+D16</f>
        <v>2.4859999999999999E-3</v>
      </c>
      <c r="E27" s="130">
        <f t="shared" si="3"/>
        <v>5.7400000000000007E-4</v>
      </c>
      <c r="F27" s="130">
        <f t="shared" si="3"/>
        <v>4.0900000000000002E-4</v>
      </c>
      <c r="G27" s="130">
        <f t="shared" si="3"/>
        <v>0</v>
      </c>
      <c r="H27" s="130">
        <f t="shared" ref="H27:H31" si="4">SUM(D27:G27)</f>
        <v>3.4690000000000003E-3</v>
      </c>
      <c r="I27" s="32"/>
    </row>
    <row r="28" spans="3:9" ht="15" thickBot="1" x14ac:dyDescent="0.35">
      <c r="C28" s="53" t="s">
        <v>52</v>
      </c>
      <c r="D28" s="130">
        <f t="shared" si="3"/>
        <v>2.6099999999999999E-3</v>
      </c>
      <c r="E28" s="130">
        <f t="shared" si="3"/>
        <v>1.5450000000000001E-3</v>
      </c>
      <c r="F28" s="130">
        <f t="shared" si="3"/>
        <v>4.1599999999999997E-4</v>
      </c>
      <c r="G28" s="130">
        <f t="shared" si="3"/>
        <v>0</v>
      </c>
      <c r="H28" s="130">
        <f t="shared" si="4"/>
        <v>4.5709999999999995E-3</v>
      </c>
      <c r="I28" s="32"/>
    </row>
    <row r="29" spans="3:9" ht="15" thickBot="1" x14ac:dyDescent="0.35">
      <c r="C29" s="53" t="s">
        <v>53</v>
      </c>
      <c r="D29" s="130">
        <f t="shared" si="3"/>
        <v>2.6740000000000002E-3</v>
      </c>
      <c r="E29" s="130">
        <f t="shared" si="3"/>
        <v>9.1600000000000004E-4</v>
      </c>
      <c r="F29" s="130">
        <f t="shared" si="3"/>
        <v>4.2400000000000001E-4</v>
      </c>
      <c r="G29" s="130">
        <f t="shared" si="3"/>
        <v>0</v>
      </c>
      <c r="H29" s="130">
        <f t="shared" si="4"/>
        <v>4.0140000000000002E-3</v>
      </c>
      <c r="I29" s="32"/>
    </row>
    <row r="30" spans="3:9" ht="15" thickBot="1" x14ac:dyDescent="0.35">
      <c r="C30" s="53" t="s">
        <v>54</v>
      </c>
      <c r="D30" s="130">
        <f t="shared" si="3"/>
        <v>2.911E-3</v>
      </c>
      <c r="E30" s="130">
        <f t="shared" si="3"/>
        <v>3.3799999999999998E-4</v>
      </c>
      <c r="F30" s="130">
        <f t="shared" si="3"/>
        <v>5.9800000000000001E-4</v>
      </c>
      <c r="G30" s="130">
        <f t="shared" si="3"/>
        <v>-1.9999999999999999E-6</v>
      </c>
      <c r="H30" s="130">
        <f t="shared" si="4"/>
        <v>3.8450000000000003E-3</v>
      </c>
      <c r="I30" s="32"/>
    </row>
    <row r="31" spans="3:9" ht="15" thickBot="1" x14ac:dyDescent="0.35">
      <c r="C31" s="53" t="s">
        <v>55</v>
      </c>
      <c r="D31" s="130">
        <f t="shared" si="3"/>
        <v>0</v>
      </c>
      <c r="E31" s="130">
        <f t="shared" si="3"/>
        <v>0</v>
      </c>
      <c r="F31" s="130">
        <f t="shared" si="3"/>
        <v>0</v>
      </c>
      <c r="G31" s="130">
        <f t="shared" si="3"/>
        <v>0</v>
      </c>
      <c r="H31" s="130">
        <f t="shared" si="4"/>
        <v>0</v>
      </c>
      <c r="I31" s="32"/>
    </row>
  </sheetData>
  <mergeCells count="3">
    <mergeCell ref="C3:C4"/>
    <mergeCell ref="C23:C25"/>
    <mergeCell ref="C13:C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pageSetUpPr fitToPage="1"/>
  </sheetPr>
  <dimension ref="A1:CB89"/>
  <sheetViews>
    <sheetView zoomScale="80" zoomScaleNormal="80" workbookViewId="0">
      <pane xSplit="1" ySplit="14" topLeftCell="B15" activePane="bottomRight" state="frozen"/>
      <selection activeCell="AY76" sqref="AY76"/>
      <selection pane="topRight" activeCell="AY76" sqref="AY76"/>
      <selection pane="bottomLeft" activeCell="AY76" sqref="AY76"/>
      <selection pane="bottomRight" activeCell="J9" sqref="J9"/>
    </sheetView>
  </sheetViews>
  <sheetFormatPr defaultColWidth="9.109375" defaultRowHeight="14.4" x14ac:dyDescent="0.3"/>
  <cols>
    <col min="1" max="1" width="21.5546875" style="48" customWidth="1"/>
    <col min="2" max="2" width="15.33203125" style="48" customWidth="1"/>
    <col min="3" max="3" width="15.88671875" style="48" customWidth="1"/>
    <col min="4" max="4" width="17.88671875" style="48" customWidth="1"/>
    <col min="5" max="5" width="16.109375" style="48" customWidth="1"/>
    <col min="6" max="6" width="15" style="48" bestFit="1" customWidth="1"/>
    <col min="7" max="7" width="16" style="48" customWidth="1"/>
    <col min="8" max="8" width="15" style="48" bestFit="1" customWidth="1"/>
    <col min="9" max="11" width="16" style="48" bestFit="1" customWidth="1"/>
    <col min="12" max="74" width="16" style="139" customWidth="1"/>
    <col min="75" max="75" width="10.88671875" style="139" bestFit="1" customWidth="1"/>
    <col min="76" max="76" width="9.109375" style="139"/>
    <col min="77" max="77" width="12.6640625" style="139" bestFit="1" customWidth="1"/>
    <col min="78" max="80" width="9.109375" style="139"/>
    <col min="81" max="16384" width="9.109375" style="48"/>
  </cols>
  <sheetData>
    <row r="1" spans="1:80" x14ac:dyDescent="0.3">
      <c r="A1" s="32" t="s">
        <v>159</v>
      </c>
      <c r="B1" s="32"/>
      <c r="J1" s="32"/>
      <c r="K1" s="32"/>
      <c r="L1" s="32"/>
      <c r="M1" s="32"/>
      <c r="N1" s="32"/>
      <c r="O1" s="32"/>
    </row>
    <row r="2" spans="1:80" x14ac:dyDescent="0.3">
      <c r="A2" s="32"/>
      <c r="B2" s="366" t="s">
        <v>77</v>
      </c>
      <c r="C2" s="32"/>
      <c r="D2" s="32"/>
      <c r="E2" s="32"/>
      <c r="F2" s="32"/>
      <c r="G2" s="32"/>
      <c r="H2" s="32"/>
      <c r="I2" s="32"/>
      <c r="J2" s="39" t="s">
        <v>26</v>
      </c>
      <c r="K2" s="32"/>
      <c r="L2" s="32"/>
      <c r="M2" s="32"/>
      <c r="N2" s="32"/>
      <c r="O2" s="32"/>
    </row>
    <row r="3" spans="1:80" x14ac:dyDescent="0.3">
      <c r="A3" s="32"/>
      <c r="B3" s="280" t="s">
        <v>113</v>
      </c>
      <c r="C3" s="280" t="s">
        <v>64</v>
      </c>
      <c r="D3" s="280" t="s">
        <v>78</v>
      </c>
      <c r="E3" s="280" t="s">
        <v>97</v>
      </c>
      <c r="F3" s="280" t="s">
        <v>91</v>
      </c>
      <c r="G3" s="280" t="s">
        <v>65</v>
      </c>
      <c r="H3" s="280" t="s">
        <v>79</v>
      </c>
      <c r="I3" s="32"/>
      <c r="J3" s="39" t="s">
        <v>80</v>
      </c>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row>
    <row r="4" spans="1:80" x14ac:dyDescent="0.3">
      <c r="A4" s="32" t="s">
        <v>0</v>
      </c>
      <c r="B4" s="21">
        <f>+N78</f>
        <v>2260140</v>
      </c>
      <c r="C4" s="21">
        <f>SUM(B42:BV42)</f>
        <v>62475050.385250203</v>
      </c>
      <c r="D4" s="61">
        <f>SUM(B28:BV28)</f>
        <v>77551697118.766693</v>
      </c>
      <c r="E4" s="21">
        <f>SUM(B21:BV21)</f>
        <v>60352400.493553817</v>
      </c>
      <c r="F4" s="21">
        <f>+B4-C4+E4</f>
        <v>137490.10830361396</v>
      </c>
      <c r="G4" s="21">
        <f>SUM(B68:BV68)</f>
        <v>-249553.50420445207</v>
      </c>
      <c r="H4" s="26">
        <f>F4+G4</f>
        <v>-112063.39590083811</v>
      </c>
      <c r="I4" s="32"/>
      <c r="J4" s="39" t="s">
        <v>93</v>
      </c>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row>
    <row r="5" spans="1:80" x14ac:dyDescent="0.3">
      <c r="A5" s="32" t="s">
        <v>4</v>
      </c>
      <c r="B5" s="21">
        <f t="shared" ref="B5:B8" si="0">+N79</f>
        <v>98743</v>
      </c>
      <c r="C5" s="21">
        <f>SUM(B43:BV43)</f>
        <v>20598511.997470438</v>
      </c>
      <c r="D5" s="61">
        <f>SUM(B29:BV29)</f>
        <v>19233324970</v>
      </c>
      <c r="E5" s="21">
        <f>SUM(B22:BV22)</f>
        <v>20334161.496263348</v>
      </c>
      <c r="F5" s="21">
        <f t="shared" ref="F5:F7" si="1">+B5-C5+E5</f>
        <v>-165607.50120709091</v>
      </c>
      <c r="G5" s="21">
        <f>SUM(B69:BV69)</f>
        <v>1633.5449308170544</v>
      </c>
      <c r="H5" s="26">
        <f>F5+G5</f>
        <v>-163973.95627627385</v>
      </c>
      <c r="I5" s="32"/>
      <c r="J5" s="39" t="s">
        <v>81</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296"/>
      <c r="BM5" s="296"/>
      <c r="BN5" s="81"/>
      <c r="BO5" s="32"/>
      <c r="BP5" s="32"/>
      <c r="BQ5" s="32"/>
      <c r="BR5" s="32"/>
      <c r="BS5" s="32"/>
      <c r="BT5" s="32"/>
      <c r="BU5" s="32"/>
      <c r="BV5" s="32"/>
    </row>
    <row r="6" spans="1:80" x14ac:dyDescent="0.3">
      <c r="A6" s="32" t="s">
        <v>5</v>
      </c>
      <c r="B6" s="21">
        <f t="shared" si="0"/>
        <v>354201</v>
      </c>
      <c r="C6" s="21">
        <f>SUM(B44:BV44)</f>
        <v>46899203.3933644</v>
      </c>
      <c r="D6" s="61">
        <f>SUM(B30:BV30)</f>
        <v>43598097138.899994</v>
      </c>
      <c r="E6" s="21">
        <f>SUM(B23:BV23)</f>
        <v>46254751.049669757</v>
      </c>
      <c r="F6" s="21">
        <f t="shared" si="1"/>
        <v>-290251.34369464219</v>
      </c>
      <c r="G6" s="21">
        <f>SUM(B70:BV70)</f>
        <v>-4838.8313247078631</v>
      </c>
      <c r="H6" s="26">
        <f>F6+G6</f>
        <v>-295090.17501935008</v>
      </c>
      <c r="I6" s="32"/>
      <c r="J6" s="39" t="s">
        <v>109</v>
      </c>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296"/>
      <c r="BM6" s="296"/>
      <c r="BN6" s="81"/>
      <c r="BO6" s="32"/>
      <c r="BP6" s="32"/>
      <c r="BQ6" s="32"/>
      <c r="BR6" s="32"/>
      <c r="BS6" s="32"/>
      <c r="BT6" s="32"/>
      <c r="BU6" s="32"/>
      <c r="BV6" s="32"/>
    </row>
    <row r="7" spans="1:80" x14ac:dyDescent="0.3">
      <c r="A7" s="32" t="s">
        <v>6</v>
      </c>
      <c r="B7" s="21">
        <f t="shared" si="0"/>
        <v>106604</v>
      </c>
      <c r="C7" s="21">
        <f>SUM(B45:BV45)</f>
        <v>20507003.377081398</v>
      </c>
      <c r="D7" s="61">
        <f>SUM(B31:BV31)</f>
        <v>18848215873.900002</v>
      </c>
      <c r="E7" s="21">
        <f>SUM(B24:BV24)</f>
        <v>20296162.34543718</v>
      </c>
      <c r="F7" s="21">
        <f t="shared" si="1"/>
        <v>-104237.03164421767</v>
      </c>
      <c r="G7" s="21">
        <f>SUM(B71:BV71)</f>
        <v>-2376.3184130461614</v>
      </c>
      <c r="H7" s="26">
        <f>F7+G7</f>
        <v>-106613.35005726383</v>
      </c>
      <c r="I7" s="32"/>
      <c r="J7" s="39" t="s">
        <v>110</v>
      </c>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296"/>
      <c r="BM7" s="296"/>
      <c r="BN7" s="81"/>
      <c r="BO7" s="32"/>
      <c r="BP7" s="32"/>
      <c r="BQ7" s="32"/>
      <c r="BR7" s="32"/>
      <c r="BS7" s="32"/>
      <c r="BT7" s="32"/>
      <c r="BU7" s="32"/>
      <c r="BV7" s="236"/>
    </row>
    <row r="8" spans="1:80" ht="15" thickBot="1" x14ac:dyDescent="0.35">
      <c r="A8" s="32" t="s">
        <v>7</v>
      </c>
      <c r="B8" s="21">
        <f t="shared" si="0"/>
        <v>-122962</v>
      </c>
      <c r="C8" s="21">
        <f>SUM(B46:BV46)</f>
        <v>9605869.4568335731</v>
      </c>
      <c r="D8" s="61">
        <f>SUM(B32:BV32)</f>
        <v>8603785541.7999992</v>
      </c>
      <c r="E8" s="21">
        <f>SUM(B25:BV25)</f>
        <v>9714740.8250759095</v>
      </c>
      <c r="F8" s="21">
        <f>+B8-C8+E8</f>
        <v>-14090.631757663563</v>
      </c>
      <c r="G8" s="21">
        <f>SUM(B72:BV72)</f>
        <v>-4252.4287407819038</v>
      </c>
      <c r="H8" s="26">
        <f>F8+G8</f>
        <v>-18343.060498445466</v>
      </c>
      <c r="I8" s="32"/>
      <c r="J8" s="39"/>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296"/>
      <c r="BM8" s="296"/>
      <c r="BN8" s="81"/>
      <c r="BO8" s="32"/>
      <c r="BP8" s="32"/>
      <c r="BQ8" s="32"/>
      <c r="BR8" s="32"/>
      <c r="BS8" s="32"/>
      <c r="BT8" s="32"/>
      <c r="BU8" s="32"/>
      <c r="BV8" s="236"/>
    </row>
    <row r="9" spans="1:80" ht="15.6" thickTop="1" thickBot="1" x14ac:dyDescent="0.35">
      <c r="A9" s="32"/>
      <c r="B9" s="62">
        <f>SUM(B4:B8)</f>
        <v>2696726</v>
      </c>
      <c r="C9" s="62">
        <f t="shared" ref="C9:H9" si="2">SUM(C4:C8)</f>
        <v>160085638.61000001</v>
      </c>
      <c r="D9" s="154">
        <f>SUM(D4:D8)</f>
        <v>167835120643.36667</v>
      </c>
      <c r="E9" s="62">
        <f t="shared" si="2"/>
        <v>156952216.21000004</v>
      </c>
      <c r="F9" s="62">
        <f>SUM(F4:F8)</f>
        <v>-436696.40000000037</v>
      </c>
      <c r="G9" s="62">
        <f>SUM(G4:G8)</f>
        <v>-259387.53775217093</v>
      </c>
      <c r="H9" s="62">
        <f t="shared" si="2"/>
        <v>-696083.9377521713</v>
      </c>
      <c r="I9" s="32"/>
      <c r="J9" s="39"/>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296"/>
      <c r="BM9" s="296"/>
      <c r="BN9" s="81"/>
      <c r="BO9" s="32"/>
      <c r="BP9" s="32"/>
      <c r="BQ9" s="32"/>
      <c r="BR9" s="32"/>
      <c r="BS9" s="32"/>
      <c r="BT9" s="32"/>
      <c r="BU9" s="32"/>
      <c r="BV9" s="32"/>
    </row>
    <row r="10" spans="1:80" ht="15.6" thickTop="1" thickBot="1" x14ac:dyDescent="0.35">
      <c r="A10" s="32"/>
      <c r="B10" s="32"/>
      <c r="C10" s="32"/>
      <c r="D10" s="32"/>
      <c r="E10" s="32"/>
      <c r="F10" s="290" t="s">
        <v>25</v>
      </c>
      <c r="G10" s="18">
        <f>G9-SUM(B51:BV51)</f>
        <v>1.873641149722971E-2</v>
      </c>
      <c r="H10" s="32"/>
      <c r="I10" s="32"/>
      <c r="J10" s="39"/>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81"/>
    </row>
    <row r="11" spans="1:80" ht="15" thickTop="1" x14ac:dyDescent="0.3">
      <c r="E11" s="3"/>
      <c r="G11" s="2"/>
      <c r="J11" s="39"/>
      <c r="K11" s="32"/>
      <c r="L11" s="32"/>
      <c r="M11" s="32"/>
      <c r="N11" s="32"/>
      <c r="O11" s="32"/>
    </row>
    <row r="12" spans="1:80" ht="15" thickBot="1" x14ac:dyDescent="0.35">
      <c r="B12" s="35"/>
      <c r="C12" s="35"/>
      <c r="D12" s="35"/>
      <c r="E12" s="35"/>
      <c r="F12" s="35"/>
      <c r="G12" s="35"/>
      <c r="H12" s="35"/>
      <c r="I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row>
    <row r="13" spans="1:80" ht="15" thickBot="1" x14ac:dyDescent="0.35">
      <c r="A13" s="141"/>
      <c r="B13" s="141"/>
      <c r="C13" s="95"/>
      <c r="D13" s="113" t="s">
        <v>68</v>
      </c>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266"/>
      <c r="BH13" s="95"/>
      <c r="BI13" s="95"/>
      <c r="BJ13" s="95"/>
      <c r="BK13" s="95"/>
      <c r="BL13" s="95"/>
      <c r="BM13" s="95"/>
      <c r="BN13" s="95"/>
      <c r="BO13" s="95"/>
      <c r="BP13" s="95"/>
      <c r="BQ13" s="95"/>
      <c r="BR13" s="95"/>
      <c r="BS13" s="266"/>
      <c r="BT13" s="266"/>
      <c r="BU13" s="266"/>
      <c r="BV13" s="355"/>
    </row>
    <row r="14" spans="1:80" x14ac:dyDescent="0.3">
      <c r="A14" s="73" t="s">
        <v>83</v>
      </c>
      <c r="B14" s="312">
        <v>42370</v>
      </c>
      <c r="C14" s="267">
        <f t="shared" ref="C14:K14" si="3">EDATE(B14,1)</f>
        <v>42401</v>
      </c>
      <c r="D14" s="267">
        <f t="shared" si="3"/>
        <v>42430</v>
      </c>
      <c r="E14" s="267">
        <f t="shared" si="3"/>
        <v>42461</v>
      </c>
      <c r="F14" s="267">
        <f t="shared" si="3"/>
        <v>42491</v>
      </c>
      <c r="G14" s="267">
        <f t="shared" si="3"/>
        <v>42522</v>
      </c>
      <c r="H14" s="267">
        <f t="shared" si="3"/>
        <v>42552</v>
      </c>
      <c r="I14" s="267">
        <f t="shared" si="3"/>
        <v>42583</v>
      </c>
      <c r="J14" s="267">
        <f t="shared" si="3"/>
        <v>42614</v>
      </c>
      <c r="K14" s="267">
        <f t="shared" si="3"/>
        <v>42644</v>
      </c>
      <c r="L14" s="267">
        <f t="shared" ref="L14:W14" si="4">EDATE(K14,1)</f>
        <v>42675</v>
      </c>
      <c r="M14" s="267">
        <f t="shared" si="4"/>
        <v>42705</v>
      </c>
      <c r="N14" s="267">
        <f t="shared" si="4"/>
        <v>42736</v>
      </c>
      <c r="O14" s="267">
        <f t="shared" si="4"/>
        <v>42767</v>
      </c>
      <c r="P14" s="267">
        <f t="shared" si="4"/>
        <v>42795</v>
      </c>
      <c r="Q14" s="267">
        <f t="shared" si="4"/>
        <v>42826</v>
      </c>
      <c r="R14" s="267">
        <f t="shared" si="4"/>
        <v>42856</v>
      </c>
      <c r="S14" s="267">
        <f t="shared" si="4"/>
        <v>42887</v>
      </c>
      <c r="T14" s="267">
        <f t="shared" si="4"/>
        <v>42917</v>
      </c>
      <c r="U14" s="267">
        <f t="shared" si="4"/>
        <v>42948</v>
      </c>
      <c r="V14" s="267">
        <f t="shared" si="4"/>
        <v>42979</v>
      </c>
      <c r="W14" s="267">
        <f t="shared" si="4"/>
        <v>43009</v>
      </c>
      <c r="X14" s="267">
        <f t="shared" ref="X14" si="5">EDATE(W14,1)</f>
        <v>43040</v>
      </c>
      <c r="Y14" s="267">
        <f t="shared" ref="Y14" si="6">EDATE(X14,1)</f>
        <v>43070</v>
      </c>
      <c r="Z14" s="267">
        <f t="shared" ref="Z14" si="7">EDATE(Y14,1)</f>
        <v>43101</v>
      </c>
      <c r="AA14" s="267">
        <f t="shared" ref="AA14" si="8">EDATE(Z14,1)</f>
        <v>43132</v>
      </c>
      <c r="AB14" s="267">
        <f t="shared" ref="AB14" si="9">EDATE(AA14,1)</f>
        <v>43160</v>
      </c>
      <c r="AC14" s="267">
        <f t="shared" ref="AC14" si="10">EDATE(AB14,1)</f>
        <v>43191</v>
      </c>
      <c r="AD14" s="267">
        <f t="shared" ref="AD14" si="11">EDATE(AC14,1)</f>
        <v>43221</v>
      </c>
      <c r="AE14" s="267">
        <f t="shared" ref="AE14" si="12">EDATE(AD14,1)</f>
        <v>43252</v>
      </c>
      <c r="AF14" s="267">
        <f t="shared" ref="AF14" si="13">EDATE(AE14,1)</f>
        <v>43282</v>
      </c>
      <c r="AG14" s="267">
        <f t="shared" ref="AG14" si="14">EDATE(AF14,1)</f>
        <v>43313</v>
      </c>
      <c r="AH14" s="267">
        <f t="shared" ref="AH14" si="15">EDATE(AG14,1)</f>
        <v>43344</v>
      </c>
      <c r="AI14" s="267">
        <f t="shared" ref="AI14" si="16">EDATE(AH14,1)</f>
        <v>43374</v>
      </c>
      <c r="AJ14" s="267">
        <f t="shared" ref="AJ14" si="17">EDATE(AI14,1)</f>
        <v>43405</v>
      </c>
      <c r="AK14" s="267">
        <f t="shared" ref="AK14" si="18">EDATE(AJ14,1)</f>
        <v>43435</v>
      </c>
      <c r="AL14" s="267">
        <f t="shared" ref="AL14" si="19">EDATE(AK14,1)</f>
        <v>43466</v>
      </c>
      <c r="AM14" s="267">
        <f t="shared" ref="AM14" si="20">EDATE(AL14,1)</f>
        <v>43497</v>
      </c>
      <c r="AN14" s="267">
        <f t="shared" ref="AN14" si="21">EDATE(AM14,1)</f>
        <v>43525</v>
      </c>
      <c r="AO14" s="267">
        <f t="shared" ref="AO14" si="22">EDATE(AN14,1)</f>
        <v>43556</v>
      </c>
      <c r="AP14" s="267">
        <f t="shared" ref="AP14" si="23">EDATE(AO14,1)</f>
        <v>43586</v>
      </c>
      <c r="AQ14" s="267">
        <f t="shared" ref="AQ14" si="24">EDATE(AP14,1)</f>
        <v>43617</v>
      </c>
      <c r="AR14" s="267">
        <f t="shared" ref="AR14" si="25">EDATE(AQ14,1)</f>
        <v>43647</v>
      </c>
      <c r="AS14" s="267">
        <f t="shared" ref="AS14" si="26">EDATE(AR14,1)</f>
        <v>43678</v>
      </c>
      <c r="AT14" s="267">
        <f t="shared" ref="AT14" si="27">EDATE(AS14,1)</f>
        <v>43709</v>
      </c>
      <c r="AU14" s="267">
        <f t="shared" ref="AU14" si="28">EDATE(AT14,1)</f>
        <v>43739</v>
      </c>
      <c r="AV14" s="267">
        <f t="shared" ref="AV14" si="29">EDATE(AU14,1)</f>
        <v>43770</v>
      </c>
      <c r="AW14" s="267">
        <f t="shared" ref="AW14" si="30">EDATE(AV14,1)</f>
        <v>43800</v>
      </c>
      <c r="AX14" s="267">
        <f t="shared" ref="AX14" si="31">EDATE(AW14,1)</f>
        <v>43831</v>
      </c>
      <c r="AY14" s="267">
        <f t="shared" ref="AY14" si="32">EDATE(AX14,1)</f>
        <v>43862</v>
      </c>
      <c r="AZ14" s="267">
        <f t="shared" ref="AZ14" si="33">EDATE(AY14,1)</f>
        <v>43891</v>
      </c>
      <c r="BA14" s="267">
        <f t="shared" ref="BA14" si="34">EDATE(AZ14,1)</f>
        <v>43922</v>
      </c>
      <c r="BB14" s="267">
        <f t="shared" ref="BB14" si="35">EDATE(BA14,1)</f>
        <v>43952</v>
      </c>
      <c r="BC14" s="267">
        <f t="shared" ref="BC14" si="36">EDATE(BB14,1)</f>
        <v>43983</v>
      </c>
      <c r="BD14" s="267">
        <f t="shared" ref="BD14" si="37">EDATE(BC14,1)</f>
        <v>44013</v>
      </c>
      <c r="BE14" s="267">
        <f t="shared" ref="BE14" si="38">EDATE(BD14,1)</f>
        <v>44044</v>
      </c>
      <c r="BF14" s="267">
        <f t="shared" ref="BF14" si="39">EDATE(BE14,1)</f>
        <v>44075</v>
      </c>
      <c r="BG14" s="267">
        <f t="shared" ref="BG14" si="40">EDATE(BF14,1)</f>
        <v>44105</v>
      </c>
      <c r="BH14" s="67">
        <f t="shared" ref="BH14" si="41">EDATE(BG14,1)</f>
        <v>44136</v>
      </c>
      <c r="BI14" s="67">
        <f t="shared" ref="BI14" si="42">EDATE(BH14,1)</f>
        <v>44166</v>
      </c>
      <c r="BJ14" s="67">
        <f t="shared" ref="BJ14" si="43">EDATE(BI14,1)</f>
        <v>44197</v>
      </c>
      <c r="BK14" s="67">
        <f t="shared" ref="BK14" si="44">EDATE(BJ14,1)</f>
        <v>44228</v>
      </c>
      <c r="BL14" s="67">
        <f t="shared" ref="BL14" si="45">EDATE(BK14,1)</f>
        <v>44256</v>
      </c>
      <c r="BM14" s="67">
        <f t="shared" ref="BM14" si="46">EDATE(BL14,1)</f>
        <v>44287</v>
      </c>
      <c r="BN14" s="67">
        <f t="shared" ref="BN14" si="47">EDATE(BM14,1)</f>
        <v>44317</v>
      </c>
      <c r="BO14" s="67">
        <f t="shared" ref="BO14" si="48">EDATE(BN14,1)</f>
        <v>44348</v>
      </c>
      <c r="BP14" s="67">
        <f t="shared" ref="BP14" si="49">EDATE(BO14,1)</f>
        <v>44378</v>
      </c>
      <c r="BQ14" s="67">
        <f t="shared" ref="BQ14" si="50">EDATE(BP14,1)</f>
        <v>44409</v>
      </c>
      <c r="BR14" s="267">
        <f t="shared" ref="BR14" si="51">EDATE(BQ14,1)</f>
        <v>44440</v>
      </c>
      <c r="BS14" s="267">
        <f t="shared" ref="BS14" si="52">EDATE(BR14,1)</f>
        <v>44470</v>
      </c>
      <c r="BT14" s="267">
        <f t="shared" ref="BT14" si="53">EDATE(BS14,1)</f>
        <v>44501</v>
      </c>
      <c r="BU14" s="267">
        <f t="shared" ref="BU14" si="54">EDATE(BT14,1)</f>
        <v>44531</v>
      </c>
      <c r="BV14" s="356">
        <f t="shared" ref="BV14" si="55">EDATE(BU14,1)</f>
        <v>44562</v>
      </c>
      <c r="BW14" s="1"/>
      <c r="BX14" s="1"/>
      <c r="BY14" s="1"/>
      <c r="BZ14" s="1"/>
      <c r="CA14" s="1"/>
      <c r="CB14" s="1"/>
    </row>
    <row r="15" spans="1:80" x14ac:dyDescent="0.3">
      <c r="A15" s="177" t="s">
        <v>0</v>
      </c>
      <c r="B15" s="69">
        <v>0</v>
      </c>
      <c r="C15" s="70">
        <v>0</v>
      </c>
      <c r="D15" s="70">
        <v>92701.6</v>
      </c>
      <c r="E15" s="70">
        <v>470887.92</v>
      </c>
      <c r="F15" s="70">
        <v>1113267.27</v>
      </c>
      <c r="G15" s="70">
        <v>1040037.3</v>
      </c>
      <c r="H15" s="70">
        <v>1509771.61</v>
      </c>
      <c r="I15" s="70">
        <v>2518235.16</v>
      </c>
      <c r="J15" s="29">
        <v>1528668.86</v>
      </c>
      <c r="K15" s="29">
        <v>1905356.75</v>
      </c>
      <c r="L15" s="29">
        <v>2048839.7199999997</v>
      </c>
      <c r="M15" s="29">
        <v>1913931.6199999999</v>
      </c>
      <c r="N15" s="29">
        <v>1690080.7899999998</v>
      </c>
      <c r="O15" s="29">
        <v>1877206.5299999996</v>
      </c>
      <c r="P15" s="29">
        <v>1484918.02</v>
      </c>
      <c r="Q15" s="29">
        <v>630134.03999999992</v>
      </c>
      <c r="R15" s="29">
        <v>2225868.1400000006</v>
      </c>
      <c r="S15" s="29">
        <v>2452376.73</v>
      </c>
      <c r="T15" s="29">
        <v>1476113.1700000002</v>
      </c>
      <c r="U15" s="29">
        <v>2335443.9099999992</v>
      </c>
      <c r="V15" s="29">
        <v>1946348.1600000001</v>
      </c>
      <c r="W15" s="200">
        <v>1758048.53</v>
      </c>
      <c r="X15" s="200">
        <v>1416376.8500000003</v>
      </c>
      <c r="Y15" s="200">
        <v>1873803.07</v>
      </c>
      <c r="Z15" s="200">
        <v>1221681.9000000001</v>
      </c>
      <c r="AA15" s="200">
        <v>926005.15000000014</v>
      </c>
      <c r="AB15" s="200">
        <v>823725.77999999991</v>
      </c>
      <c r="AC15" s="200">
        <v>1315275.5600000003</v>
      </c>
      <c r="AD15" s="200">
        <v>1141924.23</v>
      </c>
      <c r="AE15" s="200">
        <v>1767113.3499999999</v>
      </c>
      <c r="AF15" s="200">
        <v>1901977.86</v>
      </c>
      <c r="AG15" s="200">
        <v>1657059.6099999999</v>
      </c>
      <c r="AH15" s="200">
        <v>1351059.9899999998</v>
      </c>
      <c r="AI15" s="200">
        <v>1233979.6000000001</v>
      </c>
      <c r="AJ15" s="200">
        <v>1667555.6700000002</v>
      </c>
      <c r="AK15" s="200">
        <v>1766965.4600000002</v>
      </c>
      <c r="AL15" s="200">
        <v>-77450.659999999989</v>
      </c>
      <c r="AM15" s="200">
        <v>1967957.46</v>
      </c>
      <c r="AN15" s="200">
        <v>1764533.03</v>
      </c>
      <c r="AO15" s="200">
        <v>-67760.229999999952</v>
      </c>
      <c r="AP15" s="200">
        <v>41885.949999999924</v>
      </c>
      <c r="AQ15" s="200">
        <v>67376.939999999959</v>
      </c>
      <c r="AR15" s="200">
        <v>1263726.94</v>
      </c>
      <c r="AS15" s="200">
        <v>-1284367.2999999998</v>
      </c>
      <c r="AT15" s="200">
        <v>8491.1800000000039</v>
      </c>
      <c r="AU15" s="200">
        <v>14637.199999999997</v>
      </c>
      <c r="AV15" s="200">
        <v>-4330.6399999999994</v>
      </c>
      <c r="AW15" s="200">
        <v>0</v>
      </c>
      <c r="AX15" s="200">
        <v>0</v>
      </c>
      <c r="AY15" s="200">
        <v>0</v>
      </c>
      <c r="AZ15" s="200">
        <v>0</v>
      </c>
      <c r="BA15" s="200">
        <v>0</v>
      </c>
      <c r="BB15" s="200">
        <v>0</v>
      </c>
      <c r="BC15" s="200">
        <v>0</v>
      </c>
      <c r="BD15" s="200">
        <v>0</v>
      </c>
      <c r="BE15" s="200">
        <v>0</v>
      </c>
      <c r="BF15" s="200">
        <v>0</v>
      </c>
      <c r="BG15" s="200">
        <v>0</v>
      </c>
      <c r="BH15" s="200">
        <v>0</v>
      </c>
      <c r="BI15" s="200">
        <v>0</v>
      </c>
      <c r="BJ15" s="200">
        <v>0</v>
      </c>
      <c r="BK15" s="200">
        <v>0</v>
      </c>
      <c r="BL15" s="391">
        <f>0+-100.85</f>
        <v>-100.85</v>
      </c>
      <c r="BM15" s="200">
        <v>0</v>
      </c>
      <c r="BN15" s="200">
        <v>0</v>
      </c>
      <c r="BO15" s="200">
        <v>0</v>
      </c>
      <c r="BP15" s="200">
        <v>0</v>
      </c>
      <c r="BQ15" s="200">
        <v>0</v>
      </c>
      <c r="BR15" s="335">
        <v>0</v>
      </c>
      <c r="BS15" s="335">
        <v>0</v>
      </c>
      <c r="BT15" s="200">
        <f>'[1]PCR.1 (M2)'!BQ34</f>
        <v>0</v>
      </c>
      <c r="BU15" s="335">
        <v>0</v>
      </c>
      <c r="BV15" s="397">
        <f>'[1]PCR.1 (M2)'!BR34</f>
        <v>0</v>
      </c>
    </row>
    <row r="16" spans="1:80" x14ac:dyDescent="0.3">
      <c r="A16" s="177" t="s">
        <v>1</v>
      </c>
      <c r="B16" s="69">
        <v>0</v>
      </c>
      <c r="C16" s="70">
        <v>0</v>
      </c>
      <c r="D16" s="70">
        <v>360011.71</v>
      </c>
      <c r="E16" s="70">
        <v>100283.17</v>
      </c>
      <c r="F16" s="70">
        <v>276551.98</v>
      </c>
      <c r="G16" s="70">
        <v>605722.87</v>
      </c>
      <c r="H16" s="70">
        <v>470055.31</v>
      </c>
      <c r="I16" s="70">
        <v>1007513.72</v>
      </c>
      <c r="J16" s="29">
        <v>231513.24</v>
      </c>
      <c r="K16" s="29">
        <v>1466502.53</v>
      </c>
      <c r="L16" s="29">
        <v>1729424.32</v>
      </c>
      <c r="M16" s="29">
        <v>1390087.1</v>
      </c>
      <c r="N16" s="29">
        <v>1606995.78</v>
      </c>
      <c r="O16" s="29">
        <v>2206926.4300000002</v>
      </c>
      <c r="P16" s="29">
        <v>1309598.0999999996</v>
      </c>
      <c r="Q16" s="29">
        <v>1857370.0300000005</v>
      </c>
      <c r="R16" s="29">
        <v>2223361.83</v>
      </c>
      <c r="S16" s="29">
        <v>2459399.94</v>
      </c>
      <c r="T16" s="29">
        <v>1721311.83</v>
      </c>
      <c r="U16" s="29">
        <v>2712665.18</v>
      </c>
      <c r="V16" s="29">
        <v>2376750.8800000004</v>
      </c>
      <c r="W16" s="200">
        <v>2789157.6200000006</v>
      </c>
      <c r="X16" s="200">
        <v>2040899.3699999999</v>
      </c>
      <c r="Y16" s="200">
        <v>3328148.16</v>
      </c>
      <c r="Z16" s="200">
        <v>1987894.0699999998</v>
      </c>
      <c r="AA16" s="200">
        <v>2078701.0700000003</v>
      </c>
      <c r="AB16" s="200">
        <v>2874985.1599999997</v>
      </c>
      <c r="AC16" s="200">
        <v>2698819.3800000004</v>
      </c>
      <c r="AD16" s="200">
        <v>3447134.8899999997</v>
      </c>
      <c r="AE16" s="200">
        <v>3016507.9500000007</v>
      </c>
      <c r="AF16" s="200">
        <v>3772457.8599999989</v>
      </c>
      <c r="AG16" s="200">
        <v>4259389.82</v>
      </c>
      <c r="AH16" s="200">
        <v>3623834.3400000003</v>
      </c>
      <c r="AI16" s="200">
        <v>3048734.03</v>
      </c>
      <c r="AJ16" s="200">
        <v>4491895.6600000011</v>
      </c>
      <c r="AK16" s="200">
        <v>5126185.09</v>
      </c>
      <c r="AL16" s="200">
        <v>2075568.73</v>
      </c>
      <c r="AM16" s="200">
        <v>6137174.9799999995</v>
      </c>
      <c r="AN16" s="200">
        <v>5187148.8900000006</v>
      </c>
      <c r="AO16" s="200">
        <v>100360.07999999997</v>
      </c>
      <c r="AP16" s="200">
        <v>258685.70000000013</v>
      </c>
      <c r="AQ16" s="200">
        <v>153747.82000000007</v>
      </c>
      <c r="AR16" s="200">
        <v>333621.8</v>
      </c>
      <c r="AS16" s="200">
        <v>121918.41999999995</v>
      </c>
      <c r="AT16" s="200">
        <v>45149.189999999988</v>
      </c>
      <c r="AU16" s="200">
        <v>443746.64999999997</v>
      </c>
      <c r="AV16" s="200">
        <v>36972.11</v>
      </c>
      <c r="AW16" s="200">
        <v>155446.64999999997</v>
      </c>
      <c r="AX16" s="200">
        <v>179485.55</v>
      </c>
      <c r="AY16" s="200">
        <v>35205.709999999992</v>
      </c>
      <c r="AZ16" s="200">
        <v>202516.13000000006</v>
      </c>
      <c r="BA16" s="200">
        <v>2374.9200000000019</v>
      </c>
      <c r="BB16" s="200">
        <v>5953.75</v>
      </c>
      <c r="BC16" s="200">
        <v>249425.02999999997</v>
      </c>
      <c r="BD16" s="200">
        <v>56635.89</v>
      </c>
      <c r="BE16" s="200">
        <v>700318.2</v>
      </c>
      <c r="BF16" s="200">
        <v>126526.49999999997</v>
      </c>
      <c r="BG16" s="200">
        <v>21848.7</v>
      </c>
      <c r="BH16" s="200">
        <v>5996.8600000000006</v>
      </c>
      <c r="BI16" s="200">
        <v>-279762.15999999992</v>
      </c>
      <c r="BJ16" s="200">
        <v>95606.290000000008</v>
      </c>
      <c r="BK16" s="200">
        <v>153442.74</v>
      </c>
      <c r="BL16" s="391">
        <f>225.28-3273.98</f>
        <v>-3048.7</v>
      </c>
      <c r="BM16" s="200">
        <v>99299.199999999997</v>
      </c>
      <c r="BN16" s="200">
        <v>19536.79</v>
      </c>
      <c r="BO16" s="200">
        <v>3441.95</v>
      </c>
      <c r="BP16" s="200">
        <v>-107676.22</v>
      </c>
      <c r="BQ16" s="200">
        <v>405</v>
      </c>
      <c r="BR16" s="335">
        <v>0</v>
      </c>
      <c r="BS16" s="335">
        <v>0</v>
      </c>
      <c r="BT16" s="200">
        <f>'[1]PCR.1 (M2)'!BQ35</f>
        <v>-22603.850000000002</v>
      </c>
      <c r="BU16" s="335">
        <v>0</v>
      </c>
      <c r="BV16" s="397">
        <f>'[1]PCR.1 (M2)'!BR35</f>
        <v>0</v>
      </c>
    </row>
    <row r="17" spans="1:77" x14ac:dyDescent="0.3">
      <c r="A17" s="177" t="s">
        <v>2</v>
      </c>
      <c r="B17" s="69">
        <v>0</v>
      </c>
      <c r="C17" s="70">
        <v>0</v>
      </c>
      <c r="D17" s="70">
        <v>23175.4</v>
      </c>
      <c r="E17" s="70">
        <v>20000</v>
      </c>
      <c r="F17" s="70">
        <v>110941.65</v>
      </c>
      <c r="G17" s="70">
        <v>105942.24</v>
      </c>
      <c r="H17" s="70">
        <v>77203.42</v>
      </c>
      <c r="I17" s="70">
        <v>288148.55</v>
      </c>
      <c r="J17" s="29">
        <v>98245.3</v>
      </c>
      <c r="K17" s="29">
        <v>-20629.98</v>
      </c>
      <c r="L17" s="29">
        <v>171715.17000000004</v>
      </c>
      <c r="M17" s="29">
        <v>163978.35999999999</v>
      </c>
      <c r="N17" s="29">
        <v>143965.96999999997</v>
      </c>
      <c r="O17" s="29">
        <v>286356.54000000004</v>
      </c>
      <c r="P17" s="29">
        <v>138885.66</v>
      </c>
      <c r="Q17" s="29">
        <v>90873.95</v>
      </c>
      <c r="R17" s="29">
        <v>191206.37</v>
      </c>
      <c r="S17" s="29">
        <v>41515.079999999987</v>
      </c>
      <c r="T17" s="29">
        <v>48458.150000000031</v>
      </c>
      <c r="U17" s="29">
        <v>479199.20000000007</v>
      </c>
      <c r="V17" s="29">
        <v>6987.9799999999959</v>
      </c>
      <c r="W17" s="200">
        <v>103923.13</v>
      </c>
      <c r="X17" s="200">
        <v>269601.89999999997</v>
      </c>
      <c r="Y17" s="200">
        <v>210081.5</v>
      </c>
      <c r="Z17" s="200">
        <v>313977.91999999993</v>
      </c>
      <c r="AA17" s="200">
        <v>298781.8600000001</v>
      </c>
      <c r="AB17" s="200">
        <v>550355.34000000008</v>
      </c>
      <c r="AC17" s="200">
        <v>72977.829999999973</v>
      </c>
      <c r="AD17" s="200">
        <v>125071.93</v>
      </c>
      <c r="AE17" s="200">
        <v>325353.08999999997</v>
      </c>
      <c r="AF17" s="200">
        <v>396987.47</v>
      </c>
      <c r="AG17" s="200">
        <v>592843.30999999994</v>
      </c>
      <c r="AH17" s="200">
        <v>87444.36</v>
      </c>
      <c r="AI17" s="200">
        <v>499086.59000000008</v>
      </c>
      <c r="AJ17" s="200">
        <v>314115.16000000003</v>
      </c>
      <c r="AK17" s="200">
        <v>1125001.46</v>
      </c>
      <c r="AL17" s="200">
        <v>-438961.34</v>
      </c>
      <c r="AM17" s="200">
        <v>1459300.46</v>
      </c>
      <c r="AN17" s="200">
        <v>49141.380000000121</v>
      </c>
      <c r="AO17" s="200">
        <v>156024.18999999994</v>
      </c>
      <c r="AP17" s="200">
        <v>-38111.010000000009</v>
      </c>
      <c r="AQ17" s="200">
        <v>-0.91000000003259629</v>
      </c>
      <c r="AR17" s="200">
        <v>-416530.07000000007</v>
      </c>
      <c r="AS17" s="200">
        <v>-195801.87</v>
      </c>
      <c r="AT17" s="200">
        <v>0</v>
      </c>
      <c r="AU17" s="200">
        <v>0</v>
      </c>
      <c r="AV17" s="200">
        <v>0</v>
      </c>
      <c r="AW17" s="200">
        <v>0</v>
      </c>
      <c r="AX17" s="200">
        <v>-96364.57</v>
      </c>
      <c r="AY17" s="200">
        <v>96364.57</v>
      </c>
      <c r="AZ17" s="200">
        <v>0</v>
      </c>
      <c r="BA17" s="200">
        <v>0</v>
      </c>
      <c r="BB17" s="200">
        <v>0</v>
      </c>
      <c r="BC17" s="200">
        <v>0</v>
      </c>
      <c r="BD17" s="200">
        <v>0</v>
      </c>
      <c r="BE17" s="200">
        <v>0</v>
      </c>
      <c r="BF17" s="200">
        <v>0</v>
      </c>
      <c r="BG17" s="200">
        <v>0</v>
      </c>
      <c r="BH17" s="200">
        <v>0</v>
      </c>
      <c r="BI17" s="200">
        <v>0</v>
      </c>
      <c r="BJ17" s="200">
        <v>0</v>
      </c>
      <c r="BK17" s="200">
        <v>0</v>
      </c>
      <c r="BL17" s="391">
        <f>0+100.85</f>
        <v>100.85</v>
      </c>
      <c r="BM17" s="200">
        <v>0</v>
      </c>
      <c r="BN17" s="200">
        <v>0</v>
      </c>
      <c r="BO17" s="200">
        <v>0</v>
      </c>
      <c r="BP17" s="200">
        <v>0</v>
      </c>
      <c r="BQ17" s="200">
        <v>0</v>
      </c>
      <c r="BR17" s="335">
        <v>0</v>
      </c>
      <c r="BS17" s="335">
        <v>0</v>
      </c>
      <c r="BT17" s="200">
        <f>'[1]PCR.1 (M2)'!BQ36</f>
        <v>96364.57</v>
      </c>
      <c r="BU17" s="335">
        <v>0</v>
      </c>
      <c r="BV17" s="397">
        <f>'[1]PCR.1 (M2)'!BR36</f>
        <v>-96364.57</v>
      </c>
    </row>
    <row r="18" spans="1:77" x14ac:dyDescent="0.3">
      <c r="A18" s="177" t="s">
        <v>3</v>
      </c>
      <c r="B18" s="69">
        <v>0</v>
      </c>
      <c r="C18" s="70">
        <v>0</v>
      </c>
      <c r="D18" s="70">
        <v>13689</v>
      </c>
      <c r="E18" s="70">
        <v>4868.25</v>
      </c>
      <c r="F18" s="70">
        <v>16491.560000000001</v>
      </c>
      <c r="G18" s="70">
        <v>61798.91</v>
      </c>
      <c r="H18" s="70">
        <v>129893.74</v>
      </c>
      <c r="I18" s="70">
        <v>87893.42</v>
      </c>
      <c r="J18" s="29">
        <v>242878.07999999999</v>
      </c>
      <c r="K18" s="29">
        <v>122671.65</v>
      </c>
      <c r="L18" s="29">
        <v>21593.440000000006</v>
      </c>
      <c r="M18" s="29">
        <v>16432.740000000002</v>
      </c>
      <c r="N18" s="29">
        <v>233596.28</v>
      </c>
      <c r="O18" s="29">
        <v>43536.29</v>
      </c>
      <c r="P18" s="29">
        <v>58192.76</v>
      </c>
      <c r="Q18" s="29">
        <v>11926.3</v>
      </c>
      <c r="R18" s="29">
        <v>17374.550000000003</v>
      </c>
      <c r="S18" s="29">
        <v>23819.039999999997</v>
      </c>
      <c r="T18" s="29">
        <v>103044.69</v>
      </c>
      <c r="U18" s="29">
        <v>18933.559999999998</v>
      </c>
      <c r="V18" s="29">
        <v>13266.67</v>
      </c>
      <c r="W18" s="200">
        <v>12319.51</v>
      </c>
      <c r="X18" s="200">
        <v>-147070.75</v>
      </c>
      <c r="Y18" s="200">
        <v>8537.0999999999985</v>
      </c>
      <c r="Z18" s="200">
        <v>51198.69</v>
      </c>
      <c r="AA18" s="200">
        <v>28001.49</v>
      </c>
      <c r="AB18" s="200">
        <v>14183.650000000001</v>
      </c>
      <c r="AC18" s="200">
        <v>28101.760000000002</v>
      </c>
      <c r="AD18" s="200">
        <v>26867.64</v>
      </c>
      <c r="AE18" s="200">
        <v>36830.36</v>
      </c>
      <c r="AF18" s="200">
        <v>36391.519999999997</v>
      </c>
      <c r="AG18" s="200">
        <v>43938.8</v>
      </c>
      <c r="AH18" s="200">
        <v>52396.26</v>
      </c>
      <c r="AI18" s="200">
        <v>19258.870000000003</v>
      </c>
      <c r="AJ18" s="200">
        <v>1807.48</v>
      </c>
      <c r="AK18" s="200">
        <v>11208.28</v>
      </c>
      <c r="AL18" s="200">
        <v>12274.5</v>
      </c>
      <c r="AM18" s="200">
        <v>468</v>
      </c>
      <c r="AN18" s="200">
        <v>3600</v>
      </c>
      <c r="AO18" s="200">
        <v>8752.25</v>
      </c>
      <c r="AP18" s="200">
        <v>-5449.5</v>
      </c>
      <c r="AQ18" s="200">
        <v>-9692</v>
      </c>
      <c r="AR18" s="200">
        <v>-10</v>
      </c>
      <c r="AS18" s="200">
        <v>7726.93</v>
      </c>
      <c r="AT18" s="200">
        <v>31989</v>
      </c>
      <c r="AU18" s="200">
        <v>680.5</v>
      </c>
      <c r="AV18" s="200">
        <v>8365</v>
      </c>
      <c r="AW18" s="200">
        <v>3585</v>
      </c>
      <c r="AX18" s="200">
        <v>0</v>
      </c>
      <c r="AY18" s="200">
        <v>8285</v>
      </c>
      <c r="AZ18" s="200">
        <v>7425</v>
      </c>
      <c r="BA18" s="200">
        <v>-3675</v>
      </c>
      <c r="BB18" s="200">
        <v>8302</v>
      </c>
      <c r="BC18" s="200">
        <v>3935</v>
      </c>
      <c r="BD18" s="200">
        <v>4165.75</v>
      </c>
      <c r="BE18" s="200">
        <v>85</v>
      </c>
      <c r="BF18" s="200">
        <v>0</v>
      </c>
      <c r="BG18" s="200">
        <v>0</v>
      </c>
      <c r="BH18" s="200">
        <v>0</v>
      </c>
      <c r="BI18" s="200">
        <v>0</v>
      </c>
      <c r="BJ18" s="200">
        <v>0</v>
      </c>
      <c r="BK18" s="200">
        <v>0</v>
      </c>
      <c r="BL18" s="391">
        <f>0+0</f>
        <v>0</v>
      </c>
      <c r="BM18" s="200">
        <v>0</v>
      </c>
      <c r="BN18" s="200">
        <v>0</v>
      </c>
      <c r="BO18" s="200">
        <v>0</v>
      </c>
      <c r="BP18" s="200">
        <v>0</v>
      </c>
      <c r="BQ18" s="200">
        <v>0</v>
      </c>
      <c r="BR18" s="335">
        <v>0</v>
      </c>
      <c r="BS18" s="335">
        <v>0</v>
      </c>
      <c r="BT18" s="200">
        <f>'[1]PCR.1 (M2)'!BQ37</f>
        <v>0</v>
      </c>
      <c r="BU18" s="335">
        <v>0</v>
      </c>
      <c r="BV18" s="397">
        <f>'[1]PCR.1 (M2)'!BR37</f>
        <v>0</v>
      </c>
    </row>
    <row r="19" spans="1:77" x14ac:dyDescent="0.3">
      <c r="A19" s="73"/>
      <c r="B19" s="75"/>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7"/>
    </row>
    <row r="20" spans="1:77" x14ac:dyDescent="0.3">
      <c r="A20" s="73" t="s">
        <v>84</v>
      </c>
      <c r="B20" s="75"/>
      <c r="C20" s="74"/>
      <c r="D20" s="78"/>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7"/>
    </row>
    <row r="21" spans="1:77" x14ac:dyDescent="0.3">
      <c r="A21" s="73" t="s">
        <v>0</v>
      </c>
      <c r="B21" s="85">
        <v>0</v>
      </c>
      <c r="C21" s="89">
        <v>0</v>
      </c>
      <c r="D21" s="89">
        <f>D15+((D28/SUM(D$28:D$32))*D$17)+((D28/SUM(D$28:D$32))*D$18)</f>
        <v>109165.05951390543</v>
      </c>
      <c r="E21" s="89">
        <f t="shared" ref="E21:J21" si="56">E15+((E28/SUM(E$28:E$32))*E$17)+((E28/SUM(E$28:E$32))*E$18)</f>
        <v>480741.41032421798</v>
      </c>
      <c r="F21" s="89">
        <f t="shared" si="56"/>
        <v>1159520.6775673528</v>
      </c>
      <c r="G21" s="89">
        <f t="shared" si="56"/>
        <v>1112154.6232287937</v>
      </c>
      <c r="H21" s="89">
        <f t="shared" si="56"/>
        <v>1607871.1840183262</v>
      </c>
      <c r="I21" s="89">
        <f t="shared" si="56"/>
        <v>2696956.6273276648</v>
      </c>
      <c r="J21" s="89">
        <f t="shared" si="56"/>
        <v>1680521.3719706708</v>
      </c>
      <c r="K21" s="89">
        <f>K15+((K28/SUM(K$28:K$32))*K$17)+((K28/SUM(K$28:K$32))*K$18)</f>
        <v>1945919.517875429</v>
      </c>
      <c r="L21" s="89">
        <f t="shared" ref="L21:U21" si="57">L15+((L28/SUM(L$28:L$32))*L$17)+((L28/SUM(L$28:L$32))*L$18)</f>
        <v>2120554.6975831105</v>
      </c>
      <c r="M21" s="89">
        <f t="shared" si="57"/>
        <v>1998032.1834068832</v>
      </c>
      <c r="N21" s="89">
        <f t="shared" si="57"/>
        <v>1881554.1394569001</v>
      </c>
      <c r="O21" s="89">
        <f t="shared" si="57"/>
        <v>2029628.75873946</v>
      </c>
      <c r="P21" s="89">
        <f t="shared" si="57"/>
        <v>1570290.0599660215</v>
      </c>
      <c r="Q21" s="89">
        <f t="shared" si="57"/>
        <v>671069.67591155518</v>
      </c>
      <c r="R21" s="89">
        <f t="shared" si="57"/>
        <v>2305581.1949410611</v>
      </c>
      <c r="S21" s="89">
        <f t="shared" si="57"/>
        <v>2479685.3929436286</v>
      </c>
      <c r="T21" s="89">
        <f t="shared" si="57"/>
        <v>1547830.6825912232</v>
      </c>
      <c r="U21" s="89">
        <f t="shared" si="57"/>
        <v>2568760.2312064166</v>
      </c>
      <c r="V21" s="89">
        <f>V15+((V28/SUM(V$28:V$32))*V$17)+((V28/SUM(V$28:V$32))*V$18)</f>
        <v>1954986.9702397876</v>
      </c>
      <c r="W21" s="86">
        <f>W15+((W28/SUM(W$28:W$32))*W$17)+((W28/SUM(W$28:W$32))*W$18)</f>
        <v>1805103.413504442</v>
      </c>
      <c r="X21" s="86">
        <f t="shared" ref="X21:AG21" si="58">X15+((X28/SUM(X$28:X$32))*X$17)+((X28/SUM(X$28:X$32))*X$18)</f>
        <v>1465028.1291243047</v>
      </c>
      <c r="Y21" s="86">
        <f t="shared" si="58"/>
        <v>1972246.5535187661</v>
      </c>
      <c r="Z21" s="86">
        <f t="shared" si="58"/>
        <v>1412765.3847262708</v>
      </c>
      <c r="AA21" s="86">
        <f t="shared" si="58"/>
        <v>1088589.6910137057</v>
      </c>
      <c r="AB21" s="86">
        <f t="shared" si="58"/>
        <v>1083493.4278145486</v>
      </c>
      <c r="AC21" s="86">
        <f t="shared" si="58"/>
        <v>1361445.8524978238</v>
      </c>
      <c r="AD21" s="86">
        <f t="shared" si="58"/>
        <v>1202720.3566389179</v>
      </c>
      <c r="AE21" s="86">
        <f t="shared" si="58"/>
        <v>1932637.1486539582</v>
      </c>
      <c r="AF21" s="86">
        <f t="shared" si="58"/>
        <v>2110758.5023123892</v>
      </c>
      <c r="AG21" s="86">
        <f t="shared" si="58"/>
        <v>1952963.7236525486</v>
      </c>
      <c r="AH21" s="86">
        <f>AH15+((AH28/SUM(AH$28:AH$32))*AH$17)+((AH28/SUM(AH$28:AH$32))*AH$18)</f>
        <v>1414942.4273249079</v>
      </c>
      <c r="AI21" s="86">
        <f>AI15+((AI28/SUM(AI$28:AI$32))*AI$17)+((AI28/SUM(AI$28:AI$32))*AI$18)</f>
        <v>1449776.2538906534</v>
      </c>
      <c r="AJ21" s="86">
        <f t="shared" ref="AJ21:AT21" si="59">AJ15+((AJ28/SUM(AJ$28:AJ$32))*AJ$17)+((AJ28/SUM(AJ$28:AJ$32))*AJ$18)</f>
        <v>1801265.5135733255</v>
      </c>
      <c r="AK21" s="86">
        <f t="shared" si="59"/>
        <v>2315371.5671533667</v>
      </c>
      <c r="AL21" s="86">
        <f t="shared" si="59"/>
        <v>-297658.33592078113</v>
      </c>
      <c r="AM21" s="86">
        <f t="shared" si="59"/>
        <v>2733299.4556717798</v>
      </c>
      <c r="AN21" s="86">
        <f t="shared" si="59"/>
        <v>1791288.7543801654</v>
      </c>
      <c r="AO21" s="86">
        <f t="shared" si="59"/>
        <v>4669.9744740828646</v>
      </c>
      <c r="AP21" s="86">
        <f t="shared" si="59"/>
        <v>24356.864494954887</v>
      </c>
      <c r="AQ21" s="86">
        <f t="shared" si="59"/>
        <v>63131.620601648567</v>
      </c>
      <c r="AR21" s="86">
        <f t="shared" si="59"/>
        <v>1062703.1659806606</v>
      </c>
      <c r="AS21" s="86">
        <f t="shared" si="59"/>
        <v>-1375879.0215261045</v>
      </c>
      <c r="AT21" s="86">
        <f t="shared" si="59"/>
        <v>23434.347831218198</v>
      </c>
      <c r="AU21" s="86">
        <f>AU15+((AU28/SUM(AU$28:AU$32))*AU$17)+((AU28/SUM(AU$28:AU$32))*AU$18)</f>
        <v>14936.443255272457</v>
      </c>
      <c r="AV21" s="86">
        <f t="shared" ref="AV21:BF21" si="60">AV15+((AV28/SUM(AV$28:AV$32))*AV$17)+((AV28/SUM(AV$28:AV$32))*AV$18)</f>
        <v>-632.98067805258233</v>
      </c>
      <c r="AW21" s="86">
        <f t="shared" si="60"/>
        <v>1786.6216307164027</v>
      </c>
      <c r="AX21" s="86">
        <f t="shared" si="60"/>
        <v>-49412.100738307949</v>
      </c>
      <c r="AY21" s="86">
        <f t="shared" si="60"/>
        <v>53257.089803581257</v>
      </c>
      <c r="AZ21" s="86">
        <f t="shared" si="60"/>
        <v>3679.7074012133294</v>
      </c>
      <c r="BA21" s="86">
        <f t="shared" si="60"/>
        <v>-1727.6088104847606</v>
      </c>
      <c r="BB21" s="86">
        <f t="shared" si="60"/>
        <v>3797.7448503100059</v>
      </c>
      <c r="BC21" s="86">
        <f t="shared" si="60"/>
        <v>1914.0816345316396</v>
      </c>
      <c r="BD21" s="86">
        <f t="shared" si="60"/>
        <v>2180.6856992382986</v>
      </c>
      <c r="BE21" s="86">
        <f t="shared" si="60"/>
        <v>43.04388451327587</v>
      </c>
      <c r="BF21" s="86">
        <f t="shared" si="60"/>
        <v>0</v>
      </c>
      <c r="BG21" s="86">
        <f>BG15+((BG28/SUM(BG$28:BG$32))*BG$17)+((BG28/SUM(BG$28:BG$32))*BG$18)</f>
        <v>0</v>
      </c>
      <c r="BH21" s="86">
        <f t="shared" ref="BH21:BR21" si="61">BH15+((BH28/SUM(BH$28:BH$32))*BH$17)+((BH28/SUM(BH$28:BH$32))*BH$18)</f>
        <v>0</v>
      </c>
      <c r="BI21" s="86">
        <f t="shared" si="61"/>
        <v>0</v>
      </c>
      <c r="BJ21" s="86">
        <f t="shared" si="61"/>
        <v>0</v>
      </c>
      <c r="BK21" s="86">
        <f t="shared" si="61"/>
        <v>0</v>
      </c>
      <c r="BL21" s="297">
        <f>BL15+((BL28/SUM(BL$28:BL$32))*BL$17)+((BL28/SUM(BL$28:BL$32))*BL$18)</f>
        <v>-47.820856913192813</v>
      </c>
      <c r="BM21" s="86">
        <f t="shared" si="61"/>
        <v>0</v>
      </c>
      <c r="BN21" s="86">
        <f t="shared" si="61"/>
        <v>0</v>
      </c>
      <c r="BO21" s="86">
        <f t="shared" si="61"/>
        <v>0</v>
      </c>
      <c r="BP21" s="86">
        <f t="shared" si="61"/>
        <v>0</v>
      </c>
      <c r="BQ21" s="86">
        <f t="shared" si="61"/>
        <v>0</v>
      </c>
      <c r="BR21" s="86">
        <f t="shared" si="61"/>
        <v>0</v>
      </c>
      <c r="BS21" s="86">
        <f>BS15+((BS28/SUM(BS$28:BS$32))*BS$17)+((BS28/SUM(BS$28:BS$32))*BS$18)</f>
        <v>0</v>
      </c>
      <c r="BT21" s="86">
        <f>BT15+((BT28/SUM(BT$28:BT$32))*BT$17)+((BT28/SUM(BT$28:BT$32))*BT$18)</f>
        <v>36857.912884433543</v>
      </c>
      <c r="BU21" s="86">
        <f t="shared" ref="BU21" si="62">BU15+((BU28/SUM(BU$28:BU$32))*BU$17)+((BU28/SUM(BU$28:BU$32))*BU$18)</f>
        <v>0</v>
      </c>
      <c r="BV21" s="398">
        <f>BV15+((BV28/SUM(BV$28:BV$32))*BV$17)+((BV28/SUM(BV$28:BV$32))*BV$18)</f>
        <v>-33511.55660620721</v>
      </c>
    </row>
    <row r="22" spans="1:77" x14ac:dyDescent="0.3">
      <c r="A22" s="73" t="s">
        <v>4</v>
      </c>
      <c r="B22" s="85">
        <v>0</v>
      </c>
      <c r="C22" s="89">
        <v>0</v>
      </c>
      <c r="D22" s="89">
        <f t="shared" ref="D22:J25" si="63">((D29/SUM(D$29:D$32))*D$16)+((D29/SUM(D$28:D$32))*D$17)+((D29/SUM(D$28:D$32))*D$18)</f>
        <v>80396.905524086716</v>
      </c>
      <c r="E22" s="89">
        <f t="shared" si="63"/>
        <v>22367.506099326867</v>
      </c>
      <c r="F22" s="89">
        <f t="shared" si="63"/>
        <v>66516.61829322367</v>
      </c>
      <c r="G22" s="89">
        <f t="shared" si="63"/>
        <v>141612.99114022916</v>
      </c>
      <c r="H22" s="89">
        <f t="shared" si="63"/>
        <v>123183.06799324245</v>
      </c>
      <c r="I22" s="89">
        <f t="shared" si="63"/>
        <v>256818.75360544008</v>
      </c>
      <c r="J22" s="89">
        <f t="shared" si="63"/>
        <v>84485.044258937647</v>
      </c>
      <c r="K22" s="89">
        <f>((K29/SUM(K$29:K$32))*K$16)+((K29/SUM(K$28:K$32))*K$17)+((K29/SUM(K$28:K$32))*K$18)</f>
        <v>300926.18467047397</v>
      </c>
      <c r="L22" s="89">
        <f t="shared" ref="L22:U25" si="64">((L29/SUM(L$29:L$32))*L$16)+((L29/SUM(L$28:L$32))*L$17)+((L29/SUM(L$28:L$32))*L$18)</f>
        <v>353019.58774262288</v>
      </c>
      <c r="M22" s="89">
        <f t="shared" si="64"/>
        <v>315056.14478681865</v>
      </c>
      <c r="N22" s="89">
        <f t="shared" si="64"/>
        <v>411570.06873041322</v>
      </c>
      <c r="O22" s="89">
        <f t="shared" si="64"/>
        <v>502793.63688851451</v>
      </c>
      <c r="P22" s="89">
        <f t="shared" si="64"/>
        <v>294404.38001965731</v>
      </c>
      <c r="Q22" s="89">
        <f t="shared" si="64"/>
        <v>373499.38771814341</v>
      </c>
      <c r="R22" s="89">
        <f t="shared" si="64"/>
        <v>445905.33572743292</v>
      </c>
      <c r="S22" s="89">
        <f t="shared" si="64"/>
        <v>487405.22998657834</v>
      </c>
      <c r="T22" s="89">
        <f t="shared" si="64"/>
        <v>383536.44183370651</v>
      </c>
      <c r="U22" s="89">
        <f t="shared" si="64"/>
        <v>619568.08369206416</v>
      </c>
      <c r="V22" s="89">
        <f>((V29/SUM(V$29:V$32))*V$16)+((V29/SUM(V$28:V$32))*V$17)+((V29/SUM(V$28:V$32))*V$18)</f>
        <v>474036.28843908414</v>
      </c>
      <c r="W22" s="86">
        <f t="shared" ref="W22:AH25" si="65">((W29/SUM(W$29:W$32))*W$16)+((W29/SUM(W$28:W$32))*W$17)+((W29/SUM(W$28:W$32))*W$18)</f>
        <v>559059.78075431671</v>
      </c>
      <c r="X22" s="86">
        <f t="shared" ref="X22:BG25" si="66">((X29/SUM(X$29:X$32))*X$16)+((X29/SUM(X$28:X$32))*X$17)+((X29/SUM(X$28:X$32))*X$18)</f>
        <v>407907.81989739614</v>
      </c>
      <c r="Y22" s="86">
        <f t="shared" si="66"/>
        <v>707322.78080095793</v>
      </c>
      <c r="Z22" s="86">
        <f t="shared" si="66"/>
        <v>503052.8577392486</v>
      </c>
      <c r="AA22" s="86">
        <f t="shared" si="66"/>
        <v>509561.88435877959</v>
      </c>
      <c r="AB22" s="86">
        <f t="shared" si="66"/>
        <v>675624.74536446249</v>
      </c>
      <c r="AC22" s="86">
        <f t="shared" si="66"/>
        <v>589115.72273305943</v>
      </c>
      <c r="AD22" s="86">
        <f t="shared" si="66"/>
        <v>671173.91467850714</v>
      </c>
      <c r="AE22" s="86">
        <f t="shared" si="66"/>
        <v>655109.56934959674</v>
      </c>
      <c r="AF22" s="86">
        <f t="shared" si="66"/>
        <v>846540.1502605034</v>
      </c>
      <c r="AG22" s="86">
        <f t="shared" si="66"/>
        <v>949613.40748911363</v>
      </c>
      <c r="AH22" s="86">
        <f t="shared" si="66"/>
        <v>756167.99237199605</v>
      </c>
      <c r="AI22" s="86">
        <f t="shared" si="66"/>
        <v>658782.97344566078</v>
      </c>
      <c r="AJ22" s="86">
        <f t="shared" si="66"/>
        <v>912757.77386116644</v>
      </c>
      <c r="AK22" s="86">
        <f t="shared" si="66"/>
        <v>1230279.3115955228</v>
      </c>
      <c r="AL22" s="86">
        <f t="shared" si="66"/>
        <v>439853.83431814337</v>
      </c>
      <c r="AM22" s="86">
        <f t="shared" si="66"/>
        <v>1647938.2419699337</v>
      </c>
      <c r="AN22" s="86">
        <f t="shared" si="66"/>
        <v>1228243.9665117457</v>
      </c>
      <c r="AO22" s="86">
        <f t="shared" si="66"/>
        <v>40706.196630383798</v>
      </c>
      <c r="AP22" s="86">
        <f t="shared" si="66"/>
        <v>47066.080968688475</v>
      </c>
      <c r="AQ22" s="86">
        <f t="shared" si="66"/>
        <v>30544.470102494786</v>
      </c>
      <c r="AR22" s="86">
        <f t="shared" si="66"/>
        <v>26212.251346126272</v>
      </c>
      <c r="AS22" s="86">
        <f t="shared" si="66"/>
        <v>5579.3095629468362</v>
      </c>
      <c r="AT22" s="86">
        <f t="shared" si="66"/>
        <v>13248.98665412956</v>
      </c>
      <c r="AU22" s="86">
        <f t="shared" si="66"/>
        <v>92883.994148459882</v>
      </c>
      <c r="AV22" s="86">
        <f t="shared" si="66"/>
        <v>8719.8368335464875</v>
      </c>
      <c r="AW22" s="86">
        <f t="shared" si="66"/>
        <v>36020.265742970681</v>
      </c>
      <c r="AX22" s="86">
        <f t="shared" si="66"/>
        <v>31053.753014523034</v>
      </c>
      <c r="AY22" s="86">
        <f t="shared" si="66"/>
        <v>20041.923635457952</v>
      </c>
      <c r="AZ22" s="86">
        <f t="shared" si="66"/>
        <v>47809.436082471591</v>
      </c>
      <c r="BA22" s="86">
        <f t="shared" si="66"/>
        <v>87.060016915013478</v>
      </c>
      <c r="BB22" s="86">
        <f t="shared" si="66"/>
        <v>2059.7563616190555</v>
      </c>
      <c r="BC22" s="86">
        <f t="shared" si="66"/>
        <v>52898.746047981236</v>
      </c>
      <c r="BD22" s="86">
        <f t="shared" si="66"/>
        <v>13295.136350601504</v>
      </c>
      <c r="BE22" s="86">
        <f t="shared" si="66"/>
        <v>154253.36218287607</v>
      </c>
      <c r="BF22" s="86">
        <f t="shared" si="66"/>
        <v>26933.931248938421</v>
      </c>
      <c r="BG22" s="86">
        <f t="shared" si="66"/>
        <v>4414.258458372341</v>
      </c>
      <c r="BH22" s="86">
        <f t="shared" ref="BH22:BS22" si="67">((BH29/SUM(BH$29:BH$32))*BH$16)+((BH29/SUM(BH$28:BH$32))*BH$17)+((BH29/SUM(BH$28:BH$32))*BH$18)</f>
        <v>1230.8502547104076</v>
      </c>
      <c r="BI22" s="86">
        <f t="shared" si="67"/>
        <v>-61402.097538210495</v>
      </c>
      <c r="BJ22" s="86">
        <f t="shared" si="67"/>
        <v>23566.369395650294</v>
      </c>
      <c r="BK22" s="86">
        <f t="shared" si="67"/>
        <v>37091.924417443915</v>
      </c>
      <c r="BL22" s="297">
        <f t="shared" si="67"/>
        <v>-740.05914709131491</v>
      </c>
      <c r="BM22" s="86">
        <f t="shared" si="67"/>
        <v>21081.033794993025</v>
      </c>
      <c r="BN22" s="86">
        <f t="shared" si="67"/>
        <v>3967.8651127637659</v>
      </c>
      <c r="BO22" s="86">
        <f t="shared" si="67"/>
        <v>771.40611096081011</v>
      </c>
      <c r="BP22" s="86">
        <f t="shared" si="67"/>
        <v>-23606.959240445987</v>
      </c>
      <c r="BQ22" s="86">
        <f t="shared" si="67"/>
        <v>91.111967740392075</v>
      </c>
      <c r="BR22" s="86">
        <f t="shared" si="67"/>
        <v>0</v>
      </c>
      <c r="BS22" s="86">
        <f t="shared" si="67"/>
        <v>0</v>
      </c>
      <c r="BT22" s="86">
        <f t="shared" ref="BT22:BV22" si="68">((BT29/SUM(BT$29:BT$32))*BT$16)+((BT29/SUM(BT$28:BT$32))*BT$17)+((BT29/SUM(BT$28:BT$32))*BT$18)</f>
        <v>8141.672940093159</v>
      </c>
      <c r="BU22" s="86">
        <f t="shared" si="68"/>
        <v>0</v>
      </c>
      <c r="BV22" s="90">
        <f t="shared" si="68"/>
        <v>-15068.761844868039</v>
      </c>
    </row>
    <row r="23" spans="1:77" x14ac:dyDescent="0.3">
      <c r="A23" s="73" t="s">
        <v>5</v>
      </c>
      <c r="B23" s="85">
        <v>0</v>
      </c>
      <c r="C23" s="89">
        <v>0</v>
      </c>
      <c r="D23" s="89">
        <f t="shared" si="63"/>
        <v>184247.82933918544</v>
      </c>
      <c r="E23" s="89">
        <f t="shared" si="63"/>
        <v>55385.846863700259</v>
      </c>
      <c r="F23" s="89">
        <f t="shared" si="63"/>
        <v>171531.62773943189</v>
      </c>
      <c r="G23" s="89">
        <f t="shared" si="63"/>
        <v>338504.71718132001</v>
      </c>
      <c r="H23" s="89">
        <f t="shared" si="63"/>
        <v>279215.68078933004</v>
      </c>
      <c r="I23" s="89">
        <f t="shared" si="63"/>
        <v>584292.23288406734</v>
      </c>
      <c r="J23" s="89">
        <f t="shared" si="63"/>
        <v>200672.65960033773</v>
      </c>
      <c r="K23" s="89">
        <f>((K30/SUM(K$29:K$32))*K$16)+((K30/SUM(K$28:K$32))*K$17)+((K30/SUM(K$28:K$32))*K$18)</f>
        <v>739452.89185881964</v>
      </c>
      <c r="L23" s="89">
        <f t="shared" si="64"/>
        <v>888814.69108194357</v>
      </c>
      <c r="M23" s="89">
        <f t="shared" si="64"/>
        <v>711740.86681302055</v>
      </c>
      <c r="N23" s="89">
        <f t="shared" si="64"/>
        <v>860102.8293358126</v>
      </c>
      <c r="O23" s="89">
        <f t="shared" si="64"/>
        <v>1111966.4679228009</v>
      </c>
      <c r="P23" s="89">
        <f t="shared" si="64"/>
        <v>690470.57929419319</v>
      </c>
      <c r="Q23" s="89">
        <f t="shared" si="64"/>
        <v>910120.41798563395</v>
      </c>
      <c r="R23" s="89">
        <f t="shared" si="64"/>
        <v>1128159.4145622177</v>
      </c>
      <c r="S23" s="89">
        <f t="shared" si="64"/>
        <v>1176823.5237113321</v>
      </c>
      <c r="T23" s="89">
        <f t="shared" si="64"/>
        <v>870044.8240527754</v>
      </c>
      <c r="U23" s="89">
        <f t="shared" si="64"/>
        <v>1418094.0621458886</v>
      </c>
      <c r="V23" s="89">
        <f>((V30/SUM(V$29:V$32))*V$16)+((V30/SUM(V$28:V$32))*V$17)+((V30/SUM(V$28:V$32))*V$18)</f>
        <v>1143451.0603072618</v>
      </c>
      <c r="W23" s="86">
        <f t="shared" si="65"/>
        <v>1367717.5298977192</v>
      </c>
      <c r="X23" s="86">
        <f t="shared" si="65"/>
        <v>1002327.1221908606</v>
      </c>
      <c r="Y23" s="86">
        <f t="shared" si="65"/>
        <v>1642715.0009584567</v>
      </c>
      <c r="Z23" s="86">
        <f t="shared" si="65"/>
        <v>1022632.8189452654</v>
      </c>
      <c r="AA23" s="86">
        <f t="shared" si="65"/>
        <v>1065522.3790675804</v>
      </c>
      <c r="AB23" s="86">
        <f t="shared" si="65"/>
        <v>1497067.7698519761</v>
      </c>
      <c r="AC23" s="86">
        <f t="shared" si="65"/>
        <v>1335821.4495324197</v>
      </c>
      <c r="AD23" s="86">
        <f t="shared" si="65"/>
        <v>1666504.1755704384</v>
      </c>
      <c r="AE23" s="86">
        <f t="shared" si="65"/>
        <v>1541976.1105171165</v>
      </c>
      <c r="AF23" s="86">
        <f t="shared" si="65"/>
        <v>1919269.9339676993</v>
      </c>
      <c r="AG23" s="86">
        <f t="shared" si="65"/>
        <v>2177300.5733180689</v>
      </c>
      <c r="AH23" s="86">
        <f t="shared" si="65"/>
        <v>1795213.2978989647</v>
      </c>
      <c r="AI23" s="86">
        <f t="shared" si="66"/>
        <v>1614065.3314857311</v>
      </c>
      <c r="AJ23" s="86">
        <f t="shared" si="66"/>
        <v>2206347.3072531712</v>
      </c>
      <c r="AK23" s="86">
        <f t="shared" si="66"/>
        <v>2678670.3768449528</v>
      </c>
      <c r="AL23" s="86">
        <f t="shared" si="66"/>
        <v>922293.50311211497</v>
      </c>
      <c r="AM23" s="86">
        <f t="shared" si="66"/>
        <v>3339311.6184484991</v>
      </c>
      <c r="AN23" s="86">
        <f t="shared" si="66"/>
        <v>2538108.7706457209</v>
      </c>
      <c r="AO23" s="86">
        <f t="shared" si="66"/>
        <v>94616.317756611214</v>
      </c>
      <c r="AP23" s="86">
        <f t="shared" si="66"/>
        <v>116464.89792094272</v>
      </c>
      <c r="AQ23" s="86">
        <f t="shared" si="66"/>
        <v>71966.016970035605</v>
      </c>
      <c r="AR23" s="86">
        <f t="shared" si="66"/>
        <v>58168.883729143956</v>
      </c>
      <c r="AS23" s="86">
        <f t="shared" si="66"/>
        <v>12323.996352019682</v>
      </c>
      <c r="AT23" s="86">
        <f t="shared" si="66"/>
        <v>30610.580439516794</v>
      </c>
      <c r="AU23" s="86">
        <f t="shared" si="66"/>
        <v>218424.44363344379</v>
      </c>
      <c r="AV23" s="86">
        <f t="shared" si="66"/>
        <v>20208.839446019952</v>
      </c>
      <c r="AW23" s="86">
        <f t="shared" si="66"/>
        <v>77120.474512550805</v>
      </c>
      <c r="AX23" s="86">
        <f t="shared" si="66"/>
        <v>64493.247273018991</v>
      </c>
      <c r="AY23" s="86">
        <f t="shared" si="66"/>
        <v>41300.293259620063</v>
      </c>
      <c r="AZ23" s="86">
        <f t="shared" si="66"/>
        <v>102208.62179023918</v>
      </c>
      <c r="BA23" s="86">
        <f t="shared" si="66"/>
        <v>206.97020667162769</v>
      </c>
      <c r="BB23" s="86">
        <f t="shared" si="66"/>
        <v>5043.7208105094687</v>
      </c>
      <c r="BC23" s="86">
        <f t="shared" si="66"/>
        <v>122296.94116525781</v>
      </c>
      <c r="BD23" s="86">
        <f t="shared" si="66"/>
        <v>28780.082238540137</v>
      </c>
      <c r="BE23" s="86">
        <f t="shared" si="66"/>
        <v>340907.89164193621</v>
      </c>
      <c r="BF23" s="86">
        <f t="shared" si="66"/>
        <v>61967.340620426992</v>
      </c>
      <c r="BG23" s="86">
        <f t="shared" si="66"/>
        <v>10690.073249346307</v>
      </c>
      <c r="BH23" s="86">
        <f t="shared" ref="BH23:BS23" si="69">((BH30/SUM(BH$29:BH$32))*BH$16)+((BH30/SUM(BH$28:BH$32))*BH$17)+((BH30/SUM(BH$28:BH$32))*BH$18)</f>
        <v>2904.8372788862371</v>
      </c>
      <c r="BI23" s="86">
        <f t="shared" si="69"/>
        <v>-134835.45743268947</v>
      </c>
      <c r="BJ23" s="86">
        <f t="shared" si="69"/>
        <v>46502.973503510257</v>
      </c>
      <c r="BK23" s="86">
        <f t="shared" si="69"/>
        <v>71563.840511772578</v>
      </c>
      <c r="BL23" s="297">
        <f t="shared" si="69"/>
        <v>-1516.1598329676112</v>
      </c>
      <c r="BM23" s="86">
        <f t="shared" si="69"/>
        <v>48259.810984443458</v>
      </c>
      <c r="BN23" s="86">
        <f t="shared" si="69"/>
        <v>9484.4742370218573</v>
      </c>
      <c r="BO23" s="86">
        <f t="shared" si="69"/>
        <v>1710.866531763902</v>
      </c>
      <c r="BP23" s="86">
        <f t="shared" si="69"/>
        <v>-51873.897943481781</v>
      </c>
      <c r="BQ23" s="86">
        <f t="shared" si="69"/>
        <v>198.46631288294878</v>
      </c>
      <c r="BR23" s="86">
        <f t="shared" si="69"/>
        <v>0</v>
      </c>
      <c r="BS23" s="86">
        <f t="shared" si="69"/>
        <v>0</v>
      </c>
      <c r="BT23" s="86">
        <f t="shared" ref="BT23:BV23" si="70">((BT30/SUM(BT$29:BT$32))*BT$16)+((BT30/SUM(BT$28:BT$32))*BT$17)+((BT30/SUM(BT$28:BT$32))*BT$18)</f>
        <v>18733.55871691788</v>
      </c>
      <c r="BU23" s="86">
        <f t="shared" si="70"/>
        <v>0</v>
      </c>
      <c r="BV23" s="90">
        <f t="shared" si="70"/>
        <v>-30139.189189983077</v>
      </c>
    </row>
    <row r="24" spans="1:77" x14ac:dyDescent="0.3">
      <c r="A24" s="73" t="s">
        <v>6</v>
      </c>
      <c r="B24" s="85">
        <v>0</v>
      </c>
      <c r="C24" s="89">
        <v>0</v>
      </c>
      <c r="D24" s="89">
        <f t="shared" si="63"/>
        <v>76446.845496259717</v>
      </c>
      <c r="E24" s="89">
        <f t="shared" si="63"/>
        <v>24925.441552928634</v>
      </c>
      <c r="F24" s="89">
        <f t="shared" si="63"/>
        <v>80373.1566544823</v>
      </c>
      <c r="G24" s="89">
        <f t="shared" si="63"/>
        <v>143812.49422455556</v>
      </c>
      <c r="H24" s="89">
        <f t="shared" si="63"/>
        <v>117089.55808990503</v>
      </c>
      <c r="I24" s="89">
        <f t="shared" si="63"/>
        <v>238156.59167654801</v>
      </c>
      <c r="J24" s="89">
        <f t="shared" si="63"/>
        <v>88431.392361907871</v>
      </c>
      <c r="K24" s="89">
        <f>((K31/SUM(K$29:K$32))*K$16)+((K31/SUM(K$28:K$32))*K$17)+((K31/SUM(K$28:K$32))*K$18)</f>
        <v>314181.39281031361</v>
      </c>
      <c r="L24" s="89">
        <f t="shared" si="64"/>
        <v>398118.03346698196</v>
      </c>
      <c r="M24" s="89">
        <f t="shared" si="64"/>
        <v>306986.68836154032</v>
      </c>
      <c r="N24" s="89">
        <f t="shared" si="64"/>
        <v>356788.04041822487</v>
      </c>
      <c r="O24" s="89">
        <f t="shared" si="64"/>
        <v>520044.08722166944</v>
      </c>
      <c r="P24" s="89">
        <f t="shared" si="64"/>
        <v>294078.51311682223</v>
      </c>
      <c r="Q24" s="89">
        <f t="shared" si="64"/>
        <v>424160.63775331364</v>
      </c>
      <c r="R24" s="89">
        <f t="shared" si="64"/>
        <v>518592.16985403083</v>
      </c>
      <c r="S24" s="89">
        <f t="shared" si="64"/>
        <v>548139.25087458664</v>
      </c>
      <c r="T24" s="89">
        <f t="shared" si="64"/>
        <v>364489.81913091976</v>
      </c>
      <c r="U24" s="89">
        <f t="shared" si="64"/>
        <v>615254.63877527637</v>
      </c>
      <c r="V24" s="89">
        <f>((V31/SUM(V$29:V$32))*V$16)+((V31/SUM(V$28:V$32))*V$17)+((V31/SUM(V$28:V$32))*V$18)</f>
        <v>506347.93409592676</v>
      </c>
      <c r="W24" s="86">
        <f t="shared" si="65"/>
        <v>617383.68475802662</v>
      </c>
      <c r="X24" s="86">
        <f t="shared" si="65"/>
        <v>453935.31211217341</v>
      </c>
      <c r="Y24" s="86">
        <f t="shared" si="65"/>
        <v>746498.85887898982</v>
      </c>
      <c r="Z24" s="86">
        <f t="shared" si="65"/>
        <v>443041.04712886061</v>
      </c>
      <c r="AA24" s="86">
        <f t="shared" si="65"/>
        <v>457962.34751248476</v>
      </c>
      <c r="AB24" s="86">
        <f t="shared" si="65"/>
        <v>688788.48789126845</v>
      </c>
      <c r="AC24" s="86">
        <f t="shared" si="65"/>
        <v>562269.83771640889</v>
      </c>
      <c r="AD24" s="86">
        <f t="shared" si="65"/>
        <v>815458.75403203291</v>
      </c>
      <c r="AE24" s="86">
        <f t="shared" si="65"/>
        <v>685770.92353864305</v>
      </c>
      <c r="AF24" s="86">
        <f t="shared" si="65"/>
        <v>832181.15415458393</v>
      </c>
      <c r="AG24" s="86">
        <f t="shared" si="65"/>
        <v>981428.327742461</v>
      </c>
      <c r="AH24" s="86">
        <f t="shared" si="65"/>
        <v>774012.03018908331</v>
      </c>
      <c r="AI24" s="86">
        <f t="shared" si="66"/>
        <v>712700.49977852497</v>
      </c>
      <c r="AJ24" s="86">
        <f t="shared" si="66"/>
        <v>1026880.0510310169</v>
      </c>
      <c r="AK24" s="86">
        <f t="shared" si="66"/>
        <v>1231465.6642063381</v>
      </c>
      <c r="AL24" s="86">
        <f t="shared" si="66"/>
        <v>361318.17786610383</v>
      </c>
      <c r="AM24" s="86">
        <f t="shared" si="66"/>
        <v>1330419.5926359231</v>
      </c>
      <c r="AN24" s="86">
        <f t="shared" si="66"/>
        <v>1026431.5040852134</v>
      </c>
      <c r="AO24" s="86">
        <f t="shared" si="66"/>
        <v>40263.576656581979</v>
      </c>
      <c r="AP24" s="86">
        <f t="shared" si="66"/>
        <v>48647.552867494065</v>
      </c>
      <c r="AQ24" s="86">
        <f t="shared" si="66"/>
        <v>31443.249724879857</v>
      </c>
      <c r="AR24" s="86">
        <f t="shared" si="66"/>
        <v>23705.86757973893</v>
      </c>
      <c r="AS24" s="86">
        <f t="shared" si="66"/>
        <v>5154.2763748988837</v>
      </c>
      <c r="AT24" s="86">
        <f t="shared" si="66"/>
        <v>12605.952118244924</v>
      </c>
      <c r="AU24" s="86">
        <f t="shared" si="66"/>
        <v>90803.827559834812</v>
      </c>
      <c r="AV24" s="86">
        <f t="shared" si="66"/>
        <v>8800.3327767854607</v>
      </c>
      <c r="AW24" s="86">
        <f t="shared" si="66"/>
        <v>31165.315233476329</v>
      </c>
      <c r="AX24" s="86">
        <f t="shared" si="66"/>
        <v>25915.321756609686</v>
      </c>
      <c r="AY24" s="86">
        <f t="shared" si="66"/>
        <v>17595.402500280481</v>
      </c>
      <c r="AZ24" s="86">
        <f t="shared" si="66"/>
        <v>40605.331598130004</v>
      </c>
      <c r="BA24" s="86">
        <f t="shared" si="66"/>
        <v>94.0993478255333</v>
      </c>
      <c r="BB24" s="86">
        <f t="shared" si="66"/>
        <v>2310.9818193617157</v>
      </c>
      <c r="BC24" s="86">
        <f t="shared" si="66"/>
        <v>55171.426387307729</v>
      </c>
      <c r="BD24" s="86">
        <f t="shared" si="66"/>
        <v>11700.599429455247</v>
      </c>
      <c r="BE24" s="86">
        <f t="shared" si="66"/>
        <v>145849.22807351753</v>
      </c>
      <c r="BF24" s="86">
        <f t="shared" si="66"/>
        <v>26635.25558757981</v>
      </c>
      <c r="BG24" s="86">
        <f t="shared" si="66"/>
        <v>4787.7143215770739</v>
      </c>
      <c r="BH24" s="86">
        <f t="shared" ref="BH24:BS24" si="71">((BH31/SUM(BH$29:BH$32))*BH$16)+((BH31/SUM(BH$28:BH$32))*BH$17)+((BH31/SUM(BH$28:BH$32))*BH$18)</f>
        <v>1325.7168926799604</v>
      </c>
      <c r="BI24" s="86">
        <f t="shared" si="71"/>
        <v>-59909.323275994233</v>
      </c>
      <c r="BJ24" s="86">
        <f t="shared" si="71"/>
        <v>18928.551066830016</v>
      </c>
      <c r="BK24" s="86">
        <f t="shared" si="71"/>
        <v>31060.177233600771</v>
      </c>
      <c r="BL24" s="297">
        <f t="shared" si="71"/>
        <v>-602.98021153460138</v>
      </c>
      <c r="BM24" s="86">
        <f t="shared" si="71"/>
        <v>21451.385242167325</v>
      </c>
      <c r="BN24" s="86">
        <f t="shared" si="71"/>
        <v>4268.1616554797056</v>
      </c>
      <c r="BO24" s="86">
        <f t="shared" si="71"/>
        <v>677.78050762133171</v>
      </c>
      <c r="BP24" s="86">
        <f t="shared" si="71"/>
        <v>-23183.206266805333</v>
      </c>
      <c r="BQ24" s="86">
        <f t="shared" si="71"/>
        <v>82.264292958399537</v>
      </c>
      <c r="BR24" s="86">
        <f t="shared" si="71"/>
        <v>0</v>
      </c>
      <c r="BS24" s="86">
        <f t="shared" si="71"/>
        <v>0</v>
      </c>
      <c r="BT24" s="86">
        <f t="shared" ref="BT24:BV24" si="72">((BT31/SUM(BT$29:BT$32))*BT$16)+((BT31/SUM(BT$28:BT$32))*BT$17)+((BT31/SUM(BT$28:BT$32))*BT$18)</f>
        <v>7440.6210461678747</v>
      </c>
      <c r="BU24" s="86">
        <f t="shared" si="72"/>
        <v>0</v>
      </c>
      <c r="BV24" s="90">
        <f t="shared" si="72"/>
        <v>-12995.055653898538</v>
      </c>
    </row>
    <row r="25" spans="1:77" x14ac:dyDescent="0.3">
      <c r="A25" s="73" t="s">
        <v>7</v>
      </c>
      <c r="B25" s="85">
        <v>0</v>
      </c>
      <c r="C25" s="89">
        <v>0</v>
      </c>
      <c r="D25" s="89">
        <f t="shared" si="63"/>
        <v>39321.070126562699</v>
      </c>
      <c r="E25" s="89">
        <f t="shared" si="63"/>
        <v>12619.135159826228</v>
      </c>
      <c r="F25" s="89">
        <f t="shared" si="63"/>
        <v>39310.379745509235</v>
      </c>
      <c r="G25" s="89">
        <f t="shared" si="63"/>
        <v>77416.494225101458</v>
      </c>
      <c r="H25" s="89">
        <f t="shared" si="63"/>
        <v>59564.589109196262</v>
      </c>
      <c r="I25" s="89">
        <f t="shared" si="63"/>
        <v>125566.64450627941</v>
      </c>
      <c r="J25" s="89">
        <f t="shared" si="63"/>
        <v>47195.011808146039</v>
      </c>
      <c r="K25" s="89">
        <f>((K32/SUM(K$29:K$32))*K$16)+((K32/SUM(K$28:K$32))*K$17)+((K32/SUM(K$28:K$32))*K$18)</f>
        <v>173420.96278496395</v>
      </c>
      <c r="L25" s="89">
        <f t="shared" si="64"/>
        <v>211065.64012534122</v>
      </c>
      <c r="M25" s="89">
        <f t="shared" si="64"/>
        <v>152613.93663173731</v>
      </c>
      <c r="N25" s="89">
        <f t="shared" si="64"/>
        <v>164623.74205864902</v>
      </c>
      <c r="O25" s="89">
        <f t="shared" si="64"/>
        <v>249592.83922755485</v>
      </c>
      <c r="P25" s="89">
        <f t="shared" si="64"/>
        <v>142351.0076033056</v>
      </c>
      <c r="Q25" s="89">
        <f t="shared" si="64"/>
        <v>211454.20063135427</v>
      </c>
      <c r="R25" s="89">
        <f t="shared" si="64"/>
        <v>259572.77491525796</v>
      </c>
      <c r="S25" s="89">
        <f t="shared" si="64"/>
        <v>285057.39248387417</v>
      </c>
      <c r="T25" s="89">
        <f t="shared" si="64"/>
        <v>183026.0723913754</v>
      </c>
      <c r="U25" s="89">
        <f t="shared" si="64"/>
        <v>324564.83418035397</v>
      </c>
      <c r="V25" s="89">
        <f>((V32/SUM(V$29:V$32))*V$16)+((V32/SUM(V$28:V$32))*V$17)+((V32/SUM(V$28:V$32))*V$18)</f>
        <v>264531.43691794015</v>
      </c>
      <c r="W25" s="86">
        <f t="shared" si="65"/>
        <v>314184.3810854961</v>
      </c>
      <c r="X25" s="86">
        <f t="shared" si="65"/>
        <v>250608.98667526536</v>
      </c>
      <c r="Y25" s="86">
        <f t="shared" si="65"/>
        <v>351786.63584282924</v>
      </c>
      <c r="Z25" s="86">
        <f t="shared" si="65"/>
        <v>193260.47146035449</v>
      </c>
      <c r="AA25" s="86">
        <f t="shared" si="65"/>
        <v>209853.26804744999</v>
      </c>
      <c r="AB25" s="86">
        <f t="shared" si="65"/>
        <v>318275.49907774379</v>
      </c>
      <c r="AC25" s="86">
        <f t="shared" si="65"/>
        <v>266521.66752028867</v>
      </c>
      <c r="AD25" s="86">
        <f t="shared" si="65"/>
        <v>385141.48908010346</v>
      </c>
      <c r="AE25" s="86">
        <f t="shared" si="65"/>
        <v>330310.99794068577</v>
      </c>
      <c r="AF25" s="86">
        <f t="shared" si="65"/>
        <v>399064.96930482326</v>
      </c>
      <c r="AG25" s="86">
        <f t="shared" si="65"/>
        <v>491925.50779780763</v>
      </c>
      <c r="AH25" s="86">
        <f t="shared" si="65"/>
        <v>374399.20221504843</v>
      </c>
      <c r="AI25" s="86">
        <f t="shared" si="66"/>
        <v>365734.03139942978</v>
      </c>
      <c r="AJ25" s="86">
        <f t="shared" si="66"/>
        <v>528123.32428132067</v>
      </c>
      <c r="AK25" s="86">
        <f t="shared" si="66"/>
        <v>573573.37019981968</v>
      </c>
      <c r="AL25" s="86">
        <f t="shared" si="66"/>
        <v>145624.0506244188</v>
      </c>
      <c r="AM25" s="86">
        <f t="shared" si="66"/>
        <v>513931.99127386464</v>
      </c>
      <c r="AN25" s="86">
        <f t="shared" si="66"/>
        <v>420350.30437715532</v>
      </c>
      <c r="AO25" s="86">
        <f t="shared" si="66"/>
        <v>17120.224482340127</v>
      </c>
      <c r="AP25" s="86">
        <f t="shared" si="66"/>
        <v>20475.743747919907</v>
      </c>
      <c r="AQ25" s="86">
        <f t="shared" si="66"/>
        <v>14346.492600941192</v>
      </c>
      <c r="AR25" s="86">
        <f t="shared" si="66"/>
        <v>10018.501364329977</v>
      </c>
      <c r="AS25" s="86">
        <f t="shared" si="66"/>
        <v>2297.6192362393253</v>
      </c>
      <c r="AT25" s="86">
        <f t="shared" si="66"/>
        <v>5729.5029568905084</v>
      </c>
      <c r="AU25" s="86">
        <f t="shared" si="66"/>
        <v>42015.641402989051</v>
      </c>
      <c r="AV25" s="86">
        <f t="shared" si="66"/>
        <v>3910.4416217006792</v>
      </c>
      <c r="AW25" s="86">
        <f t="shared" si="66"/>
        <v>12938.972880285743</v>
      </c>
      <c r="AX25" s="86">
        <f t="shared" si="66"/>
        <v>11070.758694156231</v>
      </c>
      <c r="AY25" s="86">
        <f t="shared" si="66"/>
        <v>7660.5708010602475</v>
      </c>
      <c r="AZ25" s="86">
        <f t="shared" si="66"/>
        <v>15638.033127945957</v>
      </c>
      <c r="BA25" s="86">
        <f t="shared" si="66"/>
        <v>39.399239072588074</v>
      </c>
      <c r="BB25" s="86">
        <f t="shared" si="66"/>
        <v>1043.5461581997542</v>
      </c>
      <c r="BC25" s="86">
        <f t="shared" si="66"/>
        <v>21078.834764921565</v>
      </c>
      <c r="BD25" s="86">
        <f t="shared" si="66"/>
        <v>4845.1362821648136</v>
      </c>
      <c r="BE25" s="86">
        <f t="shared" si="66"/>
        <v>59349.674217156833</v>
      </c>
      <c r="BF25" s="86">
        <f t="shared" si="66"/>
        <v>10989.972543054742</v>
      </c>
      <c r="BG25" s="86">
        <f t="shared" si="66"/>
        <v>1956.6539707042759</v>
      </c>
      <c r="BH25" s="86">
        <f t="shared" ref="BH25:BS25" si="73">((BH32/SUM(BH$29:BH$32))*BH$16)+((BH32/SUM(BH$28:BH$32))*BH$17)+((BH32/SUM(BH$28:BH$32))*BH$18)</f>
        <v>535.45557372339579</v>
      </c>
      <c r="BI25" s="86">
        <f t="shared" si="73"/>
        <v>-23615.281753105737</v>
      </c>
      <c r="BJ25" s="86">
        <f t="shared" si="73"/>
        <v>6608.3960340094436</v>
      </c>
      <c r="BK25" s="86">
        <f t="shared" si="73"/>
        <v>13726.797837182725</v>
      </c>
      <c r="BL25" s="297">
        <f t="shared" si="73"/>
        <v>-141.67995149327933</v>
      </c>
      <c r="BM25" s="86">
        <f t="shared" si="73"/>
        <v>8506.9699783961914</v>
      </c>
      <c r="BN25" s="86">
        <f t="shared" si="73"/>
        <v>1816.2889947346712</v>
      </c>
      <c r="BO25" s="86">
        <f t="shared" si="73"/>
        <v>281.89684965395611</v>
      </c>
      <c r="BP25" s="86">
        <f t="shared" si="73"/>
        <v>-9012.1565492669015</v>
      </c>
      <c r="BQ25" s="86">
        <f t="shared" si="73"/>
        <v>33.15742641825959</v>
      </c>
      <c r="BR25" s="86">
        <f t="shared" si="73"/>
        <v>0</v>
      </c>
      <c r="BS25" s="86">
        <f t="shared" si="73"/>
        <v>0</v>
      </c>
      <c r="BT25" s="86">
        <f t="shared" ref="BT25:BV25" si="74">((BT32/SUM(BT$29:BT$32))*BT$16)+((BT32/SUM(BT$28:BT$32))*BT$17)+((BT32/SUM(BT$28:BT$32))*BT$18)</f>
        <v>2586.9544123875517</v>
      </c>
      <c r="BU25" s="86">
        <f t="shared" si="74"/>
        <v>0</v>
      </c>
      <c r="BV25" s="90">
        <f t="shared" si="74"/>
        <v>-4650.0067050431408</v>
      </c>
    </row>
    <row r="26" spans="1:77" x14ac:dyDescent="0.3">
      <c r="A26" s="73"/>
      <c r="B26" s="75"/>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7"/>
    </row>
    <row r="27" spans="1:77" x14ac:dyDescent="0.3">
      <c r="A27" s="73" t="s">
        <v>85</v>
      </c>
      <c r="B27" s="179"/>
      <c r="C27" s="176"/>
      <c r="D27" s="329" t="s">
        <v>86</v>
      </c>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74"/>
      <c r="BI27" s="74"/>
      <c r="BJ27" s="74"/>
      <c r="BK27" s="74"/>
      <c r="BL27" s="74"/>
      <c r="BM27" s="74"/>
      <c r="BN27" s="74"/>
      <c r="BO27" s="74"/>
      <c r="BP27" s="74"/>
      <c r="BQ27" s="74"/>
      <c r="BR27" s="74"/>
      <c r="BS27" s="74"/>
      <c r="BT27" s="74"/>
      <c r="BU27" s="74"/>
      <c r="BV27" s="77"/>
    </row>
    <row r="28" spans="1:77" x14ac:dyDescent="0.3">
      <c r="A28" s="177" t="s">
        <v>0</v>
      </c>
      <c r="B28" s="117">
        <v>0</v>
      </c>
      <c r="C28" s="111">
        <v>0</v>
      </c>
      <c r="D28" s="84">
        <v>993663505</v>
      </c>
      <c r="E28" s="84">
        <v>799965556</v>
      </c>
      <c r="F28" s="84">
        <v>694371338</v>
      </c>
      <c r="G28" s="84">
        <v>1033880199</v>
      </c>
      <c r="H28" s="84">
        <v>1389519683</v>
      </c>
      <c r="I28" s="84">
        <v>1393717014</v>
      </c>
      <c r="J28" s="84">
        <v>1260356462</v>
      </c>
      <c r="K28" s="84">
        <v>898752689</v>
      </c>
      <c r="L28" s="84">
        <v>737254549</v>
      </c>
      <c r="M28" s="84">
        <v>1139687162</v>
      </c>
      <c r="N28" s="84">
        <v>1486587515</v>
      </c>
      <c r="O28" s="84">
        <v>1118519560</v>
      </c>
      <c r="P28" s="84">
        <v>900425374</v>
      </c>
      <c r="Q28" s="84">
        <v>785388980</v>
      </c>
      <c r="R28" s="84">
        <v>745552820</v>
      </c>
      <c r="S28" s="84">
        <v>999249366</v>
      </c>
      <c r="T28" s="84">
        <v>1328710328</v>
      </c>
      <c r="U28" s="84">
        <v>1345571317</v>
      </c>
      <c r="V28" s="84">
        <v>1065182267</v>
      </c>
      <c r="W28" s="153">
        <v>935823271</v>
      </c>
      <c r="X28" s="153">
        <v>821487370</v>
      </c>
      <c r="Y28" s="153">
        <v>1061048123</v>
      </c>
      <c r="Z28" s="153">
        <v>1655009463</v>
      </c>
      <c r="AA28" s="153">
        <v>1329247401</v>
      </c>
      <c r="AB28" s="153">
        <v>1071720684</v>
      </c>
      <c r="AC28" s="153">
        <v>1035354332</v>
      </c>
      <c r="AD28" s="153">
        <v>838111932</v>
      </c>
      <c r="AE28" s="153">
        <v>1238437606</v>
      </c>
      <c r="AF28" s="153">
        <v>1451979984</v>
      </c>
      <c r="AG28" s="153">
        <v>1300666274</v>
      </c>
      <c r="AH28" s="153">
        <v>1250635703</v>
      </c>
      <c r="AI28" s="153">
        <v>971081766</v>
      </c>
      <c r="AJ28" s="153">
        <v>906818656</v>
      </c>
      <c r="AK28" s="153">
        <v>1263779046</v>
      </c>
      <c r="AL28" s="153">
        <v>1395672993</v>
      </c>
      <c r="AM28" s="153">
        <v>1407530571</v>
      </c>
      <c r="AN28" s="153">
        <v>1268128455</v>
      </c>
      <c r="AO28" s="153">
        <v>872933544</v>
      </c>
      <c r="AP28" s="153">
        <v>738196558</v>
      </c>
      <c r="AQ28" s="153">
        <v>978975302</v>
      </c>
      <c r="AR28" s="153">
        <v>1243909773</v>
      </c>
      <c r="AS28" s="153">
        <v>1310015315</v>
      </c>
      <c r="AT28" s="153">
        <v>1208033233</v>
      </c>
      <c r="AU28" s="153">
        <v>993546162</v>
      </c>
      <c r="AV28" s="153">
        <v>897156231</v>
      </c>
      <c r="AW28" s="153">
        <v>1208147189</v>
      </c>
      <c r="AX28" s="153">
        <v>1334184680</v>
      </c>
      <c r="AY28" s="153">
        <v>1302694951</v>
      </c>
      <c r="AZ28" s="153">
        <v>1123586700</v>
      </c>
      <c r="BA28" s="153">
        <v>886578697</v>
      </c>
      <c r="BB28" s="153">
        <v>790098101</v>
      </c>
      <c r="BC28" s="153">
        <v>1041013964</v>
      </c>
      <c r="BD28" s="153">
        <v>1397050553</v>
      </c>
      <c r="BE28" s="153">
        <v>1310723723</v>
      </c>
      <c r="BF28" s="153">
        <v>1275164339</v>
      </c>
      <c r="BG28" s="153">
        <v>800796996</v>
      </c>
      <c r="BH28" s="153">
        <v>856955103</v>
      </c>
      <c r="BI28" s="153">
        <v>1137867523</v>
      </c>
      <c r="BJ28" s="153">
        <v>1482496943</v>
      </c>
      <c r="BK28" s="153">
        <v>1507047480</v>
      </c>
      <c r="BL28" s="153">
        <v>1193201650</v>
      </c>
      <c r="BM28" s="153">
        <v>803567941</v>
      </c>
      <c r="BN28" s="153">
        <v>753161249</v>
      </c>
      <c r="BO28" s="153">
        <v>1061485022</v>
      </c>
      <c r="BP28" s="153">
        <v>1299384453</v>
      </c>
      <c r="BQ28" s="153">
        <v>1325635096</v>
      </c>
      <c r="BR28" s="153">
        <v>1302322503</v>
      </c>
      <c r="BS28" s="153">
        <v>902367562</v>
      </c>
      <c r="BT28" s="153">
        <f>'[1]PPC.3, PCR.2'!BS30</f>
        <v>616534565.60039997</v>
      </c>
      <c r="BU28" s="153">
        <f>'[1]PPC.3, PCR.2'!BT30</f>
        <v>621003419.78059995</v>
      </c>
      <c r="BV28" s="357">
        <f>'[1]PPC.3, PCR.2'!BU30</f>
        <v>656971283.38569999</v>
      </c>
      <c r="BW28" s="35"/>
      <c r="BY28" s="35"/>
    </row>
    <row r="29" spans="1:77" x14ac:dyDescent="0.3">
      <c r="A29" s="177" t="s">
        <v>4</v>
      </c>
      <c r="B29" s="117">
        <v>0</v>
      </c>
      <c r="C29" s="111">
        <v>0</v>
      </c>
      <c r="D29" s="84">
        <v>260227273</v>
      </c>
      <c r="E29" s="84">
        <v>236480663</v>
      </c>
      <c r="F29" s="84">
        <v>226604577</v>
      </c>
      <c r="G29" s="84">
        <v>276800633</v>
      </c>
      <c r="H29" s="84">
        <v>328433342</v>
      </c>
      <c r="I29" s="84">
        <v>327996744</v>
      </c>
      <c r="J29" s="84">
        <v>315410170</v>
      </c>
      <c r="K29" s="84">
        <v>268275261</v>
      </c>
      <c r="L29" s="84">
        <v>238400191</v>
      </c>
      <c r="M29" s="84">
        <v>276639061</v>
      </c>
      <c r="N29" s="84">
        <v>331623730</v>
      </c>
      <c r="O29" s="84">
        <v>274620464</v>
      </c>
      <c r="P29" s="84">
        <v>244043467</v>
      </c>
      <c r="Q29" s="84">
        <v>230986921</v>
      </c>
      <c r="R29" s="84">
        <v>228484392</v>
      </c>
      <c r="S29" s="84">
        <v>271547337</v>
      </c>
      <c r="T29" s="84">
        <v>314773105</v>
      </c>
      <c r="U29" s="84">
        <v>317794583</v>
      </c>
      <c r="V29" s="84">
        <v>284270101</v>
      </c>
      <c r="W29" s="153">
        <v>269129889</v>
      </c>
      <c r="X29" s="153">
        <v>240618906</v>
      </c>
      <c r="Y29" s="153">
        <v>265688240</v>
      </c>
      <c r="Z29" s="153">
        <v>350848362</v>
      </c>
      <c r="AA29" s="153">
        <v>304988610</v>
      </c>
      <c r="AB29" s="153">
        <v>267166722</v>
      </c>
      <c r="AC29" s="153">
        <v>263421812</v>
      </c>
      <c r="AD29" s="153">
        <v>238338730</v>
      </c>
      <c r="AE29" s="153">
        <v>299991891</v>
      </c>
      <c r="AF29" s="153">
        <v>330814291</v>
      </c>
      <c r="AG29" s="153">
        <v>309298324</v>
      </c>
      <c r="AH29" s="153">
        <v>303923884</v>
      </c>
      <c r="AI29" s="153">
        <v>267631865</v>
      </c>
      <c r="AJ29" s="153">
        <v>241319654</v>
      </c>
      <c r="AK29" s="153">
        <v>291652347</v>
      </c>
      <c r="AL29" s="153">
        <v>307968093</v>
      </c>
      <c r="AM29" s="153">
        <v>308068267</v>
      </c>
      <c r="AN29" s="153">
        <v>290178959</v>
      </c>
      <c r="AO29" s="153">
        <v>235096003</v>
      </c>
      <c r="AP29" s="153">
        <v>221772499</v>
      </c>
      <c r="AQ29" s="153">
        <v>258735845</v>
      </c>
      <c r="AR29" s="153">
        <v>295975497</v>
      </c>
      <c r="AS29" s="153">
        <v>304175879</v>
      </c>
      <c r="AT29" s="153">
        <v>293549572</v>
      </c>
      <c r="AU29" s="153">
        <v>264736629</v>
      </c>
      <c r="AV29" s="153">
        <v>237145043</v>
      </c>
      <c r="AW29" s="153">
        <v>278572550</v>
      </c>
      <c r="AX29" s="153">
        <v>297050898</v>
      </c>
      <c r="AY29" s="153">
        <v>290934660</v>
      </c>
      <c r="AZ29" s="153">
        <v>265078600</v>
      </c>
      <c r="BA29" s="153">
        <v>203506574</v>
      </c>
      <c r="BB29" s="153">
        <v>184563246</v>
      </c>
      <c r="BC29" s="153">
        <v>231230759</v>
      </c>
      <c r="BD29" s="153">
        <v>288425422</v>
      </c>
      <c r="BE29" s="153">
        <v>281389691</v>
      </c>
      <c r="BF29" s="153">
        <v>269111017</v>
      </c>
      <c r="BG29" s="153">
        <v>218212399</v>
      </c>
      <c r="BH29" s="153">
        <v>218068919</v>
      </c>
      <c r="BI29" s="153">
        <v>251883126</v>
      </c>
      <c r="BJ29" s="153">
        <v>300425840</v>
      </c>
      <c r="BK29" s="153">
        <v>303577891</v>
      </c>
      <c r="BL29" s="153">
        <v>265359424</v>
      </c>
      <c r="BM29" s="153">
        <v>211100441</v>
      </c>
      <c r="BN29" s="153">
        <v>205986967</v>
      </c>
      <c r="BO29" s="153">
        <v>264522271</v>
      </c>
      <c r="BP29" s="153">
        <v>291815734</v>
      </c>
      <c r="BQ29" s="153">
        <v>291413887</v>
      </c>
      <c r="BR29" s="153">
        <v>294374400</v>
      </c>
      <c r="BS29" s="153">
        <v>245524134</v>
      </c>
      <c r="BT29" s="153">
        <f>'[1]PPC.3, PCR.2'!BS31</f>
        <v>219607159</v>
      </c>
      <c r="BU29" s="153">
        <f>'[1]PPC.3, PCR.2'!BT31</f>
        <v>250528302</v>
      </c>
      <c r="BV29" s="357">
        <f>'[1]PPC.3, PCR.2'!BU31</f>
        <v>295412831</v>
      </c>
      <c r="BW29" s="35"/>
      <c r="BY29" s="35"/>
    </row>
    <row r="30" spans="1:77" x14ac:dyDescent="0.3">
      <c r="A30" s="177" t="s">
        <v>5</v>
      </c>
      <c r="B30" s="117">
        <v>0</v>
      </c>
      <c r="C30" s="111">
        <v>0</v>
      </c>
      <c r="D30" s="84">
        <v>596370095</v>
      </c>
      <c r="E30" s="84">
        <v>585567373</v>
      </c>
      <c r="F30" s="84">
        <v>584363020</v>
      </c>
      <c r="G30" s="84">
        <v>661650596</v>
      </c>
      <c r="H30" s="84">
        <v>744450846</v>
      </c>
      <c r="I30" s="84">
        <v>746230356</v>
      </c>
      <c r="J30" s="84">
        <v>749176357</v>
      </c>
      <c r="K30" s="84">
        <v>659221190</v>
      </c>
      <c r="L30" s="84">
        <v>600231827</v>
      </c>
      <c r="M30" s="84">
        <v>624953134</v>
      </c>
      <c r="N30" s="84">
        <v>693030252</v>
      </c>
      <c r="O30" s="84">
        <v>607344097</v>
      </c>
      <c r="P30" s="84">
        <v>572358448</v>
      </c>
      <c r="Q30" s="84">
        <v>562854773</v>
      </c>
      <c r="R30" s="84">
        <v>578075204</v>
      </c>
      <c r="S30" s="84">
        <v>655641906</v>
      </c>
      <c r="T30" s="84">
        <v>714056556</v>
      </c>
      <c r="U30" s="84">
        <v>727381902</v>
      </c>
      <c r="V30" s="84">
        <v>685704779</v>
      </c>
      <c r="W30" s="153">
        <v>658415575</v>
      </c>
      <c r="X30" s="153">
        <v>591258230</v>
      </c>
      <c r="Y30" s="153">
        <v>617045102</v>
      </c>
      <c r="Z30" s="153">
        <v>713223360</v>
      </c>
      <c r="AA30" s="153">
        <v>637748229</v>
      </c>
      <c r="AB30" s="153">
        <v>591995322</v>
      </c>
      <c r="AC30" s="153">
        <v>597309651</v>
      </c>
      <c r="AD30" s="153">
        <v>591787732</v>
      </c>
      <c r="AE30" s="153">
        <v>706111391</v>
      </c>
      <c r="AF30" s="153">
        <v>750019857</v>
      </c>
      <c r="AG30" s="153">
        <v>709167976</v>
      </c>
      <c r="AH30" s="153">
        <v>721543630</v>
      </c>
      <c r="AI30" s="153">
        <v>655717182</v>
      </c>
      <c r="AJ30" s="153">
        <v>583325592</v>
      </c>
      <c r="AK30" s="153">
        <v>635010680</v>
      </c>
      <c r="AL30" s="153">
        <v>645753087</v>
      </c>
      <c r="AM30" s="153">
        <v>624256369</v>
      </c>
      <c r="AN30" s="153">
        <v>599641261</v>
      </c>
      <c r="AO30" s="153">
        <v>546450417</v>
      </c>
      <c r="AP30" s="153">
        <v>548775486</v>
      </c>
      <c r="AQ30" s="153">
        <v>609609142</v>
      </c>
      <c r="AR30" s="153">
        <v>656813642</v>
      </c>
      <c r="AS30" s="153">
        <v>671886437</v>
      </c>
      <c r="AT30" s="153">
        <v>678219627</v>
      </c>
      <c r="AU30" s="153">
        <v>622550219</v>
      </c>
      <c r="AV30" s="153">
        <v>549600433</v>
      </c>
      <c r="AW30" s="153">
        <v>596432225</v>
      </c>
      <c r="AX30" s="153">
        <v>616923082</v>
      </c>
      <c r="AY30" s="153">
        <v>599527620</v>
      </c>
      <c r="AZ30" s="153">
        <v>566693954</v>
      </c>
      <c r="BA30" s="153">
        <v>483801855</v>
      </c>
      <c r="BB30" s="153">
        <v>451939609</v>
      </c>
      <c r="BC30" s="153">
        <v>534583835</v>
      </c>
      <c r="BD30" s="153">
        <v>624356693</v>
      </c>
      <c r="BE30" s="153">
        <v>621885740</v>
      </c>
      <c r="BF30" s="153">
        <v>619148163</v>
      </c>
      <c r="BG30" s="153">
        <v>528448107.69999999</v>
      </c>
      <c r="BH30" s="153">
        <v>514648084</v>
      </c>
      <c r="BI30" s="153">
        <v>553120787</v>
      </c>
      <c r="BJ30" s="153">
        <v>592823385</v>
      </c>
      <c r="BK30" s="153">
        <v>585712392</v>
      </c>
      <c r="BL30" s="153">
        <v>543642088</v>
      </c>
      <c r="BM30" s="153">
        <v>483262229</v>
      </c>
      <c r="BN30" s="153">
        <v>492375125.19999999</v>
      </c>
      <c r="BO30" s="153">
        <v>586671915</v>
      </c>
      <c r="BP30" s="153">
        <v>641235470</v>
      </c>
      <c r="BQ30" s="153">
        <v>634777638</v>
      </c>
      <c r="BR30" s="153">
        <v>647017474</v>
      </c>
      <c r="BS30" s="153">
        <v>568724491</v>
      </c>
      <c r="BT30" s="153">
        <f>'[1]PPC.3, PCR.2'!BS32</f>
        <v>505304455</v>
      </c>
      <c r="BU30" s="153">
        <f>'[1]PPC.3, PCR.2'!BT32</f>
        <v>552284069</v>
      </c>
      <c r="BV30" s="357">
        <f>'[1]PPC.3, PCR.2'!BU32</f>
        <v>590858313</v>
      </c>
      <c r="BW30" s="35"/>
      <c r="BY30" s="35"/>
    </row>
    <row r="31" spans="1:77" x14ac:dyDescent="0.3">
      <c r="A31" s="177" t="s">
        <v>6</v>
      </c>
      <c r="B31" s="117">
        <v>0</v>
      </c>
      <c r="C31" s="111">
        <v>0</v>
      </c>
      <c r="D31" s="84">
        <v>247441789</v>
      </c>
      <c r="E31" s="84">
        <v>263524459</v>
      </c>
      <c r="F31" s="84">
        <v>273810149</v>
      </c>
      <c r="G31" s="84">
        <v>281099842</v>
      </c>
      <c r="H31" s="84">
        <v>312186695</v>
      </c>
      <c r="I31" s="84">
        <v>304162315</v>
      </c>
      <c r="J31" s="84">
        <v>330143172</v>
      </c>
      <c r="K31" s="84">
        <v>280092260</v>
      </c>
      <c r="L31" s="84">
        <v>268855946</v>
      </c>
      <c r="M31" s="84">
        <v>269553572</v>
      </c>
      <c r="N31" s="84">
        <v>287482958</v>
      </c>
      <c r="O31" s="84">
        <v>284042474</v>
      </c>
      <c r="P31" s="84">
        <v>243773343</v>
      </c>
      <c r="Q31" s="84">
        <v>262317859</v>
      </c>
      <c r="R31" s="84">
        <v>265729533</v>
      </c>
      <c r="S31" s="84">
        <v>305383990</v>
      </c>
      <c r="T31" s="84">
        <v>299141306</v>
      </c>
      <c r="U31" s="84">
        <v>315582091</v>
      </c>
      <c r="V31" s="84">
        <v>303646750</v>
      </c>
      <c r="W31" s="153">
        <v>297206861</v>
      </c>
      <c r="X31" s="153">
        <v>267769856</v>
      </c>
      <c r="Y31" s="153">
        <v>280403761</v>
      </c>
      <c r="Z31" s="153">
        <v>308993823</v>
      </c>
      <c r="AA31" s="153">
        <v>274104685</v>
      </c>
      <c r="AB31" s="153">
        <v>272372147</v>
      </c>
      <c r="AC31" s="153">
        <v>251417733</v>
      </c>
      <c r="AD31" s="153">
        <v>289575324</v>
      </c>
      <c r="AE31" s="153">
        <v>314032531</v>
      </c>
      <c r="AF31" s="153">
        <v>325203026</v>
      </c>
      <c r="AG31" s="153">
        <v>319660753</v>
      </c>
      <c r="AH31" s="153">
        <v>311095874</v>
      </c>
      <c r="AI31" s="153">
        <v>289535965</v>
      </c>
      <c r="AJ31" s="153">
        <v>271491896</v>
      </c>
      <c r="AK31" s="153">
        <v>291933586</v>
      </c>
      <c r="AL31" s="153">
        <v>252980562</v>
      </c>
      <c r="AM31" s="153">
        <v>248710812</v>
      </c>
      <c r="AN31" s="153">
        <v>242499726</v>
      </c>
      <c r="AO31" s="153">
        <v>232539680</v>
      </c>
      <c r="AP31" s="153">
        <v>229224298</v>
      </c>
      <c r="AQ31" s="153">
        <v>266349220</v>
      </c>
      <c r="AR31" s="153">
        <v>267674678</v>
      </c>
      <c r="AS31" s="153">
        <v>281003685</v>
      </c>
      <c r="AT31" s="153">
        <v>279302255</v>
      </c>
      <c r="AU31" s="153">
        <v>258807768</v>
      </c>
      <c r="AV31" s="153">
        <v>239334214</v>
      </c>
      <c r="AW31" s="153">
        <v>241025466</v>
      </c>
      <c r="AX31" s="153">
        <v>247898204</v>
      </c>
      <c r="AY31" s="153">
        <v>255420215</v>
      </c>
      <c r="AZ31" s="153">
        <v>225135566</v>
      </c>
      <c r="BA31" s="153">
        <v>219961316</v>
      </c>
      <c r="BB31" s="153">
        <v>207074154</v>
      </c>
      <c r="BC31" s="153">
        <v>241165089</v>
      </c>
      <c r="BD31" s="153">
        <v>253833450</v>
      </c>
      <c r="BE31" s="153">
        <v>266058831</v>
      </c>
      <c r="BF31" s="153">
        <v>266126792</v>
      </c>
      <c r="BG31" s="153">
        <v>236673642.40000001</v>
      </c>
      <c r="BH31" s="153">
        <v>234876378</v>
      </c>
      <c r="BI31" s="153">
        <v>245759481</v>
      </c>
      <c r="BJ31" s="153">
        <v>241302585</v>
      </c>
      <c r="BK31" s="153">
        <v>254211213</v>
      </c>
      <c r="BL31" s="153">
        <v>216207694</v>
      </c>
      <c r="BM31" s="153">
        <v>214809052</v>
      </c>
      <c r="BN31" s="153">
        <v>221576502.5</v>
      </c>
      <c r="BO31" s="153">
        <v>232417188</v>
      </c>
      <c r="BP31" s="153">
        <v>286577542</v>
      </c>
      <c r="BQ31" s="153">
        <v>263115351</v>
      </c>
      <c r="BR31" s="153">
        <v>266455046</v>
      </c>
      <c r="BS31" s="153">
        <v>230080105</v>
      </c>
      <c r="BT31" s="153">
        <f>'[1]PPC.3, PCR.2'!BS33</f>
        <v>200697530</v>
      </c>
      <c r="BU31" s="153">
        <f>'[1]PPC.3, PCR.2'!BT33</f>
        <v>263803028</v>
      </c>
      <c r="BV31" s="357">
        <f>'[1]PPC.3, PCR.2'!BU33</f>
        <v>254759231</v>
      </c>
      <c r="BW31" s="35"/>
      <c r="BY31" s="35"/>
    </row>
    <row r="32" spans="1:77" x14ac:dyDescent="0.3">
      <c r="A32" s="177" t="s">
        <v>7</v>
      </c>
      <c r="B32" s="117">
        <v>0</v>
      </c>
      <c r="C32" s="111">
        <v>0</v>
      </c>
      <c r="D32" s="84">
        <v>127273740</v>
      </c>
      <c r="E32" s="84">
        <v>133415922</v>
      </c>
      <c r="F32" s="84">
        <v>133920097</v>
      </c>
      <c r="G32" s="84">
        <v>151320401</v>
      </c>
      <c r="H32" s="84">
        <v>158812387</v>
      </c>
      <c r="I32" s="84">
        <v>160367769</v>
      </c>
      <c r="J32" s="84">
        <v>176194341</v>
      </c>
      <c r="K32" s="84">
        <v>154604539</v>
      </c>
      <c r="L32" s="84">
        <v>142536252</v>
      </c>
      <c r="M32" s="84">
        <v>134004611</v>
      </c>
      <c r="N32" s="84">
        <v>132646039</v>
      </c>
      <c r="O32" s="84">
        <v>136324918</v>
      </c>
      <c r="P32" s="84">
        <v>118000396</v>
      </c>
      <c r="Q32" s="84">
        <v>130771713</v>
      </c>
      <c r="R32" s="84">
        <v>133006544</v>
      </c>
      <c r="S32" s="84">
        <v>158813593</v>
      </c>
      <c r="T32" s="84">
        <v>150211763</v>
      </c>
      <c r="U32" s="84">
        <v>166478792</v>
      </c>
      <c r="V32" s="84">
        <v>158634223</v>
      </c>
      <c r="W32" s="153">
        <v>151247524</v>
      </c>
      <c r="X32" s="153">
        <v>147830606</v>
      </c>
      <c r="Y32" s="153">
        <v>132139915</v>
      </c>
      <c r="Z32" s="153">
        <v>134787267</v>
      </c>
      <c r="AA32" s="153">
        <v>125603697</v>
      </c>
      <c r="AB32" s="153">
        <v>125857767</v>
      </c>
      <c r="AC32" s="153">
        <v>119174583</v>
      </c>
      <c r="AD32" s="153">
        <v>136766539</v>
      </c>
      <c r="AE32" s="153">
        <v>151258088</v>
      </c>
      <c r="AF32" s="153">
        <v>155948179</v>
      </c>
      <c r="AG32" s="153">
        <v>160224923</v>
      </c>
      <c r="AH32" s="153">
        <v>150480926</v>
      </c>
      <c r="AI32" s="153">
        <v>148580162</v>
      </c>
      <c r="AJ32" s="153">
        <v>139627995</v>
      </c>
      <c r="AK32" s="153">
        <v>135972391</v>
      </c>
      <c r="AL32" s="153">
        <v>101960146</v>
      </c>
      <c r="AM32" s="153">
        <v>96075286</v>
      </c>
      <c r="AN32" s="153">
        <v>99309923</v>
      </c>
      <c r="AO32" s="153">
        <v>98876748</v>
      </c>
      <c r="AP32" s="153">
        <v>96480454</v>
      </c>
      <c r="AQ32" s="153">
        <v>121526151</v>
      </c>
      <c r="AR32" s="153">
        <v>113123855</v>
      </c>
      <c r="AS32" s="153">
        <v>125262874</v>
      </c>
      <c r="AT32" s="153">
        <v>126945040</v>
      </c>
      <c r="AU32" s="153">
        <v>119752379</v>
      </c>
      <c r="AV32" s="153">
        <v>106348532</v>
      </c>
      <c r="AW32" s="153">
        <v>100067076</v>
      </c>
      <c r="AX32" s="153">
        <v>105899561</v>
      </c>
      <c r="AY32" s="153">
        <v>111203176</v>
      </c>
      <c r="AZ32" s="153">
        <v>86704807</v>
      </c>
      <c r="BA32" s="153">
        <v>92097434</v>
      </c>
      <c r="BB32" s="153">
        <v>93506334</v>
      </c>
      <c r="BC32" s="153">
        <v>92139707</v>
      </c>
      <c r="BD32" s="153">
        <v>105110654</v>
      </c>
      <c r="BE32" s="153">
        <v>108265948</v>
      </c>
      <c r="BF32" s="153">
        <v>109806573</v>
      </c>
      <c r="BG32" s="153">
        <v>96724322.099999994</v>
      </c>
      <c r="BH32" s="153">
        <v>94866307</v>
      </c>
      <c r="BI32" s="153">
        <v>96874394</v>
      </c>
      <c r="BJ32" s="153">
        <v>84244327</v>
      </c>
      <c r="BK32" s="153">
        <v>112346620</v>
      </c>
      <c r="BL32" s="153">
        <v>50801494</v>
      </c>
      <c r="BM32" s="153">
        <v>85186767</v>
      </c>
      <c r="BN32" s="153">
        <v>94290468.700000003</v>
      </c>
      <c r="BO32" s="153">
        <v>96665030</v>
      </c>
      <c r="BP32" s="153">
        <v>111403127</v>
      </c>
      <c r="BQ32" s="153">
        <v>106051211</v>
      </c>
      <c r="BR32" s="153">
        <v>114673513</v>
      </c>
      <c r="BS32" s="153">
        <v>105106440</v>
      </c>
      <c r="BT32" s="153">
        <f>'[1]PPC.3, PCR.2'!BS34</f>
        <v>69778498</v>
      </c>
      <c r="BU32" s="153">
        <f>'[1]PPC.3, PCR.2'!BT34</f>
        <v>110311543</v>
      </c>
      <c r="BV32" s="357">
        <f>'[1]PPC.3, PCR.2'!BU34</f>
        <v>91160220</v>
      </c>
      <c r="BW32" s="35"/>
      <c r="BY32" s="35"/>
    </row>
    <row r="33" spans="1:75" x14ac:dyDescent="0.3">
      <c r="A33" s="73"/>
      <c r="B33" s="75"/>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7"/>
    </row>
    <row r="34" spans="1:75" x14ac:dyDescent="0.3">
      <c r="A34" s="73" t="s">
        <v>87</v>
      </c>
      <c r="B34" s="179"/>
      <c r="C34" s="176"/>
      <c r="D34" s="329" t="s">
        <v>68</v>
      </c>
      <c r="E34" s="176"/>
      <c r="F34" s="176"/>
      <c r="G34" s="176"/>
      <c r="H34" s="176"/>
      <c r="I34" s="176"/>
      <c r="J34" s="176"/>
      <c r="K34" s="176"/>
      <c r="L34" s="176"/>
      <c r="M34" s="176"/>
      <c r="N34" s="176"/>
      <c r="O34" s="176"/>
      <c r="P34" s="176"/>
      <c r="Q34" s="176"/>
      <c r="R34" s="176"/>
      <c r="S34" s="176"/>
      <c r="T34" s="176"/>
      <c r="U34" s="176"/>
      <c r="V34" s="176"/>
      <c r="W34" s="176"/>
      <c r="X34" s="176"/>
      <c r="Y34" s="176"/>
      <c r="Z34" s="176"/>
      <c r="AA34" s="281"/>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74"/>
      <c r="BI34" s="74"/>
      <c r="BJ34" s="74"/>
      <c r="BK34" s="74"/>
      <c r="BL34" s="74"/>
      <c r="BM34" s="74"/>
      <c r="BN34" s="74"/>
      <c r="BO34" s="74"/>
      <c r="BP34" s="74"/>
      <c r="BQ34" s="74"/>
      <c r="BR34" s="74"/>
      <c r="BS34" s="74"/>
      <c r="BT34" s="74"/>
      <c r="BU34" s="74"/>
      <c r="BV34" s="77"/>
      <c r="BW34" s="32"/>
    </row>
    <row r="35" spans="1:75" x14ac:dyDescent="0.3">
      <c r="A35" s="177" t="str">
        <f>A28</f>
        <v>RES</v>
      </c>
      <c r="B35" s="69">
        <v>0</v>
      </c>
      <c r="C35" s="70">
        <v>0</v>
      </c>
      <c r="D35" s="70">
        <v>0</v>
      </c>
      <c r="E35" s="70">
        <v>0</v>
      </c>
      <c r="F35" s="70">
        <v>123961.69</v>
      </c>
      <c r="G35" s="70">
        <v>1908168.92</v>
      </c>
      <c r="H35" s="70">
        <v>2568297.87</v>
      </c>
      <c r="I35" s="70">
        <v>2577448.31</v>
      </c>
      <c r="J35" s="70">
        <v>2331302.52</v>
      </c>
      <c r="K35" s="70">
        <v>1662285.76</v>
      </c>
      <c r="L35" s="70">
        <v>1362163.19</v>
      </c>
      <c r="M35" s="70">
        <v>2095736.41</v>
      </c>
      <c r="N35" s="70">
        <v>2744219.77</v>
      </c>
      <c r="O35" s="70">
        <v>2148829.36</v>
      </c>
      <c r="P35" s="70">
        <v>1729823.68</v>
      </c>
      <c r="Q35" s="70">
        <v>1512003.54</v>
      </c>
      <c r="R35" s="70">
        <v>1440840.56</v>
      </c>
      <c r="S35" s="70">
        <v>1936757.77</v>
      </c>
      <c r="T35" s="70">
        <v>2576912.5699999998</v>
      </c>
      <c r="U35" s="70">
        <v>2608657.2400000002</v>
      </c>
      <c r="V35" s="70">
        <v>2062676.64</v>
      </c>
      <c r="W35" s="79">
        <v>1810953.83</v>
      </c>
      <c r="X35" s="79">
        <v>1581314.86</v>
      </c>
      <c r="Y35" s="79">
        <v>2039173.2</v>
      </c>
      <c r="Z35" s="79">
        <v>3182458.2</v>
      </c>
      <c r="AA35" s="79">
        <v>2595923.37</v>
      </c>
      <c r="AB35" s="79">
        <v>2092553.72</v>
      </c>
      <c r="AC35" s="79">
        <v>2020382.01</v>
      </c>
      <c r="AD35" s="79">
        <v>1645582.52</v>
      </c>
      <c r="AE35" s="79">
        <v>2444250.39</v>
      </c>
      <c r="AF35" s="79">
        <v>2866018.01</v>
      </c>
      <c r="AG35" s="79">
        <v>2568472.33</v>
      </c>
      <c r="AH35" s="79">
        <v>2470378.25</v>
      </c>
      <c r="AI35" s="79">
        <v>1911666.16</v>
      </c>
      <c r="AJ35" s="79">
        <v>1773897.44</v>
      </c>
      <c r="AK35" s="79">
        <v>2468312.4700000002</v>
      </c>
      <c r="AL35" s="79">
        <v>2371912.9899999998</v>
      </c>
      <c r="AM35" s="79">
        <v>-824507.18999999971</v>
      </c>
      <c r="AN35" s="79">
        <v>-745444.90999999992</v>
      </c>
      <c r="AO35" s="79">
        <v>-514077.78</v>
      </c>
      <c r="AP35" s="79">
        <v>-436461.67999999993</v>
      </c>
      <c r="AQ35" s="79">
        <v>-582419.76000000013</v>
      </c>
      <c r="AR35" s="79">
        <v>-740942.31</v>
      </c>
      <c r="AS35" s="79">
        <v>-781133.54</v>
      </c>
      <c r="AT35" s="79">
        <v>-720539.33000000007</v>
      </c>
      <c r="AU35" s="79">
        <v>-591555.64</v>
      </c>
      <c r="AV35" s="79">
        <v>-530129.47000000009</v>
      </c>
      <c r="AW35" s="79">
        <v>-714004.47999999998</v>
      </c>
      <c r="AX35" s="79">
        <v>-788734.29</v>
      </c>
      <c r="AY35" s="79">
        <v>-359351.67999999993</v>
      </c>
      <c r="AZ35" s="79">
        <v>131484.91</v>
      </c>
      <c r="BA35" s="79">
        <v>107819.94000000002</v>
      </c>
      <c r="BB35" s="79">
        <v>96348.87000000001</v>
      </c>
      <c r="BC35" s="79">
        <v>127268.51999999997</v>
      </c>
      <c r="BD35" s="79">
        <v>171289.33000000002</v>
      </c>
      <c r="BE35" s="79">
        <v>160805.96</v>
      </c>
      <c r="BF35" s="79">
        <v>144819.87</v>
      </c>
      <c r="BG35" s="79">
        <v>97472.499999999985</v>
      </c>
      <c r="BH35" s="79">
        <v>104039.51</v>
      </c>
      <c r="BI35" s="79">
        <v>138215.02000000002</v>
      </c>
      <c r="BJ35" s="79">
        <v>180046.5</v>
      </c>
      <c r="BK35" s="79">
        <v>56541.559999999983</v>
      </c>
      <c r="BL35" s="79">
        <v>-65565.58</v>
      </c>
      <c r="BM35" s="79">
        <v>-44264.799999999996</v>
      </c>
      <c r="BN35" s="79">
        <v>-41589.249999999993</v>
      </c>
      <c r="BO35" s="79">
        <v>-54532.98</v>
      </c>
      <c r="BP35" s="79">
        <v>-72062.559999999998</v>
      </c>
      <c r="BQ35" s="79">
        <v>-73528.53</v>
      </c>
      <c r="BR35" s="79">
        <v>-72214.490000000005</v>
      </c>
      <c r="BS35" s="79">
        <v>-50006.080000000002</v>
      </c>
      <c r="BT35" s="79">
        <f>-'[1]PCR.3 (M2)'!BP7</f>
        <v>-47714.64</v>
      </c>
      <c r="BU35" s="79">
        <f>-'[1]PCR.3 (M2)'!BQ7</f>
        <v>-58660.43</v>
      </c>
      <c r="BV35" s="397">
        <f>-'[1]PCR.3 (M2)'!BR7</f>
        <v>-75932.229999999981</v>
      </c>
      <c r="BW35" s="32"/>
    </row>
    <row r="36" spans="1:75" x14ac:dyDescent="0.3">
      <c r="A36" s="177" t="str">
        <f>A29</f>
        <v>SGS</v>
      </c>
      <c r="B36" s="69">
        <v>0</v>
      </c>
      <c r="C36" s="70">
        <v>0</v>
      </c>
      <c r="D36" s="70">
        <v>0</v>
      </c>
      <c r="E36" s="70">
        <v>0</v>
      </c>
      <c r="F36" s="70">
        <v>30867.47</v>
      </c>
      <c r="G36" s="70">
        <v>447208.24</v>
      </c>
      <c r="H36" s="70">
        <v>531350.03</v>
      </c>
      <c r="I36" s="70">
        <v>530492.54</v>
      </c>
      <c r="J36" s="70">
        <v>510350.03</v>
      </c>
      <c r="K36" s="70">
        <v>434079.23</v>
      </c>
      <c r="L36" s="70">
        <v>385472.34</v>
      </c>
      <c r="M36" s="70">
        <v>447361.18</v>
      </c>
      <c r="N36" s="70">
        <v>521889.23</v>
      </c>
      <c r="O36" s="70">
        <v>291041.78999999998</v>
      </c>
      <c r="P36" s="70">
        <v>258475.06</v>
      </c>
      <c r="Q36" s="70">
        <v>244605.15</v>
      </c>
      <c r="R36" s="70">
        <v>242003.19</v>
      </c>
      <c r="S36" s="70">
        <v>287667.83</v>
      </c>
      <c r="T36" s="70">
        <v>333489.84999999998</v>
      </c>
      <c r="U36" s="70">
        <v>336690.37</v>
      </c>
      <c r="V36" s="70">
        <v>301150.11</v>
      </c>
      <c r="W36" s="79">
        <v>285102.90999999997</v>
      </c>
      <c r="X36" s="79">
        <v>254850.05</v>
      </c>
      <c r="Y36" s="79">
        <v>281447.78999999998</v>
      </c>
      <c r="Z36" s="79">
        <v>431665.87</v>
      </c>
      <c r="AA36" s="79">
        <v>950845.36</v>
      </c>
      <c r="AB36" s="79">
        <v>833398.31</v>
      </c>
      <c r="AC36" s="79">
        <v>821359.53</v>
      </c>
      <c r="AD36" s="79">
        <v>743516.11</v>
      </c>
      <c r="AE36" s="79">
        <v>936050.92</v>
      </c>
      <c r="AF36" s="79">
        <v>1032769.67</v>
      </c>
      <c r="AG36" s="79">
        <v>965010.54</v>
      </c>
      <c r="AH36" s="79">
        <v>948232.91</v>
      </c>
      <c r="AI36" s="79">
        <v>835687.41</v>
      </c>
      <c r="AJ36" s="79">
        <v>752706.92999999993</v>
      </c>
      <c r="AK36" s="79">
        <v>909713.58000000007</v>
      </c>
      <c r="AL36" s="79">
        <v>893379.14</v>
      </c>
      <c r="AM36" s="79">
        <v>178827.99000000002</v>
      </c>
      <c r="AN36" s="79">
        <v>168311.71999999997</v>
      </c>
      <c r="AO36" s="79">
        <v>135747.34</v>
      </c>
      <c r="AP36" s="79">
        <v>128723.33</v>
      </c>
      <c r="AQ36" s="79">
        <v>149951.91999999998</v>
      </c>
      <c r="AR36" s="79">
        <v>171754.22999999995</v>
      </c>
      <c r="AS36" s="79">
        <v>176182.37</v>
      </c>
      <c r="AT36" s="79">
        <v>170004.76000000004</v>
      </c>
      <c r="AU36" s="79">
        <v>153935.74</v>
      </c>
      <c r="AV36" s="79">
        <v>137492.72</v>
      </c>
      <c r="AW36" s="79">
        <v>161408.21000000002</v>
      </c>
      <c r="AX36" s="79">
        <v>172107.58000000005</v>
      </c>
      <c r="AY36" s="79">
        <v>109647.47000000002</v>
      </c>
      <c r="AZ36" s="79">
        <v>30414.499999999996</v>
      </c>
      <c r="BA36" s="79">
        <v>22739.300000000003</v>
      </c>
      <c r="BB36" s="79">
        <v>20650.36</v>
      </c>
      <c r="BC36" s="79">
        <v>25825.659999999996</v>
      </c>
      <c r="BD36" s="79">
        <v>32252.670000000002</v>
      </c>
      <c r="BE36" s="79">
        <v>32074.479999999992</v>
      </c>
      <c r="BF36" s="79">
        <v>30105.510000000006</v>
      </c>
      <c r="BG36" s="79">
        <v>24459.14</v>
      </c>
      <c r="BH36" s="79">
        <v>24419.41</v>
      </c>
      <c r="BI36" s="79">
        <v>28187.209999999995</v>
      </c>
      <c r="BJ36" s="79">
        <v>33608.579999999994</v>
      </c>
      <c r="BK36" s="79">
        <v>37140.789999999994</v>
      </c>
      <c r="BL36" s="79">
        <v>35704.14</v>
      </c>
      <c r="BM36" s="79">
        <v>28379.189999999995</v>
      </c>
      <c r="BN36" s="79">
        <v>27541.7</v>
      </c>
      <c r="BO36" s="79">
        <v>33047.53</v>
      </c>
      <c r="BP36" s="79">
        <v>39359.290000000008</v>
      </c>
      <c r="BQ36" s="79">
        <v>39210.490000000005</v>
      </c>
      <c r="BR36" s="79">
        <v>39610.869999999995</v>
      </c>
      <c r="BS36" s="79">
        <v>33024.340000000004</v>
      </c>
      <c r="BT36" s="79">
        <f>-'[1]PCR.3 (M2)'!BP8</f>
        <v>29531.570000000007</v>
      </c>
      <c r="BU36" s="79">
        <f>-'[1]PCR.3 (M2)'!BQ8</f>
        <v>33630.239999999998</v>
      </c>
      <c r="BV36" s="397">
        <f>-'[1]PCR.3 (M2)'!BR8</f>
        <v>39735.689999999988</v>
      </c>
      <c r="BW36" s="32"/>
    </row>
    <row r="37" spans="1:75" x14ac:dyDescent="0.3">
      <c r="A37" s="177" t="str">
        <f>A30</f>
        <v>LGS</v>
      </c>
      <c r="B37" s="69">
        <v>0</v>
      </c>
      <c r="C37" s="70">
        <v>0</v>
      </c>
      <c r="D37" s="70">
        <v>0</v>
      </c>
      <c r="E37" s="70">
        <v>0</v>
      </c>
      <c r="F37" s="70">
        <v>64202.879999999997</v>
      </c>
      <c r="G37" s="70">
        <v>1059813.77</v>
      </c>
      <c r="H37" s="70">
        <v>1203922.71</v>
      </c>
      <c r="I37" s="70">
        <v>1206399.46</v>
      </c>
      <c r="J37" s="70">
        <v>1211503.1299999999</v>
      </c>
      <c r="K37" s="70">
        <v>1066102.3899999999</v>
      </c>
      <c r="L37" s="70">
        <v>972108.05</v>
      </c>
      <c r="M37" s="70">
        <v>1010681.81</v>
      </c>
      <c r="N37" s="70">
        <v>1097512.96</v>
      </c>
      <c r="O37" s="70">
        <v>657802.05000000005</v>
      </c>
      <c r="P37" s="70">
        <v>617850.03</v>
      </c>
      <c r="Q37" s="70">
        <v>607462.05000000005</v>
      </c>
      <c r="R37" s="70">
        <v>624105.06000000006</v>
      </c>
      <c r="S37" s="70">
        <v>707741.76</v>
      </c>
      <c r="T37" s="70">
        <v>770766.14</v>
      </c>
      <c r="U37" s="70">
        <v>785160.49</v>
      </c>
      <c r="V37" s="70">
        <v>740167.74</v>
      </c>
      <c r="W37" s="79">
        <v>710721.13</v>
      </c>
      <c r="X37" s="79">
        <v>637956.66</v>
      </c>
      <c r="Y37" s="79">
        <v>666084.51999999897</v>
      </c>
      <c r="Z37" s="79">
        <v>874576.72</v>
      </c>
      <c r="AA37" s="79">
        <v>1984582.28</v>
      </c>
      <c r="AB37" s="79">
        <v>1854983.03</v>
      </c>
      <c r="AC37" s="79">
        <v>1871643.42</v>
      </c>
      <c r="AD37" s="79">
        <v>1855875.99</v>
      </c>
      <c r="AE37" s="79">
        <v>2212948.1</v>
      </c>
      <c r="AF37" s="79">
        <v>2349965.67</v>
      </c>
      <c r="AG37" s="79">
        <v>2223994.13</v>
      </c>
      <c r="AH37" s="79">
        <v>2262829.1800000002</v>
      </c>
      <c r="AI37" s="79">
        <v>2056074.25</v>
      </c>
      <c r="AJ37" s="79">
        <v>1828691.7000000002</v>
      </c>
      <c r="AK37" s="79">
        <v>1991673.2999999998</v>
      </c>
      <c r="AL37" s="79">
        <v>1906612.5699999994</v>
      </c>
      <c r="AM37" s="79">
        <v>371834.34999999992</v>
      </c>
      <c r="AN37" s="79">
        <v>332284.45000000007</v>
      </c>
      <c r="AO37" s="79">
        <v>300022.79000000004</v>
      </c>
      <c r="AP37" s="79">
        <v>320522.93</v>
      </c>
      <c r="AQ37" s="79">
        <v>354235.73000000004</v>
      </c>
      <c r="AR37" s="79">
        <v>383817.32</v>
      </c>
      <c r="AS37" s="79">
        <v>391987.35999999993</v>
      </c>
      <c r="AT37" s="79">
        <v>396090.88</v>
      </c>
      <c r="AU37" s="79">
        <v>362624.28</v>
      </c>
      <c r="AV37" s="79">
        <v>320424.63000000012</v>
      </c>
      <c r="AW37" s="79">
        <v>348316.22000000009</v>
      </c>
      <c r="AX37" s="79">
        <v>360259.5400000001</v>
      </c>
      <c r="AY37" s="79">
        <v>216252.19999999998</v>
      </c>
      <c r="AZ37" s="79">
        <v>27634.41</v>
      </c>
      <c r="BA37" s="79">
        <v>20819.22</v>
      </c>
      <c r="BB37" s="79">
        <v>18916.800000000003</v>
      </c>
      <c r="BC37" s="79">
        <v>22992.900000000009</v>
      </c>
      <c r="BD37" s="79">
        <v>26846.690000000006</v>
      </c>
      <c r="BE37" s="79">
        <v>26211</v>
      </c>
      <c r="BF37" s="79">
        <v>26616.13</v>
      </c>
      <c r="BG37" s="79">
        <v>22717.040000000005</v>
      </c>
      <c r="BH37" s="79">
        <v>22109.679999999997</v>
      </c>
      <c r="BI37" s="79">
        <v>23785.300000000003</v>
      </c>
      <c r="BJ37" s="79">
        <v>25490.360000000004</v>
      </c>
      <c r="BK37" s="79">
        <v>46013.629999999983</v>
      </c>
      <c r="BL37" s="79">
        <v>67845.359999999986</v>
      </c>
      <c r="BM37" s="79">
        <v>60390.880000000012</v>
      </c>
      <c r="BN37" s="79">
        <v>61517.790000000008</v>
      </c>
      <c r="BO37" s="79">
        <v>68346.75</v>
      </c>
      <c r="BP37" s="79">
        <v>80081.179999999993</v>
      </c>
      <c r="BQ37" s="79">
        <v>79349.300000000017</v>
      </c>
      <c r="BR37" s="79">
        <v>80872.679999999978</v>
      </c>
      <c r="BS37" s="79">
        <v>71088.470000000016</v>
      </c>
      <c r="BT37" s="79">
        <f>-'[1]PCR.3 (M2)'!BP9</f>
        <v>63164.12000000001</v>
      </c>
      <c r="BU37" s="79">
        <f>-'[1]PCR.3 (M2)'!BQ9</f>
        <v>69033.77</v>
      </c>
      <c r="BV37" s="397">
        <f>-'[1]PCR.3 (M2)'!BR9</f>
        <v>73811.610000000015</v>
      </c>
      <c r="BW37" s="32"/>
    </row>
    <row r="38" spans="1:75" x14ac:dyDescent="0.3">
      <c r="A38" s="177" t="str">
        <f>A31</f>
        <v>SPS</v>
      </c>
      <c r="B38" s="69">
        <v>0</v>
      </c>
      <c r="C38" s="70">
        <v>0</v>
      </c>
      <c r="D38" s="70">
        <v>0</v>
      </c>
      <c r="E38" s="70">
        <v>0</v>
      </c>
      <c r="F38" s="70">
        <v>42324.55</v>
      </c>
      <c r="G38" s="70">
        <v>402228.87</v>
      </c>
      <c r="H38" s="70">
        <v>504543.46</v>
      </c>
      <c r="I38" s="70">
        <v>492134.64</v>
      </c>
      <c r="J38" s="70">
        <v>534160.06000000006</v>
      </c>
      <c r="K38" s="70">
        <v>453189.31</v>
      </c>
      <c r="L38" s="70">
        <v>435008.89</v>
      </c>
      <c r="M38" s="70">
        <v>436137.77</v>
      </c>
      <c r="N38" s="70">
        <v>457765.57</v>
      </c>
      <c r="O38" s="70">
        <v>318136.18</v>
      </c>
      <c r="P38" s="70">
        <v>262787.62</v>
      </c>
      <c r="Q38" s="70">
        <v>282778.65000000002</v>
      </c>
      <c r="R38" s="70">
        <v>286456.53999999998</v>
      </c>
      <c r="S38" s="70">
        <v>329203.88</v>
      </c>
      <c r="T38" s="70">
        <v>322474.40000000002</v>
      </c>
      <c r="U38" s="70">
        <v>340197.43</v>
      </c>
      <c r="V38" s="70">
        <v>327331.33</v>
      </c>
      <c r="W38" s="79">
        <v>320388.98</v>
      </c>
      <c r="X38" s="79">
        <v>288445.09999999998</v>
      </c>
      <c r="Y38" s="79">
        <v>302275.21999999997</v>
      </c>
      <c r="Z38" s="79">
        <v>394301.64</v>
      </c>
      <c r="AA38" s="79">
        <v>798472.04</v>
      </c>
      <c r="AB38" s="79">
        <v>862270.76</v>
      </c>
      <c r="AC38" s="79">
        <v>797497.14</v>
      </c>
      <c r="AD38" s="79">
        <v>916795.59</v>
      </c>
      <c r="AE38" s="79">
        <v>994226.8</v>
      </c>
      <c r="AF38" s="79">
        <v>1029592.88</v>
      </c>
      <c r="AG38" s="79">
        <v>1012045.8</v>
      </c>
      <c r="AH38" s="79">
        <v>984929.5</v>
      </c>
      <c r="AI38" s="79">
        <v>923599.95</v>
      </c>
      <c r="AJ38" s="79">
        <v>859543.4</v>
      </c>
      <c r="AK38" s="79">
        <v>924261.55999999994</v>
      </c>
      <c r="AL38" s="79">
        <v>751320.97</v>
      </c>
      <c r="AM38" s="79">
        <v>216698.99000000005</v>
      </c>
      <c r="AN38" s="79">
        <v>140260.87</v>
      </c>
      <c r="AO38" s="79">
        <v>135341.45999999996</v>
      </c>
      <c r="AP38" s="79">
        <v>137076.04999999999</v>
      </c>
      <c r="AQ38" s="79">
        <v>159276.74</v>
      </c>
      <c r="AR38" s="79">
        <v>160069.38000000003</v>
      </c>
      <c r="AS38" s="79">
        <v>168040.34999999998</v>
      </c>
      <c r="AT38" s="79">
        <v>167022.80999999997</v>
      </c>
      <c r="AU38" s="79">
        <v>154767.25999999998</v>
      </c>
      <c r="AV38" s="79">
        <v>143121.96000000005</v>
      </c>
      <c r="AW38" s="79">
        <v>144105.38</v>
      </c>
      <c r="AX38" s="79">
        <v>148243.61000000002</v>
      </c>
      <c r="AY38" s="79">
        <v>97297.76999999999</v>
      </c>
      <c r="AZ38" s="79">
        <v>-280.72999999999996</v>
      </c>
      <c r="BA38" s="79">
        <v>-1319.77</v>
      </c>
      <c r="BB38" s="79">
        <v>-1242.1300000000001</v>
      </c>
      <c r="BC38" s="79">
        <v>-1447.2099999999994</v>
      </c>
      <c r="BD38" s="79">
        <v>-1522.9499999999998</v>
      </c>
      <c r="BE38" s="79">
        <v>-1596.5600000000002</v>
      </c>
      <c r="BF38" s="79">
        <v>-1596.75</v>
      </c>
      <c r="BG38" s="79">
        <v>-1419.25</v>
      </c>
      <c r="BH38" s="79">
        <v>-1409.37</v>
      </c>
      <c r="BI38" s="79">
        <v>-1474.5200000000002</v>
      </c>
      <c r="BJ38" s="79">
        <v>-1447.6899999999998</v>
      </c>
      <c r="BK38" s="79">
        <v>10398.11</v>
      </c>
      <c r="BL38" s="79">
        <v>24753.98</v>
      </c>
      <c r="BM38" s="79">
        <v>24918.06</v>
      </c>
      <c r="BN38" s="79">
        <v>25862.180000000008</v>
      </c>
      <c r="BO38" s="79">
        <v>24821.780000000006</v>
      </c>
      <c r="BP38" s="79">
        <v>33243.009999999995</v>
      </c>
      <c r="BQ38" s="79">
        <v>30520.98</v>
      </c>
      <c r="BR38" s="79">
        <v>30908.399999999994</v>
      </c>
      <c r="BS38" s="79">
        <v>26689.319999999996</v>
      </c>
      <c r="BT38" s="79">
        <f>-'[1]PCR.3 (M2)'!BP10</f>
        <v>23280.71</v>
      </c>
      <c r="BU38" s="79">
        <f>-'[1]PCR.3 (M2)'!BQ10</f>
        <v>30601.379999999997</v>
      </c>
      <c r="BV38" s="397">
        <f>-'[1]PCR.3 (M2)'!BR10</f>
        <v>29552.149999999998</v>
      </c>
      <c r="BW38" s="32"/>
    </row>
    <row r="39" spans="1:75" x14ac:dyDescent="0.3">
      <c r="A39" s="177" t="str">
        <f>A32</f>
        <v>LPS</v>
      </c>
      <c r="B39" s="69">
        <v>0</v>
      </c>
      <c r="C39" s="70">
        <v>0</v>
      </c>
      <c r="D39" s="70">
        <v>0</v>
      </c>
      <c r="E39" s="70">
        <v>0</v>
      </c>
      <c r="F39" s="70">
        <v>0</v>
      </c>
      <c r="G39" s="70">
        <v>131268.19</v>
      </c>
      <c r="H39" s="70">
        <v>256958.42</v>
      </c>
      <c r="I39" s="70">
        <v>259475.03</v>
      </c>
      <c r="J39" s="70">
        <v>285082.46999999997</v>
      </c>
      <c r="K39" s="70">
        <v>250150.11</v>
      </c>
      <c r="L39" s="70">
        <v>230623.71</v>
      </c>
      <c r="M39" s="70">
        <v>216819.48</v>
      </c>
      <c r="N39" s="70">
        <v>214621.26</v>
      </c>
      <c r="O39" s="70">
        <v>172271.18</v>
      </c>
      <c r="P39" s="70">
        <v>122366.39999999999</v>
      </c>
      <c r="Q39" s="70">
        <v>135610.26999999999</v>
      </c>
      <c r="R39" s="70">
        <v>137927.78</v>
      </c>
      <c r="S39" s="70">
        <v>164689.71</v>
      </c>
      <c r="T39" s="70">
        <v>155769.62</v>
      </c>
      <c r="U39" s="70">
        <v>172638.5</v>
      </c>
      <c r="V39" s="70">
        <v>164503.65</v>
      </c>
      <c r="W39" s="79">
        <v>156843.72</v>
      </c>
      <c r="X39" s="79">
        <v>149437.10999999999</v>
      </c>
      <c r="Y39" s="79">
        <v>137029.09</v>
      </c>
      <c r="Z39" s="79">
        <v>155747.07999999999</v>
      </c>
      <c r="AA39" s="79">
        <v>262877.71999999997</v>
      </c>
      <c r="AB39" s="79">
        <v>405202.34</v>
      </c>
      <c r="AC39" s="79">
        <v>385569.73</v>
      </c>
      <c r="AD39" s="79">
        <v>440885.67</v>
      </c>
      <c r="AE39" s="79">
        <v>487898.42</v>
      </c>
      <c r="AF39" s="79">
        <v>425781.68</v>
      </c>
      <c r="AG39" s="79">
        <v>502465.32</v>
      </c>
      <c r="AH39" s="79">
        <v>471908.19</v>
      </c>
      <c r="AI39" s="79">
        <v>465947.44</v>
      </c>
      <c r="AJ39" s="79">
        <v>437873.32000000007</v>
      </c>
      <c r="AK39" s="79">
        <v>426409.44</v>
      </c>
      <c r="AL39" s="79">
        <v>358135.90000000008</v>
      </c>
      <c r="AM39" s="79">
        <v>168230.86999999997</v>
      </c>
      <c r="AN39" s="79">
        <v>68225.86</v>
      </c>
      <c r="AO39" s="79">
        <v>67928.39</v>
      </c>
      <c r="AP39" s="79">
        <v>66282.06</v>
      </c>
      <c r="AQ39" s="79">
        <v>83488.460000000006</v>
      </c>
      <c r="AR39" s="79">
        <v>77716.079999999987</v>
      </c>
      <c r="AS39" s="79">
        <v>86055.61</v>
      </c>
      <c r="AT39" s="79">
        <v>87211.220000000016</v>
      </c>
      <c r="AU39" s="79">
        <v>82269.97</v>
      </c>
      <c r="AV39" s="79">
        <v>73061.37999999999</v>
      </c>
      <c r="AW39" s="79">
        <v>68746.049999999988</v>
      </c>
      <c r="AX39" s="79">
        <v>72752.960000000006</v>
      </c>
      <c r="AY39" s="79">
        <v>54453.23000000001</v>
      </c>
      <c r="AZ39" s="79">
        <v>-17825.060000000001</v>
      </c>
      <c r="BA39" s="79">
        <v>-16761.77</v>
      </c>
      <c r="BB39" s="79">
        <v>-17018.150000000001</v>
      </c>
      <c r="BC39" s="79">
        <v>-44586.65</v>
      </c>
      <c r="BD39" s="79">
        <v>-19130.22</v>
      </c>
      <c r="BE39" s="79">
        <v>-19704.37</v>
      </c>
      <c r="BF39" s="79">
        <v>-19984.8</v>
      </c>
      <c r="BG39" s="79">
        <v>-17603.410000000003</v>
      </c>
      <c r="BH39" s="79">
        <v>-17265.72</v>
      </c>
      <c r="BI39" s="79">
        <v>-17631.14</v>
      </c>
      <c r="BJ39" s="79">
        <v>-16124.500000000004</v>
      </c>
      <c r="BK39" s="79">
        <v>-10094.18</v>
      </c>
      <c r="BL39" s="79">
        <v>6860.800000000002</v>
      </c>
      <c r="BM39" s="79">
        <v>10238.270000000002</v>
      </c>
      <c r="BN39" s="79">
        <v>10401.640000000001</v>
      </c>
      <c r="BO39" s="79">
        <v>10038.719999999999</v>
      </c>
      <c r="BP39" s="79">
        <v>12811.36</v>
      </c>
      <c r="BQ39" s="79">
        <v>12195.849999999999</v>
      </c>
      <c r="BR39" s="79">
        <v>13187.43</v>
      </c>
      <c r="BS39" s="79">
        <v>12087.2</v>
      </c>
      <c r="BT39" s="79">
        <f>-'[1]PCR.3 (M2)'!BP11</f>
        <v>8024.5300000000007</v>
      </c>
      <c r="BU39" s="79">
        <f>-'[1]PCR.3 (M2)'!BQ11</f>
        <v>11250.999999999998</v>
      </c>
      <c r="BV39" s="397">
        <f>-'[1]PCR.3 (M2)'!BR11</f>
        <v>10483.449999999999</v>
      </c>
      <c r="BW39" s="32"/>
    </row>
    <row r="40" spans="1:75" x14ac:dyDescent="0.3">
      <c r="A40" s="177"/>
      <c r="B40" s="75"/>
      <c r="C40" s="83"/>
      <c r="D40" s="74"/>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358"/>
    </row>
    <row r="41" spans="1:75" s="139" customFormat="1" x14ac:dyDescent="0.3">
      <c r="A41" s="177" t="s">
        <v>101</v>
      </c>
      <c r="B41" s="179"/>
      <c r="C41" s="176"/>
      <c r="D41" s="78"/>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7"/>
    </row>
    <row r="42" spans="1:75" s="139" customFormat="1" x14ac:dyDescent="0.3">
      <c r="A42" s="73" t="s">
        <v>0</v>
      </c>
      <c r="B42" s="85">
        <v>0</v>
      </c>
      <c r="C42" s="89">
        <v>0</v>
      </c>
      <c r="D42" s="89">
        <v>0</v>
      </c>
      <c r="E42" s="89">
        <v>0</v>
      </c>
      <c r="F42" s="332">
        <f>+(F35-F49)+((F49*F28)/SUM(F28:F32))</f>
        <v>123961.69</v>
      </c>
      <c r="G42" s="332">
        <f t="shared" ref="G42:AO42" si="75">+(G35-G49)+((G49*G28)/SUM(G28:G32))</f>
        <v>1908168.92</v>
      </c>
      <c r="H42" s="332">
        <f t="shared" si="75"/>
        <v>2568297.87</v>
      </c>
      <c r="I42" s="332">
        <f t="shared" si="75"/>
        <v>2577448.31</v>
      </c>
      <c r="J42" s="332">
        <f t="shared" si="75"/>
        <v>2331302.52</v>
      </c>
      <c r="K42" s="332">
        <f t="shared" si="75"/>
        <v>1662285.76</v>
      </c>
      <c r="L42" s="332">
        <f t="shared" si="75"/>
        <v>1362163.19</v>
      </c>
      <c r="M42" s="332">
        <f t="shared" si="75"/>
        <v>2095736.41</v>
      </c>
      <c r="N42" s="332">
        <f t="shared" si="75"/>
        <v>2744219.77</v>
      </c>
      <c r="O42" s="332">
        <f t="shared" si="75"/>
        <v>2148829.36</v>
      </c>
      <c r="P42" s="332">
        <f t="shared" si="75"/>
        <v>1729823.68</v>
      </c>
      <c r="Q42" s="332">
        <f>+(Q35-Q49)+((Q49*Q28)/SUM(Q28:Q32))</f>
        <v>1542959.2959627607</v>
      </c>
      <c r="R42" s="332">
        <f t="shared" si="75"/>
        <v>1467714.9580142663</v>
      </c>
      <c r="S42" s="332">
        <f t="shared" si="75"/>
        <v>1967413.9822105702</v>
      </c>
      <c r="T42" s="332">
        <f t="shared" si="75"/>
        <v>2612994.7789630848</v>
      </c>
      <c r="U42" s="332">
        <f t="shared" si="75"/>
        <v>2646089.7211038787</v>
      </c>
      <c r="V42" s="332">
        <f t="shared" si="75"/>
        <v>2096010.1513462344</v>
      </c>
      <c r="W42" s="341">
        <f t="shared" si="75"/>
        <v>1842070.7869866404</v>
      </c>
      <c r="X42" s="341">
        <f t="shared" si="75"/>
        <v>1614041.116778835</v>
      </c>
      <c r="Y42" s="341">
        <f t="shared" si="75"/>
        <v>2079519.0297429101</v>
      </c>
      <c r="Z42" s="341">
        <f t="shared" si="75"/>
        <v>3239026.98142247</v>
      </c>
      <c r="AA42" s="341">
        <f t="shared" si="75"/>
        <v>2646893.2170481714</v>
      </c>
      <c r="AB42" s="341">
        <f t="shared" si="75"/>
        <v>2138348.2523197085</v>
      </c>
      <c r="AC42" s="341">
        <f t="shared" si="75"/>
        <v>2063995.4337755286</v>
      </c>
      <c r="AD42" s="341">
        <f t="shared" si="75"/>
        <v>1678517.9089296665</v>
      </c>
      <c r="AE42" s="341">
        <f t="shared" si="75"/>
        <v>2481453.0266116327</v>
      </c>
      <c r="AF42" s="341">
        <f t="shared" si="75"/>
        <v>2907489.0011336068</v>
      </c>
      <c r="AG42" s="341">
        <f t="shared" si="75"/>
        <v>2606239.1025595651</v>
      </c>
      <c r="AH42" s="341">
        <f t="shared" si="75"/>
        <v>2506845.4249663898</v>
      </c>
      <c r="AI42" s="341">
        <f t="shared" si="75"/>
        <v>1945888.9175932363</v>
      </c>
      <c r="AJ42" s="341">
        <f t="shared" si="75"/>
        <v>1811972.0636804227</v>
      </c>
      <c r="AK42" s="341">
        <f t="shared" si="75"/>
        <v>2517920.4571285886</v>
      </c>
      <c r="AL42" s="341">
        <f t="shared" si="75"/>
        <v>2416051.6025835136</v>
      </c>
      <c r="AM42" s="341">
        <f t="shared" si="75"/>
        <v>-840342.45821458718</v>
      </c>
      <c r="AN42" s="341">
        <f t="shared" si="75"/>
        <v>-760452.80024818156</v>
      </c>
      <c r="AO42" s="341">
        <f t="shared" si="75"/>
        <v>-525236.69453734742</v>
      </c>
      <c r="AP42" s="331">
        <f>+(AP35-AP49)+((AP49*AP28)/SUM(AP28:AP32))</f>
        <v>-445403.81781902345</v>
      </c>
      <c r="AQ42" s="341">
        <f t="shared" ref="AQ42:BF42" si="76">+(AQ35-AQ49)+((AQ49*AQ28)/SUM(AQ28:AQ32))</f>
        <v>-592234.59634195804</v>
      </c>
      <c r="AR42" s="341">
        <f t="shared" si="76"/>
        <v>-752023.36094235722</v>
      </c>
      <c r="AS42" s="341">
        <f t="shared" si="76"/>
        <v>-792845.08719269617</v>
      </c>
      <c r="AT42" s="341">
        <f t="shared" si="76"/>
        <v>-731603.89161578275</v>
      </c>
      <c r="AU42" s="341">
        <f t="shared" si="76"/>
        <v>-601402.36158776644</v>
      </c>
      <c r="AV42" s="341">
        <f t="shared" si="76"/>
        <v>-540906.21176605637</v>
      </c>
      <c r="AW42" s="341">
        <f t="shared" si="76"/>
        <v>-727361.98173952731</v>
      </c>
      <c r="AX42" s="341">
        <f t="shared" si="76"/>
        <v>-803066.01720981731</v>
      </c>
      <c r="AY42" s="341">
        <f t="shared" si="76"/>
        <v>-366256.3629763755</v>
      </c>
      <c r="AZ42" s="341">
        <f t="shared" si="76"/>
        <v>134057.92853744901</v>
      </c>
      <c r="BA42" s="341">
        <f t="shared" si="76"/>
        <v>109832.37670475688</v>
      </c>
      <c r="BB42" s="341">
        <f t="shared" si="76"/>
        <v>98048.019143904632</v>
      </c>
      <c r="BC42" s="341">
        <f t="shared" si="76"/>
        <v>129087.16677760563</v>
      </c>
      <c r="BD42" s="341">
        <f t="shared" si="76"/>
        <v>173466.57492429821</v>
      </c>
      <c r="BE42" s="341">
        <f t="shared" si="76"/>
        <v>162893.25206539661</v>
      </c>
      <c r="BF42" s="341">
        <f t="shared" si="76"/>
        <v>146741.00334298948</v>
      </c>
      <c r="BG42" s="341">
        <f>+(BG35-BG49)+((BG49*BG28)/SUM(BG28:BG32))</f>
        <v>99134.045844296095</v>
      </c>
      <c r="BH42" s="341">
        <f>+(BH35-BH49)+((BH49*BH28)/SUM(BH28:BH32))</f>
        <v>105936.24110750969</v>
      </c>
      <c r="BI42" s="341">
        <f t="shared" ref="BI42:BS42" si="77">+(BI35-BI49)+((BI49*BI28)/SUM(BI28:BI32))</f>
        <v>140596.42689890595</v>
      </c>
      <c r="BJ42" s="341">
        <f t="shared" si="77"/>
        <v>182924.89750869281</v>
      </c>
      <c r="BK42" s="341">
        <f t="shared" si="77"/>
        <v>57528.322105296851</v>
      </c>
      <c r="BL42" s="341">
        <f>+(BL35-BL49)+((BL49*BL28)/SUM(BL28:BL32))</f>
        <v>-66725.495392630401</v>
      </c>
      <c r="BM42" s="341">
        <f t="shared" si="77"/>
        <v>-45148.11737840149</v>
      </c>
      <c r="BN42" s="341">
        <f t="shared" si="77"/>
        <v>-42390.199241787457</v>
      </c>
      <c r="BO42" s="341">
        <f t="shared" si="77"/>
        <v>-55367.348373150453</v>
      </c>
      <c r="BP42" s="341">
        <f t="shared" si="77"/>
        <v>-73116.489432265997</v>
      </c>
      <c r="BQ42" s="341">
        <f t="shared" si="77"/>
        <v>-74577.772779461986</v>
      </c>
      <c r="BR42" s="341">
        <f t="shared" si="77"/>
        <v>-73275.527239998002</v>
      </c>
      <c r="BS42" s="341">
        <f t="shared" si="77"/>
        <v>-50840.761085482394</v>
      </c>
      <c r="BT42" s="341">
        <f>+(BT35-BT49)+((BT49*BT28)/SUM(BT28:BT32))</f>
        <v>-48706.81519593273</v>
      </c>
      <c r="BU42" s="341">
        <f t="shared" ref="BU42:BV42" si="78">+(BU35-BU49)+((BU49*BU28)/SUM(BU28:BU32))</f>
        <v>-60013.843670178409</v>
      </c>
      <c r="BV42" s="334">
        <f t="shared" si="78"/>
        <v>-77590.548591818369</v>
      </c>
    </row>
    <row r="43" spans="1:75" s="139" customFormat="1" x14ac:dyDescent="0.3">
      <c r="A43" s="73" t="s">
        <v>4</v>
      </c>
      <c r="B43" s="85">
        <v>0</v>
      </c>
      <c r="C43" s="89">
        <v>0</v>
      </c>
      <c r="D43" s="89">
        <v>0</v>
      </c>
      <c r="E43" s="89">
        <v>0</v>
      </c>
      <c r="F43" s="332">
        <f t="shared" ref="F43:AO43" si="79">+F36+((F49*F29)/SUM(F28:F32))</f>
        <v>30867.47</v>
      </c>
      <c r="G43" s="332">
        <f t="shared" si="79"/>
        <v>447208.24</v>
      </c>
      <c r="H43" s="332">
        <f t="shared" si="79"/>
        <v>531350.03</v>
      </c>
      <c r="I43" s="332">
        <f t="shared" si="79"/>
        <v>530492.54</v>
      </c>
      <c r="J43" s="332">
        <f t="shared" si="79"/>
        <v>510350.03</v>
      </c>
      <c r="K43" s="332">
        <f t="shared" si="79"/>
        <v>434079.23</v>
      </c>
      <c r="L43" s="332">
        <f t="shared" si="79"/>
        <v>385472.34</v>
      </c>
      <c r="M43" s="332">
        <f t="shared" si="79"/>
        <v>447361.18</v>
      </c>
      <c r="N43" s="332">
        <f t="shared" si="79"/>
        <v>521889.23</v>
      </c>
      <c r="O43" s="332">
        <f t="shared" si="79"/>
        <v>291041.78999999998</v>
      </c>
      <c r="P43" s="332">
        <f t="shared" si="79"/>
        <v>258475.06</v>
      </c>
      <c r="Q43" s="332">
        <f t="shared" si="79"/>
        <v>238580.89656436301</v>
      </c>
      <c r="R43" s="332">
        <f t="shared" si="79"/>
        <v>236908.68860237021</v>
      </c>
      <c r="S43" s="332">
        <f t="shared" si="79"/>
        <v>281684.86923543748</v>
      </c>
      <c r="T43" s="332">
        <f t="shared" si="79"/>
        <v>325806.28779888491</v>
      </c>
      <c r="U43" s="332">
        <f t="shared" si="79"/>
        <v>328901.24699115119</v>
      </c>
      <c r="V43" s="332">
        <f t="shared" si="79"/>
        <v>294534.16870904219</v>
      </c>
      <c r="W43" s="341">
        <f t="shared" si="79"/>
        <v>279016.7878351477</v>
      </c>
      <c r="X43" s="341">
        <f t="shared" si="79"/>
        <v>248537.6672235693</v>
      </c>
      <c r="Y43" s="341">
        <f t="shared" si="79"/>
        <v>273172.02169193182</v>
      </c>
      <c r="Z43" s="341">
        <f t="shared" si="79"/>
        <v>418503.40205587441</v>
      </c>
      <c r="AA43" s="341">
        <f t="shared" si="79"/>
        <v>939265.57815120718</v>
      </c>
      <c r="AB43" s="341">
        <f t="shared" si="79"/>
        <v>823668.03058510681</v>
      </c>
      <c r="AC43" s="341">
        <f t="shared" si="79"/>
        <v>812029.143212697</v>
      </c>
      <c r="AD43" s="341">
        <f t="shared" si="79"/>
        <v>737268.61564350454</v>
      </c>
      <c r="AE43" s="341">
        <f t="shared" si="79"/>
        <v>928465.94272115955</v>
      </c>
      <c r="AF43" s="341">
        <f t="shared" si="79"/>
        <v>1023986.4912700702</v>
      </c>
      <c r="AG43" s="341">
        <f t="shared" si="79"/>
        <v>957214.50833142863</v>
      </c>
      <c r="AH43" s="341">
        <f t="shared" si="79"/>
        <v>940779.70544520102</v>
      </c>
      <c r="AI43" s="341">
        <f t="shared" si="79"/>
        <v>828960.02496288507</v>
      </c>
      <c r="AJ43" s="341">
        <f t="shared" si="79"/>
        <v>745271.73480178823</v>
      </c>
      <c r="AK43" s="341">
        <f t="shared" si="79"/>
        <v>899032.48082138749</v>
      </c>
      <c r="AL43" s="341">
        <f t="shared" si="79"/>
        <v>882991.97699811496</v>
      </c>
      <c r="AM43" s="341">
        <f t="shared" si="79"/>
        <v>182647.81823139294</v>
      </c>
      <c r="AN43" s="341">
        <f t="shared" si="79"/>
        <v>171847.66377549444</v>
      </c>
      <c r="AO43" s="341">
        <f t="shared" si="79"/>
        <v>138104.4862517938</v>
      </c>
      <c r="AP43" s="332">
        <f>+AP36+((AP49*AP29)/SUM(AP28:AP32))</f>
        <v>130532.32913276774</v>
      </c>
      <c r="AQ43" s="341">
        <f t="shared" ref="AQ43:BG43" si="80">+AQ36+((AQ49*AQ29)/SUM(AQ28:AQ32))</f>
        <v>151973.42041455797</v>
      </c>
      <c r="AR43" s="341">
        <f t="shared" si="80"/>
        <v>174213.55054472861</v>
      </c>
      <c r="AS43" s="341">
        <f t="shared" si="80"/>
        <v>178759.44859990143</v>
      </c>
      <c r="AT43" s="341">
        <f t="shared" si="80"/>
        <v>172361.76903495911</v>
      </c>
      <c r="AU43" s="341">
        <f t="shared" si="80"/>
        <v>155995.06303836356</v>
      </c>
      <c r="AV43" s="341">
        <f t="shared" si="80"/>
        <v>139749.50841260041</v>
      </c>
      <c r="AW43" s="341">
        <f t="shared" si="80"/>
        <v>164468.02541871092</v>
      </c>
      <c r="AX43" s="341">
        <f t="shared" si="80"/>
        <v>175465.63909412132</v>
      </c>
      <c r="AY43" s="341">
        <f t="shared" si="80"/>
        <v>111245.46100449665</v>
      </c>
      <c r="AZ43" s="341">
        <f t="shared" si="80"/>
        <v>29818.098774044785</v>
      </c>
      <c r="BA43" s="341">
        <f t="shared" si="80"/>
        <v>22329.496568605824</v>
      </c>
      <c r="BB43" s="341">
        <f t="shared" si="80"/>
        <v>20315.704087289836</v>
      </c>
      <c r="BC43" s="341">
        <f t="shared" si="80"/>
        <v>25443.056364248776</v>
      </c>
      <c r="BD43" s="341">
        <f t="shared" si="80"/>
        <v>31758.874419861801</v>
      </c>
      <c r="BE43" s="341">
        <f t="shared" si="80"/>
        <v>31614.756790257645</v>
      </c>
      <c r="BF43" s="341">
        <f t="shared" si="80"/>
        <v>29696.55477417678</v>
      </c>
      <c r="BG43" s="341">
        <f t="shared" si="80"/>
        <v>24123.445299758911</v>
      </c>
      <c r="BH43" s="341">
        <f t="shared" ref="BH43:BS43" si="81">+BH36+((BH49*BH29)/SUM(BH28:BH32))</f>
        <v>24030.107603946821</v>
      </c>
      <c r="BI43" s="341">
        <f t="shared" si="81"/>
        <v>27664.539676448057</v>
      </c>
      <c r="BJ43" s="341">
        <f t="shared" si="81"/>
        <v>32899.072508836245</v>
      </c>
      <c r="BK43" s="341">
        <f t="shared" si="81"/>
        <v>36902.258640173721</v>
      </c>
      <c r="BL43" s="341">
        <f t="shared" si="81"/>
        <v>35990.191505321585</v>
      </c>
      <c r="BM43" s="341">
        <f t="shared" si="81"/>
        <v>28566.716621622189</v>
      </c>
      <c r="BN43" s="341">
        <f t="shared" si="81"/>
        <v>27704.370456793724</v>
      </c>
      <c r="BO43" s="341">
        <f t="shared" si="81"/>
        <v>33234.527737282842</v>
      </c>
      <c r="BP43" s="341">
        <f t="shared" si="81"/>
        <v>39590.353731154479</v>
      </c>
      <c r="BQ43" s="341">
        <f t="shared" si="81"/>
        <v>39446.535862405392</v>
      </c>
      <c r="BR43" s="341">
        <f t="shared" si="81"/>
        <v>39847.041928318373</v>
      </c>
      <c r="BS43" s="341">
        <f t="shared" si="81"/>
        <v>33202.631352159733</v>
      </c>
      <c r="BT43" s="341">
        <f t="shared" ref="BT43:BV43" si="82">+BT36+((BT49*BT29)/SUM(BT28:BT32))</f>
        <v>29750.468413859413</v>
      </c>
      <c r="BU43" s="341">
        <f t="shared" si="82"/>
        <v>33918.336411589655</v>
      </c>
      <c r="BV43" s="334">
        <f t="shared" si="82"/>
        <v>40133.265336069649</v>
      </c>
    </row>
    <row r="44" spans="1:75" s="139" customFormat="1" x14ac:dyDescent="0.3">
      <c r="A44" s="73" t="s">
        <v>5</v>
      </c>
      <c r="B44" s="85">
        <v>0</v>
      </c>
      <c r="C44" s="89">
        <v>0</v>
      </c>
      <c r="D44" s="89">
        <v>0</v>
      </c>
      <c r="E44" s="89">
        <v>0</v>
      </c>
      <c r="F44" s="332">
        <f t="shared" ref="F44:AO44" si="83">+F37+((F49*F30)/SUM(F28:F32))</f>
        <v>64202.879999999997</v>
      </c>
      <c r="G44" s="332">
        <f t="shared" si="83"/>
        <v>1059813.77</v>
      </c>
      <c r="H44" s="332">
        <f t="shared" si="83"/>
        <v>1203922.71</v>
      </c>
      <c r="I44" s="332">
        <f t="shared" si="83"/>
        <v>1206399.46</v>
      </c>
      <c r="J44" s="332">
        <f t="shared" si="83"/>
        <v>1211503.1299999999</v>
      </c>
      <c r="K44" s="332">
        <f t="shared" si="83"/>
        <v>1066102.3899999999</v>
      </c>
      <c r="L44" s="332">
        <f t="shared" si="83"/>
        <v>972108.05</v>
      </c>
      <c r="M44" s="332">
        <f t="shared" si="83"/>
        <v>1010681.81</v>
      </c>
      <c r="N44" s="332">
        <f t="shared" si="83"/>
        <v>1097512.96</v>
      </c>
      <c r="O44" s="332">
        <f t="shared" si="83"/>
        <v>657802.05000000005</v>
      </c>
      <c r="P44" s="332">
        <f t="shared" si="83"/>
        <v>617850.03</v>
      </c>
      <c r="Q44" s="332">
        <f t="shared" si="83"/>
        <v>592782.5184259594</v>
      </c>
      <c r="R44" s="332">
        <f t="shared" si="83"/>
        <v>611215.75535676151</v>
      </c>
      <c r="S44" s="332">
        <f t="shared" si="83"/>
        <v>693296.10259625607</v>
      </c>
      <c r="T44" s="332">
        <f t="shared" si="83"/>
        <v>753336.13128581841</v>
      </c>
      <c r="U44" s="332">
        <f t="shared" si="83"/>
        <v>767332.41044117243</v>
      </c>
      <c r="V44" s="332">
        <f t="shared" si="83"/>
        <v>724209.03542700945</v>
      </c>
      <c r="W44" s="341">
        <f t="shared" si="83"/>
        <v>695831.67405892664</v>
      </c>
      <c r="X44" s="341">
        <f t="shared" si="83"/>
        <v>622445.62502141483</v>
      </c>
      <c r="Y44" s="341">
        <f t="shared" si="83"/>
        <v>646864.54135216621</v>
      </c>
      <c r="Z44" s="341">
        <f t="shared" si="83"/>
        <v>847819.34949529869</v>
      </c>
      <c r="AA44" s="341">
        <f t="shared" si="83"/>
        <v>1960368.308972446</v>
      </c>
      <c r="AB44" s="341">
        <f t="shared" si="83"/>
        <v>1833422.411026767</v>
      </c>
      <c r="AC44" s="341">
        <f t="shared" si="83"/>
        <v>1850486.7434389147</v>
      </c>
      <c r="AD44" s="341">
        <f t="shared" si="83"/>
        <v>1840363.6537720053</v>
      </c>
      <c r="AE44" s="341">
        <f t="shared" si="83"/>
        <v>2195094.8212356572</v>
      </c>
      <c r="AF44" s="341">
        <f t="shared" si="83"/>
        <v>2330052.5083433064</v>
      </c>
      <c r="AG44" s="341">
        <f t="shared" si="83"/>
        <v>2206119.1673175874</v>
      </c>
      <c r="AH44" s="341">
        <f t="shared" si="83"/>
        <v>2245134.577658046</v>
      </c>
      <c r="AI44" s="341">
        <f t="shared" si="83"/>
        <v>2039591.6762273815</v>
      </c>
      <c r="AJ44" s="341">
        <f t="shared" si="83"/>
        <v>1810719.1081752481</v>
      </c>
      <c r="AK44" s="341">
        <f t="shared" si="83"/>
        <v>1968417.488338185</v>
      </c>
      <c r="AL44" s="341">
        <f t="shared" si="83"/>
        <v>1884832.5780914237</v>
      </c>
      <c r="AM44" s="341">
        <f t="shared" si="83"/>
        <v>379574.68666353897</v>
      </c>
      <c r="AN44" s="341">
        <f t="shared" si="83"/>
        <v>339591.3126053022</v>
      </c>
      <c r="AO44" s="341">
        <f t="shared" si="83"/>
        <v>305501.6732467846</v>
      </c>
      <c r="AP44" s="332">
        <f>+AP37+((AP49*AP30)/SUM(AP28:AP32))</f>
        <v>324999.29376347183</v>
      </c>
      <c r="AQ44" s="341">
        <f t="shared" ref="AQ44:BG44" si="84">+AQ37+((AQ49*AQ30)/SUM(AQ28:AQ32))</f>
        <v>358998.59976499662</v>
      </c>
      <c r="AR44" s="341">
        <f t="shared" si="84"/>
        <v>389274.91801132681</v>
      </c>
      <c r="AS44" s="341">
        <f t="shared" si="84"/>
        <v>397679.80400328239</v>
      </c>
      <c r="AT44" s="341">
        <f t="shared" si="84"/>
        <v>401536.53532027267</v>
      </c>
      <c r="AU44" s="341">
        <f t="shared" si="84"/>
        <v>367466.9495367682</v>
      </c>
      <c r="AV44" s="341">
        <f t="shared" si="84"/>
        <v>325654.89698371512</v>
      </c>
      <c r="AW44" s="341">
        <f t="shared" si="84"/>
        <v>354867.37702631531</v>
      </c>
      <c r="AX44" s="341">
        <f t="shared" si="84"/>
        <v>367233.6450433837</v>
      </c>
      <c r="AY44" s="341">
        <f t="shared" si="84"/>
        <v>219545.17218731955</v>
      </c>
      <c r="AZ44" s="341">
        <f t="shared" si="84"/>
        <v>26359.403383445489</v>
      </c>
      <c r="BA44" s="341">
        <f t="shared" si="84"/>
        <v>19844.982871454617</v>
      </c>
      <c r="BB44" s="341">
        <f t="shared" si="84"/>
        <v>18097.328812655531</v>
      </c>
      <c r="BC44" s="341">
        <f t="shared" si="84"/>
        <v>22108.356266418137</v>
      </c>
      <c r="BD44" s="341">
        <f t="shared" si="84"/>
        <v>25777.766972011494</v>
      </c>
      <c r="BE44" s="341">
        <f t="shared" si="84"/>
        <v>25194.987979553254</v>
      </c>
      <c r="BF44" s="341">
        <f t="shared" si="84"/>
        <v>25675.23995528771</v>
      </c>
      <c r="BG44" s="341">
        <f t="shared" si="84"/>
        <v>21904.08331229445</v>
      </c>
      <c r="BH44" s="341">
        <f t="shared" ref="BH44:BS44" si="85">+BH37+((BH49*BH30)/SUM(BH28:BH32))</f>
        <v>21190.916642323256</v>
      </c>
      <c r="BI44" s="341">
        <f t="shared" si="85"/>
        <v>22637.546177441076</v>
      </c>
      <c r="BJ44" s="341">
        <f t="shared" si="85"/>
        <v>24090.305222439751</v>
      </c>
      <c r="BK44" s="341">
        <f t="shared" si="85"/>
        <v>45553.416073120643</v>
      </c>
      <c r="BL44" s="341">
        <f t="shared" si="85"/>
        <v>68431.393973410217</v>
      </c>
      <c r="BM44" s="341">
        <f t="shared" si="85"/>
        <v>60820.175802191065</v>
      </c>
      <c r="BN44" s="341">
        <f t="shared" si="85"/>
        <v>61906.624729190182</v>
      </c>
      <c r="BO44" s="341">
        <f t="shared" si="85"/>
        <v>68761.48377730223</v>
      </c>
      <c r="BP44" s="341">
        <f t="shared" si="85"/>
        <v>80588.919107195601</v>
      </c>
      <c r="BQ44" s="341">
        <f t="shared" si="85"/>
        <v>79863.471224096022</v>
      </c>
      <c r="BR44" s="341">
        <f t="shared" si="85"/>
        <v>81391.771892808145</v>
      </c>
      <c r="BS44" s="341">
        <f t="shared" si="85"/>
        <v>71501.458559840496</v>
      </c>
      <c r="BT44" s="341">
        <f t="shared" ref="BT44:BV44" si="86">+BT37+((BT49*BT30)/SUM(BT28:BT32))</f>
        <v>63667.793669926185</v>
      </c>
      <c r="BU44" s="341">
        <f t="shared" si="86"/>
        <v>69668.872130924254</v>
      </c>
      <c r="BV44" s="334">
        <f t="shared" si="86"/>
        <v>74606.804614822046</v>
      </c>
    </row>
    <row r="45" spans="1:75" s="139" customFormat="1" x14ac:dyDescent="0.3">
      <c r="A45" s="73" t="s">
        <v>6</v>
      </c>
      <c r="B45" s="85">
        <v>0</v>
      </c>
      <c r="C45" s="89">
        <v>0</v>
      </c>
      <c r="D45" s="89">
        <v>0</v>
      </c>
      <c r="E45" s="89">
        <v>0</v>
      </c>
      <c r="F45" s="332">
        <f t="shared" ref="F45:AO45" si="87">+F38+((F49*F31)/SUM(F28:F32))</f>
        <v>42324.55</v>
      </c>
      <c r="G45" s="332">
        <f t="shared" si="87"/>
        <v>402228.87</v>
      </c>
      <c r="H45" s="332">
        <f t="shared" si="87"/>
        <v>504543.46</v>
      </c>
      <c r="I45" s="332">
        <f t="shared" si="87"/>
        <v>492134.64</v>
      </c>
      <c r="J45" s="332">
        <f t="shared" si="87"/>
        <v>534160.06000000006</v>
      </c>
      <c r="K45" s="332">
        <f t="shared" si="87"/>
        <v>453189.31</v>
      </c>
      <c r="L45" s="332">
        <f t="shared" si="87"/>
        <v>435008.89</v>
      </c>
      <c r="M45" s="332">
        <f t="shared" si="87"/>
        <v>436137.77</v>
      </c>
      <c r="N45" s="332">
        <f t="shared" si="87"/>
        <v>457765.57</v>
      </c>
      <c r="O45" s="332">
        <f t="shared" si="87"/>
        <v>318136.18</v>
      </c>
      <c r="P45" s="332">
        <f t="shared" si="87"/>
        <v>262787.62</v>
      </c>
      <c r="Q45" s="332">
        <f t="shared" si="87"/>
        <v>275937.27016572928</v>
      </c>
      <c r="R45" s="332">
        <f t="shared" si="87"/>
        <v>280531.58615343698</v>
      </c>
      <c r="S45" s="332">
        <f t="shared" si="87"/>
        <v>322475.40145743353</v>
      </c>
      <c r="T45" s="332">
        <f t="shared" si="87"/>
        <v>315172.40756461135</v>
      </c>
      <c r="U45" s="332">
        <f t="shared" si="87"/>
        <v>332462.53501537174</v>
      </c>
      <c r="V45" s="332">
        <f t="shared" si="87"/>
        <v>320264.42755713587</v>
      </c>
      <c r="W45" s="341">
        <f t="shared" si="87"/>
        <v>313667.92322329141</v>
      </c>
      <c r="X45" s="341">
        <f t="shared" si="87"/>
        <v>281420.44073626894</v>
      </c>
      <c r="Y45" s="341">
        <f t="shared" si="87"/>
        <v>293541.08649545751</v>
      </c>
      <c r="Z45" s="341">
        <f t="shared" si="87"/>
        <v>382709.39180768747</v>
      </c>
      <c r="AA45" s="341">
        <f t="shared" si="87"/>
        <v>788064.85641359643</v>
      </c>
      <c r="AB45" s="341">
        <f t="shared" si="87"/>
        <v>852350.89769340493</v>
      </c>
      <c r="AC45" s="341">
        <f t="shared" si="87"/>
        <v>788591.93706229911</v>
      </c>
      <c r="AD45" s="341">
        <f t="shared" si="87"/>
        <v>909205.04773911636</v>
      </c>
      <c r="AE45" s="341">
        <f t="shared" si="87"/>
        <v>986286.82000750164</v>
      </c>
      <c r="AF45" s="341">
        <f t="shared" si="87"/>
        <v>1020958.6813617314</v>
      </c>
      <c r="AG45" s="341">
        <f t="shared" si="87"/>
        <v>1003988.5776996703</v>
      </c>
      <c r="AH45" s="341">
        <f t="shared" si="87"/>
        <v>977300.41486671055</v>
      </c>
      <c r="AI45" s="341">
        <f t="shared" si="87"/>
        <v>916321.96791573789</v>
      </c>
      <c r="AJ45" s="341">
        <f t="shared" si="87"/>
        <v>851178.58093933377</v>
      </c>
      <c r="AK45" s="341">
        <f t="shared" si="87"/>
        <v>913570.16108719073</v>
      </c>
      <c r="AL45" s="341">
        <f t="shared" si="87"/>
        <v>742788.42915070336</v>
      </c>
      <c r="AM45" s="341">
        <f t="shared" si="87"/>
        <v>219782.82784666232</v>
      </c>
      <c r="AN45" s="341">
        <f t="shared" si="87"/>
        <v>143215.8237280848</v>
      </c>
      <c r="AO45" s="341">
        <f t="shared" si="87"/>
        <v>137672.97575573713</v>
      </c>
      <c r="AP45" s="332">
        <f>+AP38+((AP49*AP31)/SUM(AP28:AP32))</f>
        <v>138945.83348605473</v>
      </c>
      <c r="AQ45" s="341">
        <f t="shared" ref="AQ45:BG45" si="88">+AQ38+((AQ49*AQ31)/SUM(AQ28:AQ32))</f>
        <v>161357.72363273628</v>
      </c>
      <c r="AR45" s="341">
        <f t="shared" si="88"/>
        <v>162293.54328912878</v>
      </c>
      <c r="AS45" s="341">
        <f t="shared" si="88"/>
        <v>170421.10611217987</v>
      </c>
      <c r="AT45" s="341">
        <f t="shared" si="88"/>
        <v>169265.4224965341</v>
      </c>
      <c r="AU45" s="341">
        <f t="shared" si="88"/>
        <v>156780.46384399792</v>
      </c>
      <c r="AV45" s="341">
        <f t="shared" si="88"/>
        <v>145399.58163636725</v>
      </c>
      <c r="AW45" s="341">
        <f t="shared" si="88"/>
        <v>146752.7816810658</v>
      </c>
      <c r="AX45" s="341">
        <f t="shared" si="88"/>
        <v>151046.0146517393</v>
      </c>
      <c r="AY45" s="341">
        <f t="shared" si="88"/>
        <v>98700.693962159043</v>
      </c>
      <c r="AZ45" s="341">
        <f t="shared" si="88"/>
        <v>-787.26326058203335</v>
      </c>
      <c r="BA45" s="341">
        <f t="shared" si="88"/>
        <v>-1762.708526746459</v>
      </c>
      <c r="BB45" s="341">
        <f t="shared" si="88"/>
        <v>-1617.6034027898229</v>
      </c>
      <c r="BC45" s="341">
        <f t="shared" si="88"/>
        <v>-1846.25137436865</v>
      </c>
      <c r="BD45" s="341">
        <f t="shared" si="88"/>
        <v>-1957.5227738979661</v>
      </c>
      <c r="BE45" s="341">
        <f t="shared" si="88"/>
        <v>-2031.2362645530507</v>
      </c>
      <c r="BF45" s="341">
        <f t="shared" si="88"/>
        <v>-2001.1702408850854</v>
      </c>
      <c r="BG45" s="341">
        <f t="shared" si="88"/>
        <v>-1783.3452017599834</v>
      </c>
      <c r="BH45" s="341">
        <f t="shared" ref="BH45:BS45" si="89">+BH38+((BH49*BH31)/SUM(BH28:BH32))</f>
        <v>-1828.6775159495423</v>
      </c>
      <c r="BI45" s="341">
        <f t="shared" si="89"/>
        <v>-1984.4834480883253</v>
      </c>
      <c r="BJ45" s="341">
        <f t="shared" si="89"/>
        <v>-2017.5677165595262</v>
      </c>
      <c r="BK45" s="341">
        <f t="shared" si="89"/>
        <v>10198.367699530641</v>
      </c>
      <c r="BL45" s="341">
        <f t="shared" si="89"/>
        <v>24987.047043176914</v>
      </c>
      <c r="BM45" s="341">
        <f t="shared" si="89"/>
        <v>25108.881087936174</v>
      </c>
      <c r="BN45" s="341">
        <f t="shared" si="89"/>
        <v>26037.161705888375</v>
      </c>
      <c r="BO45" s="341">
        <f t="shared" si="89"/>
        <v>24986.081811327043</v>
      </c>
      <c r="BP45" s="341">
        <f t="shared" si="89"/>
        <v>33469.926058335623</v>
      </c>
      <c r="BQ45" s="341">
        <f t="shared" si="89"/>
        <v>30734.103988627525</v>
      </c>
      <c r="BR45" s="341">
        <f t="shared" si="89"/>
        <v>31122.172671889883</v>
      </c>
      <c r="BS45" s="341">
        <f t="shared" si="89"/>
        <v>26856.396418750348</v>
      </c>
      <c r="BT45" s="341">
        <f t="shared" ref="BT45:BV45" si="90">+BT38+((BT49*BT31)/SUM(BT28:BT32))</f>
        <v>23480.759812504064</v>
      </c>
      <c r="BU45" s="341">
        <f t="shared" si="90"/>
        <v>30904.74175644253</v>
      </c>
      <c r="BV45" s="334">
        <f t="shared" si="90"/>
        <v>29895.012517307765</v>
      </c>
    </row>
    <row r="46" spans="1:75" s="139" customFormat="1" x14ac:dyDescent="0.3">
      <c r="A46" s="73" t="s">
        <v>7</v>
      </c>
      <c r="B46" s="85">
        <v>0</v>
      </c>
      <c r="C46" s="89">
        <v>0</v>
      </c>
      <c r="D46" s="89">
        <v>0</v>
      </c>
      <c r="E46" s="89">
        <v>0</v>
      </c>
      <c r="F46" s="332">
        <f t="shared" ref="F46:AO46" si="91">+F39+((F49*F32)/SUM(F28:F32))</f>
        <v>0</v>
      </c>
      <c r="G46" s="332">
        <f t="shared" si="91"/>
        <v>131268.19</v>
      </c>
      <c r="H46" s="332">
        <f t="shared" si="91"/>
        <v>256958.42</v>
      </c>
      <c r="I46" s="332">
        <f t="shared" si="91"/>
        <v>259475.03</v>
      </c>
      <c r="J46" s="332">
        <f t="shared" si="91"/>
        <v>285082.46999999997</v>
      </c>
      <c r="K46" s="332">
        <f t="shared" si="91"/>
        <v>250150.11</v>
      </c>
      <c r="L46" s="332">
        <f t="shared" si="91"/>
        <v>230623.71</v>
      </c>
      <c r="M46" s="332">
        <f t="shared" si="91"/>
        <v>216819.48</v>
      </c>
      <c r="N46" s="332">
        <f t="shared" si="91"/>
        <v>214621.26</v>
      </c>
      <c r="O46" s="332">
        <f t="shared" si="91"/>
        <v>172271.18</v>
      </c>
      <c r="P46" s="332">
        <f t="shared" si="91"/>
        <v>122366.39999999999</v>
      </c>
      <c r="Q46" s="332">
        <f t="shared" si="91"/>
        <v>132199.67888118775</v>
      </c>
      <c r="R46" s="332">
        <f t="shared" si="91"/>
        <v>134962.14187316503</v>
      </c>
      <c r="S46" s="332">
        <f t="shared" si="91"/>
        <v>161190.59450030277</v>
      </c>
      <c r="T46" s="332">
        <f t="shared" si="91"/>
        <v>152102.97438760038</v>
      </c>
      <c r="U46" s="332">
        <f t="shared" si="91"/>
        <v>168558.11644842589</v>
      </c>
      <c r="V46" s="332">
        <f t="shared" si="91"/>
        <v>160811.6869605782</v>
      </c>
      <c r="W46" s="341">
        <f t="shared" si="91"/>
        <v>153423.39789599384</v>
      </c>
      <c r="X46" s="341">
        <f t="shared" si="91"/>
        <v>145558.93023991201</v>
      </c>
      <c r="Y46" s="341">
        <f t="shared" si="91"/>
        <v>132913.14071753339</v>
      </c>
      <c r="Z46" s="341">
        <f t="shared" si="91"/>
        <v>150690.38521866937</v>
      </c>
      <c r="AA46" s="341">
        <f t="shared" si="91"/>
        <v>258108.80941457886</v>
      </c>
      <c r="AB46" s="341">
        <f t="shared" si="91"/>
        <v>400618.56837501249</v>
      </c>
      <c r="AC46" s="341">
        <f t="shared" si="91"/>
        <v>381348.57251056039</v>
      </c>
      <c r="AD46" s="341">
        <f t="shared" si="91"/>
        <v>437300.6539157072</v>
      </c>
      <c r="AE46" s="341">
        <f t="shared" si="91"/>
        <v>484074.01942404959</v>
      </c>
      <c r="AF46" s="341">
        <f t="shared" si="91"/>
        <v>421641.22789128474</v>
      </c>
      <c r="AG46" s="341">
        <f t="shared" si="91"/>
        <v>498426.76409174869</v>
      </c>
      <c r="AH46" s="341">
        <f t="shared" si="91"/>
        <v>468217.90706365282</v>
      </c>
      <c r="AI46" s="341">
        <f t="shared" si="91"/>
        <v>462212.62330075935</v>
      </c>
      <c r="AJ46" s="341">
        <f t="shared" si="91"/>
        <v>433571.30240320734</v>
      </c>
      <c r="AK46" s="341">
        <f t="shared" si="91"/>
        <v>421429.7626246484</v>
      </c>
      <c r="AL46" s="341">
        <f t="shared" si="91"/>
        <v>354696.98317624326</v>
      </c>
      <c r="AM46" s="341">
        <f t="shared" si="91"/>
        <v>169422.13547299316</v>
      </c>
      <c r="AN46" s="341">
        <f t="shared" si="91"/>
        <v>69435.990139300295</v>
      </c>
      <c r="AO46" s="341">
        <f t="shared" si="91"/>
        <v>68919.759283031846</v>
      </c>
      <c r="AP46" s="332">
        <f>+AP39+((AP49*AP32)/SUM(AP28:AP32))</f>
        <v>67069.051436729205</v>
      </c>
      <c r="AQ46" s="341">
        <f t="shared" ref="AQ46:BG46" si="92">+AQ39+((AQ49*AQ32)/SUM(AQ28:AQ32))</f>
        <v>84437.942529667038</v>
      </c>
      <c r="AR46" s="341">
        <f t="shared" si="92"/>
        <v>78656.049097172945</v>
      </c>
      <c r="AS46" s="341">
        <f t="shared" si="92"/>
        <v>87116.878477332328</v>
      </c>
      <c r="AT46" s="341">
        <f t="shared" si="92"/>
        <v>88230.504764016776</v>
      </c>
      <c r="AU46" s="341">
        <f t="shared" si="92"/>
        <v>83201.495168636742</v>
      </c>
      <c r="AV46" s="341">
        <f t="shared" si="92"/>
        <v>74073.444733373588</v>
      </c>
      <c r="AW46" s="341">
        <f t="shared" si="92"/>
        <v>69845.1776134354</v>
      </c>
      <c r="AX46" s="341">
        <f t="shared" si="92"/>
        <v>73950.118420573112</v>
      </c>
      <c r="AY46" s="341">
        <f t="shared" si="92"/>
        <v>55064.025822400326</v>
      </c>
      <c r="AZ46" s="341">
        <f t="shared" si="92"/>
        <v>-18020.137434357246</v>
      </c>
      <c r="BA46" s="341">
        <f t="shared" si="92"/>
        <v>-16947.22761807085</v>
      </c>
      <c r="BB46" s="341">
        <f t="shared" si="92"/>
        <v>-17187.69864106016</v>
      </c>
      <c r="BC46" s="341">
        <f t="shared" si="92"/>
        <v>-44739.108033903925</v>
      </c>
      <c r="BD46" s="341">
        <f t="shared" si="92"/>
        <v>-19310.173542273526</v>
      </c>
      <c r="BE46" s="341">
        <f t="shared" si="92"/>
        <v>-19881.250570654443</v>
      </c>
      <c r="BF46" s="341">
        <f t="shared" si="92"/>
        <v>-20151.667831568891</v>
      </c>
      <c r="BG46" s="341">
        <f t="shared" si="92"/>
        <v>-17752.209254589485</v>
      </c>
      <c r="BH46" s="341">
        <f t="shared" ref="BH46:BS46" si="93">+BH39+((BH49*BH32)/SUM(BH28:BH32))</f>
        <v>-17435.077837830235</v>
      </c>
      <c r="BI46" s="341">
        <f t="shared" si="93"/>
        <v>-17832.159304706729</v>
      </c>
      <c r="BJ46" s="341">
        <f t="shared" si="93"/>
        <v>-16323.45752340927</v>
      </c>
      <c r="BK46" s="341">
        <f t="shared" si="93"/>
        <v>-10182.454518121893</v>
      </c>
      <c r="BL46" s="341">
        <f t="shared" si="93"/>
        <v>6915.5628707216601</v>
      </c>
      <c r="BM46" s="341">
        <f t="shared" si="93"/>
        <v>10313.943866652071</v>
      </c>
      <c r="BN46" s="341">
        <f t="shared" si="93"/>
        <v>10476.102349915194</v>
      </c>
      <c r="BO46" s="341">
        <f t="shared" si="93"/>
        <v>10107.05504723834</v>
      </c>
      <c r="BP46" s="341">
        <f t="shared" si="93"/>
        <v>12899.570535580291</v>
      </c>
      <c r="BQ46" s="341">
        <f t="shared" si="93"/>
        <v>12281.751704333088</v>
      </c>
      <c r="BR46" s="341">
        <f t="shared" si="93"/>
        <v>13279.430746981576</v>
      </c>
      <c r="BS46" s="341">
        <f t="shared" si="93"/>
        <v>12163.524754731832</v>
      </c>
      <c r="BT46" s="341">
        <f t="shared" ref="BT46:BV46" si="94">+BT39+((BT49*BT32)/SUM(BT28:BT32))</f>
        <v>8094.0832996430772</v>
      </c>
      <c r="BU46" s="341">
        <f t="shared" si="94"/>
        <v>11377.853371221976</v>
      </c>
      <c r="BV46" s="334">
        <f t="shared" si="94"/>
        <v>10606.13612361893</v>
      </c>
    </row>
    <row r="47" spans="1:75" s="32" customFormat="1" x14ac:dyDescent="0.3">
      <c r="A47" s="177"/>
      <c r="B47" s="180"/>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c r="BV47" s="359"/>
    </row>
    <row r="48" spans="1:75" s="139" customFormat="1" x14ac:dyDescent="0.3">
      <c r="A48" s="177" t="s">
        <v>102</v>
      </c>
      <c r="B48" s="179"/>
      <c r="C48" s="176"/>
      <c r="D48" s="329" t="s">
        <v>86</v>
      </c>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74"/>
      <c r="BI48" s="74"/>
      <c r="BJ48" s="74"/>
      <c r="BK48" s="74"/>
      <c r="BL48" s="74"/>
      <c r="BM48" s="74"/>
      <c r="BN48" s="74"/>
      <c r="BO48" s="74"/>
      <c r="BP48" s="74"/>
      <c r="BQ48" s="74"/>
      <c r="BR48" s="74"/>
      <c r="BS48" s="74"/>
      <c r="BT48" s="74"/>
      <c r="BU48" s="74"/>
      <c r="BV48" s="77"/>
      <c r="BW48" s="32"/>
    </row>
    <row r="49" spans="1:75" s="139" customFormat="1" x14ac:dyDescent="0.3">
      <c r="A49" s="177" t="str">
        <f>A35</f>
        <v>RES</v>
      </c>
      <c r="B49" s="69">
        <v>0</v>
      </c>
      <c r="C49" s="70">
        <v>0</v>
      </c>
      <c r="D49" s="70">
        <v>0</v>
      </c>
      <c r="E49" s="70">
        <v>0</v>
      </c>
      <c r="F49" s="70">
        <v>0</v>
      </c>
      <c r="G49" s="70">
        <v>0</v>
      </c>
      <c r="H49" s="70">
        <v>0</v>
      </c>
      <c r="I49" s="70">
        <v>0</v>
      </c>
      <c r="J49" s="70">
        <v>0</v>
      </c>
      <c r="K49" s="70">
        <v>0</v>
      </c>
      <c r="L49" s="70">
        <v>0</v>
      </c>
      <c r="M49" s="70">
        <v>0</v>
      </c>
      <c r="N49" s="70">
        <v>0</v>
      </c>
      <c r="O49" s="70">
        <v>0</v>
      </c>
      <c r="P49" s="70">
        <v>0</v>
      </c>
      <c r="Q49" s="70">
        <v>-51439.089999999989</v>
      </c>
      <c r="R49" s="70">
        <v>-43497.94</v>
      </c>
      <c r="S49" s="70">
        <v>-52672.520000000004</v>
      </c>
      <c r="T49" s="70">
        <v>-68515.819999999992</v>
      </c>
      <c r="U49" s="70">
        <v>-70412.339999999982</v>
      </c>
      <c r="V49" s="70">
        <v>-58123.959999999992</v>
      </c>
      <c r="W49" s="79">
        <v>-52279.729999999974</v>
      </c>
      <c r="X49" s="79">
        <v>-54277.110000000008</v>
      </c>
      <c r="Y49" s="79">
        <v>-73395.800000000017</v>
      </c>
      <c r="Z49" s="79">
        <f>-118236.63-'OAR (M2) Final'!D36</f>
        <v>-118658.30887468031</v>
      </c>
      <c r="AA49" s="79">
        <f>-97741.56-'OAR (M2) Final'!E36</f>
        <v>-101438.60037851662</v>
      </c>
      <c r="AB49" s="79">
        <f>-81845.59-'OAR (M2) Final'!F36</f>
        <v>-84826.87</v>
      </c>
      <c r="AC49" s="79">
        <v>-80285.62</v>
      </c>
      <c r="AD49" s="79">
        <v>-54904.540000000008</v>
      </c>
      <c r="AE49" s="79">
        <v>-68515.219999999987</v>
      </c>
      <c r="AF49" s="79">
        <v>-80021.319999999992</v>
      </c>
      <c r="AG49" s="79">
        <v>-70550.76999999999</v>
      </c>
      <c r="AH49" s="79">
        <v>-67136.84</v>
      </c>
      <c r="AI49" s="79">
        <v>-58632.55999999999</v>
      </c>
      <c r="AJ49" s="79">
        <v>-66014.22</v>
      </c>
      <c r="AK49" s="79">
        <v>-95891</v>
      </c>
      <c r="AL49" s="79">
        <v>-91211.940000000017</v>
      </c>
      <c r="AM49" s="79">
        <v>33287.65</v>
      </c>
      <c r="AN49" s="79">
        <v>30460.530000000002</v>
      </c>
      <c r="AO49" s="79">
        <v>19911.22</v>
      </c>
      <c r="AP49" s="79">
        <v>14963.609999999999</v>
      </c>
      <c r="AQ49" s="79">
        <v>17463.560000000001</v>
      </c>
      <c r="AR49" s="79">
        <v>21416.949999999997</v>
      </c>
      <c r="AS49" s="79">
        <v>22810.43</v>
      </c>
      <c r="AT49" s="79">
        <v>20764.27</v>
      </c>
      <c r="AU49" s="79">
        <v>17575.28</v>
      </c>
      <c r="AV49" s="79">
        <v>19314.519999999997</v>
      </c>
      <c r="AW49" s="79">
        <v>26627.68</v>
      </c>
      <c r="AX49" s="79">
        <v>29414.23</v>
      </c>
      <c r="AY49" s="79">
        <v>14059.880000000001</v>
      </c>
      <c r="AZ49" s="79">
        <v>-5100.9799999999996</v>
      </c>
      <c r="BA49" s="79">
        <v>-3797.75</v>
      </c>
      <c r="BB49" s="79">
        <v>-3131.7799999999993</v>
      </c>
      <c r="BC49" s="79">
        <v>-3541.15</v>
      </c>
      <c r="BD49" s="79">
        <v>-4569.05</v>
      </c>
      <c r="BE49" s="79">
        <v>-4228.7</v>
      </c>
      <c r="BF49" s="79">
        <v>-3858.94</v>
      </c>
      <c r="BG49" s="79">
        <v>-2893.48</v>
      </c>
      <c r="BH49" s="79">
        <v>-3426.59</v>
      </c>
      <c r="BI49" s="79">
        <v>-4742.54</v>
      </c>
      <c r="BJ49" s="79">
        <v>-6379.5700000000006</v>
      </c>
      <c r="BK49" s="79">
        <v>-2170.9</v>
      </c>
      <c r="BL49" s="79">
        <v>2446.16</v>
      </c>
      <c r="BM49" s="79">
        <v>1597.15</v>
      </c>
      <c r="BN49" s="79">
        <v>1395.73</v>
      </c>
      <c r="BO49" s="79">
        <v>1584.7599999999998</v>
      </c>
      <c r="BP49" s="79">
        <v>2082.8000000000002</v>
      </c>
      <c r="BQ49" s="79">
        <v>2123.0100000000002</v>
      </c>
      <c r="BR49" s="79">
        <v>2105.8700000000003</v>
      </c>
      <c r="BS49" s="79">
        <v>1489.95</v>
      </c>
      <c r="BT49" s="79">
        <f>'[1]PCR.4 (M2)'!BE7</f>
        <v>1606.7199999999998</v>
      </c>
      <c r="BU49" s="79">
        <f>'[1]PCR.4 (M2)'!BF7</f>
        <v>2067.54</v>
      </c>
      <c r="BV49" s="360">
        <f>'[1]PCR.4 (M2)'!BG7</f>
        <v>2542.4900000000002</v>
      </c>
      <c r="BW49" s="32"/>
    </row>
    <row r="50" spans="1:75" s="139" customFormat="1" x14ac:dyDescent="0.3">
      <c r="A50" s="177"/>
      <c r="B50" s="179"/>
      <c r="C50" s="282"/>
      <c r="D50" s="329" t="s">
        <v>68</v>
      </c>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83"/>
      <c r="BI50" s="83"/>
      <c r="BJ50" s="83"/>
      <c r="BK50" s="83"/>
      <c r="BL50" s="83"/>
      <c r="BM50" s="83"/>
      <c r="BN50" s="83"/>
      <c r="BO50" s="83"/>
      <c r="BP50" s="83"/>
      <c r="BQ50" s="83"/>
      <c r="BR50" s="83"/>
      <c r="BS50" s="83"/>
      <c r="BT50" s="83"/>
      <c r="BU50" s="83"/>
      <c r="BV50" s="358"/>
    </row>
    <row r="51" spans="1:75" ht="15" thickBot="1" x14ac:dyDescent="0.35">
      <c r="A51" s="177" t="s">
        <v>92</v>
      </c>
      <c r="B51" s="92">
        <v>0</v>
      </c>
      <c r="C51" s="93">
        <v>0</v>
      </c>
      <c r="D51" s="93">
        <v>298.63</v>
      </c>
      <c r="E51" s="93">
        <v>674.69</v>
      </c>
      <c r="F51" s="93">
        <v>1475.36</v>
      </c>
      <c r="G51" s="93">
        <v>108.97</v>
      </c>
      <c r="H51" s="93">
        <v>-1399.24</v>
      </c>
      <c r="I51" s="93">
        <v>-2443.31</v>
      </c>
      <c r="J51" s="93">
        <v>-4160.29</v>
      </c>
      <c r="K51" s="93">
        <v>-4437.1276130225706</v>
      </c>
      <c r="L51" s="93">
        <v>-4089.8726909078409</v>
      </c>
      <c r="M51" s="93">
        <v>-5732.3796823568009</v>
      </c>
      <c r="N51" s="93">
        <v>-6387.1229241163428</v>
      </c>
      <c r="O51" s="93">
        <v>-3749.9100388094298</v>
      </c>
      <c r="P51" s="93">
        <v>-4794.8657862936871</v>
      </c>
      <c r="Q51" s="93">
        <v>-4983.609733505551</v>
      </c>
      <c r="R51" s="93">
        <v>-3142.1778395001616</v>
      </c>
      <c r="S51" s="93">
        <v>-2033.7917610442216</v>
      </c>
      <c r="T51" s="93">
        <v>-2950.032033167759</v>
      </c>
      <c r="U51" s="93">
        <v>-1520.1017399300081</v>
      </c>
      <c r="V51" s="93">
        <v>-600.37464592803713</v>
      </c>
      <c r="W51" s="94">
        <v>1065.6199999999999</v>
      </c>
      <c r="X51" s="94">
        <v>-1332.09</v>
      </c>
      <c r="Y51" s="94">
        <v>5237.09</v>
      </c>
      <c r="Z51" s="94">
        <v>3012.78</v>
      </c>
      <c r="AA51" s="94">
        <v>-1819.91</v>
      </c>
      <c r="AB51" s="94">
        <v>-5067.18</v>
      </c>
      <c r="AC51" s="94">
        <v>-9142.32</v>
      </c>
      <c r="AD51" s="94">
        <v>-10293.290000000001</v>
      </c>
      <c r="AE51" s="94">
        <v>-14356.41</v>
      </c>
      <c r="AF51" s="94">
        <v>-17932.63</v>
      </c>
      <c r="AG51" s="94">
        <v>-19194.27</v>
      </c>
      <c r="AH51" s="94">
        <v>-23187.84</v>
      </c>
      <c r="AI51" s="94">
        <v>-27364.65</v>
      </c>
      <c r="AJ51" s="94">
        <v>-26465.99</v>
      </c>
      <c r="AK51" s="94">
        <v>-25904.16</v>
      </c>
      <c r="AL51" s="94">
        <v>-38312.04</v>
      </c>
      <c r="AM51" s="94">
        <v>-15634.39</v>
      </c>
      <c r="AN51" s="94">
        <v>975.69</v>
      </c>
      <c r="AO51" s="94">
        <v>1094.57</v>
      </c>
      <c r="AP51" s="94">
        <v>1194.4000000000001</v>
      </c>
      <c r="AQ51" s="94">
        <v>1288.42</v>
      </c>
      <c r="AR51" s="94">
        <v>3704.41</v>
      </c>
      <c r="AS51" s="94">
        <v>637.09</v>
      </c>
      <c r="AT51" s="94">
        <v>575.71</v>
      </c>
      <c r="AU51" s="94">
        <v>1073.23</v>
      </c>
      <c r="AV51" s="94">
        <v>767.77</v>
      </c>
      <c r="AW51" s="94">
        <v>1051.07</v>
      </c>
      <c r="AX51" s="94">
        <v>1224.92</v>
      </c>
      <c r="AY51" s="94">
        <v>1203.73</v>
      </c>
      <c r="AZ51" s="94">
        <v>1322.97</v>
      </c>
      <c r="BA51" s="94">
        <v>553.16999999999996</v>
      </c>
      <c r="BB51" s="94">
        <v>65.02</v>
      </c>
      <c r="BC51" s="94">
        <v>76.2</v>
      </c>
      <c r="BD51" s="94">
        <v>93.44</v>
      </c>
      <c r="BE51" s="94">
        <v>123.12</v>
      </c>
      <c r="BF51" s="94">
        <v>106.2</v>
      </c>
      <c r="BG51" s="94">
        <v>154.12</v>
      </c>
      <c r="BH51" s="94">
        <v>168.08</v>
      </c>
      <c r="BI51" s="94">
        <v>82.64</v>
      </c>
      <c r="BJ51" s="94">
        <v>38.21</v>
      </c>
      <c r="BK51" s="94">
        <v>45.65</v>
      </c>
      <c r="BL51" s="298">
        <v>-37.529999999999994</v>
      </c>
      <c r="BM51" s="94">
        <v>34.31</v>
      </c>
      <c r="BN51" s="94">
        <v>22.19</v>
      </c>
      <c r="BO51" s="94">
        <v>6.8</v>
      </c>
      <c r="BP51" s="94">
        <v>-18.68</v>
      </c>
      <c r="BQ51" s="94">
        <v>-42.38</v>
      </c>
      <c r="BR51" s="94">
        <v>-54.81</v>
      </c>
      <c r="BS51" s="94">
        <v>-54.17</v>
      </c>
      <c r="BT51" s="94">
        <f>-'[1]PCR.5 (M2)'!$W$78</f>
        <v>-55.65</v>
      </c>
      <c r="BU51" s="94">
        <f>-'[1]PCR.5 (M2)'!$W$79</f>
        <v>-113.26</v>
      </c>
      <c r="BV51" s="361">
        <f>-'[1]PCR.5 (M2)'!$W$80</f>
        <v>-135.97</v>
      </c>
    </row>
    <row r="52" spans="1:75" x14ac:dyDescent="0.3">
      <c r="A52" s="73"/>
      <c r="B52" s="119"/>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362"/>
    </row>
    <row r="53" spans="1:75" x14ac:dyDescent="0.3">
      <c r="A53" s="73" t="s">
        <v>69</v>
      </c>
      <c r="B53" s="75"/>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7"/>
    </row>
    <row r="54" spans="1:75" x14ac:dyDescent="0.3">
      <c r="A54" s="73" t="s">
        <v>0</v>
      </c>
      <c r="B54" s="85">
        <f t="shared" ref="B54:AU58" si="95">B21-B42</f>
        <v>0</v>
      </c>
      <c r="C54" s="89">
        <f t="shared" si="95"/>
        <v>0</v>
      </c>
      <c r="D54" s="89">
        <f>D21-D42</f>
        <v>109165.05951390543</v>
      </c>
      <c r="E54" s="89">
        <f t="shared" si="95"/>
        <v>480741.41032421798</v>
      </c>
      <c r="F54" s="89">
        <f t="shared" si="95"/>
        <v>1035558.9875673528</v>
      </c>
      <c r="G54" s="89">
        <f t="shared" si="95"/>
        <v>-796014.29677120619</v>
      </c>
      <c r="H54" s="89">
        <f t="shared" si="95"/>
        <v>-960426.68598167389</v>
      </c>
      <c r="I54" s="89">
        <f t="shared" si="95"/>
        <v>119508.3173276647</v>
      </c>
      <c r="J54" s="89">
        <f t="shared" si="95"/>
        <v>-650781.14802932926</v>
      </c>
      <c r="K54" s="89">
        <f t="shared" si="95"/>
        <v>283633.757875429</v>
      </c>
      <c r="L54" s="89">
        <f t="shared" si="95"/>
        <v>758391.50758311059</v>
      </c>
      <c r="M54" s="89">
        <f t="shared" si="95"/>
        <v>-97704.226593116764</v>
      </c>
      <c r="N54" s="89">
        <f t="shared" si="95"/>
        <v>-862665.63054309995</v>
      </c>
      <c r="O54" s="89">
        <f>O21-O42</f>
        <v>-119200.60126053984</v>
      </c>
      <c r="P54" s="89">
        <f t="shared" si="95"/>
        <v>-159533.62003397848</v>
      </c>
      <c r="Q54" s="89">
        <f t="shared" si="95"/>
        <v>-871889.62005120551</v>
      </c>
      <c r="R54" s="89">
        <f t="shared" si="95"/>
        <v>837866.23692679475</v>
      </c>
      <c r="S54" s="89">
        <f t="shared" si="95"/>
        <v>512271.41073305835</v>
      </c>
      <c r="T54" s="89">
        <f t="shared" si="95"/>
        <v>-1065164.0963718616</v>
      </c>
      <c r="U54" s="89">
        <f t="shared" si="95"/>
        <v>-77329.489897462074</v>
      </c>
      <c r="V54" s="89">
        <f t="shared" si="95"/>
        <v>-141023.18110644678</v>
      </c>
      <c r="W54" s="86">
        <f t="shared" si="95"/>
        <v>-36967.373482198454</v>
      </c>
      <c r="X54" s="86">
        <f t="shared" si="95"/>
        <v>-149012.98765453021</v>
      </c>
      <c r="Y54" s="86">
        <f t="shared" si="95"/>
        <v>-107272.47622414399</v>
      </c>
      <c r="Z54" s="86">
        <f t="shared" si="95"/>
        <v>-1826261.5966961992</v>
      </c>
      <c r="AA54" s="86">
        <f t="shared" si="95"/>
        <v>-1558303.5260344658</v>
      </c>
      <c r="AB54" s="86">
        <f t="shared" si="95"/>
        <v>-1054854.8245051599</v>
      </c>
      <c r="AC54" s="86">
        <f t="shared" si="95"/>
        <v>-702549.5812777048</v>
      </c>
      <c r="AD54" s="86">
        <f t="shared" si="95"/>
        <v>-475797.55229074857</v>
      </c>
      <c r="AE54" s="86">
        <f t="shared" si="95"/>
        <v>-548815.87795767444</v>
      </c>
      <c r="AF54" s="86">
        <f t="shared" si="95"/>
        <v>-796730.49882121757</v>
      </c>
      <c r="AG54" s="86">
        <f>AG21-AG42</f>
        <v>-653275.37890701648</v>
      </c>
      <c r="AH54" s="86">
        <f t="shared" si="95"/>
        <v>-1091902.9976414819</v>
      </c>
      <c r="AI54" s="86">
        <f t="shared" si="95"/>
        <v>-496112.66370258294</v>
      </c>
      <c r="AJ54" s="86">
        <f t="shared" si="95"/>
        <v>-10706.550107097253</v>
      </c>
      <c r="AK54" s="86">
        <f t="shared" si="95"/>
        <v>-202548.88997522183</v>
      </c>
      <c r="AL54" s="86">
        <f t="shared" si="95"/>
        <v>-2713709.9385042945</v>
      </c>
      <c r="AM54" s="86">
        <f t="shared" si="95"/>
        <v>3573641.9138863669</v>
      </c>
      <c r="AN54" s="86">
        <f t="shared" si="95"/>
        <v>2551741.554628347</v>
      </c>
      <c r="AO54" s="86">
        <f t="shared" si="95"/>
        <v>529906.66901143023</v>
      </c>
      <c r="AP54" s="86">
        <f t="shared" si="95"/>
        <v>469760.68231397832</v>
      </c>
      <c r="AQ54" s="86">
        <f t="shared" si="95"/>
        <v>655366.21694360662</v>
      </c>
      <c r="AR54" s="86">
        <f t="shared" si="95"/>
        <v>1814726.5269230178</v>
      </c>
      <c r="AS54" s="86">
        <f t="shared" si="95"/>
        <v>-583033.93433340837</v>
      </c>
      <c r="AT54" s="86">
        <f t="shared" si="95"/>
        <v>755038.2394470009</v>
      </c>
      <c r="AU54" s="86">
        <f>AU21-AU42</f>
        <v>616338.8048430389</v>
      </c>
      <c r="AV54" s="86">
        <f t="shared" ref="AV54:BG58" si="96">AV21-AV42</f>
        <v>540273.23108800384</v>
      </c>
      <c r="AW54" s="86">
        <f t="shared" si="96"/>
        <v>729148.60337024368</v>
      </c>
      <c r="AX54" s="86">
        <f t="shared" si="96"/>
        <v>753653.91647150938</v>
      </c>
      <c r="AY54" s="86">
        <f t="shared" si="96"/>
        <v>419513.45277995674</v>
      </c>
      <c r="AZ54" s="86">
        <f t="shared" si="96"/>
        <v>-130378.22113623569</v>
      </c>
      <c r="BA54" s="86">
        <f t="shared" si="96"/>
        <v>-111559.98551524164</v>
      </c>
      <c r="BB54" s="86">
        <f t="shared" si="96"/>
        <v>-94250.27429359463</v>
      </c>
      <c r="BC54" s="86">
        <f t="shared" si="96"/>
        <v>-127173.08514307399</v>
      </c>
      <c r="BD54" s="86">
        <f t="shared" si="96"/>
        <v>-171285.88922505992</v>
      </c>
      <c r="BE54" s="86">
        <f t="shared" si="96"/>
        <v>-162850.20818088332</v>
      </c>
      <c r="BF54" s="86">
        <f>BF21-BF42</f>
        <v>-146741.00334298948</v>
      </c>
      <c r="BG54" s="86">
        <f>BG21-BG42</f>
        <v>-99134.045844296095</v>
      </c>
      <c r="BH54" s="86">
        <f t="shared" ref="BH54:BQ54" si="97">BH21-BH42</f>
        <v>-105936.24110750969</v>
      </c>
      <c r="BI54" s="86">
        <f t="shared" si="97"/>
        <v>-140596.42689890595</v>
      </c>
      <c r="BJ54" s="86">
        <f t="shared" si="97"/>
        <v>-182924.89750869281</v>
      </c>
      <c r="BK54" s="86">
        <f t="shared" si="97"/>
        <v>-57528.322105296851</v>
      </c>
      <c r="BL54" s="86">
        <f>BL21-BL42</f>
        <v>66677.674535717204</v>
      </c>
      <c r="BM54" s="86">
        <f t="shared" si="97"/>
        <v>45148.11737840149</v>
      </c>
      <c r="BN54" s="86">
        <f t="shared" si="97"/>
        <v>42390.199241787457</v>
      </c>
      <c r="BO54" s="86">
        <f>BO21-BO42</f>
        <v>55367.348373150453</v>
      </c>
      <c r="BP54" s="86">
        <f t="shared" si="97"/>
        <v>73116.489432265997</v>
      </c>
      <c r="BQ54" s="86">
        <f t="shared" si="97"/>
        <v>74577.772779461986</v>
      </c>
      <c r="BR54" s="86">
        <f>BR21-BR42</f>
        <v>73275.527239998002</v>
      </c>
      <c r="BS54" s="86">
        <f>BS21-BS42</f>
        <v>50840.761085482394</v>
      </c>
      <c r="BT54" s="86">
        <f t="shared" ref="BT54:BV54" si="98">BT21-BT42</f>
        <v>85564.728080366272</v>
      </c>
      <c r="BU54" s="86">
        <f t="shared" si="98"/>
        <v>60013.843670178409</v>
      </c>
      <c r="BV54" s="90">
        <f t="shared" si="98"/>
        <v>44078.991985611159</v>
      </c>
    </row>
    <row r="55" spans="1:75" x14ac:dyDescent="0.3">
      <c r="A55" s="73" t="s">
        <v>4</v>
      </c>
      <c r="B55" s="85">
        <f t="shared" si="95"/>
        <v>0</v>
      </c>
      <c r="C55" s="89">
        <f t="shared" si="95"/>
        <v>0</v>
      </c>
      <c r="D55" s="89">
        <f t="shared" si="95"/>
        <v>80396.905524086716</v>
      </c>
      <c r="E55" s="89">
        <f t="shared" si="95"/>
        <v>22367.506099326867</v>
      </c>
      <c r="F55" s="89">
        <f t="shared" si="95"/>
        <v>35649.148293223669</v>
      </c>
      <c r="G55" s="89">
        <f t="shared" si="95"/>
        <v>-305595.24885977083</v>
      </c>
      <c r="H55" s="89">
        <f t="shared" si="95"/>
        <v>-408166.96200675756</v>
      </c>
      <c r="I55" s="89">
        <f t="shared" si="95"/>
        <v>-273673.78639455995</v>
      </c>
      <c r="J55" s="89">
        <f t="shared" si="95"/>
        <v>-425864.98574106238</v>
      </c>
      <c r="K55" s="89">
        <f t="shared" si="95"/>
        <v>-133153.04532952601</v>
      </c>
      <c r="L55" s="89">
        <f t="shared" si="95"/>
        <v>-32452.752257377142</v>
      </c>
      <c r="M55" s="89">
        <f t="shared" si="95"/>
        <v>-132305.03521318134</v>
      </c>
      <c r="N55" s="89">
        <f t="shared" si="95"/>
        <v>-110319.16126958677</v>
      </c>
      <c r="O55" s="89">
        <f t="shared" si="95"/>
        <v>211751.84688851453</v>
      </c>
      <c r="P55" s="89">
        <f t="shared" si="95"/>
        <v>35929.320019657316</v>
      </c>
      <c r="Q55" s="89">
        <f t="shared" si="95"/>
        <v>134918.4911537804</v>
      </c>
      <c r="R55" s="89">
        <f t="shared" si="95"/>
        <v>208996.64712506271</v>
      </c>
      <c r="S55" s="89">
        <f t="shared" si="95"/>
        <v>205720.36075114086</v>
      </c>
      <c r="T55" s="89">
        <f t="shared" si="95"/>
        <v>57730.154034821608</v>
      </c>
      <c r="U55" s="89">
        <f t="shared" si="95"/>
        <v>290666.83670091297</v>
      </c>
      <c r="V55" s="89">
        <f t="shared" si="95"/>
        <v>179502.11973004194</v>
      </c>
      <c r="W55" s="86">
        <f t="shared" si="95"/>
        <v>280042.99291916902</v>
      </c>
      <c r="X55" s="86">
        <f t="shared" si="95"/>
        <v>159370.15267382684</v>
      </c>
      <c r="Y55" s="86">
        <f t="shared" si="95"/>
        <v>434150.75910902611</v>
      </c>
      <c r="Z55" s="86">
        <f t="shared" si="95"/>
        <v>84549.455683374195</v>
      </c>
      <c r="AA55" s="86">
        <f t="shared" si="95"/>
        <v>-429703.6937924276</v>
      </c>
      <c r="AB55" s="86">
        <f t="shared" si="95"/>
        <v>-148043.28522064432</v>
      </c>
      <c r="AC55" s="86">
        <f t="shared" si="95"/>
        <v>-222913.42047963757</v>
      </c>
      <c r="AD55" s="86">
        <f t="shared" si="95"/>
        <v>-66094.700964997406</v>
      </c>
      <c r="AE55" s="86">
        <f t="shared" si="95"/>
        <v>-273356.3733715628</v>
      </c>
      <c r="AF55" s="86">
        <f t="shared" si="95"/>
        <v>-177446.34100956679</v>
      </c>
      <c r="AG55" s="86">
        <f t="shared" si="95"/>
        <v>-7601.1008423150051</v>
      </c>
      <c r="AH55" s="86">
        <f t="shared" si="95"/>
        <v>-184611.71307320497</v>
      </c>
      <c r="AI55" s="86">
        <f t="shared" si="95"/>
        <v>-170177.05151722429</v>
      </c>
      <c r="AJ55" s="86">
        <f t="shared" si="95"/>
        <v>167486.03905937821</v>
      </c>
      <c r="AK55" s="86">
        <f t="shared" si="95"/>
        <v>331246.83077413531</v>
      </c>
      <c r="AL55" s="86">
        <f t="shared" si="95"/>
        <v>-443138.14267997158</v>
      </c>
      <c r="AM55" s="86">
        <f t="shared" si="95"/>
        <v>1465290.4237385408</v>
      </c>
      <c r="AN55" s="86">
        <f t="shared" si="95"/>
        <v>1056396.3027362511</v>
      </c>
      <c r="AO55" s="86">
        <f t="shared" si="95"/>
        <v>-97398.289621410004</v>
      </c>
      <c r="AP55" s="86">
        <f t="shared" si="95"/>
        <v>-83466.248164079268</v>
      </c>
      <c r="AQ55" s="86">
        <f t="shared" si="95"/>
        <v>-121428.95031206319</v>
      </c>
      <c r="AR55" s="86">
        <f t="shared" si="95"/>
        <v>-148001.29919860233</v>
      </c>
      <c r="AS55" s="86">
        <f t="shared" si="95"/>
        <v>-173180.13903695458</v>
      </c>
      <c r="AT55" s="86">
        <f t="shared" si="95"/>
        <v>-159112.78238082957</v>
      </c>
      <c r="AU55" s="86">
        <f t="shared" si="95"/>
        <v>-63111.068889903676</v>
      </c>
      <c r="AV55" s="86">
        <f t="shared" si="96"/>
        <v>-131029.67157905392</v>
      </c>
      <c r="AW55" s="86">
        <f t="shared" si="96"/>
        <v>-128447.75967574024</v>
      </c>
      <c r="AX55" s="86">
        <f t="shared" si="96"/>
        <v>-144411.88607959828</v>
      </c>
      <c r="AY55" s="86">
        <f t="shared" si="96"/>
        <v>-91203.537369038706</v>
      </c>
      <c r="AZ55" s="86">
        <f t="shared" si="96"/>
        <v>17991.337308426806</v>
      </c>
      <c r="BA55" s="86">
        <f t="shared" si="96"/>
        <v>-22242.436551690811</v>
      </c>
      <c r="BB55" s="86">
        <f t="shared" si="96"/>
        <v>-18255.94772567078</v>
      </c>
      <c r="BC55" s="86">
        <f t="shared" si="96"/>
        <v>27455.68968373246</v>
      </c>
      <c r="BD55" s="86">
        <f t="shared" si="96"/>
        <v>-18463.738069260296</v>
      </c>
      <c r="BE55" s="86">
        <f t="shared" si="96"/>
        <v>122638.60539261842</v>
      </c>
      <c r="BF55" s="86">
        <f t="shared" si="96"/>
        <v>-2762.6235252383594</v>
      </c>
      <c r="BG55" s="86">
        <f t="shared" si="96"/>
        <v>-19709.18684138657</v>
      </c>
      <c r="BH55" s="86">
        <f t="shared" ref="BH55:BS55" si="99">BH22-BH43</f>
        <v>-22799.257349236414</v>
      </c>
      <c r="BI55" s="86">
        <f t="shared" si="99"/>
        <v>-89066.637214658549</v>
      </c>
      <c r="BJ55" s="86">
        <f t="shared" si="99"/>
        <v>-9332.7031131859512</v>
      </c>
      <c r="BK55" s="86">
        <f t="shared" si="99"/>
        <v>189.66577727019467</v>
      </c>
      <c r="BL55" s="86">
        <f t="shared" si="99"/>
        <v>-36730.250652412898</v>
      </c>
      <c r="BM55" s="86">
        <f t="shared" si="99"/>
        <v>-7485.6828266291632</v>
      </c>
      <c r="BN55" s="86">
        <f t="shared" si="99"/>
        <v>-23736.50534402996</v>
      </c>
      <c r="BO55" s="86">
        <f t="shared" si="99"/>
        <v>-32463.121626322034</v>
      </c>
      <c r="BP55" s="86">
        <f t="shared" si="99"/>
        <v>-63197.312971600462</v>
      </c>
      <c r="BQ55" s="86">
        <f t="shared" si="99"/>
        <v>-39355.423894665</v>
      </c>
      <c r="BR55" s="86">
        <f t="shared" si="99"/>
        <v>-39847.041928318373</v>
      </c>
      <c r="BS55" s="86">
        <f t="shared" si="99"/>
        <v>-33202.631352159733</v>
      </c>
      <c r="BT55" s="86">
        <f t="shared" ref="BT55:BV55" si="100">BT22-BT43</f>
        <v>-21608.795473766255</v>
      </c>
      <c r="BU55" s="86">
        <f t="shared" si="100"/>
        <v>-33918.336411589655</v>
      </c>
      <c r="BV55" s="90">
        <f t="shared" si="100"/>
        <v>-55202.027180937686</v>
      </c>
    </row>
    <row r="56" spans="1:75" x14ac:dyDescent="0.3">
      <c r="A56" s="73" t="s">
        <v>5</v>
      </c>
      <c r="B56" s="85">
        <f t="shared" si="95"/>
        <v>0</v>
      </c>
      <c r="C56" s="89">
        <f t="shared" si="95"/>
        <v>0</v>
      </c>
      <c r="D56" s="89">
        <f t="shared" si="95"/>
        <v>184247.82933918544</v>
      </c>
      <c r="E56" s="89">
        <f t="shared" si="95"/>
        <v>55385.846863700259</v>
      </c>
      <c r="F56" s="89">
        <f t="shared" si="95"/>
        <v>107328.74773943188</v>
      </c>
      <c r="G56" s="89">
        <f t="shared" si="95"/>
        <v>-721309.05281867995</v>
      </c>
      <c r="H56" s="89">
        <f t="shared" si="95"/>
        <v>-924707.02921066992</v>
      </c>
      <c r="I56" s="89">
        <f t="shared" si="95"/>
        <v>-622107.22711593262</v>
      </c>
      <c r="J56" s="89">
        <f t="shared" si="95"/>
        <v>-1010830.4703996622</v>
      </c>
      <c r="K56" s="89">
        <f t="shared" si="95"/>
        <v>-326649.49814118026</v>
      </c>
      <c r="L56" s="89">
        <f t="shared" si="95"/>
        <v>-83293.358918056474</v>
      </c>
      <c r="M56" s="89">
        <f t="shared" si="95"/>
        <v>-298940.94318697951</v>
      </c>
      <c r="N56" s="89">
        <f t="shared" si="95"/>
        <v>-237410.13066418737</v>
      </c>
      <c r="O56" s="89">
        <f t="shared" si="95"/>
        <v>454164.41792280087</v>
      </c>
      <c r="P56" s="89">
        <f t="shared" si="95"/>
        <v>72620.549294193159</v>
      </c>
      <c r="Q56" s="89">
        <f t="shared" si="95"/>
        <v>317337.89955967455</v>
      </c>
      <c r="R56" s="89">
        <f t="shared" si="95"/>
        <v>516943.65920545615</v>
      </c>
      <c r="S56" s="89">
        <f t="shared" si="95"/>
        <v>483527.42111507605</v>
      </c>
      <c r="T56" s="89">
        <f t="shared" si="95"/>
        <v>116708.69276695698</v>
      </c>
      <c r="U56" s="89">
        <f t="shared" si="95"/>
        <v>650761.65170471615</v>
      </c>
      <c r="V56" s="89">
        <f t="shared" si="95"/>
        <v>419242.02488025231</v>
      </c>
      <c r="W56" s="86">
        <f t="shared" si="95"/>
        <v>671885.85583879251</v>
      </c>
      <c r="X56" s="86">
        <f t="shared" si="95"/>
        <v>379881.49716944573</v>
      </c>
      <c r="Y56" s="86">
        <f t="shared" si="95"/>
        <v>995850.45960629045</v>
      </c>
      <c r="Z56" s="86">
        <f t="shared" si="95"/>
        <v>174813.46944996668</v>
      </c>
      <c r="AA56" s="86">
        <f t="shared" si="95"/>
        <v>-894845.92990486557</v>
      </c>
      <c r="AB56" s="86">
        <f t="shared" si="95"/>
        <v>-336354.64117479092</v>
      </c>
      <c r="AC56" s="86">
        <f t="shared" si="95"/>
        <v>-514665.29390649498</v>
      </c>
      <c r="AD56" s="86">
        <f t="shared" si="95"/>
        <v>-173859.47820156696</v>
      </c>
      <c r="AE56" s="86">
        <f t="shared" si="95"/>
        <v>-653118.71071854071</v>
      </c>
      <c r="AF56" s="86">
        <f t="shared" si="95"/>
        <v>-410782.57437560707</v>
      </c>
      <c r="AG56" s="86">
        <f t="shared" si="95"/>
        <v>-28818.593999518547</v>
      </c>
      <c r="AH56" s="86">
        <f t="shared" si="95"/>
        <v>-449921.27975908131</v>
      </c>
      <c r="AI56" s="86">
        <f t="shared" si="95"/>
        <v>-425526.34474165039</v>
      </c>
      <c r="AJ56" s="86">
        <f t="shared" si="95"/>
        <v>395628.19907792308</v>
      </c>
      <c r="AK56" s="86">
        <f t="shared" si="95"/>
        <v>710252.88850676781</v>
      </c>
      <c r="AL56" s="86">
        <f t="shared" si="95"/>
        <v>-962539.07497930876</v>
      </c>
      <c r="AM56" s="86">
        <f t="shared" si="95"/>
        <v>2959736.93178496</v>
      </c>
      <c r="AN56" s="86">
        <f t="shared" si="95"/>
        <v>2198517.4580404186</v>
      </c>
      <c r="AO56" s="86">
        <f t="shared" si="95"/>
        <v>-210885.35549017339</v>
      </c>
      <c r="AP56" s="86">
        <f t="shared" si="95"/>
        <v>-208534.39584252911</v>
      </c>
      <c r="AQ56" s="86">
        <f t="shared" si="95"/>
        <v>-287032.582794961</v>
      </c>
      <c r="AR56" s="86">
        <f t="shared" si="95"/>
        <v>-331106.03428218287</v>
      </c>
      <c r="AS56" s="86">
        <f t="shared" si="95"/>
        <v>-385355.80765126273</v>
      </c>
      <c r="AT56" s="86">
        <f t="shared" si="95"/>
        <v>-370925.95488075586</v>
      </c>
      <c r="AU56" s="86">
        <f t="shared" si="95"/>
        <v>-149042.5059033244</v>
      </c>
      <c r="AV56" s="86">
        <f t="shared" si="96"/>
        <v>-305446.05753769516</v>
      </c>
      <c r="AW56" s="86">
        <f t="shared" si="96"/>
        <v>-277746.90251376451</v>
      </c>
      <c r="AX56" s="86">
        <f t="shared" si="96"/>
        <v>-302740.39777036471</v>
      </c>
      <c r="AY56" s="86">
        <f t="shared" si="96"/>
        <v>-178244.87892769949</v>
      </c>
      <c r="AZ56" s="86">
        <f t="shared" si="96"/>
        <v>75849.218406793691</v>
      </c>
      <c r="BA56" s="86">
        <f t="shared" si="96"/>
        <v>-19638.012664782989</v>
      </c>
      <c r="BB56" s="86">
        <f t="shared" si="96"/>
        <v>-13053.608002146062</v>
      </c>
      <c r="BC56" s="86">
        <f t="shared" si="96"/>
        <v>100188.58489883968</v>
      </c>
      <c r="BD56" s="86">
        <f t="shared" si="96"/>
        <v>3002.3152665286434</v>
      </c>
      <c r="BE56" s="86">
        <f t="shared" si="96"/>
        <v>315712.90366238297</v>
      </c>
      <c r="BF56" s="86">
        <f t="shared" si="96"/>
        <v>36292.100665139282</v>
      </c>
      <c r="BG56" s="86">
        <f t="shared" si="96"/>
        <v>-11214.010062948142</v>
      </c>
      <c r="BH56" s="86">
        <f t="shared" ref="BH56:BS56" si="101">BH23-BH44</f>
        <v>-18286.07936343702</v>
      </c>
      <c r="BI56" s="86">
        <f t="shared" si="101"/>
        <v>-157473.00361013054</v>
      </c>
      <c r="BJ56" s="86">
        <f t="shared" si="101"/>
        <v>22412.668281070506</v>
      </c>
      <c r="BK56" s="86">
        <f t="shared" si="101"/>
        <v>26010.424438651935</v>
      </c>
      <c r="BL56" s="86">
        <f t="shared" si="101"/>
        <v>-69947.553806377822</v>
      </c>
      <c r="BM56" s="86">
        <f t="shared" si="101"/>
        <v>-12560.364817747606</v>
      </c>
      <c r="BN56" s="86">
        <f t="shared" si="101"/>
        <v>-52422.150492168323</v>
      </c>
      <c r="BO56" s="86">
        <f t="shared" si="101"/>
        <v>-67050.617245538335</v>
      </c>
      <c r="BP56" s="86">
        <f t="shared" si="101"/>
        <v>-132462.81705067737</v>
      </c>
      <c r="BQ56" s="86">
        <f t="shared" si="101"/>
        <v>-79665.00491121308</v>
      </c>
      <c r="BR56" s="86">
        <f t="shared" si="101"/>
        <v>-81391.771892808145</v>
      </c>
      <c r="BS56" s="86">
        <f t="shared" si="101"/>
        <v>-71501.458559840496</v>
      </c>
      <c r="BT56" s="86">
        <f t="shared" ref="BT56:BV56" si="102">BT23-BT44</f>
        <v>-44934.234953008301</v>
      </c>
      <c r="BU56" s="86">
        <f t="shared" si="102"/>
        <v>-69668.872130924254</v>
      </c>
      <c r="BV56" s="90">
        <f t="shared" si="102"/>
        <v>-104745.99380480513</v>
      </c>
    </row>
    <row r="57" spans="1:75" x14ac:dyDescent="0.3">
      <c r="A57" s="73" t="s">
        <v>6</v>
      </c>
      <c r="B57" s="85">
        <f t="shared" si="95"/>
        <v>0</v>
      </c>
      <c r="C57" s="89">
        <f t="shared" si="95"/>
        <v>0</v>
      </c>
      <c r="D57" s="89">
        <f t="shared" si="95"/>
        <v>76446.845496259717</v>
      </c>
      <c r="E57" s="89">
        <f t="shared" si="95"/>
        <v>24925.441552928634</v>
      </c>
      <c r="F57" s="89">
        <f t="shared" si="95"/>
        <v>38048.606654482297</v>
      </c>
      <c r="G57" s="89">
        <f t="shared" si="95"/>
        <v>-258416.37577544444</v>
      </c>
      <c r="H57" s="89">
        <f t="shared" si="95"/>
        <v>-387453.90191009501</v>
      </c>
      <c r="I57" s="89">
        <f t="shared" si="95"/>
        <v>-253978.04832345201</v>
      </c>
      <c r="J57" s="89">
        <f t="shared" si="95"/>
        <v>-445728.66763809219</v>
      </c>
      <c r="K57" s="89">
        <f t="shared" si="95"/>
        <v>-139007.91718968638</v>
      </c>
      <c r="L57" s="89">
        <f t="shared" si="95"/>
        <v>-36890.856533018057</v>
      </c>
      <c r="M57" s="89">
        <f t="shared" si="95"/>
        <v>-129151.0816384597</v>
      </c>
      <c r="N57" s="89">
        <f t="shared" si="95"/>
        <v>-100977.52958177513</v>
      </c>
      <c r="O57" s="89">
        <f t="shared" si="95"/>
        <v>201907.90722166945</v>
      </c>
      <c r="P57" s="89">
        <f t="shared" si="95"/>
        <v>31290.893116822233</v>
      </c>
      <c r="Q57" s="89">
        <f t="shared" si="95"/>
        <v>148223.36758758436</v>
      </c>
      <c r="R57" s="89">
        <f t="shared" si="95"/>
        <v>238060.58370059385</v>
      </c>
      <c r="S57" s="89">
        <f t="shared" si="95"/>
        <v>225663.84941715311</v>
      </c>
      <c r="T57" s="89">
        <f t="shared" si="95"/>
        <v>49317.411566308409</v>
      </c>
      <c r="U57" s="89">
        <f t="shared" si="95"/>
        <v>282792.10375990462</v>
      </c>
      <c r="V57" s="89">
        <f t="shared" si="95"/>
        <v>186083.50653879088</v>
      </c>
      <c r="W57" s="86">
        <f t="shared" si="95"/>
        <v>303715.76153473521</v>
      </c>
      <c r="X57" s="86">
        <f t="shared" si="95"/>
        <v>172514.87137590448</v>
      </c>
      <c r="Y57" s="86">
        <f t="shared" si="95"/>
        <v>452957.77238353231</v>
      </c>
      <c r="Z57" s="86">
        <f t="shared" si="95"/>
        <v>60331.655321173137</v>
      </c>
      <c r="AA57" s="86">
        <f t="shared" si="95"/>
        <v>-330102.50890111167</v>
      </c>
      <c r="AB57" s="86">
        <f t="shared" si="95"/>
        <v>-163562.40980213648</v>
      </c>
      <c r="AC57" s="86">
        <f t="shared" si="95"/>
        <v>-226322.09934589022</v>
      </c>
      <c r="AD57" s="86">
        <f t="shared" si="95"/>
        <v>-93746.293707083445</v>
      </c>
      <c r="AE57" s="86">
        <f t="shared" si="95"/>
        <v>-300515.89646885858</v>
      </c>
      <c r="AF57" s="86">
        <f t="shared" si="95"/>
        <v>-188777.52720714745</v>
      </c>
      <c r="AG57" s="86">
        <f t="shared" si="95"/>
        <v>-22560.249957209337</v>
      </c>
      <c r="AH57" s="86">
        <f t="shared" si="95"/>
        <v>-203288.38467762724</v>
      </c>
      <c r="AI57" s="86">
        <f t="shared" si="95"/>
        <v>-203621.46813721291</v>
      </c>
      <c r="AJ57" s="86">
        <f t="shared" si="95"/>
        <v>175701.47009168309</v>
      </c>
      <c r="AK57" s="86">
        <f t="shared" si="95"/>
        <v>317895.50311914738</v>
      </c>
      <c r="AL57" s="86">
        <f t="shared" si="95"/>
        <v>-381470.25128459954</v>
      </c>
      <c r="AM57" s="86">
        <f t="shared" si="95"/>
        <v>1110636.7647892607</v>
      </c>
      <c r="AN57" s="86">
        <f t="shared" si="95"/>
        <v>883215.68035712861</v>
      </c>
      <c r="AO57" s="86">
        <f t="shared" si="95"/>
        <v>-97409.399099155155</v>
      </c>
      <c r="AP57" s="86">
        <f t="shared" si="95"/>
        <v>-90298.280618560675</v>
      </c>
      <c r="AQ57" s="86">
        <f t="shared" si="95"/>
        <v>-129914.47390785642</v>
      </c>
      <c r="AR57" s="86">
        <f t="shared" si="95"/>
        <v>-138587.67570938985</v>
      </c>
      <c r="AS57" s="86">
        <f t="shared" si="95"/>
        <v>-165266.82973728099</v>
      </c>
      <c r="AT57" s="86">
        <f t="shared" si="95"/>
        <v>-156659.47037828917</v>
      </c>
      <c r="AU57" s="86">
        <f t="shared" si="95"/>
        <v>-65976.636284163105</v>
      </c>
      <c r="AV57" s="86">
        <f t="shared" si="96"/>
        <v>-136599.2488595818</v>
      </c>
      <c r="AW57" s="86">
        <f t="shared" si="96"/>
        <v>-115587.46644758947</v>
      </c>
      <c r="AX57" s="86">
        <f t="shared" si="96"/>
        <v>-125130.69289512961</v>
      </c>
      <c r="AY57" s="86">
        <f t="shared" si="96"/>
        <v>-81105.291461878558</v>
      </c>
      <c r="AZ57" s="86">
        <f t="shared" si="96"/>
        <v>41392.594858712037</v>
      </c>
      <c r="BA57" s="86">
        <f t="shared" si="96"/>
        <v>1856.8078745719922</v>
      </c>
      <c r="BB57" s="86">
        <f t="shared" si="96"/>
        <v>3928.5852221515388</v>
      </c>
      <c r="BC57" s="86">
        <f t="shared" si="96"/>
        <v>57017.677761676379</v>
      </c>
      <c r="BD57" s="86">
        <f t="shared" si="96"/>
        <v>13658.122203353214</v>
      </c>
      <c r="BE57" s="86">
        <f t="shared" si="96"/>
        <v>147880.46433807057</v>
      </c>
      <c r="BF57" s="86">
        <f t="shared" si="96"/>
        <v>28636.425828464897</v>
      </c>
      <c r="BG57" s="86">
        <f t="shared" si="96"/>
        <v>6571.0595233370568</v>
      </c>
      <c r="BH57" s="86">
        <f t="shared" ref="BH57:BS57" si="103">BH24-BH45</f>
        <v>3154.3944086295028</v>
      </c>
      <c r="BI57" s="86">
        <f t="shared" si="103"/>
        <v>-57924.839827905911</v>
      </c>
      <c r="BJ57" s="86">
        <f t="shared" si="103"/>
        <v>20946.118783389542</v>
      </c>
      <c r="BK57" s="86">
        <f t="shared" si="103"/>
        <v>20861.809534070129</v>
      </c>
      <c r="BL57" s="86">
        <f t="shared" si="103"/>
        <v>-25590.027254711516</v>
      </c>
      <c r="BM57" s="86">
        <f t="shared" si="103"/>
        <v>-3657.4958457688481</v>
      </c>
      <c r="BN57" s="86">
        <f t="shared" si="103"/>
        <v>-21769.000050408671</v>
      </c>
      <c r="BO57" s="86">
        <f t="shared" si="103"/>
        <v>-24308.30130370571</v>
      </c>
      <c r="BP57" s="86">
        <f t="shared" si="103"/>
        <v>-56653.132325140956</v>
      </c>
      <c r="BQ57" s="86">
        <f t="shared" si="103"/>
        <v>-30651.839695669125</v>
      </c>
      <c r="BR57" s="86">
        <f t="shared" si="103"/>
        <v>-31122.172671889883</v>
      </c>
      <c r="BS57" s="86">
        <f t="shared" si="103"/>
        <v>-26856.396418750348</v>
      </c>
      <c r="BT57" s="86">
        <f t="shared" ref="BT57:BV57" si="104">BT24-BT45</f>
        <v>-16040.138766336189</v>
      </c>
      <c r="BU57" s="86">
        <f t="shared" si="104"/>
        <v>-30904.74175644253</v>
      </c>
      <c r="BV57" s="90">
        <f t="shared" si="104"/>
        <v>-42890.068171206301</v>
      </c>
    </row>
    <row r="58" spans="1:75" x14ac:dyDescent="0.3">
      <c r="A58" s="73" t="s">
        <v>7</v>
      </c>
      <c r="B58" s="85">
        <f t="shared" si="95"/>
        <v>0</v>
      </c>
      <c r="C58" s="89">
        <f t="shared" si="95"/>
        <v>0</v>
      </c>
      <c r="D58" s="89">
        <f t="shared" si="95"/>
        <v>39321.070126562699</v>
      </c>
      <c r="E58" s="89">
        <f t="shared" si="95"/>
        <v>12619.135159826228</v>
      </c>
      <c r="F58" s="89">
        <f t="shared" si="95"/>
        <v>39310.379745509235</v>
      </c>
      <c r="G58" s="89">
        <f t="shared" si="95"/>
        <v>-53851.695774898544</v>
      </c>
      <c r="H58" s="89">
        <f t="shared" si="95"/>
        <v>-197393.83089080374</v>
      </c>
      <c r="I58" s="89">
        <f t="shared" si="95"/>
        <v>-133908.38549372059</v>
      </c>
      <c r="J58" s="89">
        <f t="shared" si="95"/>
        <v>-237887.45819185395</v>
      </c>
      <c r="K58" s="89">
        <f t="shared" si="95"/>
        <v>-76729.147215036035</v>
      </c>
      <c r="L58" s="89">
        <f t="shared" si="95"/>
        <v>-19558.069874658773</v>
      </c>
      <c r="M58" s="89">
        <f t="shared" si="95"/>
        <v>-64205.543368262704</v>
      </c>
      <c r="N58" s="89">
        <f t="shared" si="95"/>
        <v>-49997.51794135099</v>
      </c>
      <c r="O58" s="89">
        <f t="shared" si="95"/>
        <v>77321.659227554861</v>
      </c>
      <c r="P58" s="89">
        <f t="shared" si="95"/>
        <v>19984.607603305602</v>
      </c>
      <c r="Q58" s="89">
        <f t="shared" si="95"/>
        <v>79254.521750166517</v>
      </c>
      <c r="R58" s="89">
        <f t="shared" si="95"/>
        <v>124610.63304209293</v>
      </c>
      <c r="S58" s="89">
        <f t="shared" si="95"/>
        <v>123866.79798357139</v>
      </c>
      <c r="T58" s="89">
        <f t="shared" si="95"/>
        <v>30923.098003775027</v>
      </c>
      <c r="U58" s="89">
        <f t="shared" si="95"/>
        <v>156006.71773192807</v>
      </c>
      <c r="V58" s="89">
        <f t="shared" si="95"/>
        <v>103719.74995736196</v>
      </c>
      <c r="W58" s="86">
        <f t="shared" si="95"/>
        <v>160760.98318950227</v>
      </c>
      <c r="X58" s="86">
        <f t="shared" si="95"/>
        <v>105050.05643535336</v>
      </c>
      <c r="Y58" s="86">
        <f t="shared" si="95"/>
        <v>218873.49512529586</v>
      </c>
      <c r="Z58" s="86">
        <f t="shared" si="95"/>
        <v>42570.086241685116</v>
      </c>
      <c r="AA58" s="86">
        <f t="shared" si="95"/>
        <v>-48255.54136712887</v>
      </c>
      <c r="AB58" s="86">
        <f t="shared" si="95"/>
        <v>-82343.069297268696</v>
      </c>
      <c r="AC58" s="86">
        <f t="shared" si="95"/>
        <v>-114826.90499027172</v>
      </c>
      <c r="AD58" s="86">
        <f t="shared" si="95"/>
        <v>-52159.164835603733</v>
      </c>
      <c r="AE58" s="86">
        <f t="shared" si="95"/>
        <v>-153763.02148336382</v>
      </c>
      <c r="AF58" s="86">
        <f t="shared" si="95"/>
        <v>-22576.258586461481</v>
      </c>
      <c r="AG58" s="86">
        <f t="shared" si="95"/>
        <v>-6501.2562939410564</v>
      </c>
      <c r="AH58" s="86">
        <f t="shared" si="95"/>
        <v>-93818.704848604393</v>
      </c>
      <c r="AI58" s="86">
        <f t="shared" si="95"/>
        <v>-96478.591901329579</v>
      </c>
      <c r="AJ58" s="86">
        <f t="shared" si="95"/>
        <v>94552.02187811333</v>
      </c>
      <c r="AK58" s="86">
        <f t="shared" si="95"/>
        <v>152143.60757517128</v>
      </c>
      <c r="AL58" s="86">
        <f t="shared" si="95"/>
        <v>-209072.93255182446</v>
      </c>
      <c r="AM58" s="86">
        <f t="shared" si="95"/>
        <v>344509.8558008715</v>
      </c>
      <c r="AN58" s="86">
        <f t="shared" si="95"/>
        <v>350914.31423785503</v>
      </c>
      <c r="AO58" s="86">
        <f t="shared" si="95"/>
        <v>-51799.534800691719</v>
      </c>
      <c r="AP58" s="86">
        <f t="shared" si="95"/>
        <v>-46593.307688809298</v>
      </c>
      <c r="AQ58" s="86">
        <f t="shared" si="95"/>
        <v>-70091.449928725851</v>
      </c>
      <c r="AR58" s="86">
        <f t="shared" si="95"/>
        <v>-68637.54773284297</v>
      </c>
      <c r="AS58" s="86">
        <f t="shared" si="95"/>
        <v>-84819.259241093008</v>
      </c>
      <c r="AT58" s="86">
        <f t="shared" si="95"/>
        <v>-82501.001807126275</v>
      </c>
      <c r="AU58" s="86">
        <f t="shared" si="95"/>
        <v>-41185.853765647691</v>
      </c>
      <c r="AV58" s="86">
        <f t="shared" si="96"/>
        <v>-70163.003111672908</v>
      </c>
      <c r="AW58" s="86">
        <f t="shared" si="96"/>
        <v>-56906.204733149658</v>
      </c>
      <c r="AX58" s="86">
        <f t="shared" si="96"/>
        <v>-62879.359726416878</v>
      </c>
      <c r="AY58" s="86">
        <f t="shared" si="96"/>
        <v>-47403.45502134008</v>
      </c>
      <c r="AZ58" s="86">
        <f t="shared" si="96"/>
        <v>33658.170562303203</v>
      </c>
      <c r="BA58" s="86">
        <f t="shared" si="96"/>
        <v>16986.626857143438</v>
      </c>
      <c r="BB58" s="86">
        <f t="shared" si="96"/>
        <v>18231.244799259915</v>
      </c>
      <c r="BC58" s="86">
        <f t="shared" si="96"/>
        <v>65817.94279882549</v>
      </c>
      <c r="BD58" s="86">
        <f t="shared" si="96"/>
        <v>24155.30982443834</v>
      </c>
      <c r="BE58" s="86">
        <f t="shared" si="96"/>
        <v>79230.92478781128</v>
      </c>
      <c r="BF58" s="86">
        <f t="shared" si="96"/>
        <v>31141.640374623632</v>
      </c>
      <c r="BG58" s="86">
        <f t="shared" si="96"/>
        <v>19708.86322529376</v>
      </c>
      <c r="BH58" s="86">
        <f t="shared" ref="BH58:BS58" si="105">BH25-BH46</f>
        <v>17970.533411553632</v>
      </c>
      <c r="BI58" s="86">
        <f t="shared" si="105"/>
        <v>-5783.1224483990081</v>
      </c>
      <c r="BJ58" s="86">
        <f t="shared" si="105"/>
        <v>22931.853557418712</v>
      </c>
      <c r="BK58" s="86">
        <f t="shared" si="105"/>
        <v>23909.252355304619</v>
      </c>
      <c r="BL58" s="86">
        <f t="shared" si="105"/>
        <v>-7057.2428222149392</v>
      </c>
      <c r="BM58" s="86">
        <f t="shared" si="105"/>
        <v>-1806.9738882558795</v>
      </c>
      <c r="BN58" s="86">
        <f t="shared" si="105"/>
        <v>-8659.8133551805222</v>
      </c>
      <c r="BO58" s="86">
        <f t="shared" si="105"/>
        <v>-9825.1581975843837</v>
      </c>
      <c r="BP58" s="86">
        <f t="shared" si="105"/>
        <v>-21911.727084847193</v>
      </c>
      <c r="BQ58" s="86">
        <f t="shared" si="105"/>
        <v>-12248.594277914828</v>
      </c>
      <c r="BR58" s="86">
        <f t="shared" si="105"/>
        <v>-13279.430746981576</v>
      </c>
      <c r="BS58" s="86">
        <f t="shared" si="105"/>
        <v>-12163.524754731832</v>
      </c>
      <c r="BT58" s="86">
        <f t="shared" ref="BT58:BV58" si="106">BT25-BT46</f>
        <v>-5507.1288872555251</v>
      </c>
      <c r="BU58" s="86">
        <f t="shared" si="106"/>
        <v>-11377.853371221976</v>
      </c>
      <c r="BV58" s="90">
        <f t="shared" si="106"/>
        <v>-15256.14282866207</v>
      </c>
    </row>
    <row r="59" spans="1:75" x14ac:dyDescent="0.3">
      <c r="A59" s="73"/>
      <c r="B59" s="75"/>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7"/>
    </row>
    <row r="60" spans="1:75" x14ac:dyDescent="0.3">
      <c r="A60" s="73" t="s">
        <v>70</v>
      </c>
      <c r="B60" s="75"/>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7"/>
    </row>
    <row r="61" spans="1:75" x14ac:dyDescent="0.3">
      <c r="A61" s="73" t="s">
        <v>0</v>
      </c>
      <c r="B61" s="85">
        <f>B54</f>
        <v>0</v>
      </c>
      <c r="C61" s="89">
        <f t="shared" ref="C61:N65" si="107">B61+C54+B68</f>
        <v>0</v>
      </c>
      <c r="D61" s="89">
        <f t="shared" si="107"/>
        <v>109165.05951390543</v>
      </c>
      <c r="E61" s="89">
        <f t="shared" si="107"/>
        <v>589973.05797724216</v>
      </c>
      <c r="F61" s="89">
        <f t="shared" si="107"/>
        <v>1625898.6002303143</v>
      </c>
      <c r="G61" s="89">
        <f t="shared" si="107"/>
        <v>830908.3404646602</v>
      </c>
      <c r="H61" s="89">
        <f t="shared" si="107"/>
        <v>-129084.66537233327</v>
      </c>
      <c r="I61" s="89">
        <f t="shared" si="107"/>
        <v>-9644.0145489684128</v>
      </c>
      <c r="J61" s="89">
        <f t="shared" si="107"/>
        <v>-660431.30714965402</v>
      </c>
      <c r="K61" s="89">
        <f t="shared" si="107"/>
        <v>-377213.32380364108</v>
      </c>
      <c r="L61" s="89">
        <f t="shared" si="107"/>
        <v>380939.22856917302</v>
      </c>
      <c r="M61" s="89">
        <f t="shared" si="107"/>
        <v>283477.57931506872</v>
      </c>
      <c r="N61" s="89">
        <f>M61+N54+M68</f>
        <v>-578960.74851075851</v>
      </c>
      <c r="O61" s="89">
        <f>N61+O54+N68+N78</f>
        <v>1561544.4296673187</v>
      </c>
      <c r="P61" s="89">
        <f t="shared" ref="P61:BR61" si="108">O61+P54+O68+O78</f>
        <v>1403181.9679555907</v>
      </c>
      <c r="Q61" s="89">
        <f t="shared" si="108"/>
        <v>532637.06395700935</v>
      </c>
      <c r="R61" s="89">
        <f t="shared" si="108"/>
        <v>1371013.7447367627</v>
      </c>
      <c r="S61" s="89">
        <f t="shared" si="108"/>
        <v>1884599.0436418604</v>
      </c>
      <c r="T61" s="89">
        <f t="shared" si="108"/>
        <v>821649.35114627786</v>
      </c>
      <c r="U61" s="89">
        <f t="shared" si="108"/>
        <v>745272.87178997661</v>
      </c>
      <c r="V61" s="89">
        <f t="shared" si="108"/>
        <v>605160.77186383563</v>
      </c>
      <c r="W61" s="89">
        <f t="shared" si="108"/>
        <v>568923.76489999704</v>
      </c>
      <c r="X61" s="89">
        <f t="shared" si="108"/>
        <v>420598.62030032504</v>
      </c>
      <c r="Y61" s="89">
        <f t="shared" si="108"/>
        <v>312562.88870646991</v>
      </c>
      <c r="Z61" s="89">
        <f t="shared" si="108"/>
        <v>-1513236.7554078964</v>
      </c>
      <c r="AA61" s="89">
        <f t="shared" si="108"/>
        <v>-3073703.4357297886</v>
      </c>
      <c r="AB61" s="89">
        <f t="shared" si="108"/>
        <v>-4133239.4234793009</v>
      </c>
      <c r="AC61" s="89">
        <f t="shared" si="108"/>
        <v>-4842863.5469077537</v>
      </c>
      <c r="AD61" s="89">
        <f t="shared" si="108"/>
        <v>-5327988.4382469682</v>
      </c>
      <c r="AE61" s="89">
        <f t="shared" si="108"/>
        <v>-5886566.9448197056</v>
      </c>
      <c r="AF61" s="89">
        <f t="shared" si="108"/>
        <v>-6694479.7673336733</v>
      </c>
      <c r="AG61" s="89">
        <f t="shared" si="108"/>
        <v>-7360849.375724867</v>
      </c>
      <c r="AH61" s="89">
        <f t="shared" si="108"/>
        <v>-8467016.7548141666</v>
      </c>
      <c r="AI61" s="89">
        <f t="shared" si="108"/>
        <v>-8979562.2187461872</v>
      </c>
      <c r="AJ61" s="89">
        <f t="shared" si="108"/>
        <v>-9008657.5129621644</v>
      </c>
      <c r="AK61" s="89">
        <f t="shared" si="108"/>
        <v>-9230178.005053658</v>
      </c>
      <c r="AL61" s="89">
        <f t="shared" si="108"/>
        <v>-11965075.655640436</v>
      </c>
      <c r="AM61" s="89">
        <f t="shared" si="108"/>
        <v>-8420047.1732404139</v>
      </c>
      <c r="AN61" s="89">
        <f t="shared" si="108"/>
        <v>-5888235.807120773</v>
      </c>
      <c r="AO61" s="89">
        <f t="shared" si="108"/>
        <v>-5372008.5648648664</v>
      </c>
      <c r="AP61" s="89">
        <f t="shared" si="108"/>
        <v>-4914166.0148259019</v>
      </c>
      <c r="AQ61" s="89">
        <f t="shared" si="108"/>
        <v>-4269763.9615786457</v>
      </c>
      <c r="AR61" s="89">
        <f t="shared" si="108"/>
        <v>-2464466.6995512359</v>
      </c>
      <c r="AS61" s="89">
        <f t="shared" si="108"/>
        <v>-3052829.7740848088</v>
      </c>
      <c r="AT61" s="89">
        <f t="shared" si="108"/>
        <v>-2303773.0203349167</v>
      </c>
      <c r="AU61" s="89">
        <f t="shared" si="108"/>
        <v>-1691690.1865715361</v>
      </c>
      <c r="AV61" s="89">
        <f t="shared" si="108"/>
        <v>-1154397.0538330986</v>
      </c>
      <c r="AW61" s="89">
        <f t="shared" si="108"/>
        <v>-426995.42742234934</v>
      </c>
      <c r="AX61" s="89">
        <f t="shared" si="108"/>
        <v>325977.00470282347</v>
      </c>
      <c r="AY61" s="89">
        <f t="shared" si="108"/>
        <v>746003.62080618856</v>
      </c>
      <c r="AZ61" s="89">
        <f t="shared" si="108"/>
        <v>616746.63254363998</v>
      </c>
      <c r="BA61" s="89">
        <f t="shared" si="108"/>
        <v>506157.29932527238</v>
      </c>
      <c r="BB61" s="89">
        <f t="shared" si="108"/>
        <v>412302.86534761509</v>
      </c>
      <c r="BC61" s="89">
        <f t="shared" si="108"/>
        <v>285174.12578280928</v>
      </c>
      <c r="BD61" s="89">
        <f t="shared" si="108"/>
        <v>113918.09214991287</v>
      </c>
      <c r="BE61" s="89">
        <f t="shared" si="108"/>
        <v>-48913.731264737085</v>
      </c>
      <c r="BF61" s="89">
        <f t="shared" si="108"/>
        <v>-195660.30200938057</v>
      </c>
      <c r="BG61" s="89">
        <f t="shared" si="108"/>
        <v>-294814.55238866317</v>
      </c>
      <c r="BH61" s="89">
        <f t="shared" si="108"/>
        <v>-400799.92925490433</v>
      </c>
      <c r="BI61" s="89">
        <f t="shared" si="108"/>
        <v>-541480.67243492766</v>
      </c>
      <c r="BJ61" s="89">
        <f t="shared" si="108"/>
        <v>-724534.03578192182</v>
      </c>
      <c r="BK61" s="89">
        <f>BJ61+BK54+BJ68+BJ78</f>
        <v>-782186.82015522046</v>
      </c>
      <c r="BL61" s="89">
        <f>BK61+BL54+BK68+BK78</f>
        <v>-715660.50985018315</v>
      </c>
      <c r="BM61" s="89">
        <f>BL61+BM54+BL68+BL78</f>
        <v>-670640.79417493311</v>
      </c>
      <c r="BN61" s="89">
        <f t="shared" si="108"/>
        <v>-628376.40882273484</v>
      </c>
      <c r="BO61" s="89">
        <f>BN61+BO54+BN68+BN78</f>
        <v>-573126.49981121731</v>
      </c>
      <c r="BP61" s="89">
        <f t="shared" si="108"/>
        <v>-500106.3238096392</v>
      </c>
      <c r="BQ61" s="89">
        <f t="shared" si="108"/>
        <v>-425586.70881132828</v>
      </c>
      <c r="BR61" s="89">
        <f t="shared" si="108"/>
        <v>-352383.9210783224</v>
      </c>
      <c r="BS61" s="89">
        <f>BR61+BS54+BR68+BR78</f>
        <v>-301599.90349469148</v>
      </c>
      <c r="BT61" s="89">
        <f t="shared" ref="BT61:BV65" si="109">BS61+BT54+BS68+BS78</f>
        <v>-216072.87540226203</v>
      </c>
      <c r="BU61" s="89">
        <f t="shared" si="109"/>
        <v>-156086.61865638988</v>
      </c>
      <c r="BV61" s="90">
        <f>BU61+BV54+BU68+BU78</f>
        <v>-112041.50579164682</v>
      </c>
    </row>
    <row r="62" spans="1:75" x14ac:dyDescent="0.3">
      <c r="A62" s="73" t="s">
        <v>4</v>
      </c>
      <c r="B62" s="85">
        <f>B55</f>
        <v>0</v>
      </c>
      <c r="C62" s="89">
        <f t="shared" si="107"/>
        <v>0</v>
      </c>
      <c r="D62" s="89">
        <f t="shared" si="107"/>
        <v>80396.905524086716</v>
      </c>
      <c r="E62" s="89">
        <f t="shared" si="107"/>
        <v>102813.45185985549</v>
      </c>
      <c r="F62" s="89">
        <f t="shared" si="107"/>
        <v>138526.47892182056</v>
      </c>
      <c r="G62" s="89">
        <f t="shared" si="107"/>
        <v>-166981.5220366084</v>
      </c>
      <c r="H62" s="89">
        <f t="shared" si="107"/>
        <v>-575235.63754407014</v>
      </c>
      <c r="I62" s="89">
        <f t="shared" si="107"/>
        <v>-849210.96389791986</v>
      </c>
      <c r="J62" s="89">
        <f t="shared" si="107"/>
        <v>-1275617.0144971686</v>
      </c>
      <c r="K62" s="89">
        <f t="shared" si="107"/>
        <v>-1409573.1245181714</v>
      </c>
      <c r="L62" s="89">
        <f t="shared" si="107"/>
        <v>-1442918.8061106028</v>
      </c>
      <c r="M62" s="89">
        <f t="shared" si="107"/>
        <v>-1576142.6739830303</v>
      </c>
      <c r="N62" s="89">
        <f t="shared" si="107"/>
        <v>-1687725.6442405146</v>
      </c>
      <c r="O62" s="89">
        <f>N62+O55+N69+N79</f>
        <v>-1378496.5915851805</v>
      </c>
      <c r="P62" s="89">
        <f t="shared" ref="P62:BS62" si="110">O62+P55+O69+O79</f>
        <v>-1343601.144009212</v>
      </c>
      <c r="Q62" s="89">
        <f t="shared" si="110"/>
        <v>-1209970.2706184406</v>
      </c>
      <c r="R62" s="89">
        <f t="shared" si="110"/>
        <v>-1002133.1783360539</v>
      </c>
      <c r="S62" s="89">
        <f t="shared" si="110"/>
        <v>-797373.19521415175</v>
      </c>
      <c r="T62" s="89">
        <f t="shared" si="110"/>
        <v>-740579.95468370675</v>
      </c>
      <c r="U62" s="89">
        <f t="shared" si="110"/>
        <v>-450772.09815773251</v>
      </c>
      <c r="V62" s="89">
        <f t="shared" si="110"/>
        <v>-271821.03830224642</v>
      </c>
      <c r="W62" s="89">
        <f t="shared" si="110"/>
        <v>7893.8947118657406</v>
      </c>
      <c r="X62" s="89">
        <f t="shared" si="110"/>
        <v>167273.59130174661</v>
      </c>
      <c r="Y62" s="89">
        <f t="shared" si="110"/>
        <v>601253.78648627293</v>
      </c>
      <c r="Z62" s="89">
        <f t="shared" si="110"/>
        <v>686691.86570442934</v>
      </c>
      <c r="AA62" s="89">
        <f t="shared" si="110"/>
        <v>257969.78992262113</v>
      </c>
      <c r="AB62" s="89">
        <f t="shared" si="110"/>
        <v>110319.38538288491</v>
      </c>
      <c r="AC62" s="89">
        <f t="shared" si="110"/>
        <v>-112405.21004647797</v>
      </c>
      <c r="AD62" s="89">
        <f t="shared" si="110"/>
        <v>-178716.40307134084</v>
      </c>
      <c r="AE62" s="89">
        <f t="shared" si="110"/>
        <v>-452400.24372081307</v>
      </c>
      <c r="AF62" s="89">
        <f t="shared" si="110"/>
        <v>-630705.97969036025</v>
      </c>
      <c r="AG62" s="89">
        <f t="shared" si="110"/>
        <v>-639540.72513571184</v>
      </c>
      <c r="AH62" s="89">
        <f t="shared" si="110"/>
        <v>-825391.78605983674</v>
      </c>
      <c r="AI62" s="89">
        <f t="shared" si="110"/>
        <v>-997170.75933109899</v>
      </c>
      <c r="AJ62" s="89">
        <f t="shared" si="110"/>
        <v>-831726.77059438755</v>
      </c>
      <c r="AK62" s="89">
        <f t="shared" si="110"/>
        <v>-502231.4981782501</v>
      </c>
      <c r="AL62" s="89">
        <f t="shared" si="110"/>
        <v>-946522.5044732386</v>
      </c>
      <c r="AM62" s="89">
        <f t="shared" si="110"/>
        <v>516504.39351657365</v>
      </c>
      <c r="AN62" s="89">
        <f t="shared" si="110"/>
        <v>1574123.2582784956</v>
      </c>
      <c r="AO62" s="89">
        <f t="shared" si="110"/>
        <v>1480381.9390164837</v>
      </c>
      <c r="AP62" s="89">
        <f t="shared" si="110"/>
        <v>1400200.0094743322</v>
      </c>
      <c r="AQ62" s="89">
        <f t="shared" si="110"/>
        <v>1281895.0932435743</v>
      </c>
      <c r="AR62" s="89">
        <f t="shared" si="110"/>
        <v>1136724.7065992351</v>
      </c>
      <c r="AS62" s="89">
        <f t="shared" si="110"/>
        <v>966002.61064785416</v>
      </c>
      <c r="AT62" s="89">
        <f t="shared" si="110"/>
        <v>808782.54133213218</v>
      </c>
      <c r="AU62" s="89">
        <f t="shared" si="110"/>
        <v>747165.61056923098</v>
      </c>
      <c r="AV62" s="89">
        <f t="shared" si="110"/>
        <v>617452.15340141195</v>
      </c>
      <c r="AW62" s="89">
        <f t="shared" si="110"/>
        <v>489938.79899117444</v>
      </c>
      <c r="AX62" s="89">
        <f t="shared" si="110"/>
        <v>346308.85482648376</v>
      </c>
      <c r="AY62" s="89">
        <f t="shared" si="110"/>
        <v>255650.48782315999</v>
      </c>
      <c r="AZ62" s="89">
        <f t="shared" si="110"/>
        <v>274026.06419306976</v>
      </c>
      <c r="BA62" s="89">
        <f t="shared" si="110"/>
        <v>252214.89716856772</v>
      </c>
      <c r="BB62" s="89">
        <f t="shared" si="110"/>
        <v>234156.19410322761</v>
      </c>
      <c r="BC62" s="89">
        <f t="shared" si="110"/>
        <v>261637.06865154702</v>
      </c>
      <c r="BD62" s="89">
        <f t="shared" si="110"/>
        <v>243200.72202109653</v>
      </c>
      <c r="BE62" s="89">
        <f t="shared" si="110"/>
        <v>365878.57656490558</v>
      </c>
      <c r="BF62" s="89">
        <f t="shared" si="110"/>
        <v>363157.59764415066</v>
      </c>
      <c r="BG62" s="89">
        <f t="shared" si="110"/>
        <v>343485.91166682215</v>
      </c>
      <c r="BH62" s="89">
        <f t="shared" si="110"/>
        <v>320743.90196953021</v>
      </c>
      <c r="BI62" s="89">
        <f t="shared" si="110"/>
        <v>231744.73964952899</v>
      </c>
      <c r="BJ62" s="89">
        <f t="shared" si="110"/>
        <v>222467.01778270429</v>
      </c>
      <c r="BK62" s="89">
        <f t="shared" si="110"/>
        <v>222694.89950045673</v>
      </c>
      <c r="BL62" s="89">
        <f t="shared" si="110"/>
        <v>186007.74346594157</v>
      </c>
      <c r="BM62" s="89">
        <f t="shared" si="110"/>
        <v>178538.99148812686</v>
      </c>
      <c r="BN62" s="89">
        <f t="shared" si="110"/>
        <v>154835.98050524757</v>
      </c>
      <c r="BO62" s="89">
        <f t="shared" si="110"/>
        <v>122401.7966914421</v>
      </c>
      <c r="BP62" s="89">
        <f t="shared" si="110"/>
        <v>59225.053239774134</v>
      </c>
      <c r="BQ62" s="89">
        <f t="shared" si="110"/>
        <v>19876.516675904597</v>
      </c>
      <c r="BR62" s="89">
        <f t="shared" si="110"/>
        <v>-19967.12804100235</v>
      </c>
      <c r="BS62" s="89">
        <f t="shared" si="110"/>
        <v>-53172.974649872704</v>
      </c>
      <c r="BT62" s="89">
        <f t="shared" si="109"/>
        <v>-74788.416745470182</v>
      </c>
      <c r="BU62" s="89">
        <f t="shared" si="109"/>
        <v>-108716.30170584413</v>
      </c>
      <c r="BV62" s="90">
        <f t="shared" si="109"/>
        <v>-163941.92612245475</v>
      </c>
    </row>
    <row r="63" spans="1:75" x14ac:dyDescent="0.3">
      <c r="A63" s="73" t="s">
        <v>5</v>
      </c>
      <c r="B63" s="85">
        <f>B56</f>
        <v>0</v>
      </c>
      <c r="C63" s="89">
        <f t="shared" si="107"/>
        <v>0</v>
      </c>
      <c r="D63" s="89">
        <f t="shared" si="107"/>
        <v>184247.82933918544</v>
      </c>
      <c r="E63" s="89">
        <f t="shared" si="107"/>
        <v>239746.06307966658</v>
      </c>
      <c r="F63" s="89">
        <f t="shared" si="107"/>
        <v>347223.76684618538</v>
      </c>
      <c r="G63" s="89">
        <f t="shared" si="107"/>
        <v>-373866.59460612811</v>
      </c>
      <c r="H63" s="89">
        <f t="shared" si="107"/>
        <v>-1298768.7578778537</v>
      </c>
      <c r="I63" s="89">
        <f t="shared" si="107"/>
        <v>-1921556.8028235878</v>
      </c>
      <c r="J63" s="89">
        <f t="shared" si="107"/>
        <v>-2933611.5707220067</v>
      </c>
      <c r="K63" s="89">
        <f t="shared" si="107"/>
        <v>-3262107.9240275351</v>
      </c>
      <c r="L63" s="89">
        <f t="shared" si="107"/>
        <v>-3347467.7467627646</v>
      </c>
      <c r="M63" s="89">
        <f t="shared" si="107"/>
        <v>-3648540.3155675363</v>
      </c>
      <c r="N63" s="89">
        <f>M63+N56+M70</f>
        <v>-3888875.9796365574</v>
      </c>
      <c r="O63" s="89">
        <f>N63+O56+N70+N80</f>
        <v>-3083427.2186984839</v>
      </c>
      <c r="P63" s="89">
        <f t="shared" ref="P63:BS63" si="111">O63+P56+O70+O80</f>
        <v>-3013119.2398183146</v>
      </c>
      <c r="Q63" s="89">
        <f t="shared" si="111"/>
        <v>-2698668.912863466</v>
      </c>
      <c r="R63" s="89">
        <f t="shared" si="111"/>
        <v>-2184311.4780328372</v>
      </c>
      <c r="S63" s="89">
        <f t="shared" si="111"/>
        <v>-1702877.3554175424</v>
      </c>
      <c r="T63" s="89">
        <f t="shared" si="111"/>
        <v>-1588169.5435432009</v>
      </c>
      <c r="U63" s="89">
        <f t="shared" si="111"/>
        <v>-939249.96998780197</v>
      </c>
      <c r="V63" s="89">
        <f t="shared" si="111"/>
        <v>-521156.15941086033</v>
      </c>
      <c r="W63" s="89">
        <f t="shared" si="111"/>
        <v>150100.71479632641</v>
      </c>
      <c r="X63" s="89">
        <f t="shared" si="111"/>
        <v>530163.68748247868</v>
      </c>
      <c r="Y63" s="89">
        <f t="shared" si="111"/>
        <v>1525738.2744636349</v>
      </c>
      <c r="Z63" s="89">
        <f t="shared" si="111"/>
        <v>1702806.7100677937</v>
      </c>
      <c r="AA63" s="89">
        <f t="shared" si="111"/>
        <v>810394.92248889175</v>
      </c>
      <c r="AB63" s="89">
        <f t="shared" si="111"/>
        <v>475274.48981986195</v>
      </c>
      <c r="AC63" s="89">
        <f t="shared" si="111"/>
        <v>-38577.313972243406</v>
      </c>
      <c r="AD63" s="89">
        <f t="shared" si="111"/>
        <v>-212511.09195192985</v>
      </c>
      <c r="AE63" s="89">
        <f t="shared" si="111"/>
        <v>-866019.19294249429</v>
      </c>
      <c r="AF63" s="89">
        <f t="shared" si="111"/>
        <v>-1278446.886966004</v>
      </c>
      <c r="AG63" s="89">
        <f t="shared" si="111"/>
        <v>-1309766.0900498836</v>
      </c>
      <c r="AH63" s="89">
        <f t="shared" si="111"/>
        <v>-1762225.5284048333</v>
      </c>
      <c r="AI63" s="89">
        <f t="shared" si="111"/>
        <v>-2191172.0033890544</v>
      </c>
      <c r="AJ63" s="89">
        <f t="shared" si="111"/>
        <v>-1800030.9831164349</v>
      </c>
      <c r="AK63" s="89">
        <f t="shared" si="111"/>
        <v>-1093568.8338579414</v>
      </c>
      <c r="AL63" s="89">
        <f t="shared" si="111"/>
        <v>-2058618.1769579165</v>
      </c>
      <c r="AM63" s="89">
        <f t="shared" si="111"/>
        <v>896195.74958593911</v>
      </c>
      <c r="AN63" s="89">
        <f t="shared" si="111"/>
        <v>3096834.4962441595</v>
      </c>
      <c r="AO63" s="89">
        <f t="shared" si="111"/>
        <v>2893143.6421382753</v>
      </c>
      <c r="AP63" s="89">
        <f t="shared" si="111"/>
        <v>2691027.8638763549</v>
      </c>
      <c r="AQ63" s="89">
        <f t="shared" si="111"/>
        <v>2409999.3252919405</v>
      </c>
      <c r="AR63" s="89">
        <f t="shared" si="111"/>
        <v>2084215.4873280786</v>
      </c>
      <c r="AS63" s="89">
        <f t="shared" si="111"/>
        <v>1703366.5681413056</v>
      </c>
      <c r="AT63" s="89">
        <f t="shared" si="111"/>
        <v>1335778.0619616732</v>
      </c>
      <c r="AU63" s="89">
        <f t="shared" si="111"/>
        <v>1189203.261318533</v>
      </c>
      <c r="AV63" s="89">
        <f t="shared" si="111"/>
        <v>885852.11613800912</v>
      </c>
      <c r="AW63" s="89">
        <f t="shared" si="111"/>
        <v>609445.79503968905</v>
      </c>
      <c r="AX63" s="89">
        <f t="shared" si="111"/>
        <v>307678.07225033618</v>
      </c>
      <c r="AY63" s="89">
        <f t="shared" si="111"/>
        <v>129917.54988711211</v>
      </c>
      <c r="AZ63" s="89">
        <f t="shared" si="111"/>
        <v>205962.03253088752</v>
      </c>
      <c r="BA63" s="89">
        <f t="shared" si="111"/>
        <v>186648.1684052225</v>
      </c>
      <c r="BB63" s="89">
        <f t="shared" si="111"/>
        <v>173740.52860317775</v>
      </c>
      <c r="BC63" s="89">
        <f t="shared" si="111"/>
        <v>273947.80030935514</v>
      </c>
      <c r="BD63" s="89">
        <f t="shared" si="111"/>
        <v>276978.79585596768</v>
      </c>
      <c r="BE63" s="89">
        <f t="shared" si="111"/>
        <v>592736.39997213555</v>
      </c>
      <c r="BF63" s="89">
        <f t="shared" si="111"/>
        <v>629095.96638826665</v>
      </c>
      <c r="BG63" s="89">
        <f t="shared" si="111"/>
        <v>617946.91887179436</v>
      </c>
      <c r="BH63" s="89">
        <f t="shared" si="111"/>
        <v>599763.83066150267</v>
      </c>
      <c r="BI63" s="89">
        <f t="shared" si="111"/>
        <v>442416.99936842843</v>
      </c>
      <c r="BJ63" s="89">
        <f t="shared" si="111"/>
        <v>464934.63071391825</v>
      </c>
      <c r="BK63" s="89">
        <f t="shared" si="111"/>
        <v>491024.92278577079</v>
      </c>
      <c r="BL63" s="89">
        <f t="shared" si="111"/>
        <v>421172.38925813843</v>
      </c>
      <c r="BM63" s="89">
        <f t="shared" si="111"/>
        <v>408653.85909797612</v>
      </c>
      <c r="BN63" s="89">
        <f t="shared" si="111"/>
        <v>356308.37309140922</v>
      </c>
      <c r="BO63" s="89">
        <f t="shared" si="111"/>
        <v>289324.34750541253</v>
      </c>
      <c r="BP63" s="89">
        <f t="shared" si="111"/>
        <v>156910.15117022983</v>
      </c>
      <c r="BQ63" s="89">
        <f t="shared" si="111"/>
        <v>77263.393471254793</v>
      </c>
      <c r="BR63" s="89">
        <f t="shared" si="111"/>
        <v>-4115.1728842720513</v>
      </c>
      <c r="BS63" s="89">
        <f t="shared" si="111"/>
        <v>-75617.294100114159</v>
      </c>
      <c r="BT63" s="89">
        <f t="shared" si="109"/>
        <v>-120560.98121488497</v>
      </c>
      <c r="BU63" s="89">
        <f t="shared" si="109"/>
        <v>-190245.24586861834</v>
      </c>
      <c r="BV63" s="90">
        <f t="shared" si="109"/>
        <v>-295032.53303819004</v>
      </c>
    </row>
    <row r="64" spans="1:75" x14ac:dyDescent="0.3">
      <c r="A64" s="73" t="s">
        <v>6</v>
      </c>
      <c r="B64" s="85">
        <f>B57</f>
        <v>0</v>
      </c>
      <c r="C64" s="89">
        <f t="shared" si="107"/>
        <v>0</v>
      </c>
      <c r="D64" s="89">
        <f t="shared" si="107"/>
        <v>76446.845496259717</v>
      </c>
      <c r="E64" s="89">
        <f t="shared" si="107"/>
        <v>101418.91784118135</v>
      </c>
      <c r="F64" s="89">
        <f t="shared" si="107"/>
        <v>139530.53682996024</v>
      </c>
      <c r="G64" s="89">
        <f t="shared" si="107"/>
        <v>-118797.95866002348</v>
      </c>
      <c r="H64" s="89">
        <f t="shared" si="107"/>
        <v>-506313.86538267171</v>
      </c>
      <c r="I64" s="89">
        <f t="shared" si="107"/>
        <v>-760557.32470014202</v>
      </c>
      <c r="J64" s="89">
        <f t="shared" si="107"/>
        <v>-1206770.5725644981</v>
      </c>
      <c r="K64" s="89">
        <f t="shared" si="107"/>
        <v>-1346538.2121681424</v>
      </c>
      <c r="L64" s="89">
        <f t="shared" si="107"/>
        <v>-1384282.0669951139</v>
      </c>
      <c r="M64" s="89">
        <f t="shared" si="107"/>
        <v>-1514314.6421503103</v>
      </c>
      <c r="N64" s="89">
        <f>M64+N57+M71</f>
        <v>-1616506.4047370318</v>
      </c>
      <c r="O64" s="89">
        <f>N64+O57+N71+N81</f>
        <v>-1309206.877318915</v>
      </c>
      <c r="P64" s="89">
        <f t="shared" ref="P64:BS64" si="112">O64+P57+O71+O81</f>
        <v>-1278897.8893600819</v>
      </c>
      <c r="Q64" s="89">
        <f t="shared" si="112"/>
        <v>-1131900.132249801</v>
      </c>
      <c r="R64" s="89">
        <f t="shared" si="112"/>
        <v>-894924.28617594659</v>
      </c>
      <c r="S64" s="89">
        <f t="shared" si="112"/>
        <v>-670118.07253304543</v>
      </c>
      <c r="T64" s="89">
        <f t="shared" si="112"/>
        <v>-621588.04970196332</v>
      </c>
      <c r="U64" s="89">
        <f t="shared" si="112"/>
        <v>-339516.91038120678</v>
      </c>
      <c r="V64" s="89">
        <f t="shared" si="112"/>
        <v>-153848.4564750187</v>
      </c>
      <c r="W64" s="89">
        <f t="shared" si="112"/>
        <v>149681.62587042499</v>
      </c>
      <c r="X64" s="89">
        <f t="shared" si="112"/>
        <v>322377.46607404744</v>
      </c>
      <c r="Y64" s="89">
        <f t="shared" si="112"/>
        <v>775309.22900876473</v>
      </c>
      <c r="Z64" s="89">
        <f t="shared" si="112"/>
        <v>836786.75325104245</v>
      </c>
      <c r="AA64" s="89">
        <f t="shared" si="112"/>
        <v>507880.421251191</v>
      </c>
      <c r="AB64" s="89">
        <f t="shared" si="112"/>
        <v>345091.49894067482</v>
      </c>
      <c r="AC64" s="89">
        <f t="shared" si="112"/>
        <v>119360.06568135394</v>
      </c>
      <c r="AD64" s="89">
        <f t="shared" si="112"/>
        <v>25843.659062905896</v>
      </c>
      <c r="AE64" s="89">
        <f t="shared" si="112"/>
        <v>-274624.88331567834</v>
      </c>
      <c r="AF64" s="89">
        <f t="shared" si="112"/>
        <v>-463924.09733418911</v>
      </c>
      <c r="AG64" s="89">
        <f t="shared" si="112"/>
        <v>-487391.77084107825</v>
      </c>
      <c r="AH64" s="89">
        <f t="shared" si="112"/>
        <v>-691624.65822198486</v>
      </c>
      <c r="AI64" s="89">
        <f t="shared" si="112"/>
        <v>-896588.43264858273</v>
      </c>
      <c r="AJ64" s="89">
        <f t="shared" si="112"/>
        <v>-722723.03594859981</v>
      </c>
      <c r="AK64" s="89">
        <f t="shared" si="112"/>
        <v>-406349.53695254767</v>
      </c>
      <c r="AL64" s="89">
        <f t="shared" si="112"/>
        <v>-788752.55648810498</v>
      </c>
      <c r="AM64" s="89">
        <f t="shared" si="112"/>
        <v>319997.97557816311</v>
      </c>
      <c r="AN64" s="89">
        <f t="shared" si="112"/>
        <v>1203971.0887435004</v>
      </c>
      <c r="AO64" s="89">
        <f t="shared" si="112"/>
        <v>1109358.7301949833</v>
      </c>
      <c r="AP64" s="89">
        <f t="shared" si="112"/>
        <v>1021521.6303298152</v>
      </c>
      <c r="AQ64" s="89">
        <f t="shared" si="112"/>
        <v>893886.30823337671</v>
      </c>
      <c r="AR64" s="89">
        <f t="shared" si="112"/>
        <v>757272.6739142685</v>
      </c>
      <c r="AS64" s="89">
        <f t="shared" si="112"/>
        <v>593643.36366539355</v>
      </c>
      <c r="AT64" s="89">
        <f t="shared" si="112"/>
        <v>438147.03357061808</v>
      </c>
      <c r="AU64" s="89">
        <f t="shared" si="112"/>
        <v>372979.82646504807</v>
      </c>
      <c r="AV64" s="89">
        <f t="shared" si="112"/>
        <v>237037.62259756535</v>
      </c>
      <c r="AW64" s="89">
        <f t="shared" si="112"/>
        <v>121808.87091266199</v>
      </c>
      <c r="AX64" s="89">
        <f t="shared" si="112"/>
        <v>-3127.4151259984037</v>
      </c>
      <c r="AY64" s="89">
        <f t="shared" si="112"/>
        <v>-84237.629863803129</v>
      </c>
      <c r="AZ64" s="89">
        <f t="shared" si="112"/>
        <v>-42971.642969409964</v>
      </c>
      <c r="BA64" s="89">
        <f t="shared" si="112"/>
        <v>-41182.465012453707</v>
      </c>
      <c r="BB64" s="89">
        <f t="shared" si="112"/>
        <v>-37286.086537065159</v>
      </c>
      <c r="BC64" s="89">
        <f t="shared" si="112"/>
        <v>19727.580888501987</v>
      </c>
      <c r="BD64" s="89">
        <f t="shared" si="112"/>
        <v>33387.768421617373</v>
      </c>
      <c r="BE64" s="89">
        <f t="shared" si="112"/>
        <v>181273.6210725178</v>
      </c>
      <c r="BF64" s="89">
        <f t="shared" si="112"/>
        <v>209930.6796155945</v>
      </c>
      <c r="BG64" s="89">
        <f t="shared" si="112"/>
        <v>216523.41728067759</v>
      </c>
      <c r="BH64" s="89">
        <f t="shared" si="112"/>
        <v>219713.89892552054</v>
      </c>
      <c r="BI64" s="89">
        <f t="shared" si="112"/>
        <v>161835.28031053158</v>
      </c>
      <c r="BJ64" s="89">
        <f t="shared" si="112"/>
        <v>182819.79437931205</v>
      </c>
      <c r="BK64" s="89">
        <f t="shared" si="112"/>
        <v>203713.00915471016</v>
      </c>
      <c r="BL64" s="89">
        <f t="shared" si="112"/>
        <v>178162.40325320436</v>
      </c>
      <c r="BM64" s="89">
        <f t="shared" si="112"/>
        <v>174523.44130189612</v>
      </c>
      <c r="BN64" s="89">
        <f t="shared" si="112"/>
        <v>152787.18228538428</v>
      </c>
      <c r="BO64" s="89">
        <f t="shared" si="112"/>
        <v>128507.43588746649</v>
      </c>
      <c r="BP64" s="89">
        <f t="shared" si="112"/>
        <v>71875.899129836907</v>
      </c>
      <c r="BQ64" s="89">
        <f t="shared" si="112"/>
        <v>41232.417942374173</v>
      </c>
      <c r="BR64" s="89">
        <f t="shared" si="112"/>
        <v>10117.29254355726</v>
      </c>
      <c r="BS64" s="89">
        <f t="shared" si="112"/>
        <v>-16737.474712868032</v>
      </c>
      <c r="BT64" s="89">
        <f t="shared" si="109"/>
        <v>-32779.705663543333</v>
      </c>
      <c r="BU64" s="89">
        <f t="shared" si="109"/>
        <v>-63688.632541590036</v>
      </c>
      <c r="BV64" s="90">
        <f t="shared" si="109"/>
        <v>-106592.52454278493</v>
      </c>
    </row>
    <row r="65" spans="1:74" x14ac:dyDescent="0.3">
      <c r="A65" s="73" t="s">
        <v>7</v>
      </c>
      <c r="B65" s="85">
        <f>B58</f>
        <v>0</v>
      </c>
      <c r="C65" s="89">
        <f t="shared" si="107"/>
        <v>0</v>
      </c>
      <c r="D65" s="89">
        <f t="shared" si="107"/>
        <v>39321.070126562699</v>
      </c>
      <c r="E65" s="89">
        <f t="shared" si="107"/>
        <v>51964.190221674493</v>
      </c>
      <c r="F65" s="89">
        <f t="shared" si="107"/>
        <v>91306.855708299874</v>
      </c>
      <c r="G65" s="89">
        <f t="shared" si="107"/>
        <v>37512.667578153996</v>
      </c>
      <c r="H65" s="89">
        <f t="shared" si="107"/>
        <v>-159861.58413849736</v>
      </c>
      <c r="I65" s="89">
        <f t="shared" si="107"/>
        <v>-293853.76947427733</v>
      </c>
      <c r="J65" s="89">
        <f t="shared" si="107"/>
        <v>-531928.45316705783</v>
      </c>
      <c r="K65" s="89">
        <f t="shared" si="107"/>
        <v>-608992.47593978513</v>
      </c>
      <c r="L65" s="89">
        <f t="shared" si="107"/>
        <v>-628936.32732313976</v>
      </c>
      <c r="M65" s="89">
        <f t="shared" si="107"/>
        <v>-693542.36948293773</v>
      </c>
      <c r="N65" s="89">
        <f t="shared" si="107"/>
        <v>-744095.99512602703</v>
      </c>
      <c r="O65" s="89">
        <f>N65+O58+N72+N82</f>
        <v>-790294.40789481672</v>
      </c>
      <c r="P65" s="89">
        <f t="shared" ref="P65:BS65" si="113">O65+P58+O72+O82</f>
        <v>-770902.52109743224</v>
      </c>
      <c r="Q65" s="89">
        <f t="shared" si="113"/>
        <v>-692386.78092998406</v>
      </c>
      <c r="R65" s="89">
        <f t="shared" si="113"/>
        <v>-568439.6852196157</v>
      </c>
      <c r="S65" s="89">
        <f t="shared" si="113"/>
        <v>-445117.64193437976</v>
      </c>
      <c r="T65" s="89">
        <f t="shared" si="113"/>
        <v>-414717.55715987762</v>
      </c>
      <c r="U65" s="89">
        <f t="shared" si="113"/>
        <v>-259191.85995456035</v>
      </c>
      <c r="V65" s="89">
        <f t="shared" si="113"/>
        <v>-155788.96686215565</v>
      </c>
      <c r="W65" s="89">
        <f t="shared" si="113"/>
        <v>4783.9951425372374</v>
      </c>
      <c r="X65" s="89">
        <f t="shared" si="113"/>
        <v>109839.8355476178</v>
      </c>
      <c r="Y65" s="89">
        <f t="shared" si="113"/>
        <v>328617.04214976088</v>
      </c>
      <c r="Z65" s="89">
        <f t="shared" si="113"/>
        <v>371672.80822273873</v>
      </c>
      <c r="AA65" s="89">
        <f t="shared" si="113"/>
        <v>323948.56879878149</v>
      </c>
      <c r="AB65" s="89">
        <f t="shared" si="113"/>
        <v>242098.86399325056</v>
      </c>
      <c r="AC65" s="89">
        <f t="shared" si="113"/>
        <v>127686.34066406508</v>
      </c>
      <c r="AD65" s="89">
        <f t="shared" si="113"/>
        <v>75773.099294959204</v>
      </c>
      <c r="AE65" s="89">
        <f t="shared" si="113"/>
        <v>-77851.080928517724</v>
      </c>
      <c r="AF65" s="89">
        <f t="shared" si="113"/>
        <v>-100575.22808822295</v>
      </c>
      <c r="AG65" s="89">
        <f t="shared" si="113"/>
        <v>-107273.20693011118</v>
      </c>
      <c r="AH65" s="89">
        <f t="shared" si="113"/>
        <v>-201299.79348701789</v>
      </c>
      <c r="AI65" s="89">
        <f t="shared" si="113"/>
        <v>-298169.06836304668</v>
      </c>
      <c r="AJ65" s="89">
        <f t="shared" si="113"/>
        <v>-204227.65027226106</v>
      </c>
      <c r="AK65" s="89">
        <f t="shared" si="113"/>
        <v>-52514.131832627645</v>
      </c>
      <c r="AL65" s="89">
        <f t="shared" si="113"/>
        <v>-261707.60965507658</v>
      </c>
      <c r="AM65" s="89">
        <f t="shared" si="113"/>
        <v>82176.395296720657</v>
      </c>
      <c r="AN65" s="89">
        <f t="shared" si="113"/>
        <v>433285.22044592007</v>
      </c>
      <c r="AO65" s="89">
        <f t="shared" si="113"/>
        <v>382492.2848425929</v>
      </c>
      <c r="AP65" s="89">
        <f t="shared" si="113"/>
        <v>336747.55987473112</v>
      </c>
      <c r="AQ65" s="89">
        <f t="shared" si="113"/>
        <v>267407.43893238343</v>
      </c>
      <c r="AR65" s="89">
        <f t="shared" si="113"/>
        <v>199360.42866236949</v>
      </c>
      <c r="AS65" s="89">
        <f t="shared" si="113"/>
        <v>114972.2645847454</v>
      </c>
      <c r="AT65" s="89">
        <f t="shared" si="113"/>
        <v>32696.530809926629</v>
      </c>
      <c r="AU65" s="89">
        <f t="shared" si="113"/>
        <v>-8428.9196571738939</v>
      </c>
      <c r="AV65" s="89">
        <f t="shared" si="113"/>
        <v>-78606.771238004076</v>
      </c>
      <c r="AW65" s="89">
        <f t="shared" si="113"/>
        <v>-135631.93349773184</v>
      </c>
      <c r="AX65" s="89">
        <f t="shared" si="113"/>
        <v>-198727.76167698449</v>
      </c>
      <c r="AY65" s="89">
        <f t="shared" si="113"/>
        <v>-246444.06023380227</v>
      </c>
      <c r="AZ65" s="89">
        <f t="shared" si="113"/>
        <v>-213156.29160273963</v>
      </c>
      <c r="BA65" s="89">
        <f t="shared" si="113"/>
        <v>-196505.13580148836</v>
      </c>
      <c r="BB65" s="89">
        <f t="shared" si="113"/>
        <v>-178427.56784368202</v>
      </c>
      <c r="BC65" s="89">
        <f t="shared" si="113"/>
        <v>-112628.81597060559</v>
      </c>
      <c r="BD65" s="89">
        <f t="shared" si="113"/>
        <v>-88485.297538483253</v>
      </c>
      <c r="BE65" s="89">
        <f t="shared" si="113"/>
        <v>-9268.653024152969</v>
      </c>
      <c r="BF65" s="89">
        <f t="shared" si="113"/>
        <v>21871.932384659576</v>
      </c>
      <c r="BG65" s="89">
        <f t="shared" si="113"/>
        <v>41583.054178597813</v>
      </c>
      <c r="BH65" s="89">
        <f t="shared" si="113"/>
        <v>59560.518099181209</v>
      </c>
      <c r="BI65" s="89">
        <f t="shared" si="113"/>
        <v>53789.925396974722</v>
      </c>
      <c r="BJ65" s="89">
        <f t="shared" si="113"/>
        <v>76734.540569368924</v>
      </c>
      <c r="BK65" s="89">
        <f t="shared" si="113"/>
        <v>100656.9745758889</v>
      </c>
      <c r="BL65" s="89">
        <f t="shared" si="113"/>
        <v>93619.210304228196</v>
      </c>
      <c r="BM65" s="89">
        <f t="shared" si="113"/>
        <v>91825.806408591103</v>
      </c>
      <c r="BN65" s="89">
        <f t="shared" si="113"/>
        <v>83183.219804257344</v>
      </c>
      <c r="BO65" s="89">
        <f t="shared" si="113"/>
        <v>73373.607995899569</v>
      </c>
      <c r="BP65" s="89">
        <f t="shared" si="113"/>
        <v>51474.211284731413</v>
      </c>
      <c r="BQ65" s="89">
        <f t="shared" si="113"/>
        <v>39231.602985742058</v>
      </c>
      <c r="BR65" s="89">
        <f t="shared" si="113"/>
        <v>25958.877540877795</v>
      </c>
      <c r="BS65" s="89">
        <f t="shared" si="113"/>
        <v>13799.532879299177</v>
      </c>
      <c r="BT65" s="89">
        <f t="shared" si="109"/>
        <v>8294.1289336535647</v>
      </c>
      <c r="BU65" s="89">
        <f t="shared" si="109"/>
        <v>-3082.6654915685813</v>
      </c>
      <c r="BV65" s="90">
        <f t="shared" si="109"/>
        <v>-18339.477423051147</v>
      </c>
    </row>
    <row r="66" spans="1:74" x14ac:dyDescent="0.3">
      <c r="A66" s="73"/>
      <c r="B66" s="75"/>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7"/>
    </row>
    <row r="67" spans="1:74" x14ac:dyDescent="0.3">
      <c r="A67" s="73" t="s">
        <v>65</v>
      </c>
      <c r="B67" s="98">
        <v>0</v>
      </c>
      <c r="C67" s="99">
        <v>0</v>
      </c>
      <c r="D67" s="99">
        <f>0.731972%/12</f>
        <v>6.0997666666666656E-4</v>
      </c>
      <c r="E67" s="99">
        <f>0.745569%/12</f>
        <v>6.2130750000000004E-4</v>
      </c>
      <c r="F67" s="99">
        <f>0.755794%/12</f>
        <v>6.2982833333333329E-4</v>
      </c>
      <c r="G67" s="99">
        <f>0.626322%/12</f>
        <v>5.2193500000000006E-4</v>
      </c>
      <c r="H67" s="99">
        <f>0.629043%/12</f>
        <v>5.2420250000000004E-4</v>
      </c>
      <c r="I67" s="99">
        <f>0.764566%/12</f>
        <v>6.3713833333333325E-4</v>
      </c>
      <c r="J67" s="99">
        <f>0.75546%/12</f>
        <v>6.2954999999999999E-4</v>
      </c>
      <c r="K67" s="160">
        <f>0.76017%/12</f>
        <v>6.3347499999999999E-4</v>
      </c>
      <c r="L67" s="160">
        <f>0.764145%/12</f>
        <v>6.3678749999999994E-4</v>
      </c>
      <c r="M67" s="160">
        <f>0.962204%/12</f>
        <v>8.0183666666666664E-4</v>
      </c>
      <c r="N67" s="160">
        <f>0.9%/12</f>
        <v>7.5000000000000012E-4</v>
      </c>
      <c r="O67" s="160">
        <f>0.9%/12</f>
        <v>7.5000000000000012E-4</v>
      </c>
      <c r="P67" s="160">
        <f>1.15%/12</f>
        <v>9.5833333333333328E-4</v>
      </c>
      <c r="Q67" s="160">
        <f>1.15%/12</f>
        <v>9.5833333333333328E-4</v>
      </c>
      <c r="R67" s="160">
        <f>1.15%/12</f>
        <v>9.5833333333333328E-4</v>
      </c>
      <c r="S67" s="160">
        <f>1.41%/12</f>
        <v>1.175E-3</v>
      </c>
      <c r="T67" s="160">
        <f>1.39185%/12</f>
        <v>1.1598750000000001E-3</v>
      </c>
      <c r="U67" s="160">
        <f>1.466976%/12</f>
        <v>1.22248E-3</v>
      </c>
      <c r="V67" s="160">
        <f>1.448276%/12</f>
        <v>1.2068966666666666E-3</v>
      </c>
      <c r="W67" s="160">
        <f>1.45083%/12</f>
        <v>1.2090250000000001E-3</v>
      </c>
      <c r="X67" s="160">
        <f>1.4428689%/12</f>
        <v>1.2023907500000001E-3</v>
      </c>
      <c r="Y67" s="160">
        <f>1.773541%/12</f>
        <v>1.4779508333333333E-3</v>
      </c>
      <c r="Z67" s="160">
        <f>1.715386%/12</f>
        <v>1.4294883333333334E-3</v>
      </c>
      <c r="AA67" s="160">
        <f>1.827566%/12</f>
        <v>1.5229716666666667E-3</v>
      </c>
      <c r="AB67" s="160">
        <f>2.053946%/12</f>
        <v>1.7116216666666665E-3</v>
      </c>
      <c r="AC67" s="160">
        <f>2.311196%/12</f>
        <v>1.9259966666666664E-3</v>
      </c>
      <c r="AD67" s="160">
        <f>2.198795%/12</f>
        <v>1.8323291666666665E-3</v>
      </c>
      <c r="AE67" s="160">
        <f>2.279561%/12</f>
        <v>1.8996341666666667E-3</v>
      </c>
      <c r="AF67" s="160">
        <f>2.347169%/12</f>
        <v>1.9559741666666667E-3</v>
      </c>
      <c r="AG67" s="160">
        <f>2.325446%/12</f>
        <v>1.9378716666666664E-3</v>
      </c>
      <c r="AH67" s="160">
        <f>2.328962%/12</f>
        <v>1.9408016666666668E-3</v>
      </c>
      <c r="AI67" s="160">
        <f>2.457413%/12</f>
        <v>2.0478441666666666E-3</v>
      </c>
      <c r="AJ67" s="160">
        <f>2.527116%/12</f>
        <v>2.1059300000000002E-3</v>
      </c>
      <c r="AK67" s="160">
        <f>2.754579%/12</f>
        <v>2.2954824999999999E-3</v>
      </c>
      <c r="AL67" s="160">
        <f>2.869695%/12</f>
        <v>2.3914125E-3</v>
      </c>
      <c r="AM67" s="160">
        <f>2.840391%/12</f>
        <v>2.3669924999999998E-3</v>
      </c>
      <c r="AN67" s="160">
        <f>2.787815%/12</f>
        <v>2.3231791666666669E-3</v>
      </c>
      <c r="AO67" s="160">
        <f>2.662274%/12</f>
        <v>2.2185616666666667E-3</v>
      </c>
      <c r="AP67" s="160">
        <f>2.677361%/12</f>
        <v>2.2311341666666666E-3</v>
      </c>
      <c r="AQ67" s="160">
        <f>2.650057%/12</f>
        <v>2.2083808333333331E-3</v>
      </c>
      <c r="AR67" s="160">
        <f>2.594869%/12</f>
        <v>2.1623908333333335E-3</v>
      </c>
      <c r="AS67" s="160">
        <f>2.35119%/12</f>
        <v>1.959325E-3</v>
      </c>
      <c r="AT67" s="160">
        <f>2.21687%/12</f>
        <v>1.8473916666666666E-3</v>
      </c>
      <c r="AU67" s="160">
        <f>2.113932%/12</f>
        <v>1.7616100000000003E-3</v>
      </c>
      <c r="AV67" s="160">
        <v>1.5133241666666667E-3</v>
      </c>
      <c r="AW67" s="160">
        <v>1.5959991666666667E-3</v>
      </c>
      <c r="AX67" s="160">
        <v>1.5742316666666667E-3</v>
      </c>
      <c r="AY67" s="160">
        <v>1.5029858333333332E-3</v>
      </c>
      <c r="AZ67" s="160">
        <v>1.5738266666666667E-3</v>
      </c>
      <c r="BA67" s="160">
        <v>7.8204999999999995E-4</v>
      </c>
      <c r="BB67" s="160">
        <v>1.0755583333333334E-4</v>
      </c>
      <c r="BC67" s="160">
        <v>1.046925E-4</v>
      </c>
      <c r="BD67" s="160">
        <v>1.6138583333333333E-4</v>
      </c>
      <c r="BE67" s="160">
        <v>1.1382083333333333E-4</v>
      </c>
      <c r="BF67" s="160">
        <v>1.0326333333333334E-4</v>
      </c>
      <c r="BG67" s="160">
        <v>1.6666666666666666E-4</v>
      </c>
      <c r="BH67" s="160">
        <v>2.1037000000000001E-4</v>
      </c>
      <c r="BI67" s="160">
        <v>2.3724916666666669E-4</v>
      </c>
      <c r="BJ67" s="160">
        <v>1.7178250000000002E-4</v>
      </c>
      <c r="BK67" s="160">
        <v>1.9351416666666668E-4</v>
      </c>
      <c r="BL67" s="160">
        <v>1.7806166666666664E-4</v>
      </c>
      <c r="BM67" s="160">
        <v>1.8760249999999999E-4</v>
      </c>
      <c r="BN67" s="160">
        <v>1.8689333333333334E-4</v>
      </c>
      <c r="BO67" s="160">
        <v>1.6804916666666666E-4</v>
      </c>
      <c r="BP67" s="160">
        <v>1.1629083333333334E-4</v>
      </c>
      <c r="BQ67" s="160">
        <v>1.7091583333333333E-4</v>
      </c>
      <c r="BR67" s="160">
        <v>1.6102749999999998E-4</v>
      </c>
      <c r="BS67" s="160">
        <v>1.25E-4</v>
      </c>
      <c r="BT67" s="160">
        <f>'[2]MEEIA 2 calcs'!BU9/12</f>
        <v>1.2767416666666667E-4</v>
      </c>
      <c r="BU67" s="160">
        <f>'[2]MEEIA 2 calcs'!BV9/12</f>
        <v>2.1705333333333333E-4</v>
      </c>
      <c r="BV67" s="206">
        <f>'[2]MEEIA 2 calcs'!BW9/12</f>
        <v>1.9537499999999999E-4</v>
      </c>
    </row>
    <row r="68" spans="1:74" x14ac:dyDescent="0.3">
      <c r="A68" s="73" t="s">
        <v>0</v>
      </c>
      <c r="B68" s="85">
        <f t="shared" ref="B68:W72" si="114">B61*B$67</f>
        <v>0</v>
      </c>
      <c r="C68" s="89">
        <f t="shared" si="114"/>
        <v>0</v>
      </c>
      <c r="D68" s="89">
        <f t="shared" si="114"/>
        <v>66.58813911876031</v>
      </c>
      <c r="E68" s="89">
        <f>E61*E$67</f>
        <v>366.55468571919539</v>
      </c>
      <c r="F68" s="89">
        <f t="shared" si="114"/>
        <v>1024.0370055520584</v>
      </c>
      <c r="G68" s="89">
        <f t="shared" si="114"/>
        <v>433.68014468042247</v>
      </c>
      <c r="H68" s="89">
        <f t="shared" si="114"/>
        <v>-67.66650429984054</v>
      </c>
      <c r="I68" s="89">
        <f t="shared" si="114"/>
        <v>-6.1445713563721522</v>
      </c>
      <c r="J68" s="89">
        <f t="shared" si="114"/>
        <v>-415.77452941606469</v>
      </c>
      <c r="K68" s="89">
        <f>K61*K$67</f>
        <v>-238.95521029651152</v>
      </c>
      <c r="L68" s="89">
        <f t="shared" si="114"/>
        <v>242.57733901249225</v>
      </c>
      <c r="M68" s="89">
        <f t="shared" si="114"/>
        <v>227.30271727273032</v>
      </c>
      <c r="N68" s="89">
        <f>N61*N$67</f>
        <v>-434.22056138306897</v>
      </c>
      <c r="O68" s="89">
        <f>O61*O$67</f>
        <v>1171.1583222504892</v>
      </c>
      <c r="P68" s="89">
        <f t="shared" si="114"/>
        <v>1344.7160526241078</v>
      </c>
      <c r="Q68" s="89">
        <f t="shared" si="114"/>
        <v>510.44385295880062</v>
      </c>
      <c r="R68" s="89">
        <f t="shared" si="114"/>
        <v>1313.8881720393974</v>
      </c>
      <c r="S68" s="89">
        <f t="shared" si="114"/>
        <v>2214.4038762791861</v>
      </c>
      <c r="T68" s="89">
        <f t="shared" si="114"/>
        <v>953.0105411607891</v>
      </c>
      <c r="U68" s="89">
        <f t="shared" si="114"/>
        <v>911.08118030581056</v>
      </c>
      <c r="V68" s="89">
        <f t="shared" si="114"/>
        <v>730.36651835989028</v>
      </c>
      <c r="W68" s="86">
        <f t="shared" si="114"/>
        <v>687.84305485821892</v>
      </c>
      <c r="X68" s="86">
        <f>X61*X$67-3196*(X28/SUM($X$28:$X$32))</f>
        <v>-763.25536971115434</v>
      </c>
      <c r="Y68" s="86">
        <f t="shared" ref="Y68:BG72" si="115">Y61*Y$67</f>
        <v>461.95258183280112</v>
      </c>
      <c r="Z68" s="86">
        <f t="shared" si="115"/>
        <v>-2163.1542874267748</v>
      </c>
      <c r="AA68" s="86">
        <f t="shared" si="115"/>
        <v>-4681.1632443524559</v>
      </c>
      <c r="AB68" s="86">
        <f t="shared" si="115"/>
        <v>-7074.5421507480132</v>
      </c>
      <c r="AC68" s="86">
        <f t="shared" si="115"/>
        <v>-9327.339048465843</v>
      </c>
      <c r="AD68" s="86">
        <f t="shared" si="115"/>
        <v>-9762.628615062702</v>
      </c>
      <c r="AE68" s="86">
        <f t="shared" si="115"/>
        <v>-11182.323692750128</v>
      </c>
      <c r="AF68" s="86">
        <f t="shared" si="115"/>
        <v>-13094.229484177342</v>
      </c>
      <c r="AG68" s="86">
        <f t="shared" si="115"/>
        <v>-14264.381447818239</v>
      </c>
      <c r="AH68" s="86">
        <f t="shared" si="115"/>
        <v>-16432.800229437926</v>
      </c>
      <c r="AI68" s="86">
        <f t="shared" si="115"/>
        <v>-18388.744108879771</v>
      </c>
      <c r="AJ68" s="86">
        <f>AJ61*AJ$67</f>
        <v>-18971.602116272414</v>
      </c>
      <c r="AK68" s="86">
        <f t="shared" si="115"/>
        <v>-21187.712082485581</v>
      </c>
      <c r="AL68" s="86">
        <f t="shared" si="115"/>
        <v>-28613.431486344234</v>
      </c>
      <c r="AM68" s="86">
        <f t="shared" si="115"/>
        <v>-19930.188508706258</v>
      </c>
      <c r="AN68" s="86">
        <f t="shared" si="115"/>
        <v>-13679.426755523666</v>
      </c>
      <c r="AO68" s="86">
        <f t="shared" si="115"/>
        <v>-11918.132275014206</v>
      </c>
      <c r="AP68" s="86">
        <f t="shared" si="115"/>
        <v>-10964.163696350242</v>
      </c>
      <c r="AQ68" s="86">
        <f t="shared" si="115"/>
        <v>-9429.2648956076828</v>
      </c>
      <c r="AR68" s="86">
        <f t="shared" si="115"/>
        <v>-5329.1402001648466</v>
      </c>
      <c r="AS68" s="229">
        <f t="shared" si="115"/>
        <v>-5981.4856971087183</v>
      </c>
      <c r="AT68" s="86">
        <f t="shared" si="115"/>
        <v>-4255.9710796582222</v>
      </c>
      <c r="AU68" s="86">
        <f t="shared" si="115"/>
        <v>-2980.098349566284</v>
      </c>
      <c r="AV68" s="86">
        <f t="shared" si="115"/>
        <v>-1746.9769594944291</v>
      </c>
      <c r="AW68" s="86">
        <f t="shared" si="115"/>
        <v>-681.48434633654665</v>
      </c>
      <c r="AX68" s="86">
        <f t="shared" si="115"/>
        <v>513.16332340833367</v>
      </c>
      <c r="AY68" s="86">
        <f t="shared" si="115"/>
        <v>1121.2328736870732</v>
      </c>
      <c r="AZ68" s="86">
        <f t="shared" si="115"/>
        <v>970.65229687404849</v>
      </c>
      <c r="BA68" s="86">
        <f t="shared" si="115"/>
        <v>395.84031593732925</v>
      </c>
      <c r="BB68" s="86">
        <f t="shared" si="115"/>
        <v>44.345578268183864</v>
      </c>
      <c r="BC68" s="86">
        <f t="shared" si="115"/>
        <v>29.855592163516761</v>
      </c>
      <c r="BD68" s="86">
        <f t="shared" si="115"/>
        <v>18.384766233357148</v>
      </c>
      <c r="BE68" s="86">
        <f t="shared" si="115"/>
        <v>-5.5674016539950957</v>
      </c>
      <c r="BF68" s="86">
        <f t="shared" si="115"/>
        <v>-20.204534986495336</v>
      </c>
      <c r="BG68" s="86">
        <f t="shared" si="115"/>
        <v>-49.135758731443858</v>
      </c>
      <c r="BH68" s="86">
        <f t="shared" ref="BH68:BS68" si="116">BH61*BH$67</f>
        <v>-84.316281117354222</v>
      </c>
      <c r="BI68" s="86">
        <f t="shared" si="116"/>
        <v>-128.46583830129291</v>
      </c>
      <c r="BJ68" s="86">
        <f t="shared" si="116"/>
        <v>-124.462268001708</v>
      </c>
      <c r="BK68" s="86">
        <f t="shared" si="116"/>
        <v>-151.36423067998737</v>
      </c>
      <c r="BL68" s="392">
        <f>BL61*BL$67-0.97</f>
        <v>-128.40170315144002</v>
      </c>
      <c r="BM68" s="86">
        <f t="shared" si="116"/>
        <v>-125.81388958920289</v>
      </c>
      <c r="BN68" s="86">
        <f t="shared" si="116"/>
        <v>-117.43936163291032</v>
      </c>
      <c r="BO68" s="86">
        <f>BO61*BO$67</f>
        <v>-96.313430687858556</v>
      </c>
      <c r="BP68" s="86">
        <f t="shared" si="116"/>
        <v>-58.157781151092792</v>
      </c>
      <c r="BQ68" s="86">
        <f t="shared" si="116"/>
        <v>-72.739506992078844</v>
      </c>
      <c r="BR68" s="86">
        <f t="shared" si="116"/>
        <v>-56.743501851439554</v>
      </c>
      <c r="BS68" s="86">
        <f t="shared" si="116"/>
        <v>-37.699987936836436</v>
      </c>
      <c r="BT68" s="86">
        <f t="shared" ref="BT68:BV68" si="117">BT61*BT$67</f>
        <v>-27.586924306254303</v>
      </c>
      <c r="BU68" s="86">
        <f t="shared" si="117"/>
        <v>-33.879120868098276</v>
      </c>
      <c r="BV68" s="90">
        <f t="shared" si="117"/>
        <v>-21.890109194042996</v>
      </c>
    </row>
    <row r="69" spans="1:74" x14ac:dyDescent="0.3">
      <c r="A69" s="73" t="s">
        <v>4</v>
      </c>
      <c r="B69" s="85">
        <f t="shared" si="114"/>
        <v>0</v>
      </c>
      <c r="C69" s="89">
        <f t="shared" si="114"/>
        <v>0</v>
      </c>
      <c r="D69" s="89">
        <f t="shared" si="114"/>
        <v>49.040236441897328</v>
      </c>
      <c r="E69" s="89">
        <f t="shared" si="114"/>
        <v>63.878768741417169</v>
      </c>
      <c r="F69" s="89">
        <f t="shared" si="114"/>
        <v>87.247901341865372</v>
      </c>
      <c r="G69" s="89">
        <f t="shared" si="114"/>
        <v>-87.153500704177219</v>
      </c>
      <c r="H69" s="89">
        <f t="shared" si="114"/>
        <v>-301.53995928969545</v>
      </c>
      <c r="I69" s="89">
        <f t="shared" si="114"/>
        <v>-541.06485818631404</v>
      </c>
      <c r="J69" s="89">
        <f t="shared" si="114"/>
        <v>-803.06469147669247</v>
      </c>
      <c r="K69" s="89">
        <f>K62*K$67</f>
        <v>-892.92933505414862</v>
      </c>
      <c r="L69" s="89">
        <f t="shared" si="114"/>
        <v>-918.83265924615534</v>
      </c>
      <c r="M69" s="89">
        <f t="shared" si="114"/>
        <v>-1263.8089878976396</v>
      </c>
      <c r="N69" s="89">
        <f t="shared" si="114"/>
        <v>-1265.7942331803861</v>
      </c>
      <c r="O69" s="89">
        <f>O62*O$67</f>
        <v>-1033.8724436888856</v>
      </c>
      <c r="P69" s="89">
        <f t="shared" si="114"/>
        <v>-1287.6177630088282</v>
      </c>
      <c r="Q69" s="89">
        <f t="shared" si="114"/>
        <v>-1159.5548426760056</v>
      </c>
      <c r="R69" s="89">
        <f t="shared" si="114"/>
        <v>-960.37762923871821</v>
      </c>
      <c r="S69" s="89">
        <f t="shared" si="114"/>
        <v>-936.91350437662834</v>
      </c>
      <c r="T69" s="89">
        <f t="shared" si="114"/>
        <v>-858.98017493876443</v>
      </c>
      <c r="U69" s="89">
        <f t="shared" si="114"/>
        <v>-551.05987455586478</v>
      </c>
      <c r="V69" s="89">
        <f t="shared" si="114"/>
        <v>-328.05990505685349</v>
      </c>
      <c r="W69" s="86">
        <f t="shared" si="114"/>
        <v>9.5439160540134775</v>
      </c>
      <c r="X69" s="86">
        <f>X62*X$67-3196*(X29/SUM($X$28:$X$32))</f>
        <v>-170.56392449977375</v>
      </c>
      <c r="Y69" s="86">
        <f t="shared" si="115"/>
        <v>888.62353478220916</v>
      </c>
      <c r="Z69" s="86">
        <f t="shared" si="115"/>
        <v>981.61801061938195</v>
      </c>
      <c r="AA69" s="86">
        <f t="shared" si="115"/>
        <v>392.88068090810418</v>
      </c>
      <c r="AB69" s="86">
        <f t="shared" si="115"/>
        <v>188.82505027469577</v>
      </c>
      <c r="AC69" s="86">
        <f t="shared" si="115"/>
        <v>-216.49205986548304</v>
      </c>
      <c r="AD69" s="86">
        <f t="shared" si="115"/>
        <v>-327.46727790937405</v>
      </c>
      <c r="AE69" s="86">
        <f t="shared" si="115"/>
        <v>-859.39495998038365</v>
      </c>
      <c r="AF69" s="86">
        <f t="shared" si="115"/>
        <v>-1233.644603036536</v>
      </c>
      <c r="AG69" s="86">
        <f t="shared" si="115"/>
        <v>-1239.3478509199504</v>
      </c>
      <c r="AH69" s="86">
        <f t="shared" si="115"/>
        <v>-1601.9217540379079</v>
      </c>
      <c r="AI69" s="86">
        <f t="shared" si="115"/>
        <v>-2042.0503226667615</v>
      </c>
      <c r="AJ69" s="86">
        <f t="shared" si="115"/>
        <v>-1751.5583579978388</v>
      </c>
      <c r="AK69" s="86">
        <f t="shared" si="115"/>
        <v>-1152.863615016955</v>
      </c>
      <c r="AL69" s="86">
        <f t="shared" si="115"/>
        <v>-2263.525748728609</v>
      </c>
      <c r="AM69" s="86">
        <f t="shared" si="115"/>
        <v>1222.5620256707784</v>
      </c>
      <c r="AN69" s="86">
        <f t="shared" si="115"/>
        <v>3656.9703593980539</v>
      </c>
      <c r="AO69" s="86">
        <f t="shared" si="115"/>
        <v>3284.3186219276417</v>
      </c>
      <c r="AP69" s="86">
        <f t="shared" si="115"/>
        <v>3124.034081305173</v>
      </c>
      <c r="AQ69" s="86">
        <f t="shared" si="115"/>
        <v>2830.9125542631555</v>
      </c>
      <c r="AR69" s="86">
        <f t="shared" si="115"/>
        <v>2458.043085573709</v>
      </c>
      <c r="AS69" s="229">
        <f t="shared" si="115"/>
        <v>1892.713065107607</v>
      </c>
      <c r="AT69" s="86">
        <f t="shared" si="115"/>
        <v>1494.1381270024699</v>
      </c>
      <c r="AU69" s="86">
        <f t="shared" si="115"/>
        <v>1316.2144112348633</v>
      </c>
      <c r="AV69" s="86">
        <f t="shared" si="115"/>
        <v>934.40526550273057</v>
      </c>
      <c r="AW69" s="86">
        <f t="shared" si="115"/>
        <v>781.94191490758192</v>
      </c>
      <c r="AX69" s="86">
        <f t="shared" si="115"/>
        <v>545.17036571492019</v>
      </c>
      <c r="AY69" s="86">
        <f t="shared" si="115"/>
        <v>384.23906148296527</v>
      </c>
      <c r="AZ69" s="86">
        <f t="shared" si="115"/>
        <v>431.26952718876504</v>
      </c>
      <c r="BA69" s="86">
        <f t="shared" si="115"/>
        <v>197.24466033067839</v>
      </c>
      <c r="BB69" s="86">
        <f t="shared" si="115"/>
        <v>25.184864586934399</v>
      </c>
      <c r="BC69" s="86">
        <f t="shared" si="115"/>
        <v>27.391438809802086</v>
      </c>
      <c r="BD69" s="86">
        <f t="shared" si="115"/>
        <v>39.249151190643012</v>
      </c>
      <c r="BE69" s="86">
        <f t="shared" si="115"/>
        <v>41.644604483431358</v>
      </c>
      <c r="BF69" s="86">
        <f t="shared" si="115"/>
        <v>37.500864058060479</v>
      </c>
      <c r="BG69" s="86">
        <f t="shared" si="115"/>
        <v>57.247651944470356</v>
      </c>
      <c r="BH69" s="86">
        <f t="shared" ref="BH69:BS69" si="118">BH62*BH$67</f>
        <v>67.474894657330069</v>
      </c>
      <c r="BI69" s="86">
        <f t="shared" si="118"/>
        <v>54.981246361234383</v>
      </c>
      <c r="BJ69" s="86">
        <f t="shared" si="118"/>
        <v>38.215940482257409</v>
      </c>
      <c r="BK69" s="86">
        <f t="shared" si="118"/>
        <v>43.094617897747966</v>
      </c>
      <c r="BL69" s="392">
        <f>BL62*BL$67-16.19</f>
        <v>16.930848814451327</v>
      </c>
      <c r="BM69" s="86">
        <f t="shared" si="118"/>
        <v>33.494361150651315</v>
      </c>
      <c r="BN69" s="86">
        <f t="shared" si="118"/>
        <v>28.937812516560736</v>
      </c>
      <c r="BO69" s="86">
        <f t="shared" si="118"/>
        <v>20.569519932499603</v>
      </c>
      <c r="BP69" s="86">
        <f t="shared" si="118"/>
        <v>6.8873307954643677</v>
      </c>
      <c r="BQ69" s="86">
        <f t="shared" si="118"/>
        <v>3.3972114114261305</v>
      </c>
      <c r="BR69" s="86">
        <f t="shared" si="118"/>
        <v>-3.2152567106225054</v>
      </c>
      <c r="BS69" s="86">
        <f t="shared" si="118"/>
        <v>-6.6466218312340883</v>
      </c>
      <c r="BT69" s="86">
        <f t="shared" ref="BT69:BV69" si="119">BT62*BT$67</f>
        <v>-9.5485487842972852</v>
      </c>
      <c r="BU69" s="86">
        <f t="shared" si="119"/>
        <v>-23.597235672925823</v>
      </c>
      <c r="BV69" s="90">
        <f t="shared" si="119"/>
        <v>-32.030153816174597</v>
      </c>
    </row>
    <row r="70" spans="1:74" x14ac:dyDescent="0.3">
      <c r="A70" s="73" t="s">
        <v>5</v>
      </c>
      <c r="B70" s="85">
        <f t="shared" si="114"/>
        <v>0</v>
      </c>
      <c r="C70" s="89">
        <f t="shared" si="114"/>
        <v>0</v>
      </c>
      <c r="D70" s="89">
        <f t="shared" si="114"/>
        <v>112.38687678088519</v>
      </c>
      <c r="E70" s="89">
        <f t="shared" si="114"/>
        <v>148.95602708686997</v>
      </c>
      <c r="F70" s="89">
        <f t="shared" si="114"/>
        <v>218.69136636645484</v>
      </c>
      <c r="G70" s="89">
        <f t="shared" si="114"/>
        <v>-195.1340610557495</v>
      </c>
      <c r="H70" s="89">
        <f t="shared" si="114"/>
        <v>-680.81782980146568</v>
      </c>
      <c r="I70" s="89">
        <f t="shared" si="114"/>
        <v>-1224.2974987563491</v>
      </c>
      <c r="J70" s="89">
        <f t="shared" si="114"/>
        <v>-1846.8551643480394</v>
      </c>
      <c r="K70" s="89">
        <f>K63*K$67</f>
        <v>-2066.4638171733427</v>
      </c>
      <c r="L70" s="89">
        <f t="shared" si="114"/>
        <v>-2131.6256177916939</v>
      </c>
      <c r="M70" s="89">
        <f>M63*M$67</f>
        <v>-2925.5334048336213</v>
      </c>
      <c r="N70" s="89">
        <f>N63*N$67</f>
        <v>-2916.6569847274186</v>
      </c>
      <c r="O70" s="89">
        <f>O63*O$67</f>
        <v>-2312.5704140238631</v>
      </c>
      <c r="P70" s="89">
        <f t="shared" si="114"/>
        <v>-2887.5726048258848</v>
      </c>
      <c r="Q70" s="89">
        <f t="shared" si="114"/>
        <v>-2586.2243748274882</v>
      </c>
      <c r="R70" s="89">
        <f t="shared" si="114"/>
        <v>-2093.2984997814688</v>
      </c>
      <c r="S70" s="89">
        <f t="shared" si="114"/>
        <v>-2000.8808926156123</v>
      </c>
      <c r="T70" s="89">
        <f t="shared" si="114"/>
        <v>-1842.0781493171703</v>
      </c>
      <c r="U70" s="89">
        <f t="shared" si="114"/>
        <v>-1148.2143033106881</v>
      </c>
      <c r="V70" s="89">
        <f t="shared" si="114"/>
        <v>-628.98163160576928</v>
      </c>
      <c r="W70" s="86">
        <f t="shared" si="114"/>
        <v>181.47551670662855</v>
      </c>
      <c r="X70" s="86">
        <f>X63*X$67-3196*(X30/SUM($X$28:$X$32))</f>
        <v>-275.87262513425003</v>
      </c>
      <c r="Y70" s="86">
        <f t="shared" si="115"/>
        <v>2254.9661541920914</v>
      </c>
      <c r="Z70" s="86">
        <f t="shared" si="115"/>
        <v>2434.1423259636272</v>
      </c>
      <c r="AA70" s="86">
        <f t="shared" si="115"/>
        <v>1234.2085057611116</v>
      </c>
      <c r="AB70" s="86">
        <f t="shared" si="115"/>
        <v>813.49011438962168</v>
      </c>
      <c r="AC70" s="86">
        <f t="shared" si="115"/>
        <v>-74.299778119494221</v>
      </c>
      <c r="AD70" s="86">
        <f t="shared" si="115"/>
        <v>-389.39027202370295</v>
      </c>
      <c r="AE70" s="86">
        <f t="shared" si="115"/>
        <v>-1645.1196479026544</v>
      </c>
      <c r="AF70" s="86">
        <f t="shared" si="115"/>
        <v>-2500.609084360924</v>
      </c>
      <c r="AG70" s="86">
        <f t="shared" si="115"/>
        <v>-2538.1585958684509</v>
      </c>
      <c r="AH70" s="86">
        <f t="shared" si="115"/>
        <v>-3420.1302425706481</v>
      </c>
      <c r="AI70" s="86">
        <f t="shared" si="115"/>
        <v>-4487.1788053035889</v>
      </c>
      <c r="AJ70" s="86">
        <f t="shared" si="115"/>
        <v>-3790.739248274394</v>
      </c>
      <c r="AK70" s="86">
        <f t="shared" si="115"/>
        <v>-2510.2681206663119</v>
      </c>
      <c r="AL70" s="86">
        <f t="shared" si="115"/>
        <v>-4923.0052411043735</v>
      </c>
      <c r="AM70" s="86">
        <f t="shared" si="115"/>
        <v>2121.2886178017957</v>
      </c>
      <c r="AN70" s="86">
        <f t="shared" si="115"/>
        <v>7194.5013842890939</v>
      </c>
      <c r="AO70" s="86">
        <f t="shared" si="115"/>
        <v>6418.6175806083629</v>
      </c>
      <c r="AP70" s="86">
        <f t="shared" si="115"/>
        <v>6004.0442105465509</v>
      </c>
      <c r="AQ70" s="86">
        <f t="shared" si="115"/>
        <v>5322.1963183209864</v>
      </c>
      <c r="AR70" s="86">
        <f t="shared" si="115"/>
        <v>4506.8884644896034</v>
      </c>
      <c r="AS70" s="229">
        <f t="shared" si="115"/>
        <v>3337.4487011234637</v>
      </c>
      <c r="AT70" s="86">
        <f t="shared" si="115"/>
        <v>2467.7052601841451</v>
      </c>
      <c r="AU70" s="86">
        <f t="shared" si="115"/>
        <v>2094.9123571713412</v>
      </c>
      <c r="AV70" s="86">
        <f t="shared" si="115"/>
        <v>1340.5814154444558</v>
      </c>
      <c r="AW70" s="86">
        <f t="shared" si="115"/>
        <v>972.67498101184788</v>
      </c>
      <c r="AX70" s="86">
        <f t="shared" si="115"/>
        <v>484.3565644754338</v>
      </c>
      <c r="AY70" s="86">
        <f t="shared" si="115"/>
        <v>195.26423698170609</v>
      </c>
      <c r="AZ70" s="86">
        <f t="shared" si="115"/>
        <v>324.14853911797826</v>
      </c>
      <c r="BA70" s="86">
        <f t="shared" si="115"/>
        <v>145.96820010130426</v>
      </c>
      <c r="BB70" s="86">
        <f t="shared" si="115"/>
        <v>18.68680733768862</v>
      </c>
      <c r="BC70" s="86">
        <f t="shared" si="115"/>
        <v>28.680280083887162</v>
      </c>
      <c r="BD70" s="86">
        <f t="shared" si="115"/>
        <v>44.700453784878555</v>
      </c>
      <c r="BE70" s="86">
        <f t="shared" si="115"/>
        <v>67.465750991828443</v>
      </c>
      <c r="BF70" s="86">
        <f t="shared" si="115"/>
        <v>64.962546475807045</v>
      </c>
      <c r="BG70" s="86">
        <f t="shared" si="115"/>
        <v>102.99115314529905</v>
      </c>
      <c r="BH70" s="86">
        <f t="shared" ref="BH70:BS70" si="120">BH63*BH$67</f>
        <v>126.17231705626033</v>
      </c>
      <c r="BI70" s="86">
        <f t="shared" si="120"/>
        <v>104.96306441932686</v>
      </c>
      <c r="BJ70" s="86">
        <f t="shared" si="120"/>
        <v>79.867633200613668</v>
      </c>
      <c r="BK70" s="86">
        <f t="shared" si="120"/>
        <v>95.020278745452785</v>
      </c>
      <c r="BL70" s="392">
        <f>BL63*BL$67-33.16</f>
        <v>41.834657585286223</v>
      </c>
      <c r="BM70" s="86">
        <f t="shared" si="120"/>
        <v>76.664485601428055</v>
      </c>
      <c r="BN70" s="86">
        <f t="shared" si="120"/>
        <v>66.591659541630435</v>
      </c>
      <c r="BO70" s="86">
        <f t="shared" si="120"/>
        <v>48.620715494661653</v>
      </c>
      <c r="BP70" s="86">
        <f t="shared" si="120"/>
        <v>18.247212238045336</v>
      </c>
      <c r="BQ70" s="86">
        <f t="shared" si="120"/>
        <v>13.205537281300739</v>
      </c>
      <c r="BR70" s="86">
        <f t="shared" si="120"/>
        <v>-0.66265600162211769</v>
      </c>
      <c r="BS70" s="86">
        <f t="shared" si="120"/>
        <v>-9.4521617625142706</v>
      </c>
      <c r="BT70" s="86">
        <f t="shared" ref="BT70:BV70" si="121">BT63*BT$67</f>
        <v>-15.392522809126094</v>
      </c>
      <c r="BU70" s="86">
        <f t="shared" si="121"/>
        <v>-41.293364766603169</v>
      </c>
      <c r="BV70" s="90">
        <f t="shared" si="121"/>
        <v>-57.641981142336377</v>
      </c>
    </row>
    <row r="71" spans="1:74" x14ac:dyDescent="0.3">
      <c r="A71" s="73" t="s">
        <v>6</v>
      </c>
      <c r="B71" s="85">
        <f t="shared" si="114"/>
        <v>0</v>
      </c>
      <c r="C71" s="89">
        <f t="shared" si="114"/>
        <v>0</v>
      </c>
      <c r="D71" s="89">
        <f t="shared" si="114"/>
        <v>46.630791992990176</v>
      </c>
      <c r="E71" s="89">
        <f t="shared" si="114"/>
        <v>63.012334296609787</v>
      </c>
      <c r="F71" s="89">
        <f t="shared" si="114"/>
        <v>87.880285460719136</v>
      </c>
      <c r="G71" s="89">
        <f t="shared" si="114"/>
        <v>-62.004812553219359</v>
      </c>
      <c r="H71" s="89">
        <f t="shared" si="114"/>
        <v>-265.41099401826</v>
      </c>
      <c r="I71" s="89">
        <f t="shared" si="114"/>
        <v>-484.58022626390726</v>
      </c>
      <c r="J71" s="89">
        <f t="shared" si="114"/>
        <v>-759.72241395797971</v>
      </c>
      <c r="K71" s="89">
        <f>K64*K$67</f>
        <v>-852.99829395321399</v>
      </c>
      <c r="L71" s="89">
        <f t="shared" si="114"/>
        <v>-881.49351673665103</v>
      </c>
      <c r="M71" s="89">
        <f t="shared" si="114"/>
        <v>-1214.233004946331</v>
      </c>
      <c r="N71" s="89">
        <f t="shared" si="114"/>
        <v>-1212.3798035527741</v>
      </c>
      <c r="O71" s="89">
        <f>O64*O$67</f>
        <v>-981.90515798918636</v>
      </c>
      <c r="P71" s="89">
        <f t="shared" si="114"/>
        <v>-1225.6104773034117</v>
      </c>
      <c r="Q71" s="89">
        <f t="shared" si="114"/>
        <v>-1084.7376267393925</v>
      </c>
      <c r="R71" s="89">
        <f t="shared" si="114"/>
        <v>-857.63577425194876</v>
      </c>
      <c r="S71" s="89">
        <f t="shared" si="114"/>
        <v>-787.38873522632844</v>
      </c>
      <c r="T71" s="89">
        <f t="shared" si="114"/>
        <v>-720.9644391480648</v>
      </c>
      <c r="U71" s="89">
        <f t="shared" si="114"/>
        <v>-415.05263260281765</v>
      </c>
      <c r="V71" s="89">
        <f t="shared" si="114"/>
        <v>-185.67918929151182</v>
      </c>
      <c r="W71" s="86">
        <f t="shared" si="114"/>
        <v>180.96882771799059</v>
      </c>
      <c r="X71" s="86">
        <f>X64*X$67-3196*(X31/SUM($X$28:$X$32))</f>
        <v>-26.009448815001974</v>
      </c>
      <c r="Y71" s="86">
        <f t="shared" si="115"/>
        <v>1145.868921104528</v>
      </c>
      <c r="Z71" s="86">
        <f t="shared" si="115"/>
        <v>1196.176901260244</v>
      </c>
      <c r="AA71" s="86">
        <f t="shared" si="115"/>
        <v>773.48749162029515</v>
      </c>
      <c r="AB71" s="86">
        <f t="shared" si="115"/>
        <v>590.66608656933602</v>
      </c>
      <c r="AC71" s="86">
        <f t="shared" si="115"/>
        <v>229.88708863540205</v>
      </c>
      <c r="AD71" s="86">
        <f t="shared" si="115"/>
        <v>47.354090274351805</v>
      </c>
      <c r="AE71" s="86">
        <f t="shared" si="115"/>
        <v>-521.68681136330918</v>
      </c>
      <c r="AF71" s="86">
        <f t="shared" si="115"/>
        <v>-907.42354967982612</v>
      </c>
      <c r="AG71" s="86">
        <f t="shared" si="115"/>
        <v>-944.50270327941826</v>
      </c>
      <c r="AH71" s="86">
        <f t="shared" si="115"/>
        <v>-1342.3062893849919</v>
      </c>
      <c r="AI71" s="86">
        <f t="shared" si="115"/>
        <v>-1836.0733917002096</v>
      </c>
      <c r="AJ71" s="86">
        <f t="shared" si="115"/>
        <v>-1522.0041230952349</v>
      </c>
      <c r="AK71" s="86">
        <f t="shared" si="115"/>
        <v>-932.76825095767651</v>
      </c>
      <c r="AL71" s="86">
        <f t="shared" si="115"/>
        <v>-1886.2327229926104</v>
      </c>
      <c r="AM71" s="86">
        <f t="shared" si="115"/>
        <v>757.43280820869518</v>
      </c>
      <c r="AN71" s="86">
        <f t="shared" si="115"/>
        <v>2797.0405506378847</v>
      </c>
      <c r="AO71" s="86">
        <f t="shared" si="115"/>
        <v>2461.1807533925994</v>
      </c>
      <c r="AP71" s="86">
        <f t="shared" si="115"/>
        <v>2279.1518114178871</v>
      </c>
      <c r="AQ71" s="86">
        <f t="shared" si="115"/>
        <v>1974.0413902816811</v>
      </c>
      <c r="AR71" s="86">
        <f t="shared" si="115"/>
        <v>1637.5194884060368</v>
      </c>
      <c r="AS71" s="229">
        <f t="shared" si="115"/>
        <v>1163.1402835136973</v>
      </c>
      <c r="AT71" s="86">
        <f t="shared" si="115"/>
        <v>809.42917859308011</v>
      </c>
      <c r="AU71" s="86">
        <f t="shared" si="115"/>
        <v>657.04499209909341</v>
      </c>
      <c r="AV71" s="86">
        <f t="shared" si="115"/>
        <v>358.71476268610843</v>
      </c>
      <c r="AW71" s="86">
        <f t="shared" si="115"/>
        <v>194.40685646921611</v>
      </c>
      <c r="AX71" s="86">
        <f t="shared" si="115"/>
        <v>-4.9232759261590102</v>
      </c>
      <c r="AY71" s="86">
        <f t="shared" si="115"/>
        <v>-126.60796431887302</v>
      </c>
      <c r="AZ71" s="86">
        <f t="shared" si="115"/>
        <v>-67.629917615736588</v>
      </c>
      <c r="BA71" s="86">
        <f t="shared" si="115"/>
        <v>-32.206746762989418</v>
      </c>
      <c r="BB71" s="86">
        <f t="shared" si="115"/>
        <v>-4.0103361092328242</v>
      </c>
      <c r="BC71" s="86">
        <f t="shared" si="115"/>
        <v>2.0653297621694944</v>
      </c>
      <c r="BD71" s="86">
        <f t="shared" si="115"/>
        <v>5.3883128298630707</v>
      </c>
      <c r="BE71" s="86">
        <f t="shared" si="115"/>
        <v>20.63271461182487</v>
      </c>
      <c r="BF71" s="86">
        <f t="shared" si="115"/>
        <v>21.678141746038342</v>
      </c>
      <c r="BG71" s="86">
        <f t="shared" si="115"/>
        <v>36.087236213446261</v>
      </c>
      <c r="BH71" s="86">
        <f t="shared" ref="BH71:BS71" si="122">BH64*BH$67</f>
        <v>46.221212916961754</v>
      </c>
      <c r="BI71" s="86">
        <f t="shared" si="122"/>
        <v>38.395285390940032</v>
      </c>
      <c r="BJ71" s="86">
        <f t="shared" si="122"/>
        <v>31.405241327964177</v>
      </c>
      <c r="BK71" s="86">
        <f t="shared" si="122"/>
        <v>39.421353205732778</v>
      </c>
      <c r="BL71" s="392">
        <f>BL64*BL$67-13.19</f>
        <v>18.533894460604323</v>
      </c>
      <c r="BM71" s="86">
        <f t="shared" si="122"/>
        <v>32.741033896838964</v>
      </c>
      <c r="BN71" s="86">
        <f t="shared" si="122"/>
        <v>28.554905787923087</v>
      </c>
      <c r="BO71" s="86">
        <f t="shared" si="122"/>
        <v>21.595567511358837</v>
      </c>
      <c r="BP71" s="86">
        <f t="shared" si="122"/>
        <v>8.3585082063913436</v>
      </c>
      <c r="BQ71" s="86">
        <f t="shared" si="122"/>
        <v>7.0472730729691673</v>
      </c>
      <c r="BR71" s="86">
        <f t="shared" si="122"/>
        <v>1.6291623250576666</v>
      </c>
      <c r="BS71" s="86">
        <f t="shared" si="122"/>
        <v>-2.092184339108504</v>
      </c>
      <c r="BT71" s="86">
        <f t="shared" ref="BT71:BV71" si="123">BT64*BT$67</f>
        <v>-4.1851216041715089</v>
      </c>
      <c r="BU71" s="86">
        <f t="shared" si="123"/>
        <v>-13.823829988593923</v>
      </c>
      <c r="BV71" s="90">
        <f t="shared" si="123"/>
        <v>-20.825514482546605</v>
      </c>
    </row>
    <row r="72" spans="1:74" ht="15" thickBot="1" x14ac:dyDescent="0.35">
      <c r="A72" s="73" t="s">
        <v>7</v>
      </c>
      <c r="B72" s="85">
        <f t="shared" si="114"/>
        <v>0</v>
      </c>
      <c r="C72" s="89">
        <f t="shared" si="114"/>
        <v>0</v>
      </c>
      <c r="D72" s="89">
        <f t="shared" si="114"/>
        <v>23.984935285566955</v>
      </c>
      <c r="E72" s="89">
        <f t="shared" si="114"/>
        <v>32.285741116153027</v>
      </c>
      <c r="F72" s="89">
        <f t="shared" si="114"/>
        <v>57.507644752665662</v>
      </c>
      <c r="G72" s="89">
        <f t="shared" si="114"/>
        <v>19.579174152403809</v>
      </c>
      <c r="H72" s="89">
        <f t="shared" si="114"/>
        <v>-83.799842059360671</v>
      </c>
      <c r="I72" s="89">
        <f t="shared" si="114"/>
        <v>-187.22550092655857</v>
      </c>
      <c r="J72" s="89">
        <f t="shared" si="114"/>
        <v>-334.87555769132126</v>
      </c>
      <c r="K72" s="89">
        <f>K65*K$67</f>
        <v>-385.78150869595538</v>
      </c>
      <c r="L72" s="89">
        <f t="shared" si="114"/>
        <v>-400.49879153528383</v>
      </c>
      <c r="M72" s="89">
        <f t="shared" si="114"/>
        <v>-556.10770173830053</v>
      </c>
      <c r="N72" s="89">
        <f t="shared" si="114"/>
        <v>-558.07199634452036</v>
      </c>
      <c r="O72" s="89">
        <f>O65*O$67</f>
        <v>-592.72080592111263</v>
      </c>
      <c r="P72" s="89">
        <f t="shared" si="114"/>
        <v>-738.78158271837253</v>
      </c>
      <c r="Q72" s="89">
        <f t="shared" si="114"/>
        <v>-663.53733172456805</v>
      </c>
      <c r="R72" s="89">
        <f t="shared" si="114"/>
        <v>-544.75469833546504</v>
      </c>
      <c r="S72" s="89">
        <f t="shared" si="114"/>
        <v>-523.01322927289618</v>
      </c>
      <c r="T72" s="89">
        <f t="shared" si="114"/>
        <v>-481.02052661081308</v>
      </c>
      <c r="U72" s="89">
        <f t="shared" si="114"/>
        <v>-316.85686495725093</v>
      </c>
      <c r="V72" s="89">
        <f t="shared" si="114"/>
        <v>-188.02118480937943</v>
      </c>
      <c r="W72" s="86">
        <f t="shared" si="114"/>
        <v>5.7839697272060837</v>
      </c>
      <c r="X72" s="86">
        <f>X65*X$67-3196*(X32/SUM($X$28:$X$32))</f>
        <v>-96.288523152772569</v>
      </c>
      <c r="Y72" s="86">
        <f t="shared" si="115"/>
        <v>485.67983129277422</v>
      </c>
      <c r="Z72" s="86">
        <f t="shared" si="115"/>
        <v>531.30194317164239</v>
      </c>
      <c r="AA72" s="86">
        <f t="shared" si="115"/>
        <v>493.36449173776157</v>
      </c>
      <c r="AB72" s="86">
        <f t="shared" si="115"/>
        <v>414.38166108623415</v>
      </c>
      <c r="AC72" s="86">
        <f t="shared" si="115"/>
        <v>245.92346649785378</v>
      </c>
      <c r="AD72" s="86">
        <f t="shared" si="115"/>
        <v>138.84125988688317</v>
      </c>
      <c r="AE72" s="86">
        <f t="shared" si="115"/>
        <v>-147.88857324374399</v>
      </c>
      <c r="AF72" s="86">
        <f t="shared" si="115"/>
        <v>-196.72254794717182</v>
      </c>
      <c r="AG72" s="86">
        <f t="shared" si="115"/>
        <v>-207.88170830233273</v>
      </c>
      <c r="AH72" s="86">
        <f t="shared" si="115"/>
        <v>-390.68297469926017</v>
      </c>
      <c r="AI72" s="86">
        <f t="shared" si="115"/>
        <v>-610.60378732769971</v>
      </c>
      <c r="AJ72" s="86">
        <f t="shared" si="115"/>
        <v>-430.08913553786277</v>
      </c>
      <c r="AK72" s="86">
        <f t="shared" si="115"/>
        <v>-120.54527062448969</v>
      </c>
      <c r="AL72" s="86">
        <f t="shared" si="115"/>
        <v>-625.85084907427085</v>
      </c>
      <c r="AM72" s="86">
        <f t="shared" si="115"/>
        <v>194.51091134437306</v>
      </c>
      <c r="AN72" s="86">
        <f t="shared" si="115"/>
        <v>1006.5991973645356</v>
      </c>
      <c r="AO72" s="86">
        <f t="shared" si="115"/>
        <v>848.58272094752431</v>
      </c>
      <c r="AP72" s="86">
        <f t="shared" si="115"/>
        <v>751.32898637814162</v>
      </c>
      <c r="AQ72" s="86">
        <f t="shared" si="115"/>
        <v>590.53746282902932</v>
      </c>
      <c r="AR72" s="86">
        <f t="shared" si="115"/>
        <v>431.09516346891172</v>
      </c>
      <c r="AS72" s="229">
        <f t="shared" si="115"/>
        <v>225.26803230750627</v>
      </c>
      <c r="AT72" s="86">
        <f t="shared" si="115"/>
        <v>60.403298547168369</v>
      </c>
      <c r="AU72" s="86">
        <f t="shared" si="115"/>
        <v>-14.848469157274106</v>
      </c>
      <c r="AV72" s="86">
        <f t="shared" si="115"/>
        <v>-118.95752657810982</v>
      </c>
      <c r="AW72" s="86">
        <f t="shared" si="115"/>
        <v>-216.46845283576877</v>
      </c>
      <c r="AX72" s="86">
        <f t="shared" si="115"/>
        <v>-312.84353547769541</v>
      </c>
      <c r="AY72" s="86">
        <f t="shared" si="115"/>
        <v>-370.40193124055145</v>
      </c>
      <c r="AZ72" s="86">
        <f t="shared" si="115"/>
        <v>-335.47105589216773</v>
      </c>
      <c r="BA72" s="86">
        <f t="shared" si="115"/>
        <v>-153.67684145355398</v>
      </c>
      <c r="BB72" s="86">
        <f t="shared" si="115"/>
        <v>-19.190925749067091</v>
      </c>
      <c r="BC72" s="86">
        <f t="shared" si="115"/>
        <v>-11.791392316002625</v>
      </c>
      <c r="BD72" s="86">
        <f t="shared" si="115"/>
        <v>-14.280273480996069</v>
      </c>
      <c r="BE72" s="86">
        <f t="shared" si="115"/>
        <v>-1.0549658110866111</v>
      </c>
      <c r="BF72" s="86">
        <f t="shared" si="115"/>
        <v>2.2585686444812301</v>
      </c>
      <c r="BG72" s="86">
        <f t="shared" si="115"/>
        <v>6.9305090297663021</v>
      </c>
      <c r="BH72" s="86">
        <f t="shared" ref="BH72:BS72" si="124">BH65*BH$67</f>
        <v>12.529746192524751</v>
      </c>
      <c r="BI72" s="86">
        <f t="shared" si="124"/>
        <v>12.761614975494423</v>
      </c>
      <c r="BJ72" s="86">
        <f t="shared" si="124"/>
        <v>13.181651215357618</v>
      </c>
      <c r="BK72" s="86">
        <f t="shared" si="124"/>
        <v>19.478550554240996</v>
      </c>
      <c r="BL72" s="392">
        <f>BL65*BL$67-3.1</f>
        <v>13.569992618788044</v>
      </c>
      <c r="BM72" s="86">
        <f t="shared" si="124"/>
        <v>17.226750846767711</v>
      </c>
      <c r="BN72" s="86">
        <f t="shared" si="124"/>
        <v>15.546389226617002</v>
      </c>
      <c r="BO72" s="86">
        <f t="shared" si="124"/>
        <v>12.330373679037592</v>
      </c>
      <c r="BP72" s="86">
        <f t="shared" si="124"/>
        <v>5.9859789254774869</v>
      </c>
      <c r="BQ72" s="86">
        <f t="shared" si="124"/>
        <v>6.705302117310592</v>
      </c>
      <c r="BR72" s="86">
        <f t="shared" si="124"/>
        <v>4.1800931532136989</v>
      </c>
      <c r="BS72" s="86">
        <f t="shared" si="124"/>
        <v>1.7249416099123971</v>
      </c>
      <c r="BT72" s="86">
        <f t="shared" ref="BT72:BV72" si="125">BT65*BT$67</f>
        <v>1.0589459998301076</v>
      </c>
      <c r="BU72" s="86">
        <f t="shared" si="125"/>
        <v>-0.66910282049659908</v>
      </c>
      <c r="BV72" s="90">
        <f t="shared" si="125"/>
        <v>-3.5830754015286175</v>
      </c>
    </row>
    <row r="73" spans="1:74" ht="15.6" thickTop="1" thickBot="1" x14ac:dyDescent="0.35">
      <c r="A73" s="149" t="s">
        <v>71</v>
      </c>
      <c r="B73" s="105">
        <f t="shared" ref="B73:AI73" si="126">SUM(B68:B72)+SUM(B61:B65)-B76</f>
        <v>0</v>
      </c>
      <c r="C73" s="106">
        <f t="shared" si="126"/>
        <v>0</v>
      </c>
      <c r="D73" s="106">
        <f t="shared" si="126"/>
        <v>0</v>
      </c>
      <c r="E73" s="106">
        <f t="shared" si="126"/>
        <v>0</v>
      </c>
      <c r="F73" s="106">
        <f t="shared" si="126"/>
        <v>0</v>
      </c>
      <c r="G73" s="106">
        <f t="shared" si="126"/>
        <v>3.7834979593753815E-10</v>
      </c>
      <c r="H73" s="106">
        <f t="shared" si="126"/>
        <v>0</v>
      </c>
      <c r="I73" s="106">
        <f t="shared" si="126"/>
        <v>0</v>
      </c>
      <c r="J73" s="106">
        <f t="shared" si="126"/>
        <v>0</v>
      </c>
      <c r="K73" s="106">
        <f t="shared" si="126"/>
        <v>0</v>
      </c>
      <c r="L73" s="106">
        <f t="shared" si="126"/>
        <v>0</v>
      </c>
      <c r="M73" s="106">
        <f t="shared" si="126"/>
        <v>0</v>
      </c>
      <c r="N73" s="106">
        <f>SUM(N68:N72)+SUM(N61:N65)-N76</f>
        <v>0</v>
      </c>
      <c r="O73" s="106">
        <f>SUM(O68:O72)+SUM(O61:O65)-O76</f>
        <v>0</v>
      </c>
      <c r="P73" s="106">
        <f t="shared" si="126"/>
        <v>0</v>
      </c>
      <c r="Q73" s="106">
        <f t="shared" si="126"/>
        <v>0</v>
      </c>
      <c r="R73" s="106">
        <f t="shared" si="126"/>
        <v>0</v>
      </c>
      <c r="S73" s="106">
        <f t="shared" si="126"/>
        <v>1.862645149230957E-9</v>
      </c>
      <c r="T73" s="106">
        <f t="shared" si="126"/>
        <v>0</v>
      </c>
      <c r="U73" s="106">
        <f t="shared" si="126"/>
        <v>3.7252902984619141E-9</v>
      </c>
      <c r="V73" s="106">
        <f t="shared" si="126"/>
        <v>2.852175384759903E-9</v>
      </c>
      <c r="W73" s="128">
        <f t="shared" si="126"/>
        <v>3.7252902984619141E-9</v>
      </c>
      <c r="X73" s="128">
        <f t="shared" si="126"/>
        <v>3.7252902984619141E-9</v>
      </c>
      <c r="Y73" s="128">
        <f t="shared" si="126"/>
        <v>0</v>
      </c>
      <c r="Z73" s="128">
        <f t="shared" si="126"/>
        <v>3.2596290111541748E-9</v>
      </c>
      <c r="AA73" s="128">
        <f t="shared" si="126"/>
        <v>2.0954757928848267E-9</v>
      </c>
      <c r="AB73" s="128">
        <f t="shared" si="126"/>
        <v>0</v>
      </c>
      <c r="AC73" s="128">
        <f t="shared" si="126"/>
        <v>0</v>
      </c>
      <c r="AD73" s="128">
        <f t="shared" si="126"/>
        <v>0</v>
      </c>
      <c r="AE73" s="128">
        <f t="shared" si="126"/>
        <v>0</v>
      </c>
      <c r="AF73" s="128">
        <f t="shared" si="126"/>
        <v>0</v>
      </c>
      <c r="AG73" s="128">
        <f t="shared" si="126"/>
        <v>0</v>
      </c>
      <c r="AH73" s="128">
        <f t="shared" si="126"/>
        <v>0</v>
      </c>
      <c r="AI73" s="128">
        <f t="shared" si="126"/>
        <v>0</v>
      </c>
      <c r="AJ73" s="128">
        <f t="shared" ref="AJ73:AU73" si="127">SUM(AJ68:AJ72)+SUM(AJ61:AJ65)-AJ76</f>
        <v>0</v>
      </c>
      <c r="AK73" s="128">
        <f t="shared" si="127"/>
        <v>0</v>
      </c>
      <c r="AL73" s="128">
        <f t="shared" si="127"/>
        <v>0</v>
      </c>
      <c r="AM73" s="128">
        <f t="shared" si="127"/>
        <v>1.1175870895385742E-8</v>
      </c>
      <c r="AN73" s="128">
        <f t="shared" si="127"/>
        <v>1.0302755981683731E-8</v>
      </c>
      <c r="AO73" s="128">
        <f t="shared" si="127"/>
        <v>1.0535586625337601E-8</v>
      </c>
      <c r="AP73" s="128">
        <f t="shared" si="127"/>
        <v>1.1525116860866547E-8</v>
      </c>
      <c r="AQ73" s="128">
        <f t="shared" si="127"/>
        <v>1.1292286217212677E-8</v>
      </c>
      <c r="AR73" s="128">
        <f t="shared" si="127"/>
        <v>1.0943040251731873E-8</v>
      </c>
      <c r="AS73" s="128">
        <f t="shared" si="127"/>
        <v>1.1466909199953079E-8</v>
      </c>
      <c r="AT73" s="128">
        <f t="shared" si="127"/>
        <v>1.1350493878126144E-8</v>
      </c>
      <c r="AU73" s="128">
        <f t="shared" si="127"/>
        <v>1.1292286217212677E-8</v>
      </c>
      <c r="AV73" s="128">
        <f t="shared" ref="AV73:BF73" si="128">SUM(AV68:AV72)+SUM(AV61:AV65)-AV76</f>
        <v>1.1175870895385742E-8</v>
      </c>
      <c r="AW73" s="128">
        <f t="shared" si="128"/>
        <v>1.1175870895385742E-8</v>
      </c>
      <c r="AX73" s="128">
        <f t="shared" si="128"/>
        <v>1.1175870895385742E-8</v>
      </c>
      <c r="AY73" s="128">
        <f t="shared" si="128"/>
        <v>1.1059455573558807E-8</v>
      </c>
      <c r="AZ73" s="128">
        <f t="shared" si="128"/>
        <v>1.1175870895385742E-8</v>
      </c>
      <c r="BA73" s="128">
        <f t="shared" si="128"/>
        <v>1.1175870895385742E-8</v>
      </c>
      <c r="BB73" s="128">
        <f t="shared" si="128"/>
        <v>1.1175870895385742E-8</v>
      </c>
      <c r="BC73" s="128">
        <f t="shared" si="128"/>
        <v>1.1292286217212677E-8</v>
      </c>
      <c r="BD73" s="128">
        <f t="shared" si="128"/>
        <v>1.1175870895385742E-8</v>
      </c>
      <c r="BE73" s="128">
        <f t="shared" si="128"/>
        <v>1.1175870895385742E-8</v>
      </c>
      <c r="BF73" s="128">
        <f t="shared" si="128"/>
        <v>1.1292286217212677E-8</v>
      </c>
      <c r="BG73" s="128">
        <f t="shared" ref="BG73" si="129">SUM(BG68:BG72)+SUM(BG61:BG65)-BG76</f>
        <v>1.1175870895385742E-8</v>
      </c>
      <c r="BH73" s="128">
        <f t="shared" ref="BH73:BR73" si="130">SUM(BH68:BH72)+SUM(BH61:BH65)-BH76</f>
        <v>1.1408701539039612E-8</v>
      </c>
      <c r="BI73" s="128">
        <f t="shared" si="130"/>
        <v>1.1292286217212677E-8</v>
      </c>
      <c r="BJ73" s="128">
        <f t="shared" si="130"/>
        <v>1.1292286217212677E-8</v>
      </c>
      <c r="BK73" s="128">
        <f t="shared" si="130"/>
        <v>1.1204974725842476E-8</v>
      </c>
      <c r="BL73" s="128">
        <f>SUM(BL68:BL72)+SUM(BL61:BL65)-BL76</f>
        <v>1.1204974725842476E-8</v>
      </c>
      <c r="BM73" s="128">
        <f>SUM(BM68:BM72)+SUM(BM61:BM65)-BM76</f>
        <v>1.1263182386755943E-8</v>
      </c>
      <c r="BN73" s="128">
        <f>SUM(BN68:BN72)+SUM(BN61:BN65)-BN76</f>
        <v>1.1321390047669411E-8</v>
      </c>
      <c r="BO73" s="128">
        <f t="shared" si="130"/>
        <v>1.127773430198431E-8</v>
      </c>
      <c r="BP73" s="128">
        <f t="shared" si="130"/>
        <v>1.1292286217212677E-8</v>
      </c>
      <c r="BQ73" s="128">
        <f t="shared" si="130"/>
        <v>1.1321390047669411E-8</v>
      </c>
      <c r="BR73" s="128">
        <f t="shared" si="130"/>
        <v>1.1175870895385742E-8</v>
      </c>
      <c r="BS73" s="128">
        <f t="shared" ref="BS73:BV73" si="131">SUM(BS68:BS72)+SUM(BS61:BS65)-BS76</f>
        <v>1.123407855629921E-8</v>
      </c>
      <c r="BT73" s="128">
        <f t="shared" si="131"/>
        <v>1.1292286217212677E-8</v>
      </c>
      <c r="BU73" s="128">
        <f t="shared" si="131"/>
        <v>1.123407855629921E-8</v>
      </c>
      <c r="BV73" s="107">
        <f t="shared" si="131"/>
        <v>1.1292286217212677E-8</v>
      </c>
    </row>
    <row r="74" spans="1:74" ht="15.6" thickTop="1" thickBot="1" x14ac:dyDescent="0.35">
      <c r="A74" s="149" t="s">
        <v>72</v>
      </c>
      <c r="B74" s="105">
        <f t="shared" ref="B74:AH74" si="132">SUM(B68:B72)-B51</f>
        <v>0</v>
      </c>
      <c r="C74" s="103">
        <f t="shared" si="132"/>
        <v>0</v>
      </c>
      <c r="D74" s="106">
        <f>SUM(D68:D72)-D51</f>
        <v>9.7962009999719157E-4</v>
      </c>
      <c r="E74" s="106">
        <f t="shared" si="132"/>
        <v>-2.4430397546666427E-3</v>
      </c>
      <c r="F74" s="106">
        <f t="shared" si="132"/>
        <v>4.2034737632548058E-3</v>
      </c>
      <c r="G74" s="106">
        <f t="shared" si="132"/>
        <v>-3.0554803197588853E-3</v>
      </c>
      <c r="H74" s="106">
        <f t="shared" si="132"/>
        <v>4.8705313777190895E-3</v>
      </c>
      <c r="I74" s="106">
        <f t="shared" si="132"/>
        <v>-2.6554895011940971E-3</v>
      </c>
      <c r="J74" s="106">
        <f t="shared" si="132"/>
        <v>-2.3568900978716556E-3</v>
      </c>
      <c r="K74" s="106">
        <f t="shared" si="132"/>
        <v>-5.5215060183400055E-4</v>
      </c>
      <c r="L74" s="106">
        <f t="shared" si="132"/>
        <v>-5.5538945116495597E-4</v>
      </c>
      <c r="M74" s="106">
        <f t="shared" si="132"/>
        <v>-6.9978636111045489E-4</v>
      </c>
      <c r="N74" s="106">
        <f>SUM(N68:N72)-N51</f>
        <v>-6.5507182534929598E-4</v>
      </c>
      <c r="O74" s="106">
        <f>SUM(O68:O72)-O51</f>
        <v>-4.6056312885411899E-4</v>
      </c>
      <c r="P74" s="106">
        <f t="shared" si="132"/>
        <v>-5.8893870209431043E-4</v>
      </c>
      <c r="Q74" s="106">
        <f t="shared" si="132"/>
        <v>-5.8950310267391615E-4</v>
      </c>
      <c r="R74" s="106">
        <f t="shared" si="132"/>
        <v>-5.9006804212913266E-4</v>
      </c>
      <c r="S74" s="106">
        <f t="shared" si="132"/>
        <v>-7.241680575589271E-4</v>
      </c>
      <c r="T74" s="106">
        <f t="shared" si="132"/>
        <v>-7.1568626481166575E-4</v>
      </c>
      <c r="U74" s="106">
        <f t="shared" si="132"/>
        <v>-7.5519080291996943E-4</v>
      </c>
      <c r="V74" s="106">
        <f t="shared" si="132"/>
        <v>-7.4647558665219549E-4</v>
      </c>
      <c r="W74" s="128">
        <f t="shared" si="132"/>
        <v>-4.7149359422746784E-3</v>
      </c>
      <c r="X74" s="128">
        <f t="shared" si="132"/>
        <v>0.10010868704716813</v>
      </c>
      <c r="Y74" s="128">
        <f t="shared" si="132"/>
        <v>1.0232044032818521E-3</v>
      </c>
      <c r="Z74" s="128">
        <f t="shared" si="132"/>
        <v>-32.695106411879351</v>
      </c>
      <c r="AA74" s="128">
        <f t="shared" si="132"/>
        <v>32.687925674816825</v>
      </c>
      <c r="AB74" s="128">
        <f t="shared" si="132"/>
        <v>7.615718741362798E-4</v>
      </c>
      <c r="AC74" s="128">
        <f t="shared" si="132"/>
        <v>-3.3131756390503142E-4</v>
      </c>
      <c r="AD74" s="128">
        <f t="shared" si="132"/>
        <v>-8.1483454414410517E-4</v>
      </c>
      <c r="AE74" s="128">
        <f t="shared" si="132"/>
        <v>-3.68524022087513E-3</v>
      </c>
      <c r="AF74" s="128">
        <f t="shared" si="132"/>
        <v>7.3079820504062809E-4</v>
      </c>
      <c r="AG74" s="128">
        <f t="shared" si="132"/>
        <v>-2.306188387592556E-3</v>
      </c>
      <c r="AH74" s="128">
        <f t="shared" si="132"/>
        <v>-1.4901307331456337E-3</v>
      </c>
      <c r="AI74" s="128">
        <f>SUM(AI68:AI72)-AI51</f>
        <v>-4.158780284342356E-4</v>
      </c>
      <c r="AJ74" s="128">
        <f t="shared" ref="AJ74:AK74" si="133">SUM(AJ68:AJ72)-AJ51</f>
        <v>-2.981177738547558E-3</v>
      </c>
      <c r="AK74" s="128">
        <f t="shared" si="133"/>
        <v>2.6602489851939026E-3</v>
      </c>
      <c r="AL74" s="128">
        <f t="shared" ref="AL74:AT74" si="134">SUM(AL68:AL72)-AL51</f>
        <v>-6.0482440894702449E-3</v>
      </c>
      <c r="AM74" s="128">
        <f t="shared" si="134"/>
        <v>-4.1456806193309603E-3</v>
      </c>
      <c r="AN74" s="128">
        <f t="shared" si="134"/>
        <v>-5.2638340974908715E-3</v>
      </c>
      <c r="AO74" s="128">
        <f t="shared" si="134"/>
        <v>-2.5981380783832719E-3</v>
      </c>
      <c r="AP74" s="128">
        <f t="shared" si="134"/>
        <v>-4.6067024895819486E-3</v>
      </c>
      <c r="AQ74" s="128">
        <f t="shared" si="134"/>
        <v>2.8300871695137175E-3</v>
      </c>
      <c r="AR74" s="128">
        <f t="shared" si="134"/>
        <v>-3.9982265852813725E-3</v>
      </c>
      <c r="AS74" s="230">
        <f>SUM(AS68:AS72)-AS51</f>
        <v>-5.6150564442987161E-3</v>
      </c>
      <c r="AT74" s="230">
        <f t="shared" si="134"/>
        <v>-5.2153313587268713E-3</v>
      </c>
      <c r="AU74" s="230">
        <f>SUM(AU68:AU72)-AU51</f>
        <v>-5.0582182602738612E-3</v>
      </c>
      <c r="AV74" s="230">
        <f t="shared" ref="AV74:BF74" si="135">SUM(AV68:AV72)-AV51</f>
        <v>-3.0424392441545933E-3</v>
      </c>
      <c r="AW74" s="230">
        <f t="shared" si="135"/>
        <v>9.532163305721042E-4</v>
      </c>
      <c r="AX74" s="230">
        <f t="shared" si="135"/>
        <v>3.4421948330418672E-3</v>
      </c>
      <c r="AY74" s="230">
        <f t="shared" si="135"/>
        <v>-3.7234076798995375E-3</v>
      </c>
      <c r="AZ74" s="230">
        <f t="shared" si="135"/>
        <v>-6.1032711232655856E-4</v>
      </c>
      <c r="BA74" s="230">
        <f t="shared" si="135"/>
        <v>-4.1184723147580371E-4</v>
      </c>
      <c r="BB74" s="230">
        <f t="shared" si="135"/>
        <v>-4.0116654930244522E-3</v>
      </c>
      <c r="BC74" s="230">
        <f t="shared" si="135"/>
        <v>1.2485033728637518E-3</v>
      </c>
      <c r="BD74" s="230">
        <f t="shared" si="135"/>
        <v>2.4105577457049776E-3</v>
      </c>
      <c r="BE74" s="230">
        <f t="shared" si="135"/>
        <v>7.0262200294735067E-4</v>
      </c>
      <c r="BF74" s="230">
        <f t="shared" si="135"/>
        <v>-4.4140621082533471E-3</v>
      </c>
      <c r="BG74" s="230">
        <f>SUM(BG68:BG72)-BG51</f>
        <v>7.916015381113084E-4</v>
      </c>
      <c r="BH74" s="230">
        <f t="shared" ref="BH74:BR74" si="136">SUM(BH68:BH72)-BH51</f>
        <v>1.8897057226752167E-3</v>
      </c>
      <c r="BI74" s="230">
        <f t="shared" si="136"/>
        <v>-4.6271542972107227E-3</v>
      </c>
      <c r="BJ74" s="230">
        <f t="shared" si="136"/>
        <v>-1.8017755151262804E-3</v>
      </c>
      <c r="BK74" s="230">
        <f t="shared" si="136"/>
        <v>5.6972318715509118E-4</v>
      </c>
      <c r="BL74" s="295">
        <f>SUM(BL68:BL72)-BL51</f>
        <v>-2.309672310111921E-3</v>
      </c>
      <c r="BM74" s="230">
        <f t="shared" si="136"/>
        <v>2.741906483151979E-3</v>
      </c>
      <c r="BN74" s="230">
        <f t="shared" si="136"/>
        <v>1.4054398209424335E-3</v>
      </c>
      <c r="BO74" s="230">
        <f t="shared" si="136"/>
        <v>2.7459296991283466E-3</v>
      </c>
      <c r="BP74" s="230">
        <f t="shared" si="136"/>
        <v>1.2490142857366493E-3</v>
      </c>
      <c r="BQ74" s="230">
        <f t="shared" si="136"/>
        <v>-4.1831090722155295E-3</v>
      </c>
      <c r="BR74" s="230">
        <f t="shared" si="136"/>
        <v>-2.1590854128135106E-3</v>
      </c>
      <c r="BS74" s="230">
        <f>SUM(BS68:BS72)-BS51</f>
        <v>3.9857402191003644E-3</v>
      </c>
      <c r="BT74" s="230">
        <f t="shared" ref="BT74:BV74" si="137">SUM(BT68:BT72)-BT51</f>
        <v>-4.1715040190766217E-3</v>
      </c>
      <c r="BU74" s="230">
        <f t="shared" si="137"/>
        <v>-2.6541167177924763E-3</v>
      </c>
      <c r="BV74" s="104">
        <f t="shared" si="137"/>
        <v>-8.3403662918613009E-4</v>
      </c>
    </row>
    <row r="75" spans="1:74" ht="15" thickTop="1" x14ac:dyDescent="0.3">
      <c r="A75" s="73"/>
      <c r="B75" s="75"/>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7"/>
    </row>
    <row r="76" spans="1:74" x14ac:dyDescent="0.3">
      <c r="A76" s="73" t="s">
        <v>73</v>
      </c>
      <c r="B76" s="85">
        <f>(SUM(B15:B18)-SUM(B35:B39))+SUM(B68:B72)</f>
        <v>0</v>
      </c>
      <c r="C76" s="89">
        <f t="shared" ref="C76:M76" si="138">(SUM(C15:C18)-SUM(C35:C39))+SUM(C68:C72)+B76</f>
        <v>0</v>
      </c>
      <c r="D76" s="89">
        <f t="shared" si="138"/>
        <v>489876.34097962017</v>
      </c>
      <c r="E76" s="89">
        <f t="shared" si="138"/>
        <v>1086590.3685365804</v>
      </c>
      <c r="F76" s="89">
        <f t="shared" si="138"/>
        <v>2343961.602740054</v>
      </c>
      <c r="G76" s="89">
        <f t="shared" si="138"/>
        <v>208883.89968457352</v>
      </c>
      <c r="H76" s="89">
        <f t="shared" si="138"/>
        <v>-2670663.7454448952</v>
      </c>
      <c r="I76" s="89">
        <f t="shared" si="138"/>
        <v>-3837266.1881003855</v>
      </c>
      <c r="J76" s="89">
        <f t="shared" si="138"/>
        <v>-6612519.2104572756</v>
      </c>
      <c r="K76" s="89">
        <f t="shared" si="138"/>
        <v>-7008862.1886224486</v>
      </c>
      <c r="L76" s="89">
        <f t="shared" si="138"/>
        <v>-6426755.5918687461</v>
      </c>
      <c r="M76" s="89">
        <f t="shared" si="138"/>
        <v>-7154794.8022508901</v>
      </c>
      <c r="N76" s="89">
        <f>(SUM(N15:N18)-SUM(N35:N39))+SUM(N68:N72)+M76</f>
        <v>-8522551.8958300781</v>
      </c>
      <c r="O76" s="89">
        <f>(SUM(O15:O18)-SUM(O35:O39))+SUM(O68:O72)+N76+N77</f>
        <v>-5003630.5763294511</v>
      </c>
      <c r="P76" s="89">
        <f t="shared" ref="P76:BQ76" si="139">(SUM(P15:P18)-SUM(P35:P39))+SUM(P68:P72)+O76+O77</f>
        <v>-5008133.6927046841</v>
      </c>
      <c r="Q76" s="89">
        <f t="shared" si="139"/>
        <v>-5205272.643027693</v>
      </c>
      <c r="R76" s="89">
        <f t="shared" si="139"/>
        <v>-3281937.0614572605</v>
      </c>
      <c r="S76" s="89">
        <f t="shared" si="139"/>
        <v>-1732921.0139424729</v>
      </c>
      <c r="T76" s="89">
        <f t="shared" si="139"/>
        <v>-2546355.7866913271</v>
      </c>
      <c r="U76" s="89">
        <f t="shared" si="139"/>
        <v>-1244978.0691864495</v>
      </c>
      <c r="V76" s="89">
        <f t="shared" si="139"/>
        <v>-498054.22457885195</v>
      </c>
      <c r="W76" s="89">
        <f t="shared" si="139"/>
        <v>882449.61070621188</v>
      </c>
      <c r="X76" s="89">
        <f t="shared" si="139"/>
        <v>1548921.2108148988</v>
      </c>
      <c r="Y76" s="89">
        <f t="shared" si="139"/>
        <v>3548718.3118381049</v>
      </c>
      <c r="Z76" s="89">
        <f t="shared" si="139"/>
        <v>2087701.4667316929</v>
      </c>
      <c r="AA76" s="89">
        <f t="shared" si="139"/>
        <v>-1175296.9553426306</v>
      </c>
      <c r="AB76" s="89">
        <f t="shared" si="139"/>
        <v>-2965522.3645810592</v>
      </c>
      <c r="AC76" s="89">
        <f t="shared" si="139"/>
        <v>-4755941.9849123769</v>
      </c>
      <c r="AD76" s="89">
        <f t="shared" si="139"/>
        <v>-5627892.4657272128</v>
      </c>
      <c r="AE76" s="89">
        <f t="shared" si="139"/>
        <v>-7571818.7594124526</v>
      </c>
      <c r="AF76" s="89">
        <f t="shared" si="139"/>
        <v>-9186064.588681655</v>
      </c>
      <c r="AG76" s="89">
        <f t="shared" si="139"/>
        <v>-9924015.440987844</v>
      </c>
      <c r="AH76" s="89">
        <f t="shared" si="139"/>
        <v>-11970746.362477975</v>
      </c>
      <c r="AI76" s="89">
        <f t="shared" si="139"/>
        <v>-13390027.132893855</v>
      </c>
      <c r="AJ76" s="89">
        <f t="shared" si="139"/>
        <v>-12593831.945875032</v>
      </c>
      <c r="AK76" s="89">
        <f t="shared" si="139"/>
        <v>-11310746.163214782</v>
      </c>
      <c r="AL76" s="89">
        <f t="shared" si="139"/>
        <v>-16058988.549263027</v>
      </c>
      <c r="AM76" s="89">
        <f t="shared" si="139"/>
        <v>-6620807.0534087084</v>
      </c>
      <c r="AN76" s="89">
        <f t="shared" si="139"/>
        <v>420953.94132745825</v>
      </c>
      <c r="AO76" s="89">
        <f t="shared" si="139"/>
        <v>494462.59872932022</v>
      </c>
      <c r="AP76" s="89">
        <f t="shared" si="139"/>
        <v>536525.44412261772</v>
      </c>
      <c r="AQ76" s="89">
        <f t="shared" si="139"/>
        <v>584712.62695270497</v>
      </c>
      <c r="AR76" s="89">
        <f t="shared" si="139"/>
        <v>1716811.0029544784</v>
      </c>
      <c r="AS76" s="89">
        <f t="shared" si="139"/>
        <v>325792.11733942199</v>
      </c>
      <c r="AT76" s="89">
        <f t="shared" si="139"/>
        <v>312206.85212409071</v>
      </c>
      <c r="AU76" s="89">
        <f t="shared" si="139"/>
        <v>610302.81706587248</v>
      </c>
      <c r="AV76" s="89">
        <f t="shared" si="139"/>
        <v>508105.83402343321</v>
      </c>
      <c r="AW76" s="89">
        <f t="shared" si="139"/>
        <v>659617.17497664946</v>
      </c>
      <c r="AX76" s="89">
        <f t="shared" si="139"/>
        <v>779333.67841884412</v>
      </c>
      <c r="AY76" s="89">
        <f t="shared" si="139"/>
        <v>802093.6946954364</v>
      </c>
      <c r="AZ76" s="89">
        <f t="shared" si="139"/>
        <v>841929.76408510935</v>
      </c>
      <c r="BA76" s="89">
        <f t="shared" si="139"/>
        <v>707885.93367326213</v>
      </c>
      <c r="BB76" s="89">
        <f t="shared" si="139"/>
        <v>604550.94966159656</v>
      </c>
      <c r="BC76" s="89">
        <f t="shared" si="139"/>
        <v>727933.96091009991</v>
      </c>
      <c r="BD76" s="89">
        <f t="shared" si="139"/>
        <v>579093.52332065767</v>
      </c>
      <c r="BE76" s="89">
        <f t="shared" si="139"/>
        <v>1081829.3340232796</v>
      </c>
      <c r="BF76" s="89">
        <f t="shared" si="139"/>
        <v>1028502.0696092175</v>
      </c>
      <c r="BG76" s="89">
        <f t="shared" si="139"/>
        <v>924878.870400819</v>
      </c>
      <c r="BH76" s="89">
        <f t="shared" si="139"/>
        <v>799150.30229052471</v>
      </c>
      <c r="BI76" s="89">
        <f t="shared" si="139"/>
        <v>348388.90766337042</v>
      </c>
      <c r="BJ76" s="89">
        <f t="shared" si="139"/>
        <v>222460.15586159492</v>
      </c>
      <c r="BK76" s="89">
        <f t="shared" si="139"/>
        <v>235948.63643131813</v>
      </c>
      <c r="BL76" s="89">
        <f>(SUM(BL15:BL18)-SUM(BL35:BL39))+SUM(BL68:BL72)+BK76+BK77</f>
        <v>163263.70412164583</v>
      </c>
      <c r="BM76" s="89">
        <f>(SUM(BM15:BM18)-SUM(BM35:BM39))+SUM(BM68:BM72)+BL76+BL77</f>
        <v>182935.61686355231</v>
      </c>
      <c r="BN76" s="89">
        <f t="shared" si="139"/>
        <v>118760.5382689921</v>
      </c>
      <c r="BO76" s="89">
        <f t="shared" si="139"/>
        <v>40487.49101492179</v>
      </c>
      <c r="BP76" s="89">
        <f t="shared" si="139"/>
        <v>-160639.6877360639</v>
      </c>
      <c r="BQ76" s="89">
        <f t="shared" si="139"/>
        <v>-248025.161919173</v>
      </c>
      <c r="BR76" s="89">
        <f>(SUM(BR15:BR18)-SUM(BR35:BR39))+SUM(BR68:BR72)+BQ76+BQ77</f>
        <v>-340444.8640782584</v>
      </c>
      <c r="BS76" s="89">
        <f>(SUM(BS15:BS18)-SUM(BS35:BS39))+SUM(BS68:BS72)+BR76+BR77</f>
        <v>-433382.28009251819</v>
      </c>
      <c r="BT76" s="89">
        <f t="shared" ref="BT76:BV76" si="140">(SUM(BT15:BT18)-SUM(BT35:BT39))+SUM(BT68:BT72)+BS76+BS77</f>
        <v>-435963.50426402222</v>
      </c>
      <c r="BU76" s="89">
        <f t="shared" si="140"/>
        <v>-521932.72691813891</v>
      </c>
      <c r="BV76" s="90">
        <f t="shared" si="140"/>
        <v>-696083.93775217561</v>
      </c>
    </row>
    <row r="77" spans="1:74" x14ac:dyDescent="0.3">
      <c r="A77" s="73"/>
      <c r="B77" s="169"/>
      <c r="C77" s="170"/>
      <c r="D77" s="170"/>
      <c r="E77" s="170"/>
      <c r="F77" s="170"/>
      <c r="G77" s="170"/>
      <c r="H77" s="170"/>
      <c r="I77" s="170"/>
      <c r="J77" s="170"/>
      <c r="K77" s="170"/>
      <c r="L77" s="170"/>
      <c r="M77" s="363" t="s">
        <v>104</v>
      </c>
      <c r="N77" s="181">
        <v>2696726</v>
      </c>
      <c r="O77" s="170"/>
      <c r="P77" s="170"/>
      <c r="Q77" s="170"/>
      <c r="R77" s="170"/>
      <c r="S77" s="170"/>
      <c r="T77" s="170"/>
      <c r="U77" s="170"/>
      <c r="V77" s="170"/>
      <c r="W77" s="170"/>
      <c r="X77" s="171"/>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0"/>
      <c r="BG77" s="170"/>
      <c r="BH77" s="170"/>
      <c r="BI77" s="170"/>
      <c r="BJ77" s="170"/>
      <c r="BK77" s="170"/>
      <c r="BL77" s="294"/>
      <c r="BM77" s="170"/>
      <c r="BN77" s="170"/>
      <c r="BO77" s="170"/>
      <c r="BP77" s="170"/>
      <c r="BQ77" s="170"/>
      <c r="BR77" s="170"/>
      <c r="BS77" s="170"/>
      <c r="BT77" s="170"/>
      <c r="BU77" s="170"/>
      <c r="BV77" s="172"/>
    </row>
    <row r="78" spans="1:74" s="139" customFormat="1" x14ac:dyDescent="0.3">
      <c r="A78" s="364" t="s">
        <v>0</v>
      </c>
      <c r="B78" s="75"/>
      <c r="C78" s="74"/>
      <c r="D78" s="74"/>
      <c r="E78" s="74"/>
      <c r="F78" s="74"/>
      <c r="G78" s="74"/>
      <c r="H78" s="74"/>
      <c r="I78" s="74"/>
      <c r="J78" s="74"/>
      <c r="K78" s="74"/>
      <c r="L78" s="74"/>
      <c r="M78" s="74"/>
      <c r="N78" s="168">
        <v>2260140</v>
      </c>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7"/>
    </row>
    <row r="79" spans="1:74" s="139" customFormat="1" x14ac:dyDescent="0.3">
      <c r="A79" s="364" t="s">
        <v>4</v>
      </c>
      <c r="B79" s="75"/>
      <c r="C79" s="74"/>
      <c r="D79" s="74"/>
      <c r="E79" s="74"/>
      <c r="F79" s="74"/>
      <c r="G79" s="74"/>
      <c r="H79" s="74"/>
      <c r="I79" s="74"/>
      <c r="J79" s="74"/>
      <c r="K79" s="74"/>
      <c r="L79" s="74"/>
      <c r="M79" s="74"/>
      <c r="N79" s="168">
        <v>98743</v>
      </c>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7"/>
    </row>
    <row r="80" spans="1:74" s="139" customFormat="1" x14ac:dyDescent="0.3">
      <c r="A80" s="364" t="s">
        <v>5</v>
      </c>
      <c r="B80" s="75"/>
      <c r="C80" s="74"/>
      <c r="D80" s="74"/>
      <c r="E80" s="74"/>
      <c r="F80" s="74"/>
      <c r="G80" s="74"/>
      <c r="H80" s="74"/>
      <c r="I80" s="74"/>
      <c r="J80" s="74"/>
      <c r="K80" s="74"/>
      <c r="L80" s="74"/>
      <c r="M80" s="74"/>
      <c r="N80" s="168">
        <v>354201</v>
      </c>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7"/>
    </row>
    <row r="81" spans="1:74" s="139" customFormat="1" x14ac:dyDescent="0.3">
      <c r="A81" s="364" t="s">
        <v>6</v>
      </c>
      <c r="B81" s="75"/>
      <c r="C81" s="74"/>
      <c r="D81" s="74"/>
      <c r="E81" s="74"/>
      <c r="F81" s="74"/>
      <c r="G81" s="74"/>
      <c r="H81" s="74"/>
      <c r="I81" s="74"/>
      <c r="J81" s="74"/>
      <c r="K81" s="74"/>
      <c r="L81" s="74"/>
      <c r="M81" s="74"/>
      <c r="N81" s="168">
        <v>106604</v>
      </c>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7"/>
    </row>
    <row r="82" spans="1:74" ht="15" thickBot="1" x14ac:dyDescent="0.35">
      <c r="A82" s="365" t="s">
        <v>7</v>
      </c>
      <c r="B82" s="124"/>
      <c r="C82" s="109"/>
      <c r="D82" s="109"/>
      <c r="E82" s="109"/>
      <c r="F82" s="109"/>
      <c r="G82" s="109"/>
      <c r="H82" s="109"/>
      <c r="I82" s="109"/>
      <c r="J82" s="109"/>
      <c r="K82" s="109"/>
      <c r="L82" s="109"/>
      <c r="M82" s="109"/>
      <c r="N82" s="182">
        <v>-122962</v>
      </c>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10"/>
    </row>
    <row r="83" spans="1:74" x14ac:dyDescent="0.3">
      <c r="D83" s="38"/>
      <c r="E83" s="35"/>
      <c r="F83" s="35"/>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row>
    <row r="84" spans="1:74" x14ac:dyDescent="0.3">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row>
    <row r="85" spans="1:74" x14ac:dyDescent="0.3">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36"/>
      <c r="BG85" s="37"/>
      <c r="BH85" s="37"/>
      <c r="BI85" s="37"/>
      <c r="BJ85" s="37"/>
      <c r="BK85" s="37"/>
      <c r="BL85" s="37"/>
      <c r="BM85" s="37"/>
      <c r="BN85" s="37"/>
      <c r="BO85" s="37"/>
      <c r="BP85" s="37"/>
      <c r="BQ85" s="37"/>
      <c r="BR85" s="37"/>
      <c r="BS85" s="336"/>
      <c r="BT85" s="370"/>
      <c r="BU85" s="370"/>
      <c r="BV85" s="370"/>
    </row>
    <row r="86" spans="1:74" x14ac:dyDescent="0.3">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37"/>
      <c r="BH86" s="37"/>
      <c r="BI86" s="37"/>
      <c r="BJ86" s="37"/>
      <c r="BK86" s="37"/>
      <c r="BL86" s="37"/>
      <c r="BM86" s="37"/>
      <c r="BN86" s="37"/>
      <c r="BO86" s="37"/>
      <c r="BP86" s="37"/>
      <c r="BQ86" s="37"/>
      <c r="BR86" s="37"/>
      <c r="BS86" s="37"/>
      <c r="BT86" s="37"/>
      <c r="BU86" s="37"/>
      <c r="BV86" s="37"/>
    </row>
    <row r="87" spans="1:74" x14ac:dyDescent="0.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row>
    <row r="88" spans="1:74" x14ac:dyDescent="0.3">
      <c r="BL88" s="31"/>
      <c r="BM88" s="31"/>
      <c r="BN88" s="31"/>
      <c r="BO88" s="31"/>
      <c r="BP88" s="31"/>
      <c r="BQ88" s="31"/>
      <c r="BR88" s="31"/>
      <c r="BS88" s="31"/>
      <c r="BT88" s="31"/>
      <c r="BU88" s="31"/>
      <c r="BV88" s="31"/>
    </row>
    <row r="89" spans="1:74" x14ac:dyDescent="0.3">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99"/>
      <c r="AL89" s="199"/>
      <c r="AM89" s="199"/>
      <c r="AN89" s="199"/>
      <c r="AO89" s="199"/>
      <c r="AP89" s="199"/>
      <c r="AQ89" s="199"/>
      <c r="AR89" s="199"/>
      <c r="AS89" s="199"/>
      <c r="AT89" s="199"/>
      <c r="AU89" s="199"/>
      <c r="AV89" s="199"/>
      <c r="AW89" s="199"/>
      <c r="AX89" s="199"/>
      <c r="AY89" s="199"/>
      <c r="AZ89" s="199"/>
      <c r="BA89" s="199"/>
      <c r="BB89" s="199"/>
      <c r="BC89" s="199"/>
      <c r="BD89" s="199"/>
      <c r="BE89" s="199"/>
      <c r="BF89" s="199"/>
      <c r="BG89" s="199"/>
      <c r="BH89" s="199"/>
      <c r="BI89" s="199"/>
      <c r="BJ89" s="199"/>
      <c r="BK89" s="199"/>
      <c r="BL89" s="199"/>
      <c r="BM89" s="199"/>
      <c r="BN89" s="199"/>
      <c r="BO89" s="199"/>
      <c r="BP89" s="199"/>
      <c r="BQ89" s="199"/>
      <c r="BR89" s="199"/>
      <c r="BS89" s="199"/>
      <c r="BT89" s="199"/>
      <c r="BU89" s="199"/>
      <c r="BV89" s="199"/>
    </row>
  </sheetData>
  <pageMargins left="0.7" right="0.7" top="0.75" bottom="0.75" header="0.3" footer="0.3"/>
  <pageSetup scale="7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pageSetUpPr fitToPage="1"/>
  </sheetPr>
  <dimension ref="A1:BF89"/>
  <sheetViews>
    <sheetView zoomScale="80" zoomScaleNormal="80" workbookViewId="0">
      <pane xSplit="1" ySplit="14" topLeftCell="B15" activePane="bottomRight" state="frozen"/>
      <selection activeCell="AY76" sqref="AY76"/>
      <selection pane="topRight" activeCell="AY76" sqref="AY76"/>
      <selection pane="bottomLeft" activeCell="AY76" sqref="AY76"/>
      <selection pane="bottomRight" activeCell="AI84" sqref="AI84:BB84"/>
    </sheetView>
  </sheetViews>
  <sheetFormatPr defaultColWidth="9.109375" defaultRowHeight="14.4" x14ac:dyDescent="0.3"/>
  <cols>
    <col min="1" max="1" width="21.5546875" style="139" customWidth="1"/>
    <col min="2" max="2" width="15.33203125" style="139" customWidth="1"/>
    <col min="3" max="3" width="15.88671875" style="139" customWidth="1"/>
    <col min="4" max="4" width="16.6640625" style="139" customWidth="1"/>
    <col min="5" max="5" width="16.109375" style="139" customWidth="1"/>
    <col min="6" max="6" width="15.88671875" style="139" bestFit="1" customWidth="1"/>
    <col min="7" max="7" width="16" style="139" customWidth="1"/>
    <col min="8" max="8" width="15" style="139" bestFit="1" customWidth="1"/>
    <col min="9" max="10" width="16" style="139" bestFit="1" customWidth="1"/>
    <col min="11" max="11" width="16" style="139" customWidth="1"/>
    <col min="12" max="12" width="16" style="139" bestFit="1" customWidth="1"/>
    <col min="13" max="48" width="16" style="139" customWidth="1"/>
    <col min="49" max="49" width="16.44140625" style="139" customWidth="1"/>
    <col min="50" max="50" width="17.33203125" style="139" customWidth="1"/>
    <col min="51" max="51" width="16.88671875" style="139" customWidth="1"/>
    <col min="52" max="52" width="13.88671875" style="139" bestFit="1" customWidth="1"/>
    <col min="53" max="53" width="10.88671875" style="139" bestFit="1" customWidth="1"/>
    <col min="54" max="54" width="9.109375" style="139"/>
    <col min="55" max="55" width="12.6640625" style="139" bestFit="1" customWidth="1"/>
    <col min="56" max="16384" width="9.109375" style="139"/>
  </cols>
  <sheetData>
    <row r="1" spans="1:58" x14ac:dyDescent="0.3">
      <c r="A1" s="32" t="s">
        <v>158</v>
      </c>
      <c r="B1" s="32"/>
    </row>
    <row r="2" spans="1:58" x14ac:dyDescent="0.3">
      <c r="B2" s="158" t="s">
        <v>77</v>
      </c>
      <c r="J2" s="2" t="s">
        <v>26</v>
      </c>
      <c r="K2" s="2"/>
    </row>
    <row r="3" spans="1:58" x14ac:dyDescent="0.3">
      <c r="B3" s="342" t="s">
        <v>175</v>
      </c>
      <c r="C3" s="342" t="s">
        <v>64</v>
      </c>
      <c r="D3" s="342" t="s">
        <v>78</v>
      </c>
      <c r="E3" s="342" t="s">
        <v>97</v>
      </c>
      <c r="F3" s="342" t="s">
        <v>91</v>
      </c>
      <c r="G3" s="342" t="s">
        <v>65</v>
      </c>
      <c r="H3" s="342" t="s">
        <v>79</v>
      </c>
      <c r="I3" s="39"/>
      <c r="J3" s="39" t="s">
        <v>80</v>
      </c>
      <c r="K3" s="39"/>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row>
    <row r="4" spans="1:58" x14ac:dyDescent="0.3">
      <c r="A4" s="139" t="s">
        <v>0</v>
      </c>
      <c r="B4" s="21">
        <f>AM78</f>
        <v>-112063.39590084087</v>
      </c>
      <c r="C4" s="21">
        <f>SUM(B42:AY42)</f>
        <v>146828217.257936</v>
      </c>
      <c r="D4" s="61">
        <f>SUM(B28:AY28)</f>
        <v>53571532188.075592</v>
      </c>
      <c r="E4" s="21">
        <f>SUM(B21:AY21)</f>
        <v>141409172.15433282</v>
      </c>
      <c r="F4" s="21">
        <f>+B4-C4+E4</f>
        <v>-5531108.4995040298</v>
      </c>
      <c r="G4" s="88">
        <f>SUM(B68:AY68)</f>
        <v>-23651.001914809203</v>
      </c>
      <c r="H4" s="26">
        <f>F4+G4</f>
        <v>-5554759.5014188392</v>
      </c>
      <c r="I4" s="39"/>
      <c r="J4" s="39" t="s">
        <v>94</v>
      </c>
      <c r="K4" s="39"/>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row>
    <row r="5" spans="1:58" x14ac:dyDescent="0.3">
      <c r="A5" s="139" t="s">
        <v>4</v>
      </c>
      <c r="B5" s="21">
        <f t="shared" ref="B5:B8" si="0">AM79</f>
        <v>-163973.95627627094</v>
      </c>
      <c r="C5" s="21">
        <f t="shared" ref="C5:C8" si="1">SUM(B43:AY43)</f>
        <v>29586628.380250242</v>
      </c>
      <c r="D5" s="61">
        <f t="shared" ref="D5:D8" si="2">SUM(B29:AY29)</f>
        <v>13211415932.286625</v>
      </c>
      <c r="E5" s="21">
        <f t="shared" ref="E5:E8" si="3">SUM(B22:AY22)</f>
        <v>28678474.369185537</v>
      </c>
      <c r="F5" s="21">
        <f t="shared" ref="F5:F8" si="4">+B5-C5+E5</f>
        <v>-1072127.967340976</v>
      </c>
      <c r="G5" s="88">
        <f t="shared" ref="G5:G8" si="5">SUM(B69:AY69)</f>
        <v>-78796.962569817129</v>
      </c>
      <c r="H5" s="26">
        <f>F5+G5</f>
        <v>-1150924.9299107932</v>
      </c>
      <c r="I5" s="39"/>
      <c r="J5" s="39" t="s">
        <v>93</v>
      </c>
      <c r="K5" s="39"/>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row>
    <row r="6" spans="1:58" x14ac:dyDescent="0.3">
      <c r="A6" s="139" t="s">
        <v>5</v>
      </c>
      <c r="B6" s="21">
        <f t="shared" si="0"/>
        <v>-295090.17501933238</v>
      </c>
      <c r="C6" s="21">
        <f t="shared" si="1"/>
        <v>65006123.932008311</v>
      </c>
      <c r="D6" s="61">
        <f t="shared" si="2"/>
        <v>28965653548.484898</v>
      </c>
      <c r="E6" s="21">
        <f t="shared" si="3"/>
        <v>63732650.994270727</v>
      </c>
      <c r="F6" s="21">
        <f t="shared" si="4"/>
        <v>-1568563.1127569154</v>
      </c>
      <c r="G6" s="88">
        <f t="shared" si="5"/>
        <v>-157892.76359286235</v>
      </c>
      <c r="H6" s="26">
        <f>F6+G6</f>
        <v>-1726455.8763497777</v>
      </c>
      <c r="I6" s="39"/>
      <c r="J6" s="39" t="s">
        <v>95</v>
      </c>
      <c r="K6" s="39"/>
      <c r="L6" s="32"/>
      <c r="M6" s="32"/>
      <c r="N6" s="32"/>
      <c r="O6" s="32"/>
      <c r="P6" s="32"/>
      <c r="Q6" s="32"/>
      <c r="R6" s="32"/>
      <c r="S6" s="32"/>
      <c r="T6" s="32"/>
      <c r="U6" s="32"/>
      <c r="V6" s="32"/>
      <c r="W6" s="32"/>
      <c r="X6" s="32"/>
      <c r="Y6" s="32"/>
      <c r="Z6" s="32"/>
      <c r="AA6" s="32"/>
      <c r="AB6" s="296"/>
      <c r="AC6" s="296"/>
      <c r="AD6" s="81"/>
      <c r="AE6" s="32"/>
      <c r="AF6" s="32"/>
      <c r="AG6" s="296"/>
      <c r="AH6" s="296"/>
      <c r="AI6" s="81"/>
      <c r="AJ6" s="32"/>
      <c r="AK6" s="32"/>
      <c r="AL6" s="32"/>
      <c r="AM6" s="32"/>
      <c r="AN6" s="32"/>
      <c r="AO6" s="32"/>
      <c r="AP6" s="32"/>
      <c r="AQ6" s="32"/>
      <c r="AR6" s="32"/>
      <c r="AS6" s="32"/>
      <c r="AT6" s="32"/>
      <c r="AU6" s="32"/>
      <c r="AV6" s="32"/>
    </row>
    <row r="7" spans="1:58" x14ac:dyDescent="0.3">
      <c r="A7" s="139" t="s">
        <v>6</v>
      </c>
      <c r="B7" s="21">
        <f t="shared" si="0"/>
        <v>-106613.35005726748</v>
      </c>
      <c r="C7" s="21">
        <f t="shared" si="1"/>
        <v>27724227.914335344</v>
      </c>
      <c r="D7" s="61">
        <f t="shared" si="2"/>
        <v>12262904169.586323</v>
      </c>
      <c r="E7" s="21">
        <f t="shared" si="3"/>
        <v>27347489.286525138</v>
      </c>
      <c r="F7" s="21">
        <f t="shared" si="4"/>
        <v>-483351.97786747292</v>
      </c>
      <c r="G7" s="88">
        <f t="shared" si="5"/>
        <v>-60086.440110042015</v>
      </c>
      <c r="H7" s="26">
        <f>F7+G7</f>
        <v>-543438.41797751491</v>
      </c>
      <c r="I7" s="39"/>
      <c r="J7" s="39" t="s">
        <v>81</v>
      </c>
      <c r="K7" s="39"/>
      <c r="L7" s="32"/>
      <c r="M7" s="32"/>
      <c r="N7" s="32"/>
      <c r="O7" s="32"/>
      <c r="P7" s="32"/>
      <c r="Q7" s="32"/>
      <c r="R7" s="32"/>
      <c r="S7" s="32"/>
      <c r="T7" s="32"/>
      <c r="U7" s="32"/>
      <c r="V7" s="32"/>
      <c r="W7" s="32"/>
      <c r="X7" s="32"/>
      <c r="Y7" s="32"/>
      <c r="Z7" s="32"/>
      <c r="AA7" s="32"/>
      <c r="AB7" s="296"/>
      <c r="AC7" s="296"/>
      <c r="AD7" s="81"/>
      <c r="AE7" s="32"/>
      <c r="AF7" s="32"/>
      <c r="AG7" s="296"/>
      <c r="AH7" s="296"/>
      <c r="AI7" s="81"/>
      <c r="AJ7" s="32"/>
      <c r="AK7" s="32"/>
      <c r="AL7" s="32"/>
      <c r="AM7" s="32"/>
      <c r="AN7" s="32"/>
      <c r="AO7" s="32"/>
      <c r="AP7" s="32"/>
      <c r="AQ7" s="32"/>
      <c r="AR7" s="32"/>
      <c r="AS7" s="32"/>
      <c r="AT7" s="32"/>
      <c r="AU7" s="32"/>
      <c r="AV7" s="236"/>
    </row>
    <row r="8" spans="1:58" ht="15" thickBot="1" x14ac:dyDescent="0.35">
      <c r="A8" s="139" t="s">
        <v>7</v>
      </c>
      <c r="B8" s="21">
        <f t="shared" si="0"/>
        <v>-18343.060498452676</v>
      </c>
      <c r="C8" s="21">
        <f t="shared" si="1"/>
        <v>10676883.759185893</v>
      </c>
      <c r="D8" s="61">
        <f t="shared" si="2"/>
        <v>4924694050.2301235</v>
      </c>
      <c r="E8" s="21">
        <f t="shared" si="3"/>
        <v>10760208.045822512</v>
      </c>
      <c r="F8" s="21">
        <f t="shared" si="4"/>
        <v>64981.226138167083</v>
      </c>
      <c r="G8" s="88">
        <f t="shared" si="5"/>
        <v>-16719.49973842593</v>
      </c>
      <c r="H8" s="26">
        <f>F8+G8</f>
        <v>48261.72639974115</v>
      </c>
      <c r="I8" s="39"/>
      <c r="J8" s="39" t="s">
        <v>109</v>
      </c>
      <c r="K8" s="39"/>
      <c r="L8" s="32"/>
      <c r="M8" s="32"/>
      <c r="N8" s="32"/>
      <c r="O8" s="32"/>
      <c r="P8" s="32"/>
      <c r="Q8" s="32"/>
      <c r="R8" s="32"/>
      <c r="S8" s="32"/>
      <c r="T8" s="32"/>
      <c r="U8" s="32"/>
      <c r="V8" s="32"/>
      <c r="W8" s="32"/>
      <c r="X8" s="32"/>
      <c r="Y8" s="32"/>
      <c r="Z8" s="32"/>
      <c r="AA8" s="32"/>
      <c r="AB8" s="296"/>
      <c r="AC8" s="296"/>
      <c r="AD8" s="81"/>
      <c r="AE8" s="32"/>
      <c r="AF8" s="32"/>
      <c r="AG8" s="296"/>
      <c r="AH8" s="296"/>
      <c r="AI8" s="81"/>
      <c r="AJ8" s="32"/>
      <c r="AK8" s="32"/>
      <c r="AL8" s="32"/>
      <c r="AM8" s="32"/>
      <c r="AN8" s="32"/>
      <c r="AO8" s="32"/>
      <c r="AP8" s="32"/>
      <c r="AQ8" s="32"/>
      <c r="AR8" s="32"/>
      <c r="AS8" s="32"/>
      <c r="AT8" s="32"/>
      <c r="AU8" s="32"/>
      <c r="AV8" s="381"/>
    </row>
    <row r="9" spans="1:58" ht="15.6" thickTop="1" thickBot="1" x14ac:dyDescent="0.35">
      <c r="B9" s="62">
        <f t="shared" ref="B9:H9" si="6">SUM(B4:B8)</f>
        <v>-696083.9377521642</v>
      </c>
      <c r="C9" s="62">
        <f>SUM(C4:C8)</f>
        <v>279822081.24371582</v>
      </c>
      <c r="D9" s="154">
        <f t="shared" si="6"/>
        <v>112936199888.66354</v>
      </c>
      <c r="E9" s="62">
        <f>SUM(E4:E8)</f>
        <v>271927994.8501367</v>
      </c>
      <c r="F9" s="233">
        <f>SUM(F4:F8)</f>
        <v>-8590170.331331227</v>
      </c>
      <c r="G9" s="233">
        <f t="shared" si="6"/>
        <v>-337146.66792595666</v>
      </c>
      <c r="H9" s="62">
        <f t="shared" si="6"/>
        <v>-8927316.9992571827</v>
      </c>
      <c r="I9" s="39"/>
      <c r="J9" s="39" t="s">
        <v>110</v>
      </c>
      <c r="K9" s="39"/>
      <c r="L9" s="32"/>
      <c r="M9" s="32"/>
      <c r="N9" s="32"/>
      <c r="O9" s="32"/>
      <c r="P9" s="32"/>
      <c r="Q9" s="32"/>
      <c r="R9" s="32"/>
      <c r="S9" s="32"/>
      <c r="T9" s="32"/>
      <c r="U9" s="32"/>
      <c r="V9" s="32"/>
      <c r="W9" s="32"/>
      <c r="X9" s="32"/>
      <c r="Y9" s="32"/>
      <c r="Z9" s="32"/>
      <c r="AA9" s="32"/>
      <c r="AB9" s="296"/>
      <c r="AC9" s="296"/>
      <c r="AD9" s="81"/>
      <c r="AE9" s="32"/>
      <c r="AF9" s="32"/>
      <c r="AG9" s="296"/>
      <c r="AH9" s="296"/>
      <c r="AI9" s="81"/>
      <c r="AJ9" s="32"/>
      <c r="AK9" s="32"/>
      <c r="AL9" s="32"/>
      <c r="AM9" s="32"/>
      <c r="AN9" s="32"/>
      <c r="AO9" s="32"/>
      <c r="AP9" s="32"/>
      <c r="AQ9" s="32"/>
      <c r="AR9" s="32"/>
      <c r="AS9" s="32"/>
      <c r="AT9" s="32"/>
      <c r="AU9" s="32"/>
      <c r="AV9" s="399"/>
    </row>
    <row r="10" spans="1:58" ht="15.6" thickTop="1" thickBot="1" x14ac:dyDescent="0.35">
      <c r="E10" s="23"/>
      <c r="F10" s="23" t="s">
        <v>25</v>
      </c>
      <c r="G10" s="228">
        <f>G9-SUM(B51:AY51)</f>
        <v>6.2074043438769877E-2</v>
      </c>
      <c r="H10" s="32"/>
      <c r="I10" s="39"/>
      <c r="J10" s="39" t="s">
        <v>111</v>
      </c>
      <c r="K10" s="39"/>
      <c r="L10" s="32"/>
      <c r="M10" s="32"/>
      <c r="N10" s="32"/>
      <c r="O10" s="32"/>
      <c r="P10" s="32"/>
      <c r="Q10" s="32"/>
      <c r="R10" s="32"/>
      <c r="S10" s="32"/>
      <c r="T10" s="32"/>
      <c r="U10" s="32"/>
      <c r="V10" s="32"/>
      <c r="W10" s="32"/>
      <c r="X10" s="32"/>
      <c r="Y10" s="32"/>
      <c r="Z10" s="32"/>
      <c r="AA10" s="32"/>
      <c r="AB10" s="32"/>
      <c r="AC10" s="236"/>
      <c r="AD10" s="32"/>
      <c r="AE10" s="32"/>
      <c r="AF10" s="32"/>
      <c r="AG10" s="296"/>
      <c r="AH10" s="296"/>
      <c r="AI10" s="81"/>
      <c r="AJ10" s="32"/>
      <c r="AK10" s="32"/>
      <c r="AL10" s="32"/>
      <c r="AM10" s="32"/>
      <c r="AN10" s="32"/>
      <c r="AO10" s="32"/>
      <c r="AP10" s="32"/>
      <c r="AQ10" s="32"/>
      <c r="AR10" s="32"/>
      <c r="AS10" s="32"/>
      <c r="AT10" s="32"/>
      <c r="AU10" s="32"/>
      <c r="AV10" s="289"/>
      <c r="AW10" s="3"/>
      <c r="AX10" s="3"/>
      <c r="AY10" s="3"/>
    </row>
    <row r="11" spans="1:58" ht="15" thickTop="1" x14ac:dyDescent="0.3">
      <c r="D11" s="3"/>
      <c r="F11" s="2"/>
      <c r="I11" s="39"/>
      <c r="J11" s="39" t="s">
        <v>112</v>
      </c>
      <c r="K11" s="39"/>
    </row>
    <row r="12" spans="1:58" ht="15" thickBot="1" x14ac:dyDescent="0.35">
      <c r="B12" s="35"/>
      <c r="C12" s="35"/>
      <c r="D12" s="35"/>
      <c r="E12" s="35"/>
      <c r="F12" s="35"/>
      <c r="G12" s="35"/>
      <c r="H12" s="35"/>
      <c r="I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236"/>
      <c r="AX12" s="236"/>
      <c r="AY12" s="32"/>
    </row>
    <row r="13" spans="1:58" ht="15" thickBot="1" x14ac:dyDescent="0.35">
      <c r="B13" s="254"/>
      <c r="C13" s="266"/>
      <c r="D13" s="328" t="s">
        <v>68</v>
      </c>
      <c r="E13" s="266"/>
      <c r="F13" s="266"/>
      <c r="G13" s="266"/>
      <c r="H13" s="266"/>
      <c r="I13" s="266"/>
      <c r="J13" s="266"/>
      <c r="K13" s="266"/>
      <c r="L13" s="266"/>
      <c r="M13" s="266"/>
      <c r="N13" s="266"/>
      <c r="O13" s="266"/>
      <c r="P13" s="266"/>
      <c r="Q13" s="266"/>
      <c r="R13" s="266"/>
      <c r="S13" s="266"/>
      <c r="T13" s="266"/>
      <c r="U13" s="266"/>
      <c r="V13" s="266"/>
      <c r="W13" s="266"/>
      <c r="X13" s="266"/>
      <c r="Y13" s="95"/>
      <c r="Z13" s="95"/>
      <c r="AA13" s="95"/>
      <c r="AB13" s="95"/>
      <c r="AC13" s="95"/>
      <c r="AD13" s="95"/>
      <c r="AE13" s="95"/>
      <c r="AF13" s="95"/>
      <c r="AG13" s="95"/>
      <c r="AH13" s="95"/>
      <c r="AI13" s="95"/>
      <c r="AJ13" s="266"/>
      <c r="AK13" s="266"/>
      <c r="AL13" s="266"/>
      <c r="AM13" s="266"/>
      <c r="AN13" s="266"/>
      <c r="AO13" s="266"/>
      <c r="AP13" s="266"/>
      <c r="AQ13" s="266"/>
      <c r="AR13" s="266"/>
      <c r="AS13" s="266"/>
      <c r="AT13" s="266"/>
      <c r="AU13" s="266"/>
      <c r="AV13" s="266"/>
      <c r="AW13" s="418" t="s">
        <v>67</v>
      </c>
      <c r="AX13" s="419"/>
      <c r="AY13" s="420"/>
    </row>
    <row r="14" spans="1:58" x14ac:dyDescent="0.3">
      <c r="A14" s="139" t="s">
        <v>83</v>
      </c>
      <c r="B14" s="66">
        <v>43435</v>
      </c>
      <c r="C14" s="67">
        <f t="shared" ref="C14:J14" si="7">EDATE(B14,1)</f>
        <v>43466</v>
      </c>
      <c r="D14" s="67">
        <f t="shared" si="7"/>
        <v>43497</v>
      </c>
      <c r="E14" s="67">
        <f t="shared" si="7"/>
        <v>43525</v>
      </c>
      <c r="F14" s="67">
        <f t="shared" si="7"/>
        <v>43556</v>
      </c>
      <c r="G14" s="67">
        <f t="shared" si="7"/>
        <v>43586</v>
      </c>
      <c r="H14" s="67">
        <f t="shared" si="7"/>
        <v>43617</v>
      </c>
      <c r="I14" s="67">
        <f t="shared" si="7"/>
        <v>43647</v>
      </c>
      <c r="J14" s="67">
        <f t="shared" si="7"/>
        <v>43678</v>
      </c>
      <c r="K14" s="67">
        <f t="shared" ref="K14" si="8">EDATE(J14,1)</f>
        <v>43709</v>
      </c>
      <c r="L14" s="67">
        <f t="shared" ref="L14" si="9">EDATE(K14,1)</f>
        <v>43739</v>
      </c>
      <c r="M14" s="267">
        <f t="shared" ref="M14" si="10">EDATE(L14,1)</f>
        <v>43770</v>
      </c>
      <c r="N14" s="267">
        <f t="shared" ref="N14" si="11">EDATE(M14,1)</f>
        <v>43800</v>
      </c>
      <c r="O14" s="67">
        <f t="shared" ref="O14" si="12">EDATE(N14,1)</f>
        <v>43831</v>
      </c>
      <c r="P14" s="67">
        <f t="shared" ref="P14" si="13">EDATE(O14,1)</f>
        <v>43862</v>
      </c>
      <c r="Q14" s="67">
        <f t="shared" ref="Q14" si="14">EDATE(P14,1)</f>
        <v>43891</v>
      </c>
      <c r="R14" s="67">
        <f t="shared" ref="R14" si="15">EDATE(Q14,1)</f>
        <v>43922</v>
      </c>
      <c r="S14" s="67">
        <f t="shared" ref="S14" si="16">EDATE(R14,1)</f>
        <v>43952</v>
      </c>
      <c r="T14" s="67">
        <f t="shared" ref="T14" si="17">EDATE(S14,1)</f>
        <v>43983</v>
      </c>
      <c r="U14" s="267">
        <f t="shared" ref="U14" si="18">EDATE(T14,1)</f>
        <v>44013</v>
      </c>
      <c r="V14" s="267">
        <f t="shared" ref="V14" si="19">EDATE(U14,1)</f>
        <v>44044</v>
      </c>
      <c r="W14" s="67">
        <f t="shared" ref="W14" si="20">EDATE(V14,1)</f>
        <v>44075</v>
      </c>
      <c r="X14" s="267">
        <f t="shared" ref="X14" si="21">EDATE(W14,1)</f>
        <v>44105</v>
      </c>
      <c r="Y14" s="267">
        <f t="shared" ref="Y14" si="22">EDATE(X14,1)</f>
        <v>44136</v>
      </c>
      <c r="Z14" s="267">
        <f t="shared" ref="Z14" si="23">EDATE(Y14,1)</f>
        <v>44166</v>
      </c>
      <c r="AA14" s="67">
        <f t="shared" ref="AA14" si="24">EDATE(Z14,1)</f>
        <v>44197</v>
      </c>
      <c r="AB14" s="67">
        <f t="shared" ref="AB14" si="25">EDATE(AA14,1)</f>
        <v>44228</v>
      </c>
      <c r="AC14" s="67">
        <f t="shared" ref="AC14" si="26">EDATE(AB14,1)</f>
        <v>44256</v>
      </c>
      <c r="AD14" s="67">
        <f t="shared" ref="AD14" si="27">EDATE(AC14,1)</f>
        <v>44287</v>
      </c>
      <c r="AE14" s="67">
        <f t="shared" ref="AE14" si="28">EDATE(AD14,1)</f>
        <v>44317</v>
      </c>
      <c r="AF14" s="67">
        <f t="shared" ref="AF14" si="29">EDATE(AE14,1)</f>
        <v>44348</v>
      </c>
      <c r="AG14" s="267">
        <f t="shared" ref="AG14" si="30">EDATE(AF14,1)</f>
        <v>44378</v>
      </c>
      <c r="AH14" s="267">
        <f t="shared" ref="AH14" si="31">EDATE(AG14,1)</f>
        <v>44409</v>
      </c>
      <c r="AI14" s="67">
        <f t="shared" ref="AI14" si="32">EDATE(AH14,1)</f>
        <v>44440</v>
      </c>
      <c r="AJ14" s="267">
        <f t="shared" ref="AJ14" si="33">EDATE(AI14,1)</f>
        <v>44470</v>
      </c>
      <c r="AK14" s="267">
        <f t="shared" ref="AK14" si="34">EDATE(AJ14,1)</f>
        <v>44501</v>
      </c>
      <c r="AL14" s="267">
        <f t="shared" ref="AL14" si="35">EDATE(AK14,1)</f>
        <v>44531</v>
      </c>
      <c r="AM14" s="267">
        <f t="shared" ref="AM14" si="36">EDATE(AL14,1)</f>
        <v>44562</v>
      </c>
      <c r="AN14" s="267">
        <f t="shared" ref="AN14" si="37">EDATE(AM14,1)</f>
        <v>44593</v>
      </c>
      <c r="AO14" s="267">
        <f t="shared" ref="AO14" si="38">EDATE(AN14,1)</f>
        <v>44621</v>
      </c>
      <c r="AP14" s="267">
        <f t="shared" ref="AP14" si="39">EDATE(AO14,1)</f>
        <v>44652</v>
      </c>
      <c r="AQ14" s="267">
        <f t="shared" ref="AQ14" si="40">EDATE(AP14,1)</f>
        <v>44682</v>
      </c>
      <c r="AR14" s="267">
        <f t="shared" ref="AR14" si="41">EDATE(AQ14,1)</f>
        <v>44713</v>
      </c>
      <c r="AS14" s="267">
        <f t="shared" ref="AS14" si="42">EDATE(AR14,1)</f>
        <v>44743</v>
      </c>
      <c r="AT14" s="267">
        <f t="shared" ref="AT14" si="43">EDATE(AS14,1)</f>
        <v>44774</v>
      </c>
      <c r="AU14" s="267">
        <f t="shared" ref="AU14" si="44">EDATE(AT14,1)</f>
        <v>44805</v>
      </c>
      <c r="AV14" s="267">
        <f t="shared" ref="AV14" si="45">EDATE(AU14,1)</f>
        <v>44835</v>
      </c>
      <c r="AW14" s="66">
        <f>EDATE(AV14,1)</f>
        <v>44866</v>
      </c>
      <c r="AX14" s="67">
        <f>EDATE(AW14,1)</f>
        <v>44896</v>
      </c>
      <c r="AY14" s="68">
        <f>EDATE(AX14,1)</f>
        <v>44927</v>
      </c>
      <c r="AZ14" s="1"/>
      <c r="BA14" s="1"/>
      <c r="BB14" s="1"/>
      <c r="BC14" s="1"/>
      <c r="BD14" s="1"/>
      <c r="BE14" s="1"/>
      <c r="BF14" s="1"/>
    </row>
    <row r="15" spans="1:58" x14ac:dyDescent="0.3">
      <c r="A15" s="32" t="s">
        <v>0</v>
      </c>
      <c r="B15" s="69">
        <v>173182</v>
      </c>
      <c r="C15" s="29">
        <v>0</v>
      </c>
      <c r="D15" s="29">
        <v>120000</v>
      </c>
      <c r="E15" s="29">
        <v>2283620.9400000004</v>
      </c>
      <c r="F15" s="29">
        <v>1173927.0200000003</v>
      </c>
      <c r="G15" s="29">
        <v>1824626.01</v>
      </c>
      <c r="H15" s="29">
        <v>2073546.5699999998</v>
      </c>
      <c r="I15" s="29">
        <v>2562392.2600000002</v>
      </c>
      <c r="J15" s="29">
        <v>3911693.53</v>
      </c>
      <c r="K15" s="29">
        <v>1341245.26</v>
      </c>
      <c r="L15" s="29">
        <v>2745753.6899999995</v>
      </c>
      <c r="M15" s="29">
        <v>5113350.63</v>
      </c>
      <c r="N15" s="29">
        <v>5712616.25</v>
      </c>
      <c r="O15" s="29">
        <v>77543.560000000041</v>
      </c>
      <c r="P15" s="29">
        <v>2293014.0900000003</v>
      </c>
      <c r="Q15" s="29">
        <v>3480839.73</v>
      </c>
      <c r="R15" s="29">
        <v>1340803.3000000003</v>
      </c>
      <c r="S15" s="29">
        <v>2046973.2399999998</v>
      </c>
      <c r="T15" s="29">
        <v>2691716.73</v>
      </c>
      <c r="U15" s="29">
        <v>3243279.2899999991</v>
      </c>
      <c r="V15" s="29">
        <v>2855009.42</v>
      </c>
      <c r="W15" s="29">
        <v>3964333.8900000015</v>
      </c>
      <c r="X15" s="29">
        <v>1940804.41</v>
      </c>
      <c r="Y15" s="29">
        <v>3643467.9000000008</v>
      </c>
      <c r="Z15" s="29">
        <v>5765877.3299999991</v>
      </c>
      <c r="AA15" s="29">
        <v>1389889.0000000005</v>
      </c>
      <c r="AB15" s="29">
        <v>2455616.4899999993</v>
      </c>
      <c r="AC15" s="253">
        <f>2909880.57-12982.62</f>
        <v>2896897.9499999997</v>
      </c>
      <c r="AD15" s="29">
        <v>1918592.3999999997</v>
      </c>
      <c r="AE15" s="29">
        <v>1987565.5600000005</v>
      </c>
      <c r="AF15" s="29">
        <v>3547044.4499999997</v>
      </c>
      <c r="AG15" s="29">
        <v>1844269.8800000001</v>
      </c>
      <c r="AH15" s="29">
        <v>3425289.2199999997</v>
      </c>
      <c r="AI15" s="29">
        <v>1989525.0900000003</v>
      </c>
      <c r="AJ15" s="29">
        <v>3215637.91</v>
      </c>
      <c r="AK15" s="253">
        <f>'[1]PCR.1 (M3)'!AP84+'[1]PCR1.B (M3)'!$B$10</f>
        <v>2359429.98</v>
      </c>
      <c r="AL15" s="29">
        <f>'[1]PCR.1 (M3)'!AQ84</f>
        <v>6569208.8500000006</v>
      </c>
      <c r="AM15" s="29">
        <f>'[1]PCR.1 (M3)'!AR84</f>
        <v>1060967.52</v>
      </c>
      <c r="AN15" s="29">
        <f>'[1]PCR.1 (M3)'!AS84</f>
        <v>2221021.2599999998</v>
      </c>
      <c r="AO15" s="29">
        <f>'[1]PCR.1 (M3)'!AT84</f>
        <v>2799025.17</v>
      </c>
      <c r="AP15" s="29">
        <f>'[1]PCR.1 (M3)'!AU84</f>
        <v>1466878.8699999996</v>
      </c>
      <c r="AQ15" s="29">
        <f>'[1]PCR.1 (M3)'!AV84</f>
        <v>1739768.2499999998</v>
      </c>
      <c r="AR15" s="29">
        <f>'[1]PCR.1 (M3)'!AW84</f>
        <v>2069034.8700000006</v>
      </c>
      <c r="AS15" s="29">
        <f>'[1]PCR.1 (M3)'!AX84</f>
        <v>2253685.36</v>
      </c>
      <c r="AT15" s="29">
        <f>'[1]PCR.1 (M3)'!AY84</f>
        <v>3297337.4599999995</v>
      </c>
      <c r="AU15" s="29">
        <f>'[1]PCR.1 (M3)'!AZ84</f>
        <v>2112031.12</v>
      </c>
      <c r="AV15" s="29">
        <f>'[1]PCR.1 (M3)'!BA84</f>
        <v>1596026.1300000001</v>
      </c>
      <c r="AW15" s="114">
        <f>'[1]PPC.2, PCR.1F'!H28</f>
        <v>2017933.2231788852</v>
      </c>
      <c r="AX15" s="115">
        <f>'[1]PPC.2, PCR.1F'!I28</f>
        <v>2624844.3311590743</v>
      </c>
      <c r="AY15" s="116">
        <f>'[1]PPC.2, PCR.1F'!J28</f>
        <v>1081359.0199577454</v>
      </c>
      <c r="AZ15" s="32"/>
    </row>
    <row r="16" spans="1:58" x14ac:dyDescent="0.3">
      <c r="A16" s="32" t="s">
        <v>1</v>
      </c>
      <c r="B16" s="69">
        <v>0</v>
      </c>
      <c r="C16" s="29">
        <v>0</v>
      </c>
      <c r="D16" s="29">
        <v>118003.54</v>
      </c>
      <c r="E16" s="29">
        <v>325654.18</v>
      </c>
      <c r="F16" s="29">
        <v>324793.89999999997</v>
      </c>
      <c r="G16" s="29">
        <v>435080.67</v>
      </c>
      <c r="H16" s="29">
        <v>864617.95000000007</v>
      </c>
      <c r="I16" s="29">
        <v>823563.38</v>
      </c>
      <c r="J16" s="29">
        <v>1198141.9500000002</v>
      </c>
      <c r="K16" s="29">
        <v>2168634.0599999996</v>
      </c>
      <c r="L16" s="29">
        <v>1457645.93</v>
      </c>
      <c r="M16" s="29">
        <v>2644399.62</v>
      </c>
      <c r="N16" s="29">
        <v>5773379.71</v>
      </c>
      <c r="O16" s="29">
        <v>1868023.4500000002</v>
      </c>
      <c r="P16" s="29">
        <v>676401.27</v>
      </c>
      <c r="Q16" s="29">
        <v>571849.35000000009</v>
      </c>
      <c r="R16" s="29">
        <v>1291658.1399999999</v>
      </c>
      <c r="S16" s="29">
        <v>1204980.8700000003</v>
      </c>
      <c r="T16" s="29">
        <v>1282682.51</v>
      </c>
      <c r="U16" s="29">
        <v>751621.79999999993</v>
      </c>
      <c r="V16" s="29">
        <v>1567131.4100000001</v>
      </c>
      <c r="W16" s="29">
        <v>1668146.7100000002</v>
      </c>
      <c r="X16" s="29">
        <v>2452279.94</v>
      </c>
      <c r="Y16" s="29">
        <v>2405967.09</v>
      </c>
      <c r="Z16" s="29">
        <v>9828288.4500000011</v>
      </c>
      <c r="AA16" s="29">
        <v>1602172.6799999997</v>
      </c>
      <c r="AB16" s="29">
        <v>-57990.009999999755</v>
      </c>
      <c r="AC16" s="253">
        <f>3093751.8-3329</f>
        <v>3090422.8</v>
      </c>
      <c r="AD16" s="29">
        <v>955307.17</v>
      </c>
      <c r="AE16" s="29">
        <v>916367.04999999993</v>
      </c>
      <c r="AF16" s="29">
        <v>1494979.32</v>
      </c>
      <c r="AG16" s="29">
        <v>3137426.91</v>
      </c>
      <c r="AH16" s="29">
        <v>1333218.4600000002</v>
      </c>
      <c r="AI16" s="29">
        <v>1763933.4000000004</v>
      </c>
      <c r="AJ16" s="29">
        <v>1927184.2300000002</v>
      </c>
      <c r="AK16" s="29">
        <f>'[1]PCR.1 (M3)'!AP85</f>
        <v>7730801.5699999994</v>
      </c>
      <c r="AL16" s="29">
        <f>'[1]PCR.1 (M3)'!AQ85</f>
        <v>13670067.5</v>
      </c>
      <c r="AM16" s="29">
        <f>'[1]PCR.1 (M3)'!AR85</f>
        <v>-2916111.52</v>
      </c>
      <c r="AN16" s="29">
        <f>'[1]PCR.1 (M3)'!AS85</f>
        <v>1342999.1600000001</v>
      </c>
      <c r="AO16" s="29">
        <f>'[1]PCR.1 (M3)'!AT85</f>
        <v>566106.48</v>
      </c>
      <c r="AP16" s="29">
        <f>'[1]PCR.1 (M3)'!AU85</f>
        <v>2331992.42</v>
      </c>
      <c r="AQ16" s="29">
        <f>'[1]PCR.1 (M3)'!AV85</f>
        <v>880775.76</v>
      </c>
      <c r="AR16" s="29">
        <f>'[1]PCR.1 (M3)'!AW85</f>
        <v>2933247.5599999996</v>
      </c>
      <c r="AS16" s="29">
        <f>'[1]PCR.1 (M3)'!AX85</f>
        <v>245318.37000000005</v>
      </c>
      <c r="AT16" s="29">
        <f>'[1]PCR.1 (M3)'!AY85</f>
        <v>1031346.94</v>
      </c>
      <c r="AU16" s="29">
        <f>'[1]PCR.1 (M3)'!AZ85</f>
        <v>2212706.12</v>
      </c>
      <c r="AV16" s="29">
        <f>'[1]PCR.1 (M3)'!BA85</f>
        <v>1679933.45</v>
      </c>
      <c r="AW16" s="114">
        <f>'[1]PPC.2, PCR.1F'!H29</f>
        <v>6108606.2395446151</v>
      </c>
      <c r="AX16" s="115">
        <f>'[1]PPC.2, PCR.1F'!I29</f>
        <v>11408383.603662018</v>
      </c>
      <c r="AY16" s="116">
        <f>'[1]PPC.2, PCR.1F'!J29</f>
        <v>1999383.7939453251</v>
      </c>
      <c r="AZ16" s="32"/>
    </row>
    <row r="17" spans="1:55" x14ac:dyDescent="0.3">
      <c r="A17" s="32" t="s">
        <v>2</v>
      </c>
      <c r="B17" s="69">
        <v>0</v>
      </c>
      <c r="C17" s="29">
        <v>0</v>
      </c>
      <c r="D17" s="29">
        <v>12500</v>
      </c>
      <c r="E17" s="29">
        <v>407849.73</v>
      </c>
      <c r="F17" s="29">
        <v>169743.63</v>
      </c>
      <c r="G17" s="29">
        <v>145713.57999999999</v>
      </c>
      <c r="H17" s="29">
        <v>136424.74</v>
      </c>
      <c r="I17" s="29">
        <v>113487.89</v>
      </c>
      <c r="J17" s="29">
        <v>261842.41999999998</v>
      </c>
      <c r="K17" s="29">
        <v>602635.35000000021</v>
      </c>
      <c r="L17" s="29">
        <v>314522.87</v>
      </c>
      <c r="M17" s="29">
        <v>750260.66000000015</v>
      </c>
      <c r="N17" s="29">
        <v>2774980.9800000009</v>
      </c>
      <c r="O17" s="29">
        <v>260906.33000000007</v>
      </c>
      <c r="P17" s="29">
        <v>242221.71999999988</v>
      </c>
      <c r="Q17" s="29">
        <v>465816.61999999988</v>
      </c>
      <c r="R17" s="29">
        <v>649726.6399999999</v>
      </c>
      <c r="S17" s="29">
        <v>223465.31</v>
      </c>
      <c r="T17" s="29">
        <v>473624.95999999996</v>
      </c>
      <c r="U17" s="29">
        <v>284775.25</v>
      </c>
      <c r="V17" s="29">
        <v>645341.55000000005</v>
      </c>
      <c r="W17" s="29">
        <v>1244018.73</v>
      </c>
      <c r="X17" s="29">
        <v>677493.60000000009</v>
      </c>
      <c r="Y17" s="29">
        <v>2169850.5999999996</v>
      </c>
      <c r="Z17" s="29">
        <v>1436003.53</v>
      </c>
      <c r="AA17" s="29">
        <v>392436.28</v>
      </c>
      <c r="AB17" s="29">
        <v>637285.61</v>
      </c>
      <c r="AC17" s="253">
        <f>743003.91-2597.82</f>
        <v>740406.09000000008</v>
      </c>
      <c r="AD17" s="29">
        <v>511672.93999999994</v>
      </c>
      <c r="AE17" s="29">
        <v>440573.41</v>
      </c>
      <c r="AF17" s="29">
        <v>1029198.4400000002</v>
      </c>
      <c r="AG17" s="29">
        <v>-91569.200000000012</v>
      </c>
      <c r="AH17" s="29">
        <v>1456158.5899999999</v>
      </c>
      <c r="AI17" s="29">
        <v>845213.95000000007</v>
      </c>
      <c r="AJ17" s="29">
        <v>654146.43999999994</v>
      </c>
      <c r="AK17" s="29">
        <f>'[1]PCR.1 (M3)'!AP86</f>
        <v>942358.2200000002</v>
      </c>
      <c r="AL17" s="29">
        <f>'[1]PCR.1 (M3)'!AQ86</f>
        <v>1575397.8299999996</v>
      </c>
      <c r="AM17" s="29">
        <f>'[1]PCR.1 (M3)'!AR86</f>
        <v>678363.97</v>
      </c>
      <c r="AN17" s="29">
        <f>'[1]PCR.1 (M3)'!AS86</f>
        <v>-313066.22999999992</v>
      </c>
      <c r="AO17" s="29">
        <f>'[1]PCR.1 (M3)'!AT86</f>
        <v>478466.84</v>
      </c>
      <c r="AP17" s="29">
        <f>'[1]PCR.1 (M3)'!AU86</f>
        <v>646521.43999999983</v>
      </c>
      <c r="AQ17" s="29">
        <f>'[1]PCR.1 (M3)'!AV86</f>
        <v>586153.91</v>
      </c>
      <c r="AR17" s="29">
        <f>'[1]PCR.1 (M3)'!AW86</f>
        <v>1731599.8800000004</v>
      </c>
      <c r="AS17" s="29">
        <f>'[1]PCR.1 (M3)'!AX86</f>
        <v>1002230.9299999999</v>
      </c>
      <c r="AT17" s="29">
        <f>'[1]PCR.1 (M3)'!AY86</f>
        <v>1133214.31</v>
      </c>
      <c r="AU17" s="29">
        <f>'[1]PCR.1 (M3)'!AZ86</f>
        <v>1858763.39</v>
      </c>
      <c r="AV17" s="29">
        <f>'[1]PCR.1 (M3)'!BA86</f>
        <v>1063098.32</v>
      </c>
      <c r="AW17" s="114">
        <f>'[1]PPC.2, PCR.1F'!H30</f>
        <v>1490993.8051092124</v>
      </c>
      <c r="AX17" s="115">
        <f>'[1]PPC.2, PCR.1F'!I30</f>
        <v>2865835.4793320289</v>
      </c>
      <c r="AY17" s="116">
        <f>'[1]PPC.2, PCR.1F'!J30</f>
        <v>381548.29091454402</v>
      </c>
      <c r="AZ17" s="32"/>
    </row>
    <row r="18" spans="1:55" x14ac:dyDescent="0.3">
      <c r="A18" s="32" t="s">
        <v>3</v>
      </c>
      <c r="B18" s="69">
        <v>299724.7</v>
      </c>
      <c r="C18" s="29">
        <v>121950.46</v>
      </c>
      <c r="D18" s="29">
        <v>55553.56</v>
      </c>
      <c r="E18" s="29">
        <v>237390.9</v>
      </c>
      <c r="F18" s="29">
        <v>-226777.68</v>
      </c>
      <c r="G18" s="29">
        <v>241390.14</v>
      </c>
      <c r="H18" s="29">
        <v>15423.059999999998</v>
      </c>
      <c r="I18" s="29">
        <v>307238.86</v>
      </c>
      <c r="J18" s="29">
        <v>295766.11000000004</v>
      </c>
      <c r="K18" s="29">
        <v>552526.09</v>
      </c>
      <c r="L18" s="29">
        <v>175843.66</v>
      </c>
      <c r="M18" s="29">
        <v>-526224.58000000007</v>
      </c>
      <c r="N18" s="29">
        <v>28431.279999999999</v>
      </c>
      <c r="O18" s="29">
        <v>93809</v>
      </c>
      <c r="P18" s="29">
        <v>54998.229999999996</v>
      </c>
      <c r="Q18" s="29">
        <v>149881.44</v>
      </c>
      <c r="R18" s="29">
        <v>72864.48000000001</v>
      </c>
      <c r="S18" s="29">
        <v>28617.46</v>
      </c>
      <c r="T18" s="29">
        <v>122525.88</v>
      </c>
      <c r="U18" s="29">
        <v>57874.9</v>
      </c>
      <c r="V18" s="29">
        <v>64575.22</v>
      </c>
      <c r="W18" s="29">
        <v>4505.8000000000029</v>
      </c>
      <c r="X18" s="29">
        <v>5348.88</v>
      </c>
      <c r="Y18" s="29">
        <v>7038</v>
      </c>
      <c r="Z18" s="29">
        <v>20817.36</v>
      </c>
      <c r="AA18" s="29">
        <v>6193.44</v>
      </c>
      <c r="AB18" s="29">
        <v>5630.4</v>
      </c>
      <c r="AC18" s="253">
        <f>29515.17-2581</f>
        <v>26934.17</v>
      </c>
      <c r="AD18" s="29">
        <v>207511.6</v>
      </c>
      <c r="AE18" s="29">
        <v>-94676.78</v>
      </c>
      <c r="AF18" s="29">
        <v>29916.21</v>
      </c>
      <c r="AG18" s="29">
        <v>183922.07</v>
      </c>
      <c r="AH18" s="29">
        <v>-63914.230000000025</v>
      </c>
      <c r="AI18" s="29">
        <v>-59786.26</v>
      </c>
      <c r="AJ18" s="29">
        <v>111100.94</v>
      </c>
      <c r="AK18" s="29">
        <f>'[1]PCR.1 (M3)'!AP87</f>
        <v>4222.8</v>
      </c>
      <c r="AL18" s="29">
        <f>'[1]PCR.1 (M3)'!AQ87</f>
        <v>41823.06</v>
      </c>
      <c r="AM18" s="29">
        <f>'[1]PCR.1 (M3)'!AR87</f>
        <v>-29225.040000000001</v>
      </c>
      <c r="AN18" s="29">
        <f>'[1]PCR.1 (M3)'!AS87</f>
        <v>41048.879999999997</v>
      </c>
      <c r="AO18" s="29">
        <f>'[1]PCR.1 (M3)'!AT87</f>
        <v>5348.88</v>
      </c>
      <c r="AP18" s="29">
        <f>'[1]PCR.1 (M3)'!AU87</f>
        <v>6756.48</v>
      </c>
      <c r="AQ18" s="29">
        <f>'[1]PCR.1 (M3)'!AV87</f>
        <v>103041.38</v>
      </c>
      <c r="AR18" s="29">
        <f>'[1]PCR.1 (M3)'!AW87</f>
        <v>14032.92</v>
      </c>
      <c r="AS18" s="29">
        <f>'[1]PCR.1 (M3)'!AX87</f>
        <v>33192.53</v>
      </c>
      <c r="AT18" s="29">
        <f>'[1]PCR.1 (M3)'!AY87</f>
        <v>215236.5</v>
      </c>
      <c r="AU18" s="29">
        <f>'[1]PCR.1 (M3)'!AZ87</f>
        <v>57529.479999999996</v>
      </c>
      <c r="AV18" s="29">
        <f>'[1]PCR.1 (M3)'!BA87</f>
        <v>-135105</v>
      </c>
      <c r="AW18" s="114">
        <f>'[1]PPC.2, PCR.1F'!H31</f>
        <v>107931.25</v>
      </c>
      <c r="AX18" s="115">
        <f>'[1]PPC.2, PCR.1F'!I31</f>
        <v>206921.25</v>
      </c>
      <c r="AY18" s="116">
        <f>'[1]PPC.2, PCR.1F'!J31</f>
        <v>31083.333333333332</v>
      </c>
      <c r="AZ18" s="32"/>
    </row>
    <row r="19" spans="1:55" x14ac:dyDescent="0.3">
      <c r="B19" s="75"/>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226"/>
      <c r="AX19" s="198"/>
      <c r="AY19" s="227"/>
    </row>
    <row r="20" spans="1:55" x14ac:dyDescent="0.3">
      <c r="A20" s="139" t="s">
        <v>84</v>
      </c>
      <c r="B20" s="75"/>
      <c r="C20" s="74"/>
      <c r="D20" s="78"/>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3"/>
      <c r="AX20" s="74"/>
      <c r="AY20" s="77"/>
    </row>
    <row r="21" spans="1:55" x14ac:dyDescent="0.3">
      <c r="A21" s="139" t="s">
        <v>0</v>
      </c>
      <c r="B21" s="85">
        <f>B15+((B28/SUM(B$28:B$32))*B$17)+((B28/SUM(B$28:B$32))*B$18)</f>
        <v>317847.94516670017</v>
      </c>
      <c r="C21" s="89">
        <f t="shared" ref="C21" si="46">C15+((C28/SUM(C$28:C$32))*C$17)+((C28/SUM(C$28:C$32))*C$18)</f>
        <v>62937.088413765421</v>
      </c>
      <c r="D21" s="89">
        <f>D15+((D28/SUM(D$28:D$32))*D$17)+((D28/SUM(D$28:D$32))*D$18)</f>
        <v>155679.80049587399</v>
      </c>
      <c r="E21" s="89">
        <f t="shared" ref="E21:V21" si="47">E15+((E28/SUM(E$28:E$32))*E$17)+((E28/SUM(E$28:E$32))*E$18)</f>
        <v>2610951.7844937206</v>
      </c>
      <c r="F21" s="89">
        <f t="shared" si="47"/>
        <v>1148856.7617550408</v>
      </c>
      <c r="G21" s="89">
        <f t="shared" si="47"/>
        <v>1980399.5353145797</v>
      </c>
      <c r="H21" s="89">
        <f t="shared" si="47"/>
        <v>2140053.1620282945</v>
      </c>
      <c r="I21" s="89">
        <f t="shared" si="47"/>
        <v>2765436.5412281929</v>
      </c>
      <c r="J21" s="89">
        <f t="shared" si="47"/>
        <v>4183009.4029065161</v>
      </c>
      <c r="K21" s="89">
        <f t="shared" si="47"/>
        <v>1880861.105136506</v>
      </c>
      <c r="L21" s="89">
        <f t="shared" si="47"/>
        <v>2961387.6014090525</v>
      </c>
      <c r="M21" s="89">
        <f t="shared" si="47"/>
        <v>5212383.3974434612</v>
      </c>
      <c r="N21" s="89">
        <f t="shared" si="47"/>
        <v>7109725.5898972265</v>
      </c>
      <c r="O21" s="89">
        <f t="shared" si="47"/>
        <v>259428.14288541273</v>
      </c>
      <c r="P21" s="89">
        <f t="shared" si="47"/>
        <v>2444271.9457997507</v>
      </c>
      <c r="Q21" s="89">
        <f t="shared" si="47"/>
        <v>3785969.5223629209</v>
      </c>
      <c r="R21" s="89">
        <f t="shared" si="47"/>
        <v>1680491.6769496738</v>
      </c>
      <c r="S21" s="89">
        <f t="shared" si="47"/>
        <v>2162288.349807201</v>
      </c>
      <c r="T21" s="89">
        <f t="shared" si="47"/>
        <v>2981699.2901663557</v>
      </c>
      <c r="U21" s="89">
        <f t="shared" si="47"/>
        <v>3422649.6991572594</v>
      </c>
      <c r="V21" s="89">
        <f t="shared" si="47"/>
        <v>3214510.3077872684</v>
      </c>
      <c r="W21" s="89">
        <f>W15+((W28/SUM(W$28:W$32))*W$17)+((W28/SUM(W$28:W$32))*W$18)</f>
        <v>4591293.4036682406</v>
      </c>
      <c r="X21" s="89">
        <f t="shared" ref="X21:AH21" si="48">X15+((X28/SUM(X$28:X$32))*X$17)+((X28/SUM(X$28:X$32))*X$18)</f>
        <v>2231532.8664184134</v>
      </c>
      <c r="Y21" s="89">
        <f t="shared" si="48"/>
        <v>4615376.5271397438</v>
      </c>
      <c r="Z21" s="89">
        <f t="shared" si="48"/>
        <v>6491173.9064641595</v>
      </c>
      <c r="AA21" s="89">
        <f t="shared" si="48"/>
        <v>1608661.0190987005</v>
      </c>
      <c r="AB21" s="89">
        <f t="shared" si="48"/>
        <v>2806301.0957175996</v>
      </c>
      <c r="AC21" s="89">
        <f t="shared" si="48"/>
        <v>3300382.2974844603</v>
      </c>
      <c r="AD21" s="89">
        <f t="shared" si="48"/>
        <v>2240025.819278914</v>
      </c>
      <c r="AE21" s="89">
        <f t="shared" si="48"/>
        <v>2134967.0343930153</v>
      </c>
      <c r="AF21" s="89">
        <f t="shared" si="48"/>
        <v>4048540.4274563324</v>
      </c>
      <c r="AG21" s="89">
        <f t="shared" si="48"/>
        <v>1889890.7508415424</v>
      </c>
      <c r="AH21" s="89">
        <f t="shared" si="48"/>
        <v>4129452.8163782121</v>
      </c>
      <c r="AI21" s="89">
        <f>AI15+((AI28/SUM(AI$28:AI$32))*AI$17)+((AI28/SUM(AI$28:AI$32))*AI$18)</f>
        <v>2379217.0373304095</v>
      </c>
      <c r="AJ21" s="89">
        <f t="shared" ref="AJ21:AV21" si="49">AJ15+((AJ28/SUM(AJ$28:AJ$32))*AJ$17)+((AJ28/SUM(AJ$28:AJ$32))*AJ$18)</f>
        <v>3552188.0090167741</v>
      </c>
      <c r="AK21" s="89">
        <f>AK15+((AK28/SUM(AK$28:AK$32))*AK$17)+((AK28/SUM(AK$28:AK$32))*AK$18)</f>
        <v>2721482.1405940671</v>
      </c>
      <c r="AL21" s="89">
        <f t="shared" si="49"/>
        <v>7127795.3918257952</v>
      </c>
      <c r="AM21" s="89">
        <f t="shared" si="49"/>
        <v>1286710.8196171494</v>
      </c>
      <c r="AN21" s="89">
        <f t="shared" si="49"/>
        <v>2126053.2172410022</v>
      </c>
      <c r="AO21" s="89">
        <f t="shared" si="49"/>
        <v>2973029.5961974128</v>
      </c>
      <c r="AP21" s="89">
        <f t="shared" si="49"/>
        <v>1698556.0515105189</v>
      </c>
      <c r="AQ21" s="89">
        <f t="shared" si="49"/>
        <v>2037281.5795444003</v>
      </c>
      <c r="AR21" s="89">
        <f t="shared" si="49"/>
        <v>2895657.9130224497</v>
      </c>
      <c r="AS21" s="89">
        <f t="shared" si="49"/>
        <v>2794975.9982388122</v>
      </c>
      <c r="AT21" s="89">
        <f t="shared" si="49"/>
        <v>3988822.7349588289</v>
      </c>
      <c r="AU21" s="89">
        <f t="shared" si="49"/>
        <v>3030985.2549935617</v>
      </c>
      <c r="AV21" s="89">
        <f t="shared" si="49"/>
        <v>2001660.2225836015</v>
      </c>
      <c r="AW21" s="85">
        <f>AW15+((AW28/SUM(AW$28:AW$32))*AW$17)+((AW28/SUM(AW$28:AW$32))*AW$18)</f>
        <v>2729364.3306425526</v>
      </c>
      <c r="AX21" s="86">
        <f>AX15+((AX28/SUM(AX$28:AX$32))*AX$17)+((AX28/SUM(AX$28:AX$32))*AX$18)</f>
        <v>4192978.8828092921</v>
      </c>
      <c r="AY21" s="90">
        <f>AY15+((AY28/SUM(AY$28:AY$32))*AY$17)+((AY28/SUM(AY$28:AY$32))*AY$18)</f>
        <v>1303976.3592621416</v>
      </c>
    </row>
    <row r="22" spans="1:55" x14ac:dyDescent="0.3">
      <c r="A22" s="139" t="s">
        <v>4</v>
      </c>
      <c r="B22" s="85">
        <f t="shared" ref="B22:C22" si="50">((B29/SUM(B$29:B$32))*B$16)+((B29/SUM(B$28:B$32))*B$17)+((B29/SUM(B$28:B$32))*B$18)</f>
        <v>33385.711349135156</v>
      </c>
      <c r="C22" s="89">
        <f t="shared" si="50"/>
        <v>13887.647890998298</v>
      </c>
      <c r="D22" s="89">
        <f t="shared" ref="D22:J25" si="51">((D29/SUM(D$29:D$32))*D$16)+((D29/SUM(D$28:D$32))*D$17)+((D29/SUM(D$28:D$32))*D$18)</f>
        <v>36274.43793325447</v>
      </c>
      <c r="E22" s="89">
        <f t="shared" si="51"/>
        <v>151627.30805818431</v>
      </c>
      <c r="F22" s="89">
        <f t="shared" si="51"/>
        <v>61855.782634756295</v>
      </c>
      <c r="G22" s="89">
        <f t="shared" si="51"/>
        <v>134815.26461359835</v>
      </c>
      <c r="H22" s="89">
        <f t="shared" si="51"/>
        <v>195657.14238592016</v>
      </c>
      <c r="I22" s="89">
        <f t="shared" si="51"/>
        <v>231093.36120904284</v>
      </c>
      <c r="J22" s="89">
        <f t="shared" si="51"/>
        <v>326643.83244593668</v>
      </c>
      <c r="K22" s="89">
        <f t="shared" ref="K22:AX25" si="52">((K29/SUM(K$29:K$32))*K$16)+((K29/SUM(K$28:K$32))*K$17)+((K29/SUM(K$28:K$32))*K$18)</f>
        <v>593095.03885828401</v>
      </c>
      <c r="L22" s="89">
        <f t="shared" si="52"/>
        <v>362306.07562952751</v>
      </c>
      <c r="M22" s="89">
        <f t="shared" si="52"/>
        <v>579948.61375456466</v>
      </c>
      <c r="N22" s="89">
        <f t="shared" si="52"/>
        <v>1644656.6162915369</v>
      </c>
      <c r="O22" s="89">
        <f t="shared" si="52"/>
        <v>478191.42075922922</v>
      </c>
      <c r="P22" s="89">
        <f t="shared" si="52"/>
        <v>190324.34405980565</v>
      </c>
      <c r="Q22" s="89">
        <f t="shared" si="52"/>
        <v>204536.01142143455</v>
      </c>
      <c r="R22" s="89">
        <f t="shared" si="52"/>
        <v>340999.94018713571</v>
      </c>
      <c r="S22" s="89">
        <f t="shared" si="52"/>
        <v>264264.07629370497</v>
      </c>
      <c r="T22" s="89">
        <f t="shared" si="52"/>
        <v>334259.56944584794</v>
      </c>
      <c r="U22" s="89">
        <f t="shared" si="52"/>
        <v>207498.16986042447</v>
      </c>
      <c r="V22" s="89">
        <f t="shared" si="52"/>
        <v>422337.15665531013</v>
      </c>
      <c r="W22" s="89">
        <f t="shared" si="52"/>
        <v>487415.19141766964</v>
      </c>
      <c r="X22" s="89">
        <f t="shared" si="52"/>
        <v>574674.47091512289</v>
      </c>
      <c r="Y22" s="89">
        <f t="shared" ref="Y22:AJ22" si="53">((Y29/SUM(Y$29:Y$32))*Y$16)+((Y29/SUM(Y$28:Y$32))*Y$17)+((Y29/SUM(Y$28:Y$32))*Y$18)</f>
        <v>741143.71722323762</v>
      </c>
      <c r="Z22" s="89">
        <f t="shared" si="53"/>
        <v>2317663.8802469498</v>
      </c>
      <c r="AA22" s="89">
        <f t="shared" si="53"/>
        <v>439259.65781740332</v>
      </c>
      <c r="AB22" s="89">
        <f t="shared" si="53"/>
        <v>56623.494159185706</v>
      </c>
      <c r="AC22" s="89">
        <f t="shared" si="53"/>
        <v>851873.87958928756</v>
      </c>
      <c r="AD22" s="89">
        <f t="shared" si="53"/>
        <v>287251.73569662898</v>
      </c>
      <c r="AE22" s="89">
        <f t="shared" si="53"/>
        <v>226425.26490620113</v>
      </c>
      <c r="AF22" s="89">
        <f t="shared" si="53"/>
        <v>460026.04186408187</v>
      </c>
      <c r="AG22" s="89">
        <f t="shared" si="53"/>
        <v>698095.73166300473</v>
      </c>
      <c r="AH22" s="89">
        <f t="shared" si="53"/>
        <v>454727.28310199472</v>
      </c>
      <c r="AI22" s="89">
        <f t="shared" si="53"/>
        <v>480711.89843905822</v>
      </c>
      <c r="AJ22" s="89">
        <f t="shared" si="53"/>
        <v>503226.09129035793</v>
      </c>
      <c r="AK22" s="89">
        <f t="shared" ref="AK22:AV22" si="54">((AK29/SUM(AK$29:AK$32))*AK$16)+((AK29/SUM(AK$28:AK$32))*AK$17)+((AK29/SUM(AK$28:AK$32))*AK$18)</f>
        <v>1834567.7751021215</v>
      </c>
      <c r="AL22" s="89">
        <f t="shared" si="54"/>
        <v>3135247.0004780851</v>
      </c>
      <c r="AM22" s="89">
        <f t="shared" si="54"/>
        <v>-597618.79438017111</v>
      </c>
      <c r="AN22" s="89">
        <f t="shared" si="54"/>
        <v>291348.70233338169</v>
      </c>
      <c r="AO22" s="89">
        <f t="shared" si="54"/>
        <v>208495.57787519018</v>
      </c>
      <c r="AP22" s="89">
        <f t="shared" si="54"/>
        <v>605569.83392209304</v>
      </c>
      <c r="AQ22" s="89">
        <f t="shared" si="54"/>
        <v>274766.19024564076</v>
      </c>
      <c r="AR22" s="89">
        <f t="shared" si="54"/>
        <v>852009.41060147085</v>
      </c>
      <c r="AS22" s="89">
        <f t="shared" si="54"/>
        <v>173597.8196402218</v>
      </c>
      <c r="AT22" s="89">
        <f t="shared" si="54"/>
        <v>390210.14559230045</v>
      </c>
      <c r="AU22" s="89">
        <f t="shared" si="54"/>
        <v>713985.11768491869</v>
      </c>
      <c r="AV22" s="89">
        <f t="shared" si="54"/>
        <v>470204.94387151313</v>
      </c>
      <c r="AW22" s="85">
        <f>((AW29/SUM(AW$29:AW$32))*AW$16)+((AW29/SUM(AW$28:AW$32))*AW$17)+((AW29/SUM(AW$28:AW$32))*AW$18)</f>
        <v>1456879.769248314</v>
      </c>
      <c r="AX22" s="86">
        <f t="shared" si="52"/>
        <v>2946272.7941200924</v>
      </c>
      <c r="AY22" s="90">
        <f t="shared" ref="AW22:AY25" si="55">((AY29/SUM(AY$29:AY$32))*AY$16)+((AY29/SUM(AY$28:AY$32))*AY$17)+((AY29/SUM(AY$28:AY$32))*AY$18)</f>
        <v>536162.22278254305</v>
      </c>
    </row>
    <row r="23" spans="1:55" x14ac:dyDescent="0.3">
      <c r="A23" s="139" t="s">
        <v>5</v>
      </c>
      <c r="B23" s="85">
        <f t="shared" ref="B23:C25" si="56">((B30/SUM(B$29:B$32))*B$16)+((B30/SUM(B$28:B$32))*B$17)+((B30/SUM(B$28:B$32))*B$18)</f>
        <v>72690.254284489041</v>
      </c>
      <c r="C23" s="89">
        <f t="shared" si="56"/>
        <v>29119.872157604295</v>
      </c>
      <c r="D23" s="89">
        <f t="shared" si="51"/>
        <v>73504.970610067088</v>
      </c>
      <c r="E23" s="89">
        <f t="shared" si="51"/>
        <v>313330.74775433698</v>
      </c>
      <c r="F23" s="89">
        <f t="shared" si="51"/>
        <v>143775.80981087088</v>
      </c>
      <c r="G23" s="89">
        <f t="shared" si="51"/>
        <v>333600.03017572546</v>
      </c>
      <c r="H23" s="89">
        <f t="shared" si="51"/>
        <v>460989.01640803815</v>
      </c>
      <c r="I23" s="89">
        <f t="shared" si="51"/>
        <v>512830.53413618542</v>
      </c>
      <c r="J23" s="89">
        <f t="shared" si="51"/>
        <v>721515.33340395277</v>
      </c>
      <c r="K23" s="89">
        <f t="shared" si="52"/>
        <v>1370292.2245446704</v>
      </c>
      <c r="L23" s="89">
        <f t="shared" si="52"/>
        <v>851992.89414610213</v>
      </c>
      <c r="M23" s="89">
        <f t="shared" si="52"/>
        <v>1344071.987358633</v>
      </c>
      <c r="N23" s="89">
        <f t="shared" si="52"/>
        <v>3521259.3811405059</v>
      </c>
      <c r="O23" s="89">
        <f t="shared" si="52"/>
        <v>993120.46207226918</v>
      </c>
      <c r="P23" s="89">
        <f t="shared" si="52"/>
        <v>392200.43779670808</v>
      </c>
      <c r="Q23" s="89">
        <f t="shared" si="52"/>
        <v>437263.97018771758</v>
      </c>
      <c r="R23" s="89">
        <f t="shared" si="52"/>
        <v>810668.66968840675</v>
      </c>
      <c r="S23" s="89">
        <f t="shared" si="52"/>
        <v>647102.85444873013</v>
      </c>
      <c r="T23" s="89">
        <f t="shared" si="52"/>
        <v>772776.78494239703</v>
      </c>
      <c r="U23" s="89">
        <f t="shared" si="52"/>
        <v>449172.8580624453</v>
      </c>
      <c r="V23" s="89">
        <f t="shared" si="52"/>
        <v>933386.91358129226</v>
      </c>
      <c r="W23" s="89">
        <f t="shared" si="52"/>
        <v>1121404.1838522851</v>
      </c>
      <c r="X23" s="89">
        <f t="shared" si="52"/>
        <v>1391697.4383229041</v>
      </c>
      <c r="Y23" s="89">
        <f t="shared" ref="Y23:AJ23" si="57">((Y30/SUM(Y$29:Y$32))*Y$16)+((Y30/SUM(Y$28:Y$32))*Y$17)+((Y30/SUM(Y$28:Y$32))*Y$18)</f>
        <v>1749117.6449477291</v>
      </c>
      <c r="Z23" s="89">
        <f t="shared" si="57"/>
        <v>5089455.9306194521</v>
      </c>
      <c r="AA23" s="89">
        <f t="shared" si="57"/>
        <v>866780.95746109821</v>
      </c>
      <c r="AB23" s="89">
        <f t="shared" si="57"/>
        <v>109247.35690773571</v>
      </c>
      <c r="AC23" s="89">
        <f t="shared" si="57"/>
        <v>1745234.7749013088</v>
      </c>
      <c r="AD23" s="89">
        <f t="shared" si="57"/>
        <v>657591.77678303269</v>
      </c>
      <c r="AE23" s="89">
        <f t="shared" si="57"/>
        <v>541229.23299625039</v>
      </c>
      <c r="AF23" s="89">
        <f t="shared" si="57"/>
        <v>1020270.8373476466</v>
      </c>
      <c r="AG23" s="89">
        <f t="shared" si="57"/>
        <v>1533994.546702272</v>
      </c>
      <c r="AH23" s="89">
        <f t="shared" si="57"/>
        <v>990518.034926872</v>
      </c>
      <c r="AI23" s="89">
        <f t="shared" si="57"/>
        <v>1056576.245250212</v>
      </c>
      <c r="AJ23" s="89">
        <f t="shared" si="57"/>
        <v>1165657.3142704917</v>
      </c>
      <c r="AK23" s="89">
        <f t="shared" ref="AK23:AV23" si="58">((AK30/SUM(AK$29:AK$32))*AK$16)+((AK30/SUM(AK$28:AK$32))*AK$17)+((AK30/SUM(AK$28:AK$32))*AK$18)</f>
        <v>4221243.3965257928</v>
      </c>
      <c r="AL23" s="89">
        <f t="shared" si="58"/>
        <v>6911582.2720264224</v>
      </c>
      <c r="AM23" s="89">
        <f t="shared" si="58"/>
        <v>-1195303.6415827237</v>
      </c>
      <c r="AN23" s="89">
        <f t="shared" si="58"/>
        <v>563450.40359851334</v>
      </c>
      <c r="AO23" s="89">
        <f t="shared" si="58"/>
        <v>426538.02492107876</v>
      </c>
      <c r="AP23" s="89">
        <f t="shared" si="58"/>
        <v>1327981.5707279705</v>
      </c>
      <c r="AQ23" s="89">
        <f t="shared" si="58"/>
        <v>632951.87296822795</v>
      </c>
      <c r="AR23" s="89">
        <f t="shared" si="58"/>
        <v>1895403.574078917</v>
      </c>
      <c r="AS23" s="89">
        <f t="shared" si="58"/>
        <v>361708.56239513826</v>
      </c>
      <c r="AT23" s="89">
        <f t="shared" si="58"/>
        <v>824402.93495578179</v>
      </c>
      <c r="AU23" s="89">
        <f t="shared" si="58"/>
        <v>1574899.667419957</v>
      </c>
      <c r="AV23" s="89">
        <f t="shared" si="58"/>
        <v>1083315.5827114165</v>
      </c>
      <c r="AW23" s="85">
        <f t="shared" si="55"/>
        <v>3436851.3321741107</v>
      </c>
      <c r="AX23" s="86">
        <f t="shared" si="55"/>
        <v>6369286.7105792863</v>
      </c>
      <c r="AY23" s="90">
        <f t="shared" si="55"/>
        <v>1074896.4487704008</v>
      </c>
    </row>
    <row r="24" spans="1:55" x14ac:dyDescent="0.3">
      <c r="A24" s="139" t="s">
        <v>6</v>
      </c>
      <c r="B24" s="85">
        <f t="shared" si="56"/>
        <v>33417.905035113341</v>
      </c>
      <c r="C24" s="89">
        <f t="shared" si="56"/>
        <v>11408.01611653602</v>
      </c>
      <c r="D24" s="89">
        <f t="shared" si="51"/>
        <v>29285.213310280094</v>
      </c>
      <c r="E24" s="89">
        <f t="shared" si="51"/>
        <v>126713.46256441454</v>
      </c>
      <c r="F24" s="89">
        <f t="shared" si="51"/>
        <v>61183.192042766401</v>
      </c>
      <c r="G24" s="89">
        <f t="shared" si="51"/>
        <v>139345.20524448043</v>
      </c>
      <c r="H24" s="89">
        <f t="shared" si="51"/>
        <v>201414.40882270786</v>
      </c>
      <c r="I24" s="89">
        <f t="shared" si="51"/>
        <v>208996.49354949215</v>
      </c>
      <c r="J24" s="89">
        <f t="shared" si="51"/>
        <v>301760.02417282655</v>
      </c>
      <c r="K24" s="89">
        <f t="shared" si="52"/>
        <v>564309.39637831028</v>
      </c>
      <c r="L24" s="89">
        <f t="shared" si="52"/>
        <v>354192.11584248586</v>
      </c>
      <c r="M24" s="89">
        <f t="shared" si="52"/>
        <v>585302.32754364726</v>
      </c>
      <c r="N24" s="89">
        <f t="shared" si="52"/>
        <v>1422983.4466879484</v>
      </c>
      <c r="O24" s="89">
        <f t="shared" si="52"/>
        <v>399065.59842960391</v>
      </c>
      <c r="P24" s="89">
        <f t="shared" si="52"/>
        <v>167091.41798192603</v>
      </c>
      <c r="Q24" s="89">
        <f t="shared" si="52"/>
        <v>173715.76090543382</v>
      </c>
      <c r="R24" s="89">
        <f t="shared" si="52"/>
        <v>368571.85556808428</v>
      </c>
      <c r="S24" s="89">
        <f t="shared" si="52"/>
        <v>296495.97748790361</v>
      </c>
      <c r="T24" s="89">
        <f t="shared" si="52"/>
        <v>348620.30969897739</v>
      </c>
      <c r="U24" s="89">
        <f t="shared" si="52"/>
        <v>182612.11497631978</v>
      </c>
      <c r="V24" s="89">
        <f t="shared" si="52"/>
        <v>399327.10323625791</v>
      </c>
      <c r="W24" s="89">
        <f t="shared" si="52"/>
        <v>482010.14848845941</v>
      </c>
      <c r="X24" s="89">
        <f t="shared" si="52"/>
        <v>623293.18063074409</v>
      </c>
      <c r="Y24" s="89">
        <f t="shared" ref="Y24:AJ24" si="59">((Y31/SUM(Y$29:Y$32))*Y$16)+((Y31/SUM(Y$28:Y$32))*Y$17)+((Y31/SUM(Y$28:Y$32))*Y$18)</f>
        <v>798266.67953010893</v>
      </c>
      <c r="Z24" s="89">
        <f t="shared" si="59"/>
        <v>2261318.1017212584</v>
      </c>
      <c r="AA24" s="89">
        <f t="shared" si="59"/>
        <v>352814.16178300395</v>
      </c>
      <c r="AB24" s="89">
        <f t="shared" si="59"/>
        <v>47415.597648067909</v>
      </c>
      <c r="AC24" s="89">
        <f t="shared" si="59"/>
        <v>694083.83658849646</v>
      </c>
      <c r="AD24" s="89">
        <f t="shared" si="59"/>
        <v>292298.17208362644</v>
      </c>
      <c r="AE24" s="89">
        <f t="shared" si="59"/>
        <v>243561.61463143458</v>
      </c>
      <c r="AF24" s="89">
        <f t="shared" si="59"/>
        <v>404192.65513118246</v>
      </c>
      <c r="AG24" s="89">
        <f t="shared" si="59"/>
        <v>685564.67507223401</v>
      </c>
      <c r="AH24" s="89">
        <f t="shared" si="59"/>
        <v>410569.75676199573</v>
      </c>
      <c r="AI24" s="89">
        <f t="shared" si="59"/>
        <v>435119.73531437048</v>
      </c>
      <c r="AJ24" s="89">
        <f t="shared" si="59"/>
        <v>471572.02038160991</v>
      </c>
      <c r="AK24" s="89">
        <f t="shared" ref="AK24:AV24" si="60">((AK31/SUM(AK$29:AK$32))*AK$16)+((AK31/SUM(AK$28:AK$32))*AK$17)+((AK31/SUM(AK$28:AK$32))*AK$18)</f>
        <v>1676599.3547623428</v>
      </c>
      <c r="AL24" s="89">
        <f t="shared" si="60"/>
        <v>3301374.1188172679</v>
      </c>
      <c r="AM24" s="89">
        <f t="shared" si="60"/>
        <v>-515376.74911432504</v>
      </c>
      <c r="AN24" s="89">
        <f t="shared" si="60"/>
        <v>228966.59833741645</v>
      </c>
      <c r="AO24" s="89">
        <f t="shared" si="60"/>
        <v>176183.51659146888</v>
      </c>
      <c r="AP24" s="89">
        <f t="shared" si="60"/>
        <v>595259.55546869244</v>
      </c>
      <c r="AQ24" s="89">
        <f t="shared" si="60"/>
        <v>277218.26728690701</v>
      </c>
      <c r="AR24" s="89">
        <f t="shared" si="60"/>
        <v>820581.55650830548</v>
      </c>
      <c r="AS24" s="89">
        <f t="shared" si="60"/>
        <v>148683.48135078256</v>
      </c>
      <c r="AT24" s="89">
        <f t="shared" si="60"/>
        <v>347615.22238435585</v>
      </c>
      <c r="AU24" s="89">
        <f t="shared" si="60"/>
        <v>658810.60875986505</v>
      </c>
      <c r="AV24" s="89">
        <f t="shared" si="60"/>
        <v>468234.20510467322</v>
      </c>
      <c r="AW24" s="85">
        <f t="shared" si="55"/>
        <v>1519034.536728747</v>
      </c>
      <c r="AX24" s="86">
        <f t="shared" si="55"/>
        <v>2643099.4911727747</v>
      </c>
      <c r="AY24" s="90">
        <f t="shared" si="55"/>
        <v>423313.84100375389</v>
      </c>
    </row>
    <row r="25" spans="1:55" x14ac:dyDescent="0.3">
      <c r="A25" s="139" t="s">
        <v>7</v>
      </c>
      <c r="B25" s="85">
        <f t="shared" si="56"/>
        <v>15564.884164562347</v>
      </c>
      <c r="C25" s="89">
        <f t="shared" si="56"/>
        <v>4597.8354210959724</v>
      </c>
      <c r="D25" s="89">
        <f t="shared" si="51"/>
        <v>11312.677650524363</v>
      </c>
      <c r="E25" s="89">
        <f t="shared" si="51"/>
        <v>51892.447129343942</v>
      </c>
      <c r="F25" s="89">
        <f t="shared" si="51"/>
        <v>26015.323756565842</v>
      </c>
      <c r="G25" s="89">
        <f t="shared" si="51"/>
        <v>58650.364651615819</v>
      </c>
      <c r="H25" s="89">
        <f t="shared" si="51"/>
        <v>91898.590355038876</v>
      </c>
      <c r="I25" s="89">
        <f t="shared" si="51"/>
        <v>88325.459877087022</v>
      </c>
      <c r="J25" s="89">
        <f t="shared" si="51"/>
        <v>134515.41707076808</v>
      </c>
      <c r="K25" s="89">
        <f t="shared" si="52"/>
        <v>256482.99508222897</v>
      </c>
      <c r="L25" s="89">
        <f t="shared" si="52"/>
        <v>163887.46297283188</v>
      </c>
      <c r="M25" s="89">
        <f t="shared" si="52"/>
        <v>260080.0038996934</v>
      </c>
      <c r="N25" s="89">
        <f t="shared" si="52"/>
        <v>590783.18598278286</v>
      </c>
      <c r="O25" s="89">
        <f t="shared" si="52"/>
        <v>170476.71585348537</v>
      </c>
      <c r="P25" s="89">
        <f t="shared" si="52"/>
        <v>72747.164361809366</v>
      </c>
      <c r="Q25" s="89">
        <f t="shared" si="52"/>
        <v>66901.875122493031</v>
      </c>
      <c r="R25" s="89">
        <f t="shared" si="52"/>
        <v>154320.41760669943</v>
      </c>
      <c r="S25" s="89">
        <f t="shared" si="52"/>
        <v>133885.62196246081</v>
      </c>
      <c r="T25" s="89">
        <f t="shared" si="52"/>
        <v>133194.12574642192</v>
      </c>
      <c r="U25" s="89">
        <f t="shared" si="52"/>
        <v>75618.397943549877</v>
      </c>
      <c r="V25" s="89">
        <f t="shared" si="52"/>
        <v>162496.11873987119</v>
      </c>
      <c r="W25" s="89">
        <f t="shared" si="52"/>
        <v>198882.20257334653</v>
      </c>
      <c r="X25" s="89">
        <f t="shared" si="52"/>
        <v>254728.87371281514</v>
      </c>
      <c r="Y25" s="89">
        <f t="shared" ref="Y25:AJ25" si="61">((Y32/SUM(Y$29:Y$32))*Y$16)+((Y32/SUM(Y$28:Y$32))*Y$17)+((Y32/SUM(Y$28:Y$32))*Y$18)</f>
        <v>322419.0211591816</v>
      </c>
      <c r="Z25" s="89">
        <f t="shared" si="61"/>
        <v>891374.85094818077</v>
      </c>
      <c r="AA25" s="89">
        <f t="shared" si="61"/>
        <v>123175.60383979429</v>
      </c>
      <c r="AB25" s="89">
        <f t="shared" si="61"/>
        <v>20954.945567410432</v>
      </c>
      <c r="AC25" s="89">
        <f t="shared" si="61"/>
        <v>163086.22143644659</v>
      </c>
      <c r="AD25" s="89">
        <f t="shared" si="61"/>
        <v>115916.60615779724</v>
      </c>
      <c r="AE25" s="89">
        <f t="shared" si="61"/>
        <v>103646.09307309898</v>
      </c>
      <c r="AF25" s="89">
        <f t="shared" si="61"/>
        <v>168108.45820075666</v>
      </c>
      <c r="AG25" s="89">
        <f t="shared" si="61"/>
        <v>266503.95572094701</v>
      </c>
      <c r="AH25" s="89">
        <f t="shared" si="61"/>
        <v>165484.14883092506</v>
      </c>
      <c r="AI25" s="89">
        <f t="shared" si="61"/>
        <v>187261.26366595068</v>
      </c>
      <c r="AJ25" s="89">
        <f t="shared" si="61"/>
        <v>215426.08504076643</v>
      </c>
      <c r="AK25" s="89">
        <f t="shared" ref="AK25:AV25" si="62">((AK32/SUM(AK$29:AK$32))*AK$16)+((AK32/SUM(AK$28:AK$32))*AK$17)+((AK32/SUM(AK$28:AK$32))*AK$18)</f>
        <v>582919.90301567467</v>
      </c>
      <c r="AL25" s="89">
        <f t="shared" si="62"/>
        <v>1380498.4568524291</v>
      </c>
      <c r="AM25" s="89">
        <f t="shared" si="62"/>
        <v>-184416.7045399296</v>
      </c>
      <c r="AN25" s="89">
        <f t="shared" si="62"/>
        <v>82184.148489686515</v>
      </c>
      <c r="AO25" s="89">
        <f t="shared" si="62"/>
        <v>64700.654414848985</v>
      </c>
      <c r="AP25" s="89">
        <f t="shared" si="62"/>
        <v>224782.1983707246</v>
      </c>
      <c r="AQ25" s="89">
        <f t="shared" si="62"/>
        <v>87521.389954823753</v>
      </c>
      <c r="AR25" s="89">
        <f t="shared" si="62"/>
        <v>284262.77578885772</v>
      </c>
      <c r="AS25" s="89">
        <f t="shared" si="62"/>
        <v>55461.328375044977</v>
      </c>
      <c r="AT25" s="89">
        <f t="shared" si="62"/>
        <v>126084.17210873279</v>
      </c>
      <c r="AU25" s="89">
        <f t="shared" si="62"/>
        <v>262349.4611416976</v>
      </c>
      <c r="AV25" s="89">
        <f t="shared" si="62"/>
        <v>180537.94572879572</v>
      </c>
      <c r="AW25" s="85">
        <f t="shared" si="55"/>
        <v>583334.54903898877</v>
      </c>
      <c r="AX25" s="86">
        <f t="shared" si="55"/>
        <v>954346.78547167557</v>
      </c>
      <c r="AY25" s="90">
        <f t="shared" si="55"/>
        <v>155025.56633210852</v>
      </c>
    </row>
    <row r="26" spans="1:55" x14ac:dyDescent="0.3">
      <c r="B26" s="75"/>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3"/>
      <c r="AX26" s="74"/>
      <c r="AY26" s="77"/>
    </row>
    <row r="27" spans="1:55" x14ac:dyDescent="0.3">
      <c r="A27" s="139" t="s">
        <v>85</v>
      </c>
      <c r="B27" s="179"/>
      <c r="C27" s="176"/>
      <c r="D27" s="329" t="s">
        <v>86</v>
      </c>
      <c r="E27" s="176"/>
      <c r="F27" s="176"/>
      <c r="G27" s="176"/>
      <c r="H27" s="176"/>
      <c r="I27" s="176"/>
      <c r="J27" s="176"/>
      <c r="K27" s="176"/>
      <c r="L27" s="176"/>
      <c r="M27" s="176"/>
      <c r="N27" s="176"/>
      <c r="O27" s="176"/>
      <c r="P27" s="176"/>
      <c r="Q27" s="176"/>
      <c r="R27" s="176"/>
      <c r="S27" s="176"/>
      <c r="T27" s="176"/>
      <c r="U27" s="176"/>
      <c r="V27" s="176"/>
      <c r="W27" s="176"/>
      <c r="X27" s="176"/>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3"/>
      <c r="AX27" s="74"/>
      <c r="AY27" s="77"/>
    </row>
    <row r="28" spans="1:55" x14ac:dyDescent="0.3">
      <c r="A28" s="32" t="s">
        <v>0</v>
      </c>
      <c r="B28" s="153">
        <f>'[1]PPC.3, PCR.2'!AJ30</f>
        <v>1263779046</v>
      </c>
      <c r="C28" s="153">
        <f>'[1]PPC.3, PCR.2'!AK30</f>
        <v>1395672993</v>
      </c>
      <c r="D28" s="153">
        <f>'[1]PPC.3, PCR.2'!AL30</f>
        <v>1407530571</v>
      </c>
      <c r="E28" s="153">
        <f>'[1]PPC.3, PCR.2'!AM30</f>
        <v>1268128455</v>
      </c>
      <c r="F28" s="153">
        <f>'[1]PPC.3, PCR.2'!AN30</f>
        <v>872933544</v>
      </c>
      <c r="G28" s="153">
        <f>'[1]PPC.3, PCR.2'!AO30</f>
        <v>738196558</v>
      </c>
      <c r="H28" s="153">
        <f>'[1]PPC.3, PCR.2'!AP30</f>
        <v>978975302</v>
      </c>
      <c r="I28" s="153">
        <f>'[1]PPC.3, PCR.2'!AQ30</f>
        <v>1243909773</v>
      </c>
      <c r="J28" s="153">
        <f>'[1]PPC.3, PCR.2'!AR30</f>
        <v>1310015315</v>
      </c>
      <c r="K28" s="153">
        <f>'[1]PPC.3, PCR.2'!AS30</f>
        <v>1208033233</v>
      </c>
      <c r="L28" s="153">
        <f>'[1]PPC.3, PCR.2'!AT30</f>
        <v>993546162</v>
      </c>
      <c r="M28" s="153">
        <f>'[1]PPC.3, PCR.2'!AU30</f>
        <v>897156231</v>
      </c>
      <c r="N28" s="153">
        <f>'[1]PPC.3, PCR.2'!AV30</f>
        <v>1208147189</v>
      </c>
      <c r="O28" s="153">
        <f>'[1]PPC.3, PCR.2'!AW30</f>
        <v>1334184680</v>
      </c>
      <c r="P28" s="153">
        <f>'[1]PPC.3, PCR.2'!AX30</f>
        <v>1302694951</v>
      </c>
      <c r="Q28" s="153">
        <f>'[1]PPC.3, PCR.2'!AY30</f>
        <v>1123586700</v>
      </c>
      <c r="R28" s="153">
        <f>'[1]PPC.3, PCR.2'!AZ30</f>
        <v>886578697</v>
      </c>
      <c r="S28" s="153">
        <f>'[1]PPC.3, PCR.2'!BA30</f>
        <v>790098101</v>
      </c>
      <c r="T28" s="153">
        <f>'[1]PPC.3, PCR.2'!BB30</f>
        <v>1041013964</v>
      </c>
      <c r="U28" s="153">
        <f>'[1]PPC.3, PCR.2'!BC30</f>
        <v>1397050553</v>
      </c>
      <c r="V28" s="153">
        <f>'[1]PPC.3, PCR.2'!BD30</f>
        <v>1310723723</v>
      </c>
      <c r="W28" s="153">
        <f>'[1]PPC.3, PCR.2'!BE30</f>
        <v>1275164339</v>
      </c>
      <c r="X28" s="153">
        <f>'[1]PPC.3, PCR.2'!BF30</f>
        <v>800796996</v>
      </c>
      <c r="Y28" s="153">
        <f>'[1]PPC.3, PCR.2'!BG30</f>
        <v>856955103</v>
      </c>
      <c r="Z28" s="153">
        <f>'[1]PPC.3, PCR.2'!BH30</f>
        <v>1137867523</v>
      </c>
      <c r="AA28" s="153">
        <f>'[1]PPC.3, PCR.2'!BI30</f>
        <v>1482496943</v>
      </c>
      <c r="AB28" s="153">
        <f>'[1]PPC.3, PCR.2'!BJ30</f>
        <v>1507047480</v>
      </c>
      <c r="AC28" s="153">
        <f>'[1]PPC.3, PCR.2'!BK30</f>
        <v>1193201650</v>
      </c>
      <c r="AD28" s="153">
        <f>'[1]PPC.3, PCR.2'!BL30</f>
        <v>803567941</v>
      </c>
      <c r="AE28" s="153">
        <f>'[1]PPC.3, PCR.2'!BM30</f>
        <v>753161249</v>
      </c>
      <c r="AF28" s="153">
        <f>'[1]PPC.3, PCR.2'!BN30</f>
        <v>1061485022</v>
      </c>
      <c r="AG28" s="153">
        <f>'[1]PPC.3, PCR.2'!BO30</f>
        <v>1299384453</v>
      </c>
      <c r="AH28" s="153">
        <f>'[1]PPC.3, PCR.2'!BP30</f>
        <v>1325635096</v>
      </c>
      <c r="AI28" s="153">
        <f>'[1]PPC.3, PCR.2'!BQ30</f>
        <v>1302322503</v>
      </c>
      <c r="AJ28" s="153">
        <f>'[1]PPC.3, PCR.2'!BR30</f>
        <v>902367562</v>
      </c>
      <c r="AK28" s="153">
        <f>'[1]PPC.3, PCR.2'!BS30</f>
        <v>616534565.60039997</v>
      </c>
      <c r="AL28" s="153">
        <f>'[1]PPC.3, PCR.2'!BT30</f>
        <v>621003419.78059995</v>
      </c>
      <c r="AM28" s="153">
        <f>'[1]PPC.3, PCR.2'!BU30</f>
        <v>656971283.38569999</v>
      </c>
      <c r="AN28" s="153">
        <f>'[1]PPC.3, PCR.2'!BV30</f>
        <v>646272651.48329997</v>
      </c>
      <c r="AO28" s="153">
        <f>'[1]PPC.3, PCR.2'!BW30</f>
        <v>615981334.59430003</v>
      </c>
      <c r="AP28" s="153">
        <f>'[1]PPC.3, PCR.2'!BX30</f>
        <v>577077250.67460001</v>
      </c>
      <c r="AQ28" s="153">
        <f>'[1]PPC.3, PCR.2'!BY30</f>
        <v>787949883.91209996</v>
      </c>
      <c r="AR28" s="153">
        <f>'[1]PPC.3, PCR.2'!BZ30</f>
        <v>1060197293</v>
      </c>
      <c r="AS28" s="153">
        <f>'[1]PPC.3, PCR.2'!CA30</f>
        <v>1457350528</v>
      </c>
      <c r="AT28" s="153">
        <f>'[1]PPC.3, PCR.2'!CB30</f>
        <v>1390553772</v>
      </c>
      <c r="AU28" s="153">
        <f>'[1]PPC.3, PCR.2'!CC30</f>
        <v>1159635260</v>
      </c>
      <c r="AV28" s="153">
        <f>'[1]PPC.3, PCR.2'!CD30</f>
        <v>837049627</v>
      </c>
      <c r="AW28" s="187">
        <f>+'[1]PPC.1, PCR.2F, EO.3'!$B$27</f>
        <v>823809710.89954734</v>
      </c>
      <c r="AX28" s="188">
        <f>'[2]M3 Allocations - TD'!AW23</f>
        <v>1184020781.8935058</v>
      </c>
      <c r="AY28" s="189">
        <f>'[2]M3 Allocations - TD'!AX23</f>
        <v>1463715224.8515413</v>
      </c>
      <c r="AZ28" s="32"/>
      <c r="BA28" s="35"/>
      <c r="BC28" s="35"/>
    </row>
    <row r="29" spans="1:55" x14ac:dyDescent="0.3">
      <c r="A29" s="32" t="s">
        <v>4</v>
      </c>
      <c r="B29" s="153">
        <f>'[1]PPC.3, PCR.2'!AJ31</f>
        <v>291652347</v>
      </c>
      <c r="C29" s="153">
        <f>'[1]PPC.3, PCR.2'!AK31</f>
        <v>307968093</v>
      </c>
      <c r="D29" s="153">
        <f>'[1]PPC.3, PCR.2'!AL31</f>
        <v>308068267</v>
      </c>
      <c r="E29" s="153">
        <f>'[1]PPC.3, PCR.2'!AM31</f>
        <v>290178959</v>
      </c>
      <c r="F29" s="153">
        <f>'[1]PPC.3, PCR.2'!AN31</f>
        <v>235096003</v>
      </c>
      <c r="G29" s="153">
        <f>'[1]PPC.3, PCR.2'!AO31</f>
        <v>221772499</v>
      </c>
      <c r="H29" s="153">
        <f>'[1]PPC.3, PCR.2'!AP31</f>
        <v>258735845</v>
      </c>
      <c r="I29" s="153">
        <f>'[1]PPC.3, PCR.2'!AQ31</f>
        <v>295975497</v>
      </c>
      <c r="J29" s="153">
        <f>'[1]PPC.3, PCR.2'!AR31</f>
        <v>304175879</v>
      </c>
      <c r="K29" s="153">
        <f>'[1]PPC.3, PCR.2'!AS31</f>
        <v>293549572</v>
      </c>
      <c r="L29" s="153">
        <f>'[1]PPC.3, PCR.2'!AT31</f>
        <v>264736629</v>
      </c>
      <c r="M29" s="153">
        <f>'[1]PPC.3, PCR.2'!AU31</f>
        <v>237145043</v>
      </c>
      <c r="N29" s="153">
        <f>'[1]PPC.3, PCR.2'!AV31</f>
        <v>278572550</v>
      </c>
      <c r="O29" s="153">
        <f>'[1]PPC.3, PCR.2'!AW31</f>
        <v>297050898</v>
      </c>
      <c r="P29" s="153">
        <f>'[1]PPC.3, PCR.2'!AX31</f>
        <v>290934660</v>
      </c>
      <c r="Q29" s="153">
        <f>'[1]PPC.3, PCR.2'!AY31</f>
        <v>265078600</v>
      </c>
      <c r="R29" s="153">
        <f>'[1]PPC.3, PCR.2'!AZ31</f>
        <v>203506574</v>
      </c>
      <c r="S29" s="153">
        <f>'[1]PPC.3, PCR.2'!BA31</f>
        <v>184563246</v>
      </c>
      <c r="T29" s="153">
        <f>'[1]PPC.3, PCR.2'!BB31</f>
        <v>231230759</v>
      </c>
      <c r="U29" s="153">
        <f>'[1]PPC.3, PCR.2'!BC31</f>
        <v>288425422</v>
      </c>
      <c r="V29" s="153">
        <f>'[1]PPC.3, PCR.2'!BD31</f>
        <v>281389691</v>
      </c>
      <c r="W29" s="153">
        <f>'[1]PPC.3, PCR.2'!BE31</f>
        <v>269111017</v>
      </c>
      <c r="X29" s="153">
        <f>'[1]PPC.3, PCR.2'!BF31</f>
        <v>218212399</v>
      </c>
      <c r="Y29" s="153">
        <f>'[1]PPC.3, PCR.2'!BG31</f>
        <v>218068919</v>
      </c>
      <c r="Z29" s="153">
        <f>'[1]PPC.3, PCR.2'!BH31</f>
        <v>251883126</v>
      </c>
      <c r="AA29" s="153">
        <f>'[1]PPC.3, PCR.2'!BI31</f>
        <v>300425840</v>
      </c>
      <c r="AB29" s="153">
        <f>'[1]PPC.3, PCR.2'!BJ31</f>
        <v>303577891</v>
      </c>
      <c r="AC29" s="153">
        <f>'[1]PPC.3, PCR.2'!BK31</f>
        <v>265359424</v>
      </c>
      <c r="AD29" s="153">
        <f>'[1]PPC.3, PCR.2'!BL31</f>
        <v>211100441</v>
      </c>
      <c r="AE29" s="153">
        <f>'[1]PPC.3, PCR.2'!BM31</f>
        <v>205986967</v>
      </c>
      <c r="AF29" s="153">
        <f>'[1]PPC.3, PCR.2'!BN31</f>
        <v>264522271</v>
      </c>
      <c r="AG29" s="153">
        <f>'[1]PPC.3, PCR.2'!BO31</f>
        <v>291815734</v>
      </c>
      <c r="AH29" s="153">
        <f>'[1]PPC.3, PCR.2'!BP31</f>
        <v>291413887</v>
      </c>
      <c r="AI29" s="153">
        <f>'[1]PPC.3, PCR.2'!BQ31</f>
        <v>294374400</v>
      </c>
      <c r="AJ29" s="153">
        <f>'[1]PPC.3, PCR.2'!BR31</f>
        <v>245524134</v>
      </c>
      <c r="AK29" s="153">
        <f>'[1]PPC.3, PCR.2'!BS31</f>
        <v>219607159</v>
      </c>
      <c r="AL29" s="153">
        <f>'[1]PPC.3, PCR.2'!BT31</f>
        <v>250528302</v>
      </c>
      <c r="AM29" s="153">
        <f>'[1]PPC.3, PCR.2'!BU31</f>
        <v>295412831</v>
      </c>
      <c r="AN29" s="153">
        <f>'[1]PPC.3, PCR.2'!BV31</f>
        <v>301068791</v>
      </c>
      <c r="AO29" s="153">
        <f>'[1]PPC.3, PCR.2'!BW31</f>
        <v>261058604</v>
      </c>
      <c r="AP29" s="153">
        <f>'[1]PPC.3, PCR.2'!BX31</f>
        <v>230949228</v>
      </c>
      <c r="AQ29" s="153">
        <f>'[1]PPC.3, PCR.2'!BY31</f>
        <v>223998788</v>
      </c>
      <c r="AR29" s="153">
        <f>'[1]PPC.3, PCR.2'!BZ31</f>
        <v>260692423</v>
      </c>
      <c r="AS29" s="153">
        <f>'[1]PPC.3, PCR.2'!CA31</f>
        <v>312328749</v>
      </c>
      <c r="AT29" s="153">
        <f>'[1]PPC.3, PCR.2'!CB31</f>
        <v>305346654</v>
      </c>
      <c r="AU29" s="153">
        <f>'[1]PPC.3, PCR.2'!CC31</f>
        <v>279929276</v>
      </c>
      <c r="AV29" s="153">
        <f>'[1]PPC.3, PCR.2'!CD31</f>
        <v>230143220</v>
      </c>
      <c r="AW29" s="187">
        <f>'[2]M3 Allocations - TD'!AV24</f>
        <v>214006590.80418369</v>
      </c>
      <c r="AX29" s="188">
        <f>'[2]M3 Allocations - TD'!AW24</f>
        <v>259208399.28055152</v>
      </c>
      <c r="AY29" s="189">
        <f>'[2]M3 Allocations - TD'!AX24</f>
        <v>305953434.20188934</v>
      </c>
      <c r="AZ29" s="118"/>
      <c r="BA29" s="35"/>
      <c r="BC29" s="35"/>
    </row>
    <row r="30" spans="1:55" x14ac:dyDescent="0.3">
      <c r="A30" s="32" t="s">
        <v>5</v>
      </c>
      <c r="B30" s="153">
        <f>'[1]PPC.3, PCR.2'!AJ32</f>
        <v>635010680</v>
      </c>
      <c r="C30" s="153">
        <f>'[1]PPC.3, PCR.2'!AK32</f>
        <v>645753087</v>
      </c>
      <c r="D30" s="153">
        <f>'[1]PPC.3, PCR.2'!AL32</f>
        <v>624256369</v>
      </c>
      <c r="E30" s="153">
        <f>'[1]PPC.3, PCR.2'!AM32</f>
        <v>599641261</v>
      </c>
      <c r="F30" s="153">
        <f>'[1]PPC.3, PCR.2'!AN32</f>
        <v>546450417</v>
      </c>
      <c r="G30" s="153">
        <f>'[1]PPC.3, PCR.2'!AO32</f>
        <v>548775486</v>
      </c>
      <c r="H30" s="153">
        <f>'[1]PPC.3, PCR.2'!AP32</f>
        <v>609609142</v>
      </c>
      <c r="I30" s="153">
        <f>'[1]PPC.3, PCR.2'!AQ32</f>
        <v>656813642</v>
      </c>
      <c r="J30" s="153">
        <f>'[1]PPC.3, PCR.2'!AR32</f>
        <v>671886437</v>
      </c>
      <c r="K30" s="153">
        <f>'[1]PPC.3, PCR.2'!AS32</f>
        <v>678219627</v>
      </c>
      <c r="L30" s="153">
        <f>'[1]PPC.3, PCR.2'!AT32</f>
        <v>622550219</v>
      </c>
      <c r="M30" s="153">
        <f>'[1]PPC.3, PCR.2'!AU32</f>
        <v>549600433</v>
      </c>
      <c r="N30" s="153">
        <f>'[1]PPC.3, PCR.2'!AV32</f>
        <v>596432225</v>
      </c>
      <c r="O30" s="153">
        <f>'[1]PPC.3, PCR.2'!AW32</f>
        <v>616923082</v>
      </c>
      <c r="P30" s="153">
        <f>'[1]PPC.3, PCR.2'!AX32</f>
        <v>599527620</v>
      </c>
      <c r="Q30" s="153">
        <f>'[1]PPC.3, PCR.2'!AY32</f>
        <v>566693954</v>
      </c>
      <c r="R30" s="153">
        <f>'[1]PPC.3, PCR.2'!AZ32</f>
        <v>483801855</v>
      </c>
      <c r="S30" s="153">
        <f>'[1]PPC.3, PCR.2'!BA32</f>
        <v>451939609</v>
      </c>
      <c r="T30" s="153">
        <f>'[1]PPC.3, PCR.2'!BB32</f>
        <v>534583835</v>
      </c>
      <c r="U30" s="153">
        <f>'[1]PPC.3, PCR.2'!BC32</f>
        <v>624356693</v>
      </c>
      <c r="V30" s="153">
        <f>'[1]PPC.3, PCR.2'!BD32</f>
        <v>621885740</v>
      </c>
      <c r="W30" s="153">
        <f>'[1]PPC.3, PCR.2'!BE32</f>
        <v>619148163</v>
      </c>
      <c r="X30" s="153">
        <f>'[1]PPC.3, PCR.2'!BF32</f>
        <v>528448107.69999999</v>
      </c>
      <c r="Y30" s="153">
        <f>'[1]PPC.3, PCR.2'!BG32</f>
        <v>514648084</v>
      </c>
      <c r="Z30" s="153">
        <f>'[1]PPC.3, PCR.2'!BH32</f>
        <v>553120787</v>
      </c>
      <c r="AA30" s="153">
        <f>'[1]PPC.3, PCR.2'!BI32</f>
        <v>592823385</v>
      </c>
      <c r="AB30" s="153">
        <f>'[1]PPC.3, PCR.2'!BJ32</f>
        <v>585712392</v>
      </c>
      <c r="AC30" s="153">
        <f>'[1]PPC.3, PCR.2'!BK32</f>
        <v>543642088</v>
      </c>
      <c r="AD30" s="153">
        <f>'[1]PPC.3, PCR.2'!BL32</f>
        <v>483262229</v>
      </c>
      <c r="AE30" s="153">
        <f>'[1]PPC.3, PCR.2'!BM32</f>
        <v>492375125.19999999</v>
      </c>
      <c r="AF30" s="153">
        <f>'[1]PPC.3, PCR.2'!BN32</f>
        <v>586671915</v>
      </c>
      <c r="AG30" s="153">
        <f>'[1]PPC.3, PCR.2'!BO32</f>
        <v>641235470</v>
      </c>
      <c r="AH30" s="153">
        <f>'[1]PPC.3, PCR.2'!BP32</f>
        <v>634777638</v>
      </c>
      <c r="AI30" s="153">
        <f>'[1]PPC.3, PCR.2'!BQ32</f>
        <v>647017474</v>
      </c>
      <c r="AJ30" s="153">
        <f>'[1]PPC.3, PCR.2'!BR32</f>
        <v>568724491</v>
      </c>
      <c r="AK30" s="153">
        <f>'[1]PPC.3, PCR.2'!BS32</f>
        <v>505304455</v>
      </c>
      <c r="AL30" s="153">
        <f>'[1]PPC.3, PCR.2'!BT32</f>
        <v>552284069</v>
      </c>
      <c r="AM30" s="153">
        <f>'[1]PPC.3, PCR.2'!BU32</f>
        <v>590858313</v>
      </c>
      <c r="AN30" s="153">
        <f>'[1]PPC.3, PCR.2'!BV32</f>
        <v>582248455</v>
      </c>
      <c r="AO30" s="153">
        <f>'[1]PPC.3, PCR.2'!BW32</f>
        <v>534070902</v>
      </c>
      <c r="AP30" s="153">
        <f>'[1]PPC.3, PCR.2'!BX32</f>
        <v>506459043</v>
      </c>
      <c r="AQ30" s="153">
        <f>'[1]PPC.3, PCR.2'!BY32</f>
        <v>516003997</v>
      </c>
      <c r="AR30" s="153">
        <f>'[1]PPC.3, PCR.2'!BZ32</f>
        <v>579943536</v>
      </c>
      <c r="AS30" s="153">
        <f>'[1]PPC.3, PCR.2'!CA32</f>
        <v>650768443</v>
      </c>
      <c r="AT30" s="153">
        <f>'[1]PPC.3, PCR.2'!CB32</f>
        <v>645110540</v>
      </c>
      <c r="AU30" s="153">
        <f>'[1]PPC.3, PCR.2'!CC32</f>
        <v>617464584</v>
      </c>
      <c r="AV30" s="153">
        <f>'[1]PPC.3, PCR.2'!CD32</f>
        <v>530232061</v>
      </c>
      <c r="AW30" s="187">
        <f>'[2]M3 Allocations - TD'!AV25</f>
        <v>504852117.67261267</v>
      </c>
      <c r="AX30" s="188">
        <f>'[2]M3 Allocations - TD'!AW25</f>
        <v>560359725.04073942</v>
      </c>
      <c r="AY30" s="189">
        <f>'[2]M3 Allocations - TD'!AX25</f>
        <v>613374545.87154281</v>
      </c>
      <c r="AZ30" s="118"/>
      <c r="BA30" s="35"/>
      <c r="BC30" s="35"/>
    </row>
    <row r="31" spans="1:55" x14ac:dyDescent="0.3">
      <c r="A31" s="32" t="s">
        <v>6</v>
      </c>
      <c r="B31" s="153">
        <f>'[1]PPC.3, PCR.2'!AJ33</f>
        <v>291933586</v>
      </c>
      <c r="C31" s="153">
        <f>'[1]PPC.3, PCR.2'!AK33</f>
        <v>252980562</v>
      </c>
      <c r="D31" s="153">
        <f>'[1]PPC.3, PCR.2'!AL33</f>
        <v>248710812</v>
      </c>
      <c r="E31" s="153">
        <f>'[1]PPC.3, PCR.2'!AM33</f>
        <v>242499726</v>
      </c>
      <c r="F31" s="153">
        <f>'[1]PPC.3, PCR.2'!AN33</f>
        <v>232539680</v>
      </c>
      <c r="G31" s="153">
        <f>'[1]PPC.3, PCR.2'!AO33</f>
        <v>229224298</v>
      </c>
      <c r="H31" s="153">
        <f>'[1]PPC.3, PCR.2'!AP33</f>
        <v>266349220</v>
      </c>
      <c r="I31" s="153">
        <f>'[1]PPC.3, PCR.2'!AQ33</f>
        <v>267674678</v>
      </c>
      <c r="J31" s="153">
        <f>'[1]PPC.3, PCR.2'!AR33</f>
        <v>281003685</v>
      </c>
      <c r="K31" s="153">
        <f>'[1]PPC.3, PCR.2'!AS33</f>
        <v>279302255</v>
      </c>
      <c r="L31" s="153">
        <f>'[1]PPC.3, PCR.2'!AT33</f>
        <v>258807768</v>
      </c>
      <c r="M31" s="153">
        <f>'[1]PPC.3, PCR.2'!AU33</f>
        <v>239334214</v>
      </c>
      <c r="N31" s="153">
        <f>'[1]PPC.3, PCR.2'!AV33</f>
        <v>241025466</v>
      </c>
      <c r="O31" s="153">
        <f>'[1]PPC.3, PCR.2'!AW33</f>
        <v>247898204</v>
      </c>
      <c r="P31" s="153">
        <f>'[1]PPC.3, PCR.2'!AX33</f>
        <v>255420215</v>
      </c>
      <c r="Q31" s="153">
        <f>'[1]PPC.3, PCR.2'!AY33</f>
        <v>225135566</v>
      </c>
      <c r="R31" s="153">
        <f>'[1]PPC.3, PCR.2'!AZ33</f>
        <v>219961316</v>
      </c>
      <c r="S31" s="153">
        <f>'[1]PPC.3, PCR.2'!BA33</f>
        <v>207074154</v>
      </c>
      <c r="T31" s="153">
        <f>'[1]PPC.3, PCR.2'!BB33</f>
        <v>241165089</v>
      </c>
      <c r="U31" s="153">
        <f>'[1]PPC.3, PCR.2'!BC33</f>
        <v>253833450</v>
      </c>
      <c r="V31" s="153">
        <f>'[1]PPC.3, PCR.2'!BD33</f>
        <v>266058831</v>
      </c>
      <c r="W31" s="153">
        <f>'[1]PPC.3, PCR.2'!BE33</f>
        <v>266126792</v>
      </c>
      <c r="X31" s="153">
        <f>'[1]PPC.3, PCR.2'!BF33</f>
        <v>236673642.40000001</v>
      </c>
      <c r="Y31" s="153">
        <f>'[1]PPC.3, PCR.2'!BG33</f>
        <v>234876378</v>
      </c>
      <c r="Z31" s="153">
        <f>'[1]PPC.3, PCR.2'!BH33</f>
        <v>245759481</v>
      </c>
      <c r="AA31" s="153">
        <f>'[1]PPC.3, PCR.2'!BI33</f>
        <v>241302585</v>
      </c>
      <c r="AB31" s="153">
        <f>'[1]PPC.3, PCR.2'!BJ33</f>
        <v>254211213</v>
      </c>
      <c r="AC31" s="153">
        <f>'[1]PPC.3, PCR.2'!BK33</f>
        <v>216207694</v>
      </c>
      <c r="AD31" s="153">
        <f>'[1]PPC.3, PCR.2'!BL33</f>
        <v>214809052</v>
      </c>
      <c r="AE31" s="153">
        <f>'[1]PPC.3, PCR.2'!BM33</f>
        <v>221576502.5</v>
      </c>
      <c r="AF31" s="153">
        <f>'[1]PPC.3, PCR.2'!BN33</f>
        <v>232417188</v>
      </c>
      <c r="AG31" s="153">
        <f>'[1]PPC.3, PCR.2'!BO33</f>
        <v>286577542</v>
      </c>
      <c r="AH31" s="153">
        <f>'[1]PPC.3, PCR.2'!BP33</f>
        <v>263115351</v>
      </c>
      <c r="AI31" s="153">
        <f>'[1]PPC.3, PCR.2'!BQ33</f>
        <v>266455046</v>
      </c>
      <c r="AJ31" s="153">
        <f>'[1]PPC.3, PCR.2'!BR33</f>
        <v>230080105</v>
      </c>
      <c r="AK31" s="153">
        <f>'[1]PPC.3, PCR.2'!BS33</f>
        <v>200697530</v>
      </c>
      <c r="AL31" s="153">
        <f>'[1]PPC.3, PCR.2'!BT33</f>
        <v>263803028</v>
      </c>
      <c r="AM31" s="153">
        <f>'[1]PPC.3, PCR.2'!BU33</f>
        <v>254759231</v>
      </c>
      <c r="AN31" s="153">
        <f>'[1]PPC.3, PCR.2'!BV33</f>
        <v>236605471</v>
      </c>
      <c r="AO31" s="153">
        <f>'[1]PPC.3, PCR.2'!BW33</f>
        <v>220600472</v>
      </c>
      <c r="AP31" s="153">
        <f>'[1]PPC.3, PCR.2'!BX33</f>
        <v>227017145</v>
      </c>
      <c r="AQ31" s="153">
        <f>'[1]PPC.3, PCR.2'!BY33</f>
        <v>225997805</v>
      </c>
      <c r="AR31" s="153">
        <f>'[1]PPC.3, PCR.2'!BZ33</f>
        <v>251076328</v>
      </c>
      <c r="AS31" s="153">
        <f>'[1]PPC.3, PCR.2'!CA33</f>
        <v>267504084</v>
      </c>
      <c r="AT31" s="153">
        <f>'[1]PPC.3, PCR.2'!CB33</f>
        <v>272015339</v>
      </c>
      <c r="AU31" s="153">
        <f>'[1]PPC.3, PCR.2'!CC33</f>
        <v>258297228</v>
      </c>
      <c r="AV31" s="153">
        <f>'[1]PPC.3, PCR.2'!CD33</f>
        <v>229178636</v>
      </c>
      <c r="AW31" s="187">
        <f>'[2]M3 Allocations - TD'!AV26</f>
        <v>223136740.16275239</v>
      </c>
      <c r="AX31" s="188">
        <f>'[2]M3 Allocations - TD'!AW26</f>
        <v>232535693.78009516</v>
      </c>
      <c r="AY31" s="189">
        <f>'[2]M3 Allocations - TD'!AX26</f>
        <v>241558091.74347511</v>
      </c>
      <c r="AZ31" s="118"/>
      <c r="BA31" s="35"/>
      <c r="BC31" s="35"/>
    </row>
    <row r="32" spans="1:55" x14ac:dyDescent="0.3">
      <c r="A32" s="32" t="s">
        <v>7</v>
      </c>
      <c r="B32" s="153">
        <f>'[1]PPC.3, PCR.2'!AJ34</f>
        <v>135972391</v>
      </c>
      <c r="C32" s="153">
        <f>'[1]PPC.3, PCR.2'!AK34</f>
        <v>101960146</v>
      </c>
      <c r="D32" s="153">
        <f>'[1]PPC.3, PCR.2'!AL34</f>
        <v>96075286</v>
      </c>
      <c r="E32" s="153">
        <f>'[1]PPC.3, PCR.2'!AM34</f>
        <v>99309923</v>
      </c>
      <c r="F32" s="153">
        <f>'[1]PPC.3, PCR.2'!AN34</f>
        <v>98876748</v>
      </c>
      <c r="G32" s="153">
        <f>'[1]PPC.3, PCR.2'!AO34</f>
        <v>96480454</v>
      </c>
      <c r="H32" s="153">
        <f>'[1]PPC.3, PCR.2'!AP34</f>
        <v>121526151</v>
      </c>
      <c r="I32" s="153">
        <f>'[1]PPC.3, PCR.2'!AQ34</f>
        <v>113123855</v>
      </c>
      <c r="J32" s="153">
        <f>'[1]PPC.3, PCR.2'!AR34</f>
        <v>125262874</v>
      </c>
      <c r="K32" s="153">
        <f>'[1]PPC.3, PCR.2'!AS34</f>
        <v>126945040</v>
      </c>
      <c r="L32" s="153">
        <f>'[1]PPC.3, PCR.2'!AT34</f>
        <v>119752379</v>
      </c>
      <c r="M32" s="153">
        <f>'[1]PPC.3, PCR.2'!AU34</f>
        <v>106348532</v>
      </c>
      <c r="N32" s="153">
        <f>'[1]PPC.3, PCR.2'!AV34</f>
        <v>100067076</v>
      </c>
      <c r="O32" s="153">
        <f>'[1]PPC.3, PCR.2'!AW34</f>
        <v>105899561</v>
      </c>
      <c r="P32" s="153">
        <f>'[1]PPC.3, PCR.2'!AX34</f>
        <v>111203176</v>
      </c>
      <c r="Q32" s="153">
        <f>'[1]PPC.3, PCR.2'!AY34</f>
        <v>86704807</v>
      </c>
      <c r="R32" s="153">
        <f>'[1]PPC.3, PCR.2'!AZ34</f>
        <v>92097434</v>
      </c>
      <c r="S32" s="153">
        <f>'[1]PPC.3, PCR.2'!BA34</f>
        <v>93506334</v>
      </c>
      <c r="T32" s="153">
        <f>'[1]PPC.3, PCR.2'!BB34</f>
        <v>92139707</v>
      </c>
      <c r="U32" s="153">
        <f>'[1]PPC.3, PCR.2'!BC34</f>
        <v>105110654</v>
      </c>
      <c r="V32" s="153">
        <f>'[1]PPC.3, PCR.2'!BD34</f>
        <v>108265948</v>
      </c>
      <c r="W32" s="153">
        <f>'[1]PPC.3, PCR.2'!BE34</f>
        <v>109806573</v>
      </c>
      <c r="X32" s="153">
        <f>'[1]PPC.3, PCR.2'!BF34</f>
        <v>96724322.099999994</v>
      </c>
      <c r="Y32" s="153">
        <f>'[1]PPC.3, PCR.2'!BG34</f>
        <v>94866307</v>
      </c>
      <c r="Z32" s="153">
        <f>'[1]PPC.3, PCR.2'!BH34</f>
        <v>96874394</v>
      </c>
      <c r="AA32" s="153">
        <f>'[1]PPC.3, PCR.2'!BI34</f>
        <v>84244327</v>
      </c>
      <c r="AB32" s="153">
        <f>'[1]PPC.3, PCR.2'!BJ34</f>
        <v>112346620</v>
      </c>
      <c r="AC32" s="153">
        <f>'[1]PPC.3, PCR.2'!BK34</f>
        <v>50801494</v>
      </c>
      <c r="AD32" s="153">
        <f>'[1]PPC.3, PCR.2'!BL34</f>
        <v>85186767</v>
      </c>
      <c r="AE32" s="153">
        <f>'[1]PPC.3, PCR.2'!BM34</f>
        <v>94290468.700000003</v>
      </c>
      <c r="AF32" s="153">
        <f>'[1]PPC.3, PCR.2'!BN34</f>
        <v>96665030</v>
      </c>
      <c r="AG32" s="153">
        <f>'[1]PPC.3, PCR.2'!BO34</f>
        <v>111403127</v>
      </c>
      <c r="AH32" s="153">
        <f>'[1]PPC.3, PCR.2'!BP34</f>
        <v>106051211</v>
      </c>
      <c r="AI32" s="153">
        <f>'[1]PPC.3, PCR.2'!BQ34</f>
        <v>114673513</v>
      </c>
      <c r="AJ32" s="153">
        <f>'[1]PPC.3, PCR.2'!BR34</f>
        <v>105106440</v>
      </c>
      <c r="AK32" s="153">
        <f>'[1]PPC.3, PCR.2'!BS34</f>
        <v>69778498</v>
      </c>
      <c r="AL32" s="153">
        <f>'[1]PPC.3, PCR.2'!BT34</f>
        <v>110311543</v>
      </c>
      <c r="AM32" s="153">
        <f>'[1]PPC.3, PCR.2'!BU34</f>
        <v>91160220</v>
      </c>
      <c r="AN32" s="153">
        <f>'[1]PPC.3, PCR.2'!BV34</f>
        <v>84926008</v>
      </c>
      <c r="AO32" s="153">
        <f>'[1]PPC.3, PCR.2'!BW34</f>
        <v>81012090</v>
      </c>
      <c r="AP32" s="153">
        <f>'[1]PPC.3, PCR.2'!BX34</f>
        <v>85726323</v>
      </c>
      <c r="AQ32" s="153">
        <f>'[1]PPC.3, PCR.2'!BY34</f>
        <v>71350428</v>
      </c>
      <c r="AR32" s="153">
        <f>'[1]PPC.3, PCR.2'!BZ34</f>
        <v>86976917</v>
      </c>
      <c r="AS32" s="153">
        <f>'[1]PPC.3, PCR.2'!CA34</f>
        <v>99783323</v>
      </c>
      <c r="AT32" s="153">
        <f>'[1]PPC.3, PCR.2'!CB34</f>
        <v>98663196</v>
      </c>
      <c r="AU32" s="153">
        <f>'[1]PPC.3, PCR.2'!CC34</f>
        <v>102858299</v>
      </c>
      <c r="AV32" s="153">
        <f>'[1]PPC.3, PCR.2'!CD34</f>
        <v>88364839</v>
      </c>
      <c r="AW32" s="187">
        <f>'[2]M3 Allocations - TD'!AV27</f>
        <v>85688222.716237277</v>
      </c>
      <c r="AX32" s="188">
        <f>'[2]M3 Allocations - TD'!AW27</f>
        <v>83961913.884668529</v>
      </c>
      <c r="AY32" s="189">
        <f>'[2]M3 Allocations - TD'!AX27</f>
        <v>88463159.829218939</v>
      </c>
      <c r="AZ32" s="118"/>
      <c r="BA32" s="35"/>
      <c r="BC32" s="35"/>
    </row>
    <row r="33" spans="1:53" x14ac:dyDescent="0.3">
      <c r="B33" s="75"/>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3"/>
      <c r="AX33" s="74"/>
      <c r="AY33" s="77"/>
    </row>
    <row r="34" spans="1:53" x14ac:dyDescent="0.3">
      <c r="A34" s="139" t="s">
        <v>87</v>
      </c>
      <c r="B34" s="179"/>
      <c r="C34" s="176"/>
      <c r="D34" s="329" t="s">
        <v>68</v>
      </c>
      <c r="E34" s="176"/>
      <c r="F34" s="176"/>
      <c r="G34" s="176"/>
      <c r="H34" s="176"/>
      <c r="I34" s="176"/>
      <c r="J34" s="176"/>
      <c r="K34" s="176"/>
      <c r="L34" s="176"/>
      <c r="M34" s="176"/>
      <c r="N34" s="176"/>
      <c r="O34" s="176"/>
      <c r="P34" s="176"/>
      <c r="Q34" s="176"/>
      <c r="R34" s="176"/>
      <c r="S34" s="176"/>
      <c r="T34" s="176"/>
      <c r="U34" s="176"/>
      <c r="V34" s="176"/>
      <c r="W34" s="176"/>
      <c r="X34" s="176"/>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3"/>
      <c r="AX34" s="74"/>
      <c r="AY34" s="77"/>
      <c r="AZ34" s="91" t="s">
        <v>103</v>
      </c>
      <c r="BA34" s="32"/>
    </row>
    <row r="35" spans="1:53" x14ac:dyDescent="0.3">
      <c r="A35" s="32" t="str">
        <f>A28</f>
        <v>RES</v>
      </c>
      <c r="B35" s="69">
        <v>0</v>
      </c>
      <c r="C35" s="70">
        <v>0</v>
      </c>
      <c r="D35" s="70">
        <v>0</v>
      </c>
      <c r="E35" s="70">
        <v>0</v>
      </c>
      <c r="F35" s="70">
        <v>0</v>
      </c>
      <c r="G35" s="70">
        <v>289499.78000000003</v>
      </c>
      <c r="H35" s="70">
        <v>3493862.36</v>
      </c>
      <c r="I35" s="70">
        <v>4445139.01</v>
      </c>
      <c r="J35" s="70">
        <v>4681976.07</v>
      </c>
      <c r="K35" s="70">
        <v>4319414.5</v>
      </c>
      <c r="L35" s="70">
        <v>3549657.98</v>
      </c>
      <c r="M35" s="70">
        <v>3184566.3699999996</v>
      </c>
      <c r="N35" s="70">
        <v>4285013.4600000009</v>
      </c>
      <c r="O35" s="70">
        <v>4732019.1900000004</v>
      </c>
      <c r="P35" s="70">
        <v>3962656.08</v>
      </c>
      <c r="Q35" s="70">
        <v>2713714.5100000002</v>
      </c>
      <c r="R35" s="70">
        <v>2142098.6700000004</v>
      </c>
      <c r="S35" s="70">
        <v>1914072.4000000001</v>
      </c>
      <c r="T35" s="70">
        <v>2533457.85</v>
      </c>
      <c r="U35" s="70">
        <v>3403481.3100000005</v>
      </c>
      <c r="V35" s="70">
        <v>3194801.5599999996</v>
      </c>
      <c r="W35" s="70">
        <v>2879273.7199999997</v>
      </c>
      <c r="X35" s="70">
        <v>1945915.5300000005</v>
      </c>
      <c r="Y35" s="70">
        <v>2075721.03</v>
      </c>
      <c r="Z35" s="70">
        <v>2752162.1899999995</v>
      </c>
      <c r="AA35" s="70">
        <v>3581438.58</v>
      </c>
      <c r="AB35" s="70">
        <v>4120369.0400000005</v>
      </c>
      <c r="AC35" s="70">
        <v>3681981.6699999995</v>
      </c>
      <c r="AD35" s="70">
        <v>2483183.1200000006</v>
      </c>
      <c r="AE35" s="70">
        <v>2333035.0699999998</v>
      </c>
      <c r="AF35" s="70">
        <v>3060037.7600000007</v>
      </c>
      <c r="AG35" s="70">
        <v>4042080.04</v>
      </c>
      <c r="AH35" s="70">
        <v>4123881.9000000008</v>
      </c>
      <c r="AI35" s="70">
        <v>4050875.1900000004</v>
      </c>
      <c r="AJ35" s="70">
        <v>2805209.88</v>
      </c>
      <c r="AK35" s="70">
        <f>-'[1]PCR.3 (M3)'!AF6</f>
        <v>2628666.67</v>
      </c>
      <c r="AL35" s="70">
        <f>-'[1]PCR.3 (M3)'!AG6</f>
        <v>3289045.31</v>
      </c>
      <c r="AM35" s="70">
        <f>-'[1]PCR.3 (M3)'!AH6</f>
        <v>4251296.5199999996</v>
      </c>
      <c r="AN35" s="70">
        <f>-'[1]PCR.3 (M3)'!AI6</f>
        <v>4196769.0699999994</v>
      </c>
      <c r="AO35" s="70">
        <f>-'[1]PCR.3 (M3)'!AJ6</f>
        <v>3126840.580000001</v>
      </c>
      <c r="AP35" s="70">
        <f>-'[1]PCR.3 (M3)'!AK6</f>
        <v>2431223.08</v>
      </c>
      <c r="AQ35" s="70">
        <f>-'[1]PCR.3 (M3)'!AL6</f>
        <v>2268707.2800000003</v>
      </c>
      <c r="AR35" s="70">
        <f>-'[1]PCR.3 (M3)'!AM6</f>
        <v>2883132.9099999997</v>
      </c>
      <c r="AS35" s="70">
        <f>-'[1]PCR.3 (M3)'!AN6</f>
        <v>3964874.7000000007</v>
      </c>
      <c r="AT35" s="70">
        <f>-'[1]PCR.3 (M3)'!AO6</f>
        <v>3778841.4499999993</v>
      </c>
      <c r="AU35" s="70">
        <f>-'[1]PCR.3 (M3)'!AP6</f>
        <v>3146752.9300000011</v>
      </c>
      <c r="AV35" s="70">
        <f>-'[1]PCR.3 (M3)'!AQ6</f>
        <v>2264494.1800000011</v>
      </c>
      <c r="AW35" s="85">
        <f>AW28*$AZ35+AW49</f>
        <v>2199980.8486091732</v>
      </c>
      <c r="AX35" s="86">
        <f t="shared" ref="AX35:AY35" si="63">AX28*$AZ35+AX49</f>
        <v>3161923.2087913509</v>
      </c>
      <c r="AY35" s="90">
        <f t="shared" si="63"/>
        <v>3908846.2054845998</v>
      </c>
      <c r="AZ35" s="80">
        <v>2.7989999999999998E-3</v>
      </c>
      <c r="BA35" s="32"/>
    </row>
    <row r="36" spans="1:53" x14ac:dyDescent="0.3">
      <c r="A36" s="32" t="str">
        <f>A29</f>
        <v>SGS</v>
      </c>
      <c r="B36" s="69">
        <v>0</v>
      </c>
      <c r="C36" s="70">
        <v>0</v>
      </c>
      <c r="D36" s="70">
        <v>0</v>
      </c>
      <c r="E36" s="70">
        <v>0</v>
      </c>
      <c r="F36" s="70">
        <v>0</v>
      </c>
      <c r="G36" s="70">
        <v>44896.13</v>
      </c>
      <c r="H36" s="70">
        <v>580328.65</v>
      </c>
      <c r="I36" s="70">
        <v>664135.86</v>
      </c>
      <c r="J36" s="70">
        <v>682667.24</v>
      </c>
      <c r="K36" s="70">
        <v>659188.43000000005</v>
      </c>
      <c r="L36" s="70">
        <v>593334.67000000004</v>
      </c>
      <c r="M36" s="70">
        <v>532142.30000000005</v>
      </c>
      <c r="N36" s="70">
        <v>625476.50000000012</v>
      </c>
      <c r="O36" s="70">
        <v>667032.46</v>
      </c>
      <c r="P36" s="70">
        <v>650318.64000000025</v>
      </c>
      <c r="Q36" s="70">
        <v>589395.70000000007</v>
      </c>
      <c r="R36" s="70">
        <v>452489.25000000012</v>
      </c>
      <c r="S36" s="70">
        <v>410293.00999999995</v>
      </c>
      <c r="T36" s="70">
        <v>515073.51000000007</v>
      </c>
      <c r="U36" s="70">
        <v>641353.99000000011</v>
      </c>
      <c r="V36" s="70">
        <v>625207.79</v>
      </c>
      <c r="W36" s="70">
        <v>598408.66</v>
      </c>
      <c r="X36" s="70">
        <v>485076.41000000003</v>
      </c>
      <c r="Y36" s="70">
        <v>484810.97</v>
      </c>
      <c r="Z36" s="70">
        <v>560043.37</v>
      </c>
      <c r="AA36" s="70">
        <v>668052.92000000004</v>
      </c>
      <c r="AB36" s="70">
        <v>850118.94</v>
      </c>
      <c r="AC36" s="70">
        <v>921710.26999999979</v>
      </c>
      <c r="AD36" s="70">
        <v>733127.93</v>
      </c>
      <c r="AE36" s="70">
        <v>716125.91000000027</v>
      </c>
      <c r="AF36" s="70">
        <v>854713.03</v>
      </c>
      <c r="AG36" s="70">
        <v>1012263.43</v>
      </c>
      <c r="AH36" s="70">
        <v>1012205.1899999997</v>
      </c>
      <c r="AI36" s="70">
        <v>1022703.67</v>
      </c>
      <c r="AJ36" s="70">
        <v>852955.02000000014</v>
      </c>
      <c r="AK36" s="70">
        <f>-'[1]PCR.3 (M3)'!AF7</f>
        <v>762775.54</v>
      </c>
      <c r="AL36" s="70">
        <f>-'[1]PCR.3 (M3)'!AG7</f>
        <v>868803.86000000022</v>
      </c>
      <c r="AM36" s="70">
        <f>-'[1]PCR.3 (M3)'!AH7</f>
        <v>1026220.3300000001</v>
      </c>
      <c r="AN36" s="70">
        <f>-'[1]PCR.3 (M3)'!AI7</f>
        <v>934878.45000000054</v>
      </c>
      <c r="AO36" s="70">
        <f>-'[1]PCR.3 (M3)'!AJ7</f>
        <v>621346.98999999987</v>
      </c>
      <c r="AP36" s="70">
        <f>-'[1]PCR.3 (M3)'!AK7</f>
        <v>549418.24999999988</v>
      </c>
      <c r="AQ36" s="70">
        <f>-'[1]PCR.3 (M3)'!AL7</f>
        <v>532588.47</v>
      </c>
      <c r="AR36" s="70">
        <f>-'[1]PCR.3 (M3)'!AM7</f>
        <v>619619.60999999987</v>
      </c>
      <c r="AS36" s="70">
        <f>-'[1]PCR.3 (M3)'!AN7</f>
        <v>742032.6799999997</v>
      </c>
      <c r="AT36" s="70">
        <f>-'[1]PCR.3 (M3)'!AO7</f>
        <v>726215.22999999975</v>
      </c>
      <c r="AU36" s="70">
        <f>-'[1]PCR.3 (M3)'!AP7</f>
        <v>665863.32999999973</v>
      </c>
      <c r="AV36" s="70">
        <f>-'[1]PCR.3 (M3)'!AQ7</f>
        <v>547486.95999999973</v>
      </c>
      <c r="AW36" s="85">
        <f>AW29*$AZ36</f>
        <v>509335.6861139572</v>
      </c>
      <c r="AX36" s="86">
        <f t="shared" ref="AW36:AY39" si="64">AX29*$AZ36</f>
        <v>616915.99028771266</v>
      </c>
      <c r="AY36" s="90">
        <f t="shared" si="64"/>
        <v>728169.17340049671</v>
      </c>
      <c r="AZ36" s="80">
        <v>2.3800000000000002E-3</v>
      </c>
      <c r="BA36" s="32"/>
    </row>
    <row r="37" spans="1:53" x14ac:dyDescent="0.3">
      <c r="A37" s="32" t="str">
        <f>A30</f>
        <v>LGS</v>
      </c>
      <c r="B37" s="69">
        <v>0</v>
      </c>
      <c r="C37" s="70">
        <v>0</v>
      </c>
      <c r="D37" s="70">
        <v>0</v>
      </c>
      <c r="E37" s="70">
        <v>0</v>
      </c>
      <c r="F37" s="70">
        <v>0</v>
      </c>
      <c r="G37" s="70">
        <v>87272.5</v>
      </c>
      <c r="H37" s="70">
        <v>1364606.7</v>
      </c>
      <c r="I37" s="70">
        <v>1475091.82</v>
      </c>
      <c r="J37" s="70">
        <v>1510112.96</v>
      </c>
      <c r="K37" s="70">
        <v>1524107.45</v>
      </c>
      <c r="L37" s="70">
        <v>1400188.8</v>
      </c>
      <c r="M37" s="70">
        <v>1236190.8299999998</v>
      </c>
      <c r="N37" s="70">
        <v>1340183.3500000001</v>
      </c>
      <c r="O37" s="70">
        <v>1386306.3800000001</v>
      </c>
      <c r="P37" s="70">
        <v>1341932.4499999995</v>
      </c>
      <c r="Q37" s="70">
        <v>1260285.4200000002</v>
      </c>
      <c r="R37" s="70">
        <v>1076944.29</v>
      </c>
      <c r="S37" s="70">
        <v>1004472.6400000001</v>
      </c>
      <c r="T37" s="70">
        <v>1190333.8399999999</v>
      </c>
      <c r="U37" s="70">
        <v>1389824.6600000001</v>
      </c>
      <c r="V37" s="70">
        <v>1384740.8900000004</v>
      </c>
      <c r="W37" s="70">
        <v>1378224.84</v>
      </c>
      <c r="X37" s="70">
        <v>1175985.6699999997</v>
      </c>
      <c r="Y37" s="70">
        <v>1145606</v>
      </c>
      <c r="Z37" s="70">
        <v>1231246.9999999998</v>
      </c>
      <c r="AA37" s="70">
        <v>1319566.6199999999</v>
      </c>
      <c r="AB37" s="70">
        <v>1620119.9200000002</v>
      </c>
      <c r="AC37" s="70">
        <v>1885329.1900000004</v>
      </c>
      <c r="AD37" s="70">
        <v>1677239.7999999996</v>
      </c>
      <c r="AE37" s="70">
        <v>1708432.7700000003</v>
      </c>
      <c r="AF37" s="70">
        <v>1897264.7500000002</v>
      </c>
      <c r="AG37" s="70">
        <v>2224559.94</v>
      </c>
      <c r="AH37" s="70">
        <v>2203336.77</v>
      </c>
      <c r="AI37" s="70">
        <v>2245698.7100000004</v>
      </c>
      <c r="AJ37" s="70">
        <v>1974018.7300000002</v>
      </c>
      <c r="AK37" s="70">
        <f>-'[1]PCR.3 (M3)'!AF8</f>
        <v>1753913.2399999998</v>
      </c>
      <c r="AL37" s="70">
        <f>-'[1]PCR.3 (M3)'!AG8</f>
        <v>1916970.44</v>
      </c>
      <c r="AM37" s="70">
        <f>-'[1]PCR.3 (M3)'!AH8</f>
        <v>2049473.14</v>
      </c>
      <c r="AN37" s="70">
        <f>-'[1]PCR.3 (M3)'!AI8</f>
        <v>1830623.0800000003</v>
      </c>
      <c r="AO37" s="70">
        <f>-'[1]PCR.3 (M3)'!AJ8</f>
        <v>1288681.0599999998</v>
      </c>
      <c r="AP37" s="70">
        <f>-'[1]PCR.3 (M3)'!AK8</f>
        <v>1201746.5399999998</v>
      </c>
      <c r="AQ37" s="70">
        <f>-'[1]PCR.3 (M3)'!AL8</f>
        <v>1241409.1100000001</v>
      </c>
      <c r="AR37" s="70">
        <f>-'[1]PCR.3 (M3)'!AM8</f>
        <v>1394006.3199999998</v>
      </c>
      <c r="AS37" s="70">
        <f>-'[1]PCR.3 (M3)'!AN8</f>
        <v>1563827.1800000002</v>
      </c>
      <c r="AT37" s="70">
        <f>-'[1]PCR.3 (M3)'!AO8</f>
        <v>1551482.7699999998</v>
      </c>
      <c r="AU37" s="70">
        <f>-'[1]PCR.3 (M3)'!AP8</f>
        <v>1484337.6899999995</v>
      </c>
      <c r="AV37" s="70">
        <f>-'[1]PCR.3 (M3)'!AQ8</f>
        <v>1275132.44</v>
      </c>
      <c r="AW37" s="85">
        <f>AW30*$AZ37</f>
        <v>1214169.3430026334</v>
      </c>
      <c r="AX37" s="86">
        <f t="shared" si="64"/>
        <v>1347665.1387229783</v>
      </c>
      <c r="AY37" s="90">
        <f t="shared" si="64"/>
        <v>1475165.7828210604</v>
      </c>
      <c r="AZ37" s="80">
        <v>2.405E-3</v>
      </c>
      <c r="BA37" s="32"/>
    </row>
    <row r="38" spans="1:53" x14ac:dyDescent="0.3">
      <c r="A38" s="32" t="str">
        <f>A31</f>
        <v>SPS</v>
      </c>
      <c r="B38" s="69">
        <v>0</v>
      </c>
      <c r="C38" s="70">
        <v>0</v>
      </c>
      <c r="D38" s="70">
        <v>0</v>
      </c>
      <c r="E38" s="70">
        <v>0</v>
      </c>
      <c r="F38" s="70">
        <v>0</v>
      </c>
      <c r="G38" s="70">
        <v>31340.22</v>
      </c>
      <c r="H38" s="70">
        <v>530881.18000000005</v>
      </c>
      <c r="I38" s="70">
        <v>601464.24</v>
      </c>
      <c r="J38" s="70">
        <v>631415.18999999994</v>
      </c>
      <c r="K38" s="70">
        <v>627574.68000000005</v>
      </c>
      <c r="L38" s="70">
        <v>581541.01</v>
      </c>
      <c r="M38" s="70">
        <v>537784.03</v>
      </c>
      <c r="N38" s="70">
        <v>541470.15999999992</v>
      </c>
      <c r="O38" s="70">
        <v>557029.80999999994</v>
      </c>
      <c r="P38" s="70">
        <v>574111.24000000011</v>
      </c>
      <c r="Q38" s="70">
        <v>506325.93000000017</v>
      </c>
      <c r="R38" s="70">
        <v>494693.01000000007</v>
      </c>
      <c r="S38" s="70">
        <v>465711.4599999999</v>
      </c>
      <c r="T38" s="70">
        <v>542380.22999999986</v>
      </c>
      <c r="U38" s="70">
        <v>570871.37000000011</v>
      </c>
      <c r="V38" s="70">
        <v>598366.41000000015</v>
      </c>
      <c r="W38" s="70">
        <v>598519.19000000006</v>
      </c>
      <c r="X38" s="70">
        <v>532005.64</v>
      </c>
      <c r="Y38" s="70">
        <v>528237.05000000005</v>
      </c>
      <c r="Z38" s="70">
        <v>552713.16999999993</v>
      </c>
      <c r="AA38" s="70">
        <v>542689.47999999986</v>
      </c>
      <c r="AB38" s="70">
        <v>689883.81</v>
      </c>
      <c r="AC38" s="70">
        <v>744416.25999999989</v>
      </c>
      <c r="AD38" s="70">
        <v>742809.61</v>
      </c>
      <c r="AE38" s="70">
        <v>767210.2200000002</v>
      </c>
      <c r="AF38" s="70">
        <v>743628.47</v>
      </c>
      <c r="AG38" s="70">
        <v>990985.02999999968</v>
      </c>
      <c r="AH38" s="70">
        <v>909853.00999999989</v>
      </c>
      <c r="AI38" s="70">
        <v>921401.66000000027</v>
      </c>
      <c r="AJ38" s="70">
        <v>795617.01</v>
      </c>
      <c r="AK38" s="70">
        <f>-'[1]PCR.3 (M3)'!AF9</f>
        <v>694011.96</v>
      </c>
      <c r="AL38" s="70">
        <f>-'[1]PCR.3 (M3)'!AG9</f>
        <v>912230.87999999989</v>
      </c>
      <c r="AM38" s="70">
        <f>-'[1]PCR.3 (M3)'!AH9</f>
        <v>880957.4499999996</v>
      </c>
      <c r="AN38" s="70">
        <f>-'[1]PCR.3 (M3)'!AI9</f>
        <v>748810.13000000012</v>
      </c>
      <c r="AO38" s="70">
        <f>-'[1]PCR.3 (M3)'!AJ9</f>
        <v>555970.34</v>
      </c>
      <c r="AP38" s="70">
        <f>-'[1]PCR.3 (M3)'!AK9</f>
        <v>508143.06999999995</v>
      </c>
      <c r="AQ38" s="70">
        <f>-'[1]PCR.3 (M3)'!AL9</f>
        <v>564316.22000000009</v>
      </c>
      <c r="AR38" s="70">
        <f>-'[1]PCR.3 (M3)'!AM9</f>
        <v>643193.48</v>
      </c>
      <c r="AS38" s="70">
        <f>-'[1]PCR.3 (M3)'!AN9</f>
        <v>667957.50999999978</v>
      </c>
      <c r="AT38" s="70">
        <f>-'[1]PCR.3 (M3)'!AO9</f>
        <v>662599.42000000051</v>
      </c>
      <c r="AU38" s="70">
        <f>-'[1]PCR.3 (M3)'!AP9</f>
        <v>645137.72999999963</v>
      </c>
      <c r="AV38" s="70">
        <f>-'[1]PCR.3 (M3)'!AQ9</f>
        <v>572258.87999999977</v>
      </c>
      <c r="AW38" s="85">
        <f>AW31*$AZ38</f>
        <v>557172.44018639275</v>
      </c>
      <c r="AX38" s="86">
        <f t="shared" si="64"/>
        <v>580641.62736889767</v>
      </c>
      <c r="AY38" s="90">
        <f t="shared" si="64"/>
        <v>603170.55508345738</v>
      </c>
      <c r="AZ38" s="80">
        <v>2.4970000000000001E-3</v>
      </c>
      <c r="BA38" s="32"/>
    </row>
    <row r="39" spans="1:53" x14ac:dyDescent="0.3">
      <c r="A39" s="32" t="str">
        <f>A32</f>
        <v>LPS</v>
      </c>
      <c r="B39" s="69">
        <v>0</v>
      </c>
      <c r="C39" s="70">
        <v>0</v>
      </c>
      <c r="D39" s="70">
        <v>0</v>
      </c>
      <c r="E39" s="70">
        <v>0</v>
      </c>
      <c r="F39" s="70">
        <v>0</v>
      </c>
      <c r="G39" s="70">
        <v>0</v>
      </c>
      <c r="H39" s="70">
        <v>161719.88</v>
      </c>
      <c r="I39" s="70">
        <v>254189.3</v>
      </c>
      <c r="J39" s="70">
        <v>281465.65999999997</v>
      </c>
      <c r="K39" s="70">
        <v>285245.49</v>
      </c>
      <c r="L39" s="70">
        <v>269083.57</v>
      </c>
      <c r="M39" s="70">
        <v>238965.13999999998</v>
      </c>
      <c r="N39" s="70">
        <v>224850.72999999998</v>
      </c>
      <c r="O39" s="70">
        <v>237956.31</v>
      </c>
      <c r="P39" s="70">
        <v>251565.01000000004</v>
      </c>
      <c r="Q39" s="70">
        <v>189097.33</v>
      </c>
      <c r="R39" s="70">
        <v>213113.47</v>
      </c>
      <c r="S39" s="70">
        <v>216373.66000000003</v>
      </c>
      <c r="T39" s="70">
        <v>116492.81999999998</v>
      </c>
      <c r="U39" s="70">
        <v>243226.06999999998</v>
      </c>
      <c r="V39" s="70">
        <v>250527.38000000003</v>
      </c>
      <c r="W39" s="70">
        <v>254092.40000000002</v>
      </c>
      <c r="X39" s="70">
        <v>223814.44</v>
      </c>
      <c r="Y39" s="70">
        <v>219520.64000000001</v>
      </c>
      <c r="Z39" s="70">
        <v>224167.32000000004</v>
      </c>
      <c r="AA39" s="70">
        <v>205011.66999999995</v>
      </c>
      <c r="AB39" s="70">
        <v>303400.70000000007</v>
      </c>
      <c r="AC39" s="70">
        <v>185126.5</v>
      </c>
      <c r="AD39" s="70">
        <v>316940.88999999996</v>
      </c>
      <c r="AE39" s="70">
        <v>321997.71999999997</v>
      </c>
      <c r="AF39" s="70">
        <v>310765.08999999997</v>
      </c>
      <c r="AG39" s="70">
        <v>396595.14</v>
      </c>
      <c r="AH39" s="70">
        <v>377542.32</v>
      </c>
      <c r="AI39" s="70">
        <v>408237.68999999994</v>
      </c>
      <c r="AJ39" s="70">
        <v>374178.91</v>
      </c>
      <c r="AK39" s="70">
        <f>-'[1]PCR.3 (M3)'!AF10</f>
        <v>248411.44000000003</v>
      </c>
      <c r="AL39" s="70">
        <f>-'[1]PCR.3 (M3)'!AG10</f>
        <v>348292.93999999994</v>
      </c>
      <c r="AM39" s="70">
        <f>-'[1]PCR.3 (M3)'!AH10</f>
        <v>324530.38000000006</v>
      </c>
      <c r="AN39" s="70">
        <f>-'[1]PCR.3 (M3)'!AI10</f>
        <v>298549.52000000008</v>
      </c>
      <c r="AO39" s="70">
        <f>-'[1]PCR.3 (M3)'!AJ10</f>
        <v>198760.71999999997</v>
      </c>
      <c r="AP39" s="70">
        <f>-'[1]PCR.3 (M3)'!AK10</f>
        <v>-43186.020000000011</v>
      </c>
      <c r="AQ39" s="70">
        <f>-'[1]PCR.3 (M3)'!AL10</f>
        <v>173024.77</v>
      </c>
      <c r="AR39" s="70">
        <f>-'[1]PCR.3 (M3)'!AM10</f>
        <v>210919.00000000003</v>
      </c>
      <c r="AS39" s="70">
        <f>-'[1]PCR.3 (M3)'!AN10</f>
        <v>241974.49000000005</v>
      </c>
      <c r="AT39" s="70">
        <f>-'[1]PCR.3 (M3)'!AO10</f>
        <v>239258.22999999998</v>
      </c>
      <c r="AU39" s="70">
        <f>-'[1]PCR.3 (M3)'!AP10</f>
        <v>249431.44999999998</v>
      </c>
      <c r="AV39" s="70">
        <f>-'[1]PCR.3 (M3)'!AQ10</f>
        <v>214284.72999999998</v>
      </c>
      <c r="AW39" s="85">
        <f t="shared" si="64"/>
        <v>207793.9400868754</v>
      </c>
      <c r="AX39" s="86">
        <f t="shared" si="64"/>
        <v>203607.64117032118</v>
      </c>
      <c r="AY39" s="90">
        <f t="shared" si="64"/>
        <v>214523.16258585593</v>
      </c>
      <c r="AZ39" s="80">
        <v>2.4250000000000001E-3</v>
      </c>
      <c r="BA39" s="32"/>
    </row>
    <row r="40" spans="1:53" x14ac:dyDescent="0.3">
      <c r="A40" s="32"/>
      <c r="B40" s="75"/>
      <c r="C40" s="83"/>
      <c r="D40" s="74"/>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73"/>
      <c r="AX40" s="74"/>
      <c r="AY40" s="77"/>
    </row>
    <row r="41" spans="1:53" x14ac:dyDescent="0.3">
      <c r="A41" s="32" t="s">
        <v>101</v>
      </c>
      <c r="B41" s="179"/>
      <c r="C41" s="176"/>
      <c r="D41" s="78"/>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3"/>
      <c r="AX41" s="74"/>
      <c r="AY41" s="77"/>
    </row>
    <row r="42" spans="1:53" x14ac:dyDescent="0.3">
      <c r="A42" s="139" t="s">
        <v>0</v>
      </c>
      <c r="B42" s="85">
        <v>0</v>
      </c>
      <c r="C42" s="89">
        <v>0</v>
      </c>
      <c r="D42" s="89">
        <v>0</v>
      </c>
      <c r="E42" s="89">
        <v>0</v>
      </c>
      <c r="F42" s="89">
        <v>0</v>
      </c>
      <c r="G42" s="331">
        <f>+(G35-G49)+((G49*G28)/SUM(G28:G32))</f>
        <v>295190.29272840382</v>
      </c>
      <c r="H42" s="332">
        <f t="shared" ref="H42:AY42" si="65">+(H35-H49)+((H49*H28)/SUM(H28:H32))</f>
        <v>3552699.5318844966</v>
      </c>
      <c r="I42" s="332">
        <f t="shared" si="65"/>
        <v>4511557.9920460368</v>
      </c>
      <c r="J42" s="332">
        <f t="shared" si="65"/>
        <v>4752169.391264746</v>
      </c>
      <c r="K42" s="332">
        <f t="shared" si="65"/>
        <v>4385755.915380205</v>
      </c>
      <c r="L42" s="332">
        <f t="shared" si="65"/>
        <v>3608736.1637318414</v>
      </c>
      <c r="M42" s="332">
        <f t="shared" si="65"/>
        <v>3249217.8039525403</v>
      </c>
      <c r="N42" s="332">
        <f t="shared" si="65"/>
        <v>4365101.4239690602</v>
      </c>
      <c r="O42" s="332">
        <f t="shared" si="65"/>
        <v>4817947.5181314042</v>
      </c>
      <c r="P42" s="332">
        <f t="shared" si="65"/>
        <v>4037755.3187402813</v>
      </c>
      <c r="Q42" s="332">
        <f t="shared" si="65"/>
        <v>2766381.3542498057</v>
      </c>
      <c r="R42" s="332">
        <f t="shared" si="65"/>
        <v>2182061.1349407672</v>
      </c>
      <c r="S42" s="332">
        <f t="shared" si="65"/>
        <v>1947794.0253990863</v>
      </c>
      <c r="T42" s="332">
        <f t="shared" si="65"/>
        <v>2569677.5347159621</v>
      </c>
      <c r="U42" s="332">
        <f t="shared" si="65"/>
        <v>3446714.3021454345</v>
      </c>
      <c r="V42" s="332">
        <f t="shared" si="65"/>
        <v>3236176.0008376292</v>
      </c>
      <c r="W42" s="332">
        <f t="shared" si="65"/>
        <v>2917509.1145182573</v>
      </c>
      <c r="X42" s="332">
        <f t="shared" si="65"/>
        <v>1978915.9305705254</v>
      </c>
      <c r="Y42" s="332">
        <f t="shared" ref="Y42:AJ42" si="66">+(Y35-Y49)+((Y49*Y28)/SUM(Y28:Y32))</f>
        <v>2113376.7766210893</v>
      </c>
      <c r="Z42" s="332">
        <f t="shared" si="66"/>
        <v>2799419.0124047049</v>
      </c>
      <c r="AA42" s="332">
        <f t="shared" si="66"/>
        <v>3638582.2041266421</v>
      </c>
      <c r="AB42" s="332">
        <f t="shared" si="66"/>
        <v>4188280.4407876167</v>
      </c>
      <c r="AC42" s="332">
        <f>+(AC35-AC49)+((AC49*AC28)/SUM(AC28:AC32))</f>
        <v>3746186.3602847797</v>
      </c>
      <c r="AD42" s="332">
        <f t="shared" si="66"/>
        <v>2531950.0374125694</v>
      </c>
      <c r="AE42" s="332">
        <f t="shared" si="66"/>
        <v>2377242.185220371</v>
      </c>
      <c r="AF42" s="332">
        <f t="shared" si="66"/>
        <v>3106037.073453139</v>
      </c>
      <c r="AG42" s="332">
        <f t="shared" si="66"/>
        <v>4100239.4010978914</v>
      </c>
      <c r="AH42" s="332">
        <f t="shared" si="66"/>
        <v>4181756.5098692053</v>
      </c>
      <c r="AI42" s="332">
        <f t="shared" si="66"/>
        <v>4109417.3819856942</v>
      </c>
      <c r="AJ42" s="332">
        <f t="shared" si="66"/>
        <v>2851199.2364281914</v>
      </c>
      <c r="AK42" s="332">
        <f t="shared" ref="AK42:AV42" si="67">+(AK35-AK49)+((AK49*AK28)/SUM(AK28:AK32))</f>
        <v>2683448.3607468507</v>
      </c>
      <c r="AL42" s="332">
        <f t="shared" si="67"/>
        <v>3363718.8098497805</v>
      </c>
      <c r="AM42" s="332">
        <f t="shared" si="67"/>
        <v>4342806.7610758794</v>
      </c>
      <c r="AN42" s="332">
        <f t="shared" si="67"/>
        <v>4293408.4530259445</v>
      </c>
      <c r="AO42" s="332">
        <f t="shared" si="67"/>
        <v>3199280.4123271694</v>
      </c>
      <c r="AP42" s="332">
        <f t="shared" si="67"/>
        <v>2488210.2991036703</v>
      </c>
      <c r="AQ42" s="332">
        <f t="shared" si="67"/>
        <v>2311144.91238232</v>
      </c>
      <c r="AR42" s="332">
        <f t="shared" si="67"/>
        <v>2928037.291051616</v>
      </c>
      <c r="AS42" s="332">
        <f t="shared" si="67"/>
        <v>4020077.2913475139</v>
      </c>
      <c r="AT42" s="332">
        <f t="shared" si="67"/>
        <v>3834642.0359398089</v>
      </c>
      <c r="AU42" s="332">
        <f t="shared" si="67"/>
        <v>3198890.4102754379</v>
      </c>
      <c r="AV42" s="332">
        <f t="shared" si="67"/>
        <v>2308876.3346959753</v>
      </c>
      <c r="AW42" s="333">
        <f>+(AW35-AW49)+((AW49*AW28)/SUM(AW28:AW32))</f>
        <v>2258740.5486392193</v>
      </c>
      <c r="AX42" s="332">
        <f>+(AX35-AX49)+((AX49*AX28)/SUM(AX28:AX32))</f>
        <v>3236426.2458127514</v>
      </c>
      <c r="AY42" s="334">
        <f t="shared" si="65"/>
        <v>3995461.7227636864</v>
      </c>
    </row>
    <row r="43" spans="1:53" x14ac:dyDescent="0.3">
      <c r="A43" s="139" t="s">
        <v>4</v>
      </c>
      <c r="B43" s="85">
        <v>0</v>
      </c>
      <c r="C43" s="89">
        <v>0</v>
      </c>
      <c r="D43" s="89">
        <v>0</v>
      </c>
      <c r="E43" s="89">
        <v>0</v>
      </c>
      <c r="F43" s="89">
        <v>0</v>
      </c>
      <c r="G43" s="332">
        <f>+G36+((G49*G29)/SUM(G28:G32))</f>
        <v>43744.936314661529</v>
      </c>
      <c r="H43" s="332">
        <f t="shared" ref="H43:AY43" si="68">+H36+((H49*H29)/SUM(H28:H32))</f>
        <v>568210.3259432381</v>
      </c>
      <c r="I43" s="332">
        <f t="shared" si="68"/>
        <v>649394.87848520535</v>
      </c>
      <c r="J43" s="332">
        <f t="shared" si="68"/>
        <v>667221.48350762157</v>
      </c>
      <c r="K43" s="332">
        <f t="shared" si="68"/>
        <v>645056.16512833338</v>
      </c>
      <c r="L43" s="332">
        <f t="shared" si="68"/>
        <v>580979.18053690717</v>
      </c>
      <c r="M43" s="332">
        <f t="shared" si="68"/>
        <v>518603.45772564446</v>
      </c>
      <c r="N43" s="332">
        <f t="shared" si="68"/>
        <v>607130.67517554737</v>
      </c>
      <c r="O43" s="332">
        <f t="shared" si="68"/>
        <v>646898.64085176506</v>
      </c>
      <c r="P43" s="332">
        <f t="shared" si="68"/>
        <v>632937.98568725004</v>
      </c>
      <c r="Q43" s="332">
        <f t="shared" si="68"/>
        <v>577188.02639772661</v>
      </c>
      <c r="R43" s="332">
        <f t="shared" si="68"/>
        <v>444351.47591697657</v>
      </c>
      <c r="S43" s="332">
        <f t="shared" si="68"/>
        <v>403651.36740700871</v>
      </c>
      <c r="T43" s="332">
        <f t="shared" si="68"/>
        <v>507453.67792005418</v>
      </c>
      <c r="U43" s="332">
        <f t="shared" si="68"/>
        <v>631548.81824402686</v>
      </c>
      <c r="V43" s="332">
        <f t="shared" si="68"/>
        <v>616095.12624848227</v>
      </c>
      <c r="W43" s="332">
        <f t="shared" si="68"/>
        <v>590269.42049498891</v>
      </c>
      <c r="X43" s="332">
        <f t="shared" si="68"/>
        <v>478409.08895352518</v>
      </c>
      <c r="Y43" s="332">
        <f t="shared" ref="Y43:AJ43" si="69">+Y36+((Y49*Y29)/SUM(Y28:Y32))</f>
        <v>477082.16103666276</v>
      </c>
      <c r="Z43" s="332">
        <f t="shared" si="69"/>
        <v>549671.45973651181</v>
      </c>
      <c r="AA43" s="332">
        <f t="shared" si="69"/>
        <v>653967.36396833474</v>
      </c>
      <c r="AB43" s="332">
        <f t="shared" si="69"/>
        <v>833702.62375657912</v>
      </c>
      <c r="AC43" s="332">
        <f t="shared" si="69"/>
        <v>905876.48727640067</v>
      </c>
      <c r="AD43" s="332">
        <f t="shared" si="69"/>
        <v>722774.80495919404</v>
      </c>
      <c r="AE43" s="332">
        <f t="shared" si="69"/>
        <v>707147.5737319215</v>
      </c>
      <c r="AF43" s="332">
        <f t="shared" si="69"/>
        <v>844403.71362476144</v>
      </c>
      <c r="AG43" s="332">
        <f t="shared" si="69"/>
        <v>999512.55829510279</v>
      </c>
      <c r="AH43" s="332">
        <f t="shared" si="69"/>
        <v>999185.26509286207</v>
      </c>
      <c r="AI43" s="332">
        <f t="shared" si="69"/>
        <v>1009673.0035464154</v>
      </c>
      <c r="AJ43" s="332">
        <f t="shared" si="69"/>
        <v>843131.50214970764</v>
      </c>
      <c r="AK43" s="332">
        <f t="shared" ref="AK43:AV43" si="70">+AK36+((AK49*AK29)/SUM(AK28:AK32))</f>
        <v>750689.34266088088</v>
      </c>
      <c r="AL43" s="332">
        <f>+AL36+((AL49*AL29)/SUM(AL28:AL32))</f>
        <v>852908.37451644777</v>
      </c>
      <c r="AM43" s="332">
        <f t="shared" si="70"/>
        <v>1004281.1109445925</v>
      </c>
      <c r="AN43" s="332">
        <f t="shared" si="70"/>
        <v>910730.1053929982</v>
      </c>
      <c r="AO43" s="332">
        <f t="shared" si="70"/>
        <v>604104.06474610639</v>
      </c>
      <c r="AP43" s="332">
        <f t="shared" si="70"/>
        <v>536885.62850437476</v>
      </c>
      <c r="AQ43" s="332">
        <f t="shared" si="70"/>
        <v>523424.76547348726</v>
      </c>
      <c r="AR43" s="332">
        <f t="shared" si="70"/>
        <v>609688.04206849181</v>
      </c>
      <c r="AS43" s="332">
        <f t="shared" si="70"/>
        <v>729073.00179109175</v>
      </c>
      <c r="AT43" s="332">
        <f t="shared" si="70"/>
        <v>713318.35511125741</v>
      </c>
      <c r="AU43" s="332">
        <f t="shared" si="70"/>
        <v>654266.79890100413</v>
      </c>
      <c r="AV43" s="332">
        <f t="shared" si="70"/>
        <v>538011.05846714834</v>
      </c>
      <c r="AW43" s="333">
        <f>+AW36+((AW49*AW29)/SUM(AW28:AW32))</f>
        <v>497099.46651584201</v>
      </c>
      <c r="AX43" s="332">
        <f t="shared" si="68"/>
        <v>599917.1385275278</v>
      </c>
      <c r="AY43" s="334">
        <f t="shared" si="68"/>
        <v>706957.87851556437</v>
      </c>
    </row>
    <row r="44" spans="1:53" x14ac:dyDescent="0.3">
      <c r="A44" s="139" t="s">
        <v>5</v>
      </c>
      <c r="B44" s="85">
        <v>0</v>
      </c>
      <c r="C44" s="89">
        <v>0</v>
      </c>
      <c r="D44" s="89">
        <v>0</v>
      </c>
      <c r="E44" s="89">
        <v>0</v>
      </c>
      <c r="F44" s="89">
        <v>0</v>
      </c>
      <c r="G44" s="332">
        <f>+G37+((G49*G30)/SUM(G28:G32))</f>
        <v>84423.874146928167</v>
      </c>
      <c r="H44" s="332">
        <f t="shared" ref="H44:AY44" si="71">+H37+((H49*H30)/SUM(H28:H32))</f>
        <v>1336054.6409270847</v>
      </c>
      <c r="I44" s="332">
        <f t="shared" si="71"/>
        <v>1442379.3899051975</v>
      </c>
      <c r="J44" s="332">
        <f t="shared" si="71"/>
        <v>1475995.2175591744</v>
      </c>
      <c r="K44" s="332">
        <f t="shared" si="71"/>
        <v>1491456.1354549835</v>
      </c>
      <c r="L44" s="332">
        <f t="shared" si="71"/>
        <v>1371133.8380925541</v>
      </c>
      <c r="M44" s="332">
        <f t="shared" si="71"/>
        <v>1204813.6041378318</v>
      </c>
      <c r="N44" s="332">
        <f t="shared" si="71"/>
        <v>1300904.3861555418</v>
      </c>
      <c r="O44" s="332">
        <f t="shared" si="71"/>
        <v>1344491.9372732197</v>
      </c>
      <c r="P44" s="332">
        <f t="shared" si="71"/>
        <v>1306116.2213177041</v>
      </c>
      <c r="Q44" s="332">
        <f t="shared" si="71"/>
        <v>1234187.4444455279</v>
      </c>
      <c r="R44" s="332">
        <f t="shared" si="71"/>
        <v>1057598.132676661</v>
      </c>
      <c r="S44" s="332">
        <f t="shared" si="71"/>
        <v>988209.26458995673</v>
      </c>
      <c r="T44" s="332">
        <f t="shared" si="71"/>
        <v>1172717.502653836</v>
      </c>
      <c r="U44" s="332">
        <f t="shared" si="71"/>
        <v>1368599.3305217391</v>
      </c>
      <c r="V44" s="332">
        <f t="shared" si="71"/>
        <v>1364601.432792651</v>
      </c>
      <c r="W44" s="332">
        <f t="shared" si="71"/>
        <v>1359498.7571962452</v>
      </c>
      <c r="X44" s="332">
        <f t="shared" si="71"/>
        <v>1159839.3226495082</v>
      </c>
      <c r="Y44" s="332">
        <f t="shared" ref="Y44:AJ44" si="72">+Y37+((Y49*Y30)/SUM(Y28:Y32))</f>
        <v>1127365.8182133259</v>
      </c>
      <c r="Z44" s="332">
        <f t="shared" si="72"/>
        <v>1208470.8845104931</v>
      </c>
      <c r="AA44" s="332">
        <f t="shared" si="72"/>
        <v>1291771.9169668022</v>
      </c>
      <c r="AB44" s="332">
        <f t="shared" si="72"/>
        <v>1588446.8629697617</v>
      </c>
      <c r="AC44" s="332">
        <f t="shared" si="72"/>
        <v>1852890.5052491783</v>
      </c>
      <c r="AD44" s="332">
        <f t="shared" si="72"/>
        <v>1653538.8817990015</v>
      </c>
      <c r="AE44" s="332">
        <f t="shared" si="72"/>
        <v>1686971.6576370855</v>
      </c>
      <c r="AF44" s="332">
        <f t="shared" si="72"/>
        <v>1874400.1860548265</v>
      </c>
      <c r="AG44" s="332">
        <f t="shared" si="72"/>
        <v>2196541.1930375779</v>
      </c>
      <c r="AH44" s="332">
        <f t="shared" si="72"/>
        <v>2174975.8800486908</v>
      </c>
      <c r="AI44" s="332">
        <f t="shared" si="72"/>
        <v>2217058.0778888692</v>
      </c>
      <c r="AJ44" s="332">
        <f t="shared" si="72"/>
        <v>1951263.8378506319</v>
      </c>
      <c r="AK44" s="332">
        <f t="shared" ref="AK44:AV44" si="73">+AK37+((AK49*AK30)/SUM(AK28:AK32))</f>
        <v>1726103.5393177646</v>
      </c>
      <c r="AL44" s="332">
        <f t="shared" si="73"/>
        <v>1881929.1958311605</v>
      </c>
      <c r="AM44" s="332">
        <f t="shared" si="73"/>
        <v>2005592.2770200991</v>
      </c>
      <c r="AN44" s="332">
        <f t="shared" si="73"/>
        <v>1783921.6723531524</v>
      </c>
      <c r="AO44" s="332">
        <f t="shared" si="73"/>
        <v>1253405.6677993066</v>
      </c>
      <c r="AP44" s="332">
        <f t="shared" si="73"/>
        <v>1174263.1855678495</v>
      </c>
      <c r="AQ44" s="332">
        <f t="shared" si="73"/>
        <v>1220299.5843403901</v>
      </c>
      <c r="AR44" s="332">
        <f t="shared" si="73"/>
        <v>1371912.2807565846</v>
      </c>
      <c r="AS44" s="332">
        <f t="shared" si="73"/>
        <v>1536824.3836298459</v>
      </c>
      <c r="AT44" s="332">
        <f t="shared" si="73"/>
        <v>1524235.3454259974</v>
      </c>
      <c r="AU44" s="332">
        <f t="shared" si="73"/>
        <v>1458758.2030910118</v>
      </c>
      <c r="AV44" s="332">
        <f t="shared" si="73"/>
        <v>1253300.700617902</v>
      </c>
      <c r="AW44" s="333">
        <f>+AW37+((AW49*AW30)/SUM(AW28:AW32))</f>
        <v>1185303.4966135006</v>
      </c>
      <c r="AX44" s="332">
        <f t="shared" si="71"/>
        <v>1310916.8237579386</v>
      </c>
      <c r="AY44" s="334">
        <f t="shared" si="71"/>
        <v>1432641.4411632132</v>
      </c>
    </row>
    <row r="45" spans="1:53" x14ac:dyDescent="0.3">
      <c r="A45" s="139" t="s">
        <v>6</v>
      </c>
      <c r="B45" s="85">
        <v>0</v>
      </c>
      <c r="C45" s="89">
        <v>0</v>
      </c>
      <c r="D45" s="89">
        <v>0</v>
      </c>
      <c r="E45" s="89">
        <v>0</v>
      </c>
      <c r="F45" s="89">
        <v>0</v>
      </c>
      <c r="G45" s="332">
        <f>+G38+((G49*G31)/SUM(G28:G32))</f>
        <v>30150.344945276724</v>
      </c>
      <c r="H45" s="332">
        <f t="shared" ref="H45:AY45" si="74">+H38+((H49*H31)/SUM(H28:H32))</f>
        <v>518406.27084999112</v>
      </c>
      <c r="I45" s="332">
        <f t="shared" si="74"/>
        <v>588132.77330640203</v>
      </c>
      <c r="J45" s="332">
        <f t="shared" si="74"/>
        <v>617146.09507294628</v>
      </c>
      <c r="K45" s="332">
        <f t="shared" si="74"/>
        <v>614128.31923707656</v>
      </c>
      <c r="L45" s="332">
        <f t="shared" si="74"/>
        <v>569462.22565281927</v>
      </c>
      <c r="M45" s="332">
        <f t="shared" si="74"/>
        <v>524120.20581370714</v>
      </c>
      <c r="N45" s="332">
        <f t="shared" si="74"/>
        <v>525597.05628799344</v>
      </c>
      <c r="O45" s="332">
        <f t="shared" si="74"/>
        <v>540227.51234625489</v>
      </c>
      <c r="P45" s="332">
        <f t="shared" si="74"/>
        <v>558852.24520919961</v>
      </c>
      <c r="Q45" s="332">
        <f t="shared" si="74"/>
        <v>495957.75427404162</v>
      </c>
      <c r="R45" s="332">
        <f t="shared" si="74"/>
        <v>485897.24747779005</v>
      </c>
      <c r="S45" s="332">
        <f t="shared" si="74"/>
        <v>458259.74601619825</v>
      </c>
      <c r="T45" s="332">
        <f t="shared" si="74"/>
        <v>534433.02829693747</v>
      </c>
      <c r="U45" s="332">
        <f t="shared" si="74"/>
        <v>562242.17026648542</v>
      </c>
      <c r="V45" s="332">
        <f t="shared" si="74"/>
        <v>589750.22844619595</v>
      </c>
      <c r="W45" s="332">
        <f t="shared" si="74"/>
        <v>590470.20812279847</v>
      </c>
      <c r="X45" s="332">
        <f t="shared" si="74"/>
        <v>524774.24909668393</v>
      </c>
      <c r="Y45" s="332">
        <f t="shared" ref="Y45:AJ45" si="75">+Y38+((Y49*Y31)/SUM(Y28:Y32))</f>
        <v>519912.55027813651</v>
      </c>
      <c r="Z45" s="332">
        <f t="shared" si="75"/>
        <v>542593.41595449299</v>
      </c>
      <c r="AA45" s="332">
        <f t="shared" si="75"/>
        <v>531375.93559382239</v>
      </c>
      <c r="AB45" s="332">
        <f t="shared" si="75"/>
        <v>676137.05244962359</v>
      </c>
      <c r="AC45" s="332">
        <f t="shared" si="75"/>
        <v>731515.32134719973</v>
      </c>
      <c r="AD45" s="332">
        <f t="shared" si="75"/>
        <v>732274.60133437149</v>
      </c>
      <c r="AE45" s="332">
        <f t="shared" si="75"/>
        <v>757552.38398482255</v>
      </c>
      <c r="AF45" s="332">
        <f t="shared" si="75"/>
        <v>734570.39593660552</v>
      </c>
      <c r="AG45" s="332">
        <f t="shared" si="75"/>
        <v>978463.04079311609</v>
      </c>
      <c r="AH45" s="332">
        <f t="shared" si="75"/>
        <v>898097.42021942383</v>
      </c>
      <c r="AI45" s="332">
        <f t="shared" si="75"/>
        <v>909606.86116796674</v>
      </c>
      <c r="AJ45" s="332">
        <f t="shared" si="75"/>
        <v>786411.41386717884</v>
      </c>
      <c r="AK45" s="332">
        <f t="shared" ref="AK45:AV45" si="76">+AK38+((AK49*AK31)/SUM(AK28:AK32))</f>
        <v>682966.46419695206</v>
      </c>
      <c r="AL45" s="332">
        <f t="shared" si="76"/>
        <v>895493.14151450468</v>
      </c>
      <c r="AM45" s="332">
        <f t="shared" si="76"/>
        <v>862037.42355302314</v>
      </c>
      <c r="AN45" s="332">
        <f t="shared" si="76"/>
        <v>729832.30625868088</v>
      </c>
      <c r="AO45" s="332">
        <f t="shared" si="76"/>
        <v>541399.67505585728</v>
      </c>
      <c r="AP45" s="332">
        <f t="shared" si="76"/>
        <v>495823.82574038097</v>
      </c>
      <c r="AQ45" s="332">
        <f t="shared" si="76"/>
        <v>555070.73645452468</v>
      </c>
      <c r="AR45" s="332">
        <f t="shared" si="76"/>
        <v>633628.25528487435</v>
      </c>
      <c r="AS45" s="332">
        <f t="shared" si="76"/>
        <v>656857.77339455311</v>
      </c>
      <c r="AT45" s="332">
        <f t="shared" si="76"/>
        <v>651110.35421543871</v>
      </c>
      <c r="AU45" s="332">
        <f t="shared" si="76"/>
        <v>634437.34210171364</v>
      </c>
      <c r="AV45" s="332">
        <f t="shared" si="76"/>
        <v>562822.69418418827</v>
      </c>
      <c r="AW45" s="333">
        <f>+AW38+((AW49*AW31)/SUM(AW28:AW32))</f>
        <v>544414.18754202779</v>
      </c>
      <c r="AX45" s="332">
        <f t="shared" si="74"/>
        <v>565391.96802726015</v>
      </c>
      <c r="AY45" s="334">
        <f t="shared" si="74"/>
        <v>586423.69316579902</v>
      </c>
    </row>
    <row r="46" spans="1:53" x14ac:dyDescent="0.3">
      <c r="A46" s="139" t="s">
        <v>7</v>
      </c>
      <c r="B46" s="85">
        <v>0</v>
      </c>
      <c r="C46" s="89">
        <v>0</v>
      </c>
      <c r="D46" s="89">
        <v>0</v>
      </c>
      <c r="E46" s="89">
        <v>0</v>
      </c>
      <c r="F46" s="89">
        <v>0</v>
      </c>
      <c r="G46" s="332">
        <f>+G39+((G49*G32)/SUM(G28:G32))</f>
        <v>-500.81813527018198</v>
      </c>
      <c r="H46" s="332">
        <f t="shared" ref="H46:AY46" si="77">+H39+((H49*H32)/SUM(H28:H32))</f>
        <v>156028.00039518921</v>
      </c>
      <c r="I46" s="332">
        <f t="shared" si="77"/>
        <v>248555.19625715772</v>
      </c>
      <c r="J46" s="332">
        <f t="shared" si="77"/>
        <v>275104.93259551213</v>
      </c>
      <c r="K46" s="332">
        <f t="shared" si="77"/>
        <v>279134.0147994014</v>
      </c>
      <c r="L46" s="332">
        <f t="shared" si="77"/>
        <v>263494.62198587839</v>
      </c>
      <c r="M46" s="332">
        <f t="shared" si="77"/>
        <v>232893.59837027569</v>
      </c>
      <c r="N46" s="332">
        <f t="shared" si="77"/>
        <v>218260.65841185823</v>
      </c>
      <c r="O46" s="332">
        <f t="shared" si="77"/>
        <v>230778.54139735646</v>
      </c>
      <c r="P46" s="332">
        <f t="shared" si="77"/>
        <v>244921.64904556473</v>
      </c>
      <c r="Q46" s="332">
        <f t="shared" si="77"/>
        <v>185104.31063289865</v>
      </c>
      <c r="R46" s="332">
        <f t="shared" si="77"/>
        <v>209430.69898780569</v>
      </c>
      <c r="S46" s="332">
        <f t="shared" si="77"/>
        <v>213008.76658775011</v>
      </c>
      <c r="T46" s="332">
        <f t="shared" si="77"/>
        <v>113456.50641321018</v>
      </c>
      <c r="U46" s="332">
        <f t="shared" si="77"/>
        <v>239652.77882231495</v>
      </c>
      <c r="V46" s="332">
        <f t="shared" si="77"/>
        <v>247021.24167504165</v>
      </c>
      <c r="W46" s="332">
        <f t="shared" si="77"/>
        <v>250771.30966770981</v>
      </c>
      <c r="X46" s="332">
        <f t="shared" si="77"/>
        <v>220859.09872975742</v>
      </c>
      <c r="Y46" s="332">
        <f t="shared" ref="Y46:AJ46" si="78">+Y39+((Y49*Y32)/SUM(Y28:Y32))</f>
        <v>216158.38385078555</v>
      </c>
      <c r="Z46" s="332">
        <f t="shared" si="78"/>
        <v>220178.27739379625</v>
      </c>
      <c r="AA46" s="332">
        <f t="shared" si="78"/>
        <v>201061.84934439845</v>
      </c>
      <c r="AB46" s="332">
        <f t="shared" si="78"/>
        <v>297325.43003641954</v>
      </c>
      <c r="AC46" s="332">
        <f t="shared" si="78"/>
        <v>182095.21584244084</v>
      </c>
      <c r="AD46" s="332">
        <f t="shared" si="78"/>
        <v>312763.02449486341</v>
      </c>
      <c r="AE46" s="332">
        <f t="shared" si="78"/>
        <v>317887.88942579983</v>
      </c>
      <c r="AF46" s="332">
        <f t="shared" si="78"/>
        <v>306997.73093066877</v>
      </c>
      <c r="AG46" s="332">
        <f t="shared" si="78"/>
        <v>391727.38677631202</v>
      </c>
      <c r="AH46" s="332">
        <f t="shared" si="78"/>
        <v>372804.1147698182</v>
      </c>
      <c r="AI46" s="332">
        <f t="shared" si="78"/>
        <v>403161.59541105537</v>
      </c>
      <c r="AJ46" s="332">
        <f t="shared" si="78"/>
        <v>369973.55970429053</v>
      </c>
      <c r="AK46" s="332">
        <f t="shared" ref="AK46:AV46" si="79">+AK39+((AK49*AK32)/SUM(AK28:AK32))</f>
        <v>244571.14307755165</v>
      </c>
      <c r="AL46" s="332">
        <f t="shared" si="79"/>
        <v>341293.90828810667</v>
      </c>
      <c r="AM46" s="332">
        <f t="shared" si="79"/>
        <v>317760.24740640545</v>
      </c>
      <c r="AN46" s="332">
        <f t="shared" si="79"/>
        <v>291737.71296922409</v>
      </c>
      <c r="AO46" s="332">
        <f t="shared" si="79"/>
        <v>193409.87007156134</v>
      </c>
      <c r="AP46" s="332">
        <f t="shared" si="79"/>
        <v>-47838.018916275658</v>
      </c>
      <c r="AQ46" s="332">
        <f t="shared" si="79"/>
        <v>170105.85134927844</v>
      </c>
      <c r="AR46" s="332">
        <f t="shared" si="79"/>
        <v>207605.45083843259</v>
      </c>
      <c r="AS46" s="332">
        <f t="shared" si="79"/>
        <v>237834.10983699583</v>
      </c>
      <c r="AT46" s="332">
        <f t="shared" si="79"/>
        <v>235091.00930749663</v>
      </c>
      <c r="AU46" s="332">
        <f t="shared" si="79"/>
        <v>245170.37563083222</v>
      </c>
      <c r="AV46" s="332">
        <f t="shared" si="79"/>
        <v>210646.40203478656</v>
      </c>
      <c r="AW46" s="333">
        <f>+AW39+((AW49*AW32)/SUM(AW28:AW32))</f>
        <v>202894.5586884424</v>
      </c>
      <c r="AX46" s="332">
        <f t="shared" si="77"/>
        <v>198101.43021578295</v>
      </c>
      <c r="AY46" s="334">
        <f t="shared" si="77"/>
        <v>208390.14376720696</v>
      </c>
    </row>
    <row r="47" spans="1:53" s="32" customFormat="1" x14ac:dyDescent="0.3">
      <c r="B47" s="180"/>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75"/>
      <c r="AX47" s="74"/>
      <c r="AY47" s="77"/>
    </row>
    <row r="48" spans="1:53" x14ac:dyDescent="0.3">
      <c r="A48" s="32" t="s">
        <v>102</v>
      </c>
      <c r="B48" s="179"/>
      <c r="C48" s="176"/>
      <c r="D48" s="329" t="s">
        <v>86</v>
      </c>
      <c r="E48" s="176"/>
      <c r="F48" s="176"/>
      <c r="G48" s="176"/>
      <c r="H48" s="176"/>
      <c r="I48" s="176"/>
      <c r="J48" s="176"/>
      <c r="K48" s="176"/>
      <c r="L48" s="176"/>
      <c r="M48" s="176"/>
      <c r="N48" s="176"/>
      <c r="O48" s="176"/>
      <c r="P48" s="176"/>
      <c r="Q48" s="176"/>
      <c r="R48" s="176"/>
      <c r="S48" s="176"/>
      <c r="T48" s="176"/>
      <c r="U48" s="176"/>
      <c r="V48" s="176"/>
      <c r="W48" s="176"/>
      <c r="X48" s="176"/>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3"/>
      <c r="AX48" s="74"/>
      <c r="AY48" s="77"/>
      <c r="AZ48" s="166"/>
      <c r="BA48" s="32"/>
    </row>
    <row r="49" spans="1:53" x14ac:dyDescent="0.3">
      <c r="A49" s="32" t="str">
        <f>A35</f>
        <v>RES</v>
      </c>
      <c r="B49" s="69">
        <v>0</v>
      </c>
      <c r="C49" s="70">
        <v>0</v>
      </c>
      <c r="D49" s="70">
        <v>0</v>
      </c>
      <c r="E49" s="70">
        <v>0</v>
      </c>
      <c r="F49" s="70">
        <v>0</v>
      </c>
      <c r="G49" s="70">
        <v>-9522.4</v>
      </c>
      <c r="H49" s="70">
        <v>-104689.11000000002</v>
      </c>
      <c r="I49" s="70">
        <v>-128371.58</v>
      </c>
      <c r="J49" s="70">
        <v>-136714.63</v>
      </c>
      <c r="K49" s="70">
        <v>-124499.38</v>
      </c>
      <c r="L49" s="70">
        <v>-105447.85</v>
      </c>
      <c r="M49" s="70">
        <v>-115870.95999999999</v>
      </c>
      <c r="N49" s="70">
        <v>-159652.35999999999</v>
      </c>
      <c r="O49" s="70">
        <v>-176358.06</v>
      </c>
      <c r="P49" s="70">
        <v>-152923.21000000002</v>
      </c>
      <c r="Q49" s="70">
        <v>-104411.42000000001</v>
      </c>
      <c r="R49" s="70">
        <v>-75414.77</v>
      </c>
      <c r="S49" s="70">
        <v>-62153.88</v>
      </c>
      <c r="T49" s="70">
        <v>-70524.600000000006</v>
      </c>
      <c r="U49" s="70">
        <v>-90726.45</v>
      </c>
      <c r="V49" s="70">
        <v>-83821.569999999992</v>
      </c>
      <c r="W49" s="70">
        <v>-76802.63</v>
      </c>
      <c r="X49" s="70">
        <v>-57468.17</v>
      </c>
      <c r="Y49" s="70">
        <v>-68027.990000000005</v>
      </c>
      <c r="Z49" s="70">
        <v>-94111.33</v>
      </c>
      <c r="AA49" s="70">
        <v>-126650.93999999999</v>
      </c>
      <c r="AB49" s="70">
        <v>-149406.69</v>
      </c>
      <c r="AC49" s="70">
        <v>-135402.07</v>
      </c>
      <c r="AD49" s="70">
        <v>-88176.780000000013</v>
      </c>
      <c r="AE49" s="70">
        <v>-77035.090000000011</v>
      </c>
      <c r="AF49" s="70">
        <v>-87368.93</v>
      </c>
      <c r="AG49" s="70">
        <v>-114935.89</v>
      </c>
      <c r="AH49" s="70">
        <v>-117101.95</v>
      </c>
      <c r="AI49" s="70">
        <v>-116190.31</v>
      </c>
      <c r="AJ49" s="70">
        <v>-82093.440000000002</v>
      </c>
      <c r="AK49" s="70">
        <f>'[1]PCR.4 (M3)'!AF7</f>
        <v>-88713.000000000015</v>
      </c>
      <c r="AL49" s="70">
        <f>'[1]PCR.4 (M3)'!AG7</f>
        <v>-114074.83999999998</v>
      </c>
      <c r="AM49" s="70">
        <f>'[1]PCR.4 (M3)'!AH7</f>
        <v>-140301.07</v>
      </c>
      <c r="AN49" s="70">
        <f>'[1]PCR.4 (M3)'!AI7</f>
        <v>-148476.09</v>
      </c>
      <c r="AO49" s="70">
        <f>'[1]PCR.4 (M3)'!AJ7</f>
        <v>-113125.41</v>
      </c>
      <c r="AP49" s="70">
        <f>'[1]PCR.4 (M3)'!AK7</f>
        <v>-88302.719999999987</v>
      </c>
      <c r="AQ49" s="70">
        <f>'[1]PCR.4 (M3)'!AL7</f>
        <v>-74672.359999999986</v>
      </c>
      <c r="AR49" s="70">
        <f>'[1]PCR.4 (M3)'!AM7</f>
        <v>-85294.589999999982</v>
      </c>
      <c r="AS49" s="70">
        <f>'[1]PCR.4 (M3)'!AN7</f>
        <v>-115673.46999999999</v>
      </c>
      <c r="AT49" s="70">
        <f>'[1]PCR.4 (M3)'!AO7</f>
        <v>-114533.16999999998</v>
      </c>
      <c r="AU49" s="70">
        <f>'[1]PCR.4 (M3)'!AP7</f>
        <v>-100177.27999999998</v>
      </c>
      <c r="AV49" s="70">
        <f>'[1]PCR.4 (M3)'!AQ7</f>
        <v>-78846.779999999984</v>
      </c>
      <c r="AW49" s="85">
        <f>-(AW28*$AZ$35*PPC!$B$14)</f>
        <v>-105862.5321986596</v>
      </c>
      <c r="AX49" s="89">
        <f>-(AX28*$AZ$35*PPC!$B$14)</f>
        <v>-152150.95972857176</v>
      </c>
      <c r="AY49" s="90">
        <f>-(AY28*$AZ$35*PPC!$B$14)</f>
        <v>-188092.70887486415</v>
      </c>
      <c r="AZ49" s="178"/>
      <c r="BA49" s="32"/>
    </row>
    <row r="50" spans="1:53" x14ac:dyDescent="0.3">
      <c r="A50" s="32"/>
      <c r="B50" s="179"/>
      <c r="C50" s="282"/>
      <c r="D50" s="329" t="s">
        <v>68</v>
      </c>
      <c r="E50" s="282"/>
      <c r="F50" s="282"/>
      <c r="G50" s="282"/>
      <c r="H50" s="282"/>
      <c r="I50" s="282"/>
      <c r="J50" s="282"/>
      <c r="K50" s="282"/>
      <c r="L50" s="282"/>
      <c r="M50" s="282"/>
      <c r="N50" s="282"/>
      <c r="O50" s="282"/>
      <c r="P50" s="282"/>
      <c r="Q50" s="282"/>
      <c r="R50" s="282"/>
      <c r="S50" s="282"/>
      <c r="T50" s="282"/>
      <c r="U50" s="282"/>
      <c r="V50" s="282"/>
      <c r="W50" s="282"/>
      <c r="X50" s="282"/>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2"/>
      <c r="AX50" s="83"/>
      <c r="AY50" s="77"/>
    </row>
    <row r="51" spans="1:53" ht="15" thickBot="1" x14ac:dyDescent="0.35">
      <c r="A51" s="32" t="s">
        <v>92</v>
      </c>
      <c r="B51" s="234">
        <v>0</v>
      </c>
      <c r="C51" s="235">
        <v>0</v>
      </c>
      <c r="D51" s="235">
        <v>0</v>
      </c>
      <c r="E51" s="93">
        <v>9653.81</v>
      </c>
      <c r="F51" s="93">
        <v>12438.97</v>
      </c>
      <c r="G51" s="93">
        <v>17431.88</v>
      </c>
      <c r="H51" s="93">
        <v>10576.06</v>
      </c>
      <c r="I51" s="93">
        <v>2521.9899999999998</v>
      </c>
      <c r="J51" s="93">
        <v>-1864.05</v>
      </c>
      <c r="K51" s="93">
        <v>-6842.24</v>
      </c>
      <c r="L51" s="93">
        <v>-9531.39</v>
      </c>
      <c r="M51" s="93">
        <v>-4794.22</v>
      </c>
      <c r="N51" s="93">
        <v>6542.98</v>
      </c>
      <c r="O51" s="93">
        <v>-1848</v>
      </c>
      <c r="P51" s="93">
        <v>-7048.55</v>
      </c>
      <c r="Q51" s="93">
        <v>-8321.11</v>
      </c>
      <c r="R51" s="93">
        <v>-4942.3900000000003</v>
      </c>
      <c r="S51" s="93">
        <v>-734.78</v>
      </c>
      <c r="T51" s="93">
        <v>-749.55</v>
      </c>
      <c r="U51" s="93">
        <v>-1464.01</v>
      </c>
      <c r="V51" s="93">
        <v>-1137.5899999999999</v>
      </c>
      <c r="W51" s="93">
        <v>-911.11</v>
      </c>
      <c r="X51" s="93">
        <v>-1351.83</v>
      </c>
      <c r="Y51" s="93">
        <v>-912.99</v>
      </c>
      <c r="Z51" s="93">
        <v>1753.23</v>
      </c>
      <c r="AA51" s="93">
        <v>767.1</v>
      </c>
      <c r="AB51" s="93">
        <v>-14.91</v>
      </c>
      <c r="AC51" s="299">
        <v>-623.99</v>
      </c>
      <c r="AD51" s="93">
        <v>-581.91</v>
      </c>
      <c r="AE51" s="93">
        <v>-1065.17</v>
      </c>
      <c r="AF51" s="93">
        <v>-1086.56</v>
      </c>
      <c r="AG51" s="93">
        <v>-1169.8</v>
      </c>
      <c r="AH51" s="93">
        <v>-2142.6799999999998</v>
      </c>
      <c r="AI51" s="93">
        <v>-2664.58</v>
      </c>
      <c r="AJ51" s="93">
        <v>-2209.46</v>
      </c>
      <c r="AK51" s="93">
        <f>-'[1]PCR.5 (M3)'!$W$42</f>
        <v>-1732.83</v>
      </c>
      <c r="AL51" s="93">
        <f>-'[1]PCR.5 (M3)'!$W$43</f>
        <v>416.97</v>
      </c>
      <c r="AM51" s="93">
        <f>-'[1]PCR.5 (M3)'!$W$44</f>
        <v>-1527.25</v>
      </c>
      <c r="AN51" s="93">
        <f>-'[1]PCR.5 (M3)'!$W$45</f>
        <v>-3262.3</v>
      </c>
      <c r="AO51" s="93">
        <f>-'[1]PCR.5 (M3)'!$W$46</f>
        <v>-8705.91</v>
      </c>
      <c r="AP51" s="93">
        <f>-'[1]PCR.5 (M3)'!$W$47</f>
        <v>-7696.38</v>
      </c>
      <c r="AQ51" s="93">
        <f>-'[1]PCR.5 (M3)'!$W$48</f>
        <v>-13343.43</v>
      </c>
      <c r="AR51" s="93">
        <f>-'[1]PCR.5 (M3)'!$W$49</f>
        <v>-19658.490000000002</v>
      </c>
      <c r="AS51" s="93">
        <f>-'[1]PCR.5 (M3)'!$W$50</f>
        <v>-33493.69</v>
      </c>
      <c r="AT51" s="93">
        <f>-'[1]PCR.5 (M3)'!$W$51</f>
        <v>-44565.49</v>
      </c>
      <c r="AU51" s="93">
        <f>-'[1]PCR.5 (M3)'!$W$52</f>
        <v>-49379.45</v>
      </c>
      <c r="AV51" s="93">
        <f>-'[1]PCR.5 (M3)'!$W$53</f>
        <v>-62378.84</v>
      </c>
      <c r="AW51" s="71">
        <f>'[2]MEEIA 3 calcs'!$AX$10</f>
        <v>-47993.36</v>
      </c>
      <c r="AX51" s="72">
        <f>'[2]MEEIA 3 calcs'!$AY$10</f>
        <v>-15758.15</v>
      </c>
      <c r="AY51" s="126">
        <f>'[2]MEEIA 3 calcs'!$AZ$10</f>
        <v>-25741.279999999999</v>
      </c>
      <c r="AZ51" s="32"/>
    </row>
    <row r="52" spans="1:53" x14ac:dyDescent="0.3">
      <c r="B52" s="119"/>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1"/>
      <c r="AX52" s="122"/>
      <c r="AY52" s="123"/>
    </row>
    <row r="53" spans="1:53" x14ac:dyDescent="0.3">
      <c r="A53" s="139" t="s">
        <v>69</v>
      </c>
      <c r="B53" s="75"/>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3"/>
      <c r="AX53" s="74"/>
      <c r="AY53" s="77"/>
    </row>
    <row r="54" spans="1:53" x14ac:dyDescent="0.3">
      <c r="A54" s="139" t="s">
        <v>0</v>
      </c>
      <c r="B54" s="85">
        <f>B21-B42</f>
        <v>317847.94516670017</v>
      </c>
      <c r="C54" s="89">
        <f t="shared" ref="B54:X58" si="80">C21-C42</f>
        <v>62937.088413765421</v>
      </c>
      <c r="D54" s="89">
        <f>D21-D42</f>
        <v>155679.80049587399</v>
      </c>
      <c r="E54" s="89">
        <f>E21-E42</f>
        <v>2610951.7844937206</v>
      </c>
      <c r="F54" s="89">
        <f t="shared" si="80"/>
        <v>1148856.7617550408</v>
      </c>
      <c r="G54" s="89">
        <f t="shared" si="80"/>
        <v>1685209.2425861759</v>
      </c>
      <c r="H54" s="89">
        <f t="shared" si="80"/>
        <v>-1412646.369856202</v>
      </c>
      <c r="I54" s="89">
        <f t="shared" si="80"/>
        <v>-1746121.4508178439</v>
      </c>
      <c r="J54" s="89">
        <f t="shared" si="80"/>
        <v>-569159.98835822986</v>
      </c>
      <c r="K54" s="89">
        <f t="shared" si="80"/>
        <v>-2504894.8102436988</v>
      </c>
      <c r="L54" s="89">
        <f t="shared" si="80"/>
        <v>-647348.56232278887</v>
      </c>
      <c r="M54" s="89">
        <f t="shared" si="80"/>
        <v>1963165.593490921</v>
      </c>
      <c r="N54" s="89">
        <f t="shared" si="80"/>
        <v>2744624.1659281664</v>
      </c>
      <c r="O54" s="89">
        <f t="shared" si="80"/>
        <v>-4558519.3752459912</v>
      </c>
      <c r="P54" s="89">
        <f t="shared" si="80"/>
        <v>-1593483.3729405305</v>
      </c>
      <c r="Q54" s="89">
        <f t="shared" si="80"/>
        <v>1019588.1681131152</v>
      </c>
      <c r="R54" s="89">
        <f t="shared" si="80"/>
        <v>-501569.4579910934</v>
      </c>
      <c r="S54" s="89">
        <f t="shared" si="80"/>
        <v>214494.32440811465</v>
      </c>
      <c r="T54" s="89">
        <f t="shared" si="80"/>
        <v>412021.75545039354</v>
      </c>
      <c r="U54" s="89">
        <f t="shared" si="80"/>
        <v>-24064.602988175116</v>
      </c>
      <c r="V54" s="89">
        <f t="shared" si="80"/>
        <v>-21665.693050360773</v>
      </c>
      <c r="W54" s="89">
        <f t="shared" si="80"/>
        <v>1673784.2891499833</v>
      </c>
      <c r="X54" s="89">
        <f t="shared" si="80"/>
        <v>252616.935847888</v>
      </c>
      <c r="Y54" s="89">
        <f t="shared" ref="Y54:AJ54" si="81">Y21-Y42</f>
        <v>2501999.7505186545</v>
      </c>
      <c r="Z54" s="89">
        <f t="shared" si="81"/>
        <v>3691754.8940594546</v>
      </c>
      <c r="AA54" s="89">
        <f t="shared" si="81"/>
        <v>-2029921.1850279416</v>
      </c>
      <c r="AB54" s="89">
        <f t="shared" si="81"/>
        <v>-1381979.345070017</v>
      </c>
      <c r="AC54" s="89">
        <f t="shared" si="81"/>
        <v>-445804.0628003194</v>
      </c>
      <c r="AD54" s="89">
        <f t="shared" si="81"/>
        <v>-291924.21813365538</v>
      </c>
      <c r="AE54" s="89">
        <f t="shared" si="81"/>
        <v>-242275.15082735568</v>
      </c>
      <c r="AF54" s="89">
        <f t="shared" si="81"/>
        <v>942503.35400319332</v>
      </c>
      <c r="AG54" s="89">
        <f t="shared" si="81"/>
        <v>-2210348.6502563488</v>
      </c>
      <c r="AH54" s="89">
        <f t="shared" si="81"/>
        <v>-52303.693490993232</v>
      </c>
      <c r="AI54" s="89">
        <f t="shared" si="81"/>
        <v>-1730200.3446552847</v>
      </c>
      <c r="AJ54" s="89">
        <f t="shared" si="81"/>
        <v>700988.77258858271</v>
      </c>
      <c r="AK54" s="89">
        <f>AK21-AK42</f>
        <v>38033.779847216327</v>
      </c>
      <c r="AL54" s="89">
        <f t="shared" ref="AL54:AV54" si="82">AL21-AL42</f>
        <v>3764076.5819760147</v>
      </c>
      <c r="AM54" s="89">
        <f t="shared" si="82"/>
        <v>-3056095.94145873</v>
      </c>
      <c r="AN54" s="89">
        <f t="shared" si="82"/>
        <v>-2167355.2357849423</v>
      </c>
      <c r="AO54" s="89">
        <f t="shared" si="82"/>
        <v>-226250.81612975663</v>
      </c>
      <c r="AP54" s="89">
        <f t="shared" si="82"/>
        <v>-789654.24759315141</v>
      </c>
      <c r="AQ54" s="89">
        <f t="shared" si="82"/>
        <v>-273863.3328379197</v>
      </c>
      <c r="AR54" s="89">
        <f t="shared" si="82"/>
        <v>-32379.378029166255</v>
      </c>
      <c r="AS54" s="89">
        <f t="shared" si="82"/>
        <v>-1225101.2931087017</v>
      </c>
      <c r="AT54" s="89">
        <f t="shared" si="82"/>
        <v>154180.69901901996</v>
      </c>
      <c r="AU54" s="89">
        <f t="shared" si="82"/>
        <v>-167905.15528187621</v>
      </c>
      <c r="AV54" s="89">
        <f t="shared" si="82"/>
        <v>-307216.11211237381</v>
      </c>
      <c r="AW54" s="85">
        <f>AW21-AW42</f>
        <v>470623.78200333333</v>
      </c>
      <c r="AX54" s="89">
        <f>AX21-AX42</f>
        <v>956552.63699654071</v>
      </c>
      <c r="AY54" s="90">
        <f t="shared" ref="AW54:AY58" si="83">AY21-AY42</f>
        <v>-2691485.363501545</v>
      </c>
    </row>
    <row r="55" spans="1:53" x14ac:dyDescent="0.3">
      <c r="A55" s="139" t="s">
        <v>4</v>
      </c>
      <c r="B55" s="85">
        <f t="shared" si="80"/>
        <v>33385.711349135156</v>
      </c>
      <c r="C55" s="89">
        <f t="shared" si="80"/>
        <v>13887.647890998298</v>
      </c>
      <c r="D55" s="89">
        <f t="shared" si="80"/>
        <v>36274.43793325447</v>
      </c>
      <c r="E55" s="89">
        <f t="shared" si="80"/>
        <v>151627.30805818431</v>
      </c>
      <c r="F55" s="89">
        <f t="shared" si="80"/>
        <v>61855.782634756295</v>
      </c>
      <c r="G55" s="89">
        <f t="shared" si="80"/>
        <v>91070.328298936831</v>
      </c>
      <c r="H55" s="89">
        <f t="shared" si="80"/>
        <v>-372553.18355731794</v>
      </c>
      <c r="I55" s="89">
        <f t="shared" si="80"/>
        <v>-418301.51727616251</v>
      </c>
      <c r="J55" s="89">
        <f t="shared" si="80"/>
        <v>-340577.65106168488</v>
      </c>
      <c r="K55" s="89">
        <f t="shared" si="80"/>
        <v>-51961.126270049368</v>
      </c>
      <c r="L55" s="89">
        <f t="shared" si="80"/>
        <v>-218673.10490737966</v>
      </c>
      <c r="M55" s="89">
        <f t="shared" si="80"/>
        <v>61345.156028920203</v>
      </c>
      <c r="N55" s="89">
        <f t="shared" si="80"/>
        <v>1037525.9411159896</v>
      </c>
      <c r="O55" s="89">
        <f t="shared" si="80"/>
        <v>-168707.22009253583</v>
      </c>
      <c r="P55" s="89">
        <f t="shared" si="80"/>
        <v>-442613.64162744442</v>
      </c>
      <c r="Q55" s="89">
        <f t="shared" si="80"/>
        <v>-372652.01497629203</v>
      </c>
      <c r="R55" s="89">
        <f t="shared" si="80"/>
        <v>-103351.53572984086</v>
      </c>
      <c r="S55" s="89">
        <f t="shared" si="80"/>
        <v>-139387.29111330374</v>
      </c>
      <c r="T55" s="89">
        <f t="shared" si="80"/>
        <v>-173194.10847420624</v>
      </c>
      <c r="U55" s="89">
        <f t="shared" si="80"/>
        <v>-424050.64838360238</v>
      </c>
      <c r="V55" s="89">
        <f t="shared" si="80"/>
        <v>-193757.96959317214</v>
      </c>
      <c r="W55" s="89">
        <f t="shared" si="80"/>
        <v>-102854.22907731927</v>
      </c>
      <c r="X55" s="89">
        <f t="shared" si="80"/>
        <v>96265.381961597712</v>
      </c>
      <c r="Y55" s="89">
        <f t="shared" ref="Y55:AJ55" si="84">Y22-Y43</f>
        <v>264061.55618657486</v>
      </c>
      <c r="Z55" s="89">
        <f t="shared" si="84"/>
        <v>1767992.420510438</v>
      </c>
      <c r="AA55" s="89">
        <f t="shared" si="84"/>
        <v>-214707.70615093142</v>
      </c>
      <c r="AB55" s="89">
        <f t="shared" si="84"/>
        <v>-777079.12959739345</v>
      </c>
      <c r="AC55" s="89">
        <f t="shared" si="84"/>
        <v>-54002.607687113108</v>
      </c>
      <c r="AD55" s="89">
        <f t="shared" si="84"/>
        <v>-435523.06926256506</v>
      </c>
      <c r="AE55" s="89">
        <f t="shared" si="84"/>
        <v>-480722.30882572033</v>
      </c>
      <c r="AF55" s="89">
        <f t="shared" si="84"/>
        <v>-384377.67176067957</v>
      </c>
      <c r="AG55" s="89">
        <f t="shared" si="84"/>
        <v>-301416.82663209806</v>
      </c>
      <c r="AH55" s="89">
        <f t="shared" si="84"/>
        <v>-544457.98199086729</v>
      </c>
      <c r="AI55" s="89">
        <f t="shared" si="84"/>
        <v>-528961.10510735714</v>
      </c>
      <c r="AJ55" s="89">
        <f t="shared" si="84"/>
        <v>-339905.41085934971</v>
      </c>
      <c r="AK55" s="89">
        <f t="shared" ref="AK55:AV55" si="85">AK22-AK43</f>
        <v>1083878.4324412406</v>
      </c>
      <c r="AL55" s="89">
        <f t="shared" si="85"/>
        <v>2282338.6259616371</v>
      </c>
      <c r="AM55" s="89">
        <f t="shared" si="85"/>
        <v>-1601899.9053247636</v>
      </c>
      <c r="AN55" s="89">
        <f t="shared" si="85"/>
        <v>-619381.40305961645</v>
      </c>
      <c r="AO55" s="89">
        <f t="shared" si="85"/>
        <v>-395608.48687091621</v>
      </c>
      <c r="AP55" s="89">
        <f t="shared" si="85"/>
        <v>68684.205417718273</v>
      </c>
      <c r="AQ55" s="89">
        <f t="shared" si="85"/>
        <v>-248658.57522784651</v>
      </c>
      <c r="AR55" s="89">
        <f t="shared" si="85"/>
        <v>242321.36853297905</v>
      </c>
      <c r="AS55" s="89">
        <f t="shared" si="85"/>
        <v>-555475.18215086998</v>
      </c>
      <c r="AT55" s="89">
        <f t="shared" si="85"/>
        <v>-323108.20951895695</v>
      </c>
      <c r="AU55" s="89">
        <f t="shared" si="85"/>
        <v>59718.318783914554</v>
      </c>
      <c r="AV55" s="89">
        <f t="shared" si="85"/>
        <v>-67806.114595635212</v>
      </c>
      <c r="AW55" s="85">
        <f t="shared" si="83"/>
        <v>959780.30273247196</v>
      </c>
      <c r="AX55" s="89">
        <f t="shared" si="83"/>
        <v>2346355.6555925645</v>
      </c>
      <c r="AY55" s="90">
        <f t="shared" si="83"/>
        <v>-170795.65573302133</v>
      </c>
    </row>
    <row r="56" spans="1:53" x14ac:dyDescent="0.3">
      <c r="A56" s="139" t="s">
        <v>5</v>
      </c>
      <c r="B56" s="85">
        <f t="shared" si="80"/>
        <v>72690.254284489041</v>
      </c>
      <c r="C56" s="89">
        <f t="shared" si="80"/>
        <v>29119.872157604295</v>
      </c>
      <c r="D56" s="89">
        <f t="shared" si="80"/>
        <v>73504.970610067088</v>
      </c>
      <c r="E56" s="89">
        <f t="shared" si="80"/>
        <v>313330.74775433698</v>
      </c>
      <c r="F56" s="89">
        <f t="shared" si="80"/>
        <v>143775.80981087088</v>
      </c>
      <c r="G56" s="89">
        <f t="shared" si="80"/>
        <v>249176.1560287973</v>
      </c>
      <c r="H56" s="89">
        <f t="shared" si="80"/>
        <v>-875065.62451904663</v>
      </c>
      <c r="I56" s="89">
        <f t="shared" si="80"/>
        <v>-929548.85576901212</v>
      </c>
      <c r="J56" s="89">
        <f t="shared" si="80"/>
        <v>-754479.88415522163</v>
      </c>
      <c r="K56" s="89">
        <f t="shared" si="80"/>
        <v>-121163.91091031302</v>
      </c>
      <c r="L56" s="89">
        <f t="shared" si="80"/>
        <v>-519140.943946452</v>
      </c>
      <c r="M56" s="89">
        <f t="shared" si="80"/>
        <v>139258.38322080113</v>
      </c>
      <c r="N56" s="89">
        <f t="shared" si="80"/>
        <v>2220354.9949849639</v>
      </c>
      <c r="O56" s="89">
        <f t="shared" si="80"/>
        <v>-351371.47520095052</v>
      </c>
      <c r="P56" s="89">
        <f t="shared" si="80"/>
        <v>-913915.78352099599</v>
      </c>
      <c r="Q56" s="89">
        <f t="shared" si="80"/>
        <v>-796923.47425781027</v>
      </c>
      <c r="R56" s="89">
        <f t="shared" si="80"/>
        <v>-246929.46298825426</v>
      </c>
      <c r="S56" s="89">
        <f t="shared" si="80"/>
        <v>-341106.4101412266</v>
      </c>
      <c r="T56" s="89">
        <f t="shared" si="80"/>
        <v>-399940.71771143901</v>
      </c>
      <c r="U56" s="89">
        <f t="shared" si="80"/>
        <v>-919426.47245929379</v>
      </c>
      <c r="V56" s="89">
        <f t="shared" si="80"/>
        <v>-431214.51921135874</v>
      </c>
      <c r="W56" s="89">
        <f t="shared" si="80"/>
        <v>-238094.5733439601</v>
      </c>
      <c r="X56" s="89">
        <f t="shared" si="80"/>
        <v>231858.11567339581</v>
      </c>
      <c r="Y56" s="89">
        <f t="shared" ref="Y56:AJ56" si="86">Y23-Y44</f>
        <v>621751.82673440315</v>
      </c>
      <c r="Z56" s="89">
        <f t="shared" si="86"/>
        <v>3880985.0461089592</v>
      </c>
      <c r="AA56" s="89">
        <f t="shared" si="86"/>
        <v>-424990.959505704</v>
      </c>
      <c r="AB56" s="89">
        <f t="shared" si="86"/>
        <v>-1479199.5060620259</v>
      </c>
      <c r="AC56" s="89">
        <f t="shared" si="86"/>
        <v>-107655.73034786945</v>
      </c>
      <c r="AD56" s="89">
        <f t="shared" si="86"/>
        <v>-995947.10501596879</v>
      </c>
      <c r="AE56" s="89">
        <f t="shared" si="86"/>
        <v>-1145742.4246408353</v>
      </c>
      <c r="AF56" s="89">
        <f t="shared" si="86"/>
        <v>-854129.34870717989</v>
      </c>
      <c r="AG56" s="89">
        <f t="shared" si="86"/>
        <v>-662546.64633530588</v>
      </c>
      <c r="AH56" s="89">
        <f t="shared" si="86"/>
        <v>-1184457.8451218188</v>
      </c>
      <c r="AI56" s="89">
        <f t="shared" si="86"/>
        <v>-1160481.8326386572</v>
      </c>
      <c r="AJ56" s="89">
        <f t="shared" si="86"/>
        <v>-785606.5235801402</v>
      </c>
      <c r="AK56" s="89">
        <f t="shared" ref="AK56:AV56" si="87">AK23-AK44</f>
        <v>2495139.8572080284</v>
      </c>
      <c r="AL56" s="89">
        <f t="shared" si="87"/>
        <v>5029653.0761952624</v>
      </c>
      <c r="AM56" s="89">
        <f t="shared" si="87"/>
        <v>-3200895.9186028228</v>
      </c>
      <c r="AN56" s="89">
        <f t="shared" si="87"/>
        <v>-1220471.2687546392</v>
      </c>
      <c r="AO56" s="89">
        <f t="shared" si="87"/>
        <v>-826867.64287822787</v>
      </c>
      <c r="AP56" s="89">
        <f t="shared" si="87"/>
        <v>153718.3851601209</v>
      </c>
      <c r="AQ56" s="89">
        <f t="shared" si="87"/>
        <v>-587347.7113721621</v>
      </c>
      <c r="AR56" s="89">
        <f t="shared" si="87"/>
        <v>523491.29332233244</v>
      </c>
      <c r="AS56" s="89">
        <f t="shared" si="87"/>
        <v>-1175115.8212347077</v>
      </c>
      <c r="AT56" s="89">
        <f t="shared" si="87"/>
        <v>-699832.4104702156</v>
      </c>
      <c r="AU56" s="89">
        <f t="shared" si="87"/>
        <v>116141.46432894515</v>
      </c>
      <c r="AV56" s="89">
        <f t="shared" si="87"/>
        <v>-169985.11790648545</v>
      </c>
      <c r="AW56" s="85">
        <f t="shared" si="83"/>
        <v>2251547.8355606101</v>
      </c>
      <c r="AX56" s="89">
        <f t="shared" si="83"/>
        <v>5058369.8868213482</v>
      </c>
      <c r="AY56" s="90">
        <f t="shared" si="83"/>
        <v>-357744.99239281239</v>
      </c>
    </row>
    <row r="57" spans="1:53" x14ac:dyDescent="0.3">
      <c r="A57" s="139" t="s">
        <v>6</v>
      </c>
      <c r="B57" s="85">
        <f t="shared" si="80"/>
        <v>33417.905035113341</v>
      </c>
      <c r="C57" s="89">
        <f t="shared" si="80"/>
        <v>11408.01611653602</v>
      </c>
      <c r="D57" s="89">
        <f t="shared" si="80"/>
        <v>29285.213310280094</v>
      </c>
      <c r="E57" s="89">
        <f t="shared" si="80"/>
        <v>126713.46256441454</v>
      </c>
      <c r="F57" s="89">
        <f t="shared" si="80"/>
        <v>61183.192042766401</v>
      </c>
      <c r="G57" s="89">
        <f t="shared" si="80"/>
        <v>109194.8602992037</v>
      </c>
      <c r="H57" s="89">
        <f t="shared" si="80"/>
        <v>-316991.86202728329</v>
      </c>
      <c r="I57" s="89">
        <f t="shared" si="80"/>
        <v>-379136.27975690988</v>
      </c>
      <c r="J57" s="89">
        <f t="shared" si="80"/>
        <v>-315386.07090011972</v>
      </c>
      <c r="K57" s="89">
        <f t="shared" si="80"/>
        <v>-49818.92285876628</v>
      </c>
      <c r="L57" s="89">
        <f t="shared" si="80"/>
        <v>-215270.10981033341</v>
      </c>
      <c r="M57" s="89">
        <f t="shared" si="80"/>
        <v>61182.121729940118</v>
      </c>
      <c r="N57" s="89">
        <f t="shared" si="80"/>
        <v>897386.39039995498</v>
      </c>
      <c r="O57" s="89">
        <f t="shared" si="80"/>
        <v>-141161.91391665098</v>
      </c>
      <c r="P57" s="89">
        <f t="shared" si="80"/>
        <v>-391760.82722727361</v>
      </c>
      <c r="Q57" s="89">
        <f t="shared" si="80"/>
        <v>-322241.99336860783</v>
      </c>
      <c r="R57" s="89">
        <f t="shared" si="80"/>
        <v>-117325.39190970577</v>
      </c>
      <c r="S57" s="89">
        <f t="shared" si="80"/>
        <v>-161763.76852829463</v>
      </c>
      <c r="T57" s="89">
        <f t="shared" si="80"/>
        <v>-185812.71859796008</v>
      </c>
      <c r="U57" s="89">
        <f t="shared" si="80"/>
        <v>-379630.05529016565</v>
      </c>
      <c r="V57" s="89">
        <f t="shared" si="80"/>
        <v>-190423.12520993804</v>
      </c>
      <c r="W57" s="89">
        <f t="shared" si="80"/>
        <v>-108460.05963433906</v>
      </c>
      <c r="X57" s="89">
        <f t="shared" si="80"/>
        <v>98518.931534060161</v>
      </c>
      <c r="Y57" s="89">
        <f t="shared" ref="Y57:AJ57" si="88">Y24-Y45</f>
        <v>278354.12925197242</v>
      </c>
      <c r="Z57" s="89">
        <f t="shared" si="88"/>
        <v>1718724.6857667654</v>
      </c>
      <c r="AA57" s="89">
        <f t="shared" si="88"/>
        <v>-178561.77381081844</v>
      </c>
      <c r="AB57" s="89">
        <f t="shared" si="88"/>
        <v>-628721.45480155572</v>
      </c>
      <c r="AC57" s="89">
        <f t="shared" si="88"/>
        <v>-37431.484758703271</v>
      </c>
      <c r="AD57" s="89">
        <f t="shared" si="88"/>
        <v>-439976.42925074504</v>
      </c>
      <c r="AE57" s="89">
        <f t="shared" si="88"/>
        <v>-513990.76935338799</v>
      </c>
      <c r="AF57" s="89">
        <f t="shared" si="88"/>
        <v>-330377.74080542306</v>
      </c>
      <c r="AG57" s="89">
        <f t="shared" si="88"/>
        <v>-292898.36572088208</v>
      </c>
      <c r="AH57" s="89">
        <f t="shared" si="88"/>
        <v>-487527.66345742811</v>
      </c>
      <c r="AI57" s="89">
        <f t="shared" si="88"/>
        <v>-474487.12585359626</v>
      </c>
      <c r="AJ57" s="89">
        <f t="shared" si="88"/>
        <v>-314839.39348556893</v>
      </c>
      <c r="AK57" s="89">
        <f t="shared" ref="AK57:AV57" si="89">AK24-AK45</f>
        <v>993632.8905653907</v>
      </c>
      <c r="AL57" s="89">
        <f t="shared" si="89"/>
        <v>2405880.9773027631</v>
      </c>
      <c r="AM57" s="89">
        <f t="shared" si="89"/>
        <v>-1377414.1726673483</v>
      </c>
      <c r="AN57" s="89">
        <f t="shared" si="89"/>
        <v>-500865.70792126446</v>
      </c>
      <c r="AO57" s="89">
        <f t="shared" si="89"/>
        <v>-365216.1584643884</v>
      </c>
      <c r="AP57" s="89">
        <f t="shared" si="89"/>
        <v>99435.729728311475</v>
      </c>
      <c r="AQ57" s="89">
        <f t="shared" si="89"/>
        <v>-277852.46916761767</v>
      </c>
      <c r="AR57" s="89">
        <f t="shared" si="89"/>
        <v>186953.30122343113</v>
      </c>
      <c r="AS57" s="89">
        <f t="shared" si="89"/>
        <v>-508174.29204377055</v>
      </c>
      <c r="AT57" s="89">
        <f t="shared" si="89"/>
        <v>-303495.13183108286</v>
      </c>
      <c r="AU57" s="89">
        <f t="shared" si="89"/>
        <v>24373.266658151406</v>
      </c>
      <c r="AV57" s="89">
        <f t="shared" si="89"/>
        <v>-94588.489079515042</v>
      </c>
      <c r="AW57" s="85">
        <f t="shared" si="83"/>
        <v>974620.34918671916</v>
      </c>
      <c r="AX57" s="89">
        <f t="shared" si="83"/>
        <v>2077707.5231455145</v>
      </c>
      <c r="AY57" s="90">
        <f t="shared" si="83"/>
        <v>-163109.85216204514</v>
      </c>
    </row>
    <row r="58" spans="1:53" x14ac:dyDescent="0.3">
      <c r="A58" s="139" t="s">
        <v>7</v>
      </c>
      <c r="B58" s="85">
        <f t="shared" si="80"/>
        <v>15564.884164562347</v>
      </c>
      <c r="C58" s="89">
        <f t="shared" si="80"/>
        <v>4597.8354210959724</v>
      </c>
      <c r="D58" s="89">
        <f t="shared" si="80"/>
        <v>11312.677650524363</v>
      </c>
      <c r="E58" s="89">
        <f t="shared" si="80"/>
        <v>51892.447129343942</v>
      </c>
      <c r="F58" s="89">
        <f t="shared" si="80"/>
        <v>26015.323756565842</v>
      </c>
      <c r="G58" s="89">
        <f t="shared" si="80"/>
        <v>59151.182786885998</v>
      </c>
      <c r="H58" s="89">
        <f t="shared" si="80"/>
        <v>-64129.410040150338</v>
      </c>
      <c r="I58" s="89">
        <f t="shared" si="80"/>
        <v>-160229.73638007068</v>
      </c>
      <c r="J58" s="89">
        <f t="shared" si="80"/>
        <v>-140589.51552474406</v>
      </c>
      <c r="K58" s="89">
        <f t="shared" si="80"/>
        <v>-22651.019717172428</v>
      </c>
      <c r="L58" s="89">
        <f t="shared" si="80"/>
        <v>-99607.159013046505</v>
      </c>
      <c r="M58" s="89">
        <f t="shared" si="80"/>
        <v>27186.405529417709</v>
      </c>
      <c r="N58" s="89">
        <f t="shared" si="80"/>
        <v>372522.52757092461</v>
      </c>
      <c r="O58" s="89">
        <f t="shared" si="80"/>
        <v>-60301.825543871091</v>
      </c>
      <c r="P58" s="89">
        <f t="shared" si="80"/>
        <v>-172174.48468375538</v>
      </c>
      <c r="Q58" s="89">
        <f t="shared" si="80"/>
        <v>-118202.43551040562</v>
      </c>
      <c r="R58" s="89">
        <f t="shared" si="80"/>
        <v>-55110.281381106266</v>
      </c>
      <c r="S58" s="89">
        <f t="shared" si="80"/>
        <v>-79123.144625289307</v>
      </c>
      <c r="T58" s="89">
        <f t="shared" si="80"/>
        <v>19737.61933321174</v>
      </c>
      <c r="U58" s="89">
        <f t="shared" si="80"/>
        <v>-164034.38087876508</v>
      </c>
      <c r="V58" s="89">
        <f t="shared" si="80"/>
        <v>-84525.122935170453</v>
      </c>
      <c r="W58" s="89">
        <f t="shared" si="80"/>
        <v>-51889.10709436328</v>
      </c>
      <c r="X58" s="89">
        <f t="shared" si="80"/>
        <v>33869.774983057723</v>
      </c>
      <c r="Y58" s="89">
        <f t="shared" ref="Y58:AJ58" si="90">Y25-Y46</f>
        <v>106260.63730839605</v>
      </c>
      <c r="Z58" s="89">
        <f t="shared" si="90"/>
        <v>671196.57355438452</v>
      </c>
      <c r="AA58" s="89">
        <f t="shared" si="90"/>
        <v>-77886.245504604158</v>
      </c>
      <c r="AB58" s="89">
        <f t="shared" si="90"/>
        <v>-276370.4844690091</v>
      </c>
      <c r="AC58" s="89">
        <f t="shared" si="90"/>
        <v>-19008.99440599425</v>
      </c>
      <c r="AD58" s="89">
        <f t="shared" si="90"/>
        <v>-196846.41833706616</v>
      </c>
      <c r="AE58" s="89">
        <f t="shared" si="90"/>
        <v>-214241.79635270085</v>
      </c>
      <c r="AF58" s="89">
        <f t="shared" si="90"/>
        <v>-138889.2727299121</v>
      </c>
      <c r="AG58" s="89">
        <f t="shared" si="90"/>
        <v>-125223.43105536501</v>
      </c>
      <c r="AH58" s="89">
        <f t="shared" si="90"/>
        <v>-207319.96593889315</v>
      </c>
      <c r="AI58" s="89">
        <f t="shared" si="90"/>
        <v>-215900.33174510469</v>
      </c>
      <c r="AJ58" s="89">
        <f t="shared" si="90"/>
        <v>-154547.4746635241</v>
      </c>
      <c r="AK58" s="89">
        <f t="shared" ref="AK58:AV58" si="91">AK25-AK46</f>
        <v>338348.75993812305</v>
      </c>
      <c r="AL58" s="89">
        <f t="shared" si="91"/>
        <v>1039204.5485643224</v>
      </c>
      <c r="AM58" s="89">
        <f t="shared" si="91"/>
        <v>-502176.95194633503</v>
      </c>
      <c r="AN58" s="89">
        <f t="shared" si="91"/>
        <v>-209553.56447953757</v>
      </c>
      <c r="AO58" s="89">
        <f t="shared" si="91"/>
        <v>-128709.21565671236</v>
      </c>
      <c r="AP58" s="89">
        <f t="shared" si="91"/>
        <v>272620.21728700027</v>
      </c>
      <c r="AQ58" s="89">
        <f t="shared" si="91"/>
        <v>-82584.461394454687</v>
      </c>
      <c r="AR58" s="89">
        <f t="shared" si="91"/>
        <v>76657.324950425129</v>
      </c>
      <c r="AS58" s="89">
        <f t="shared" si="91"/>
        <v>-182372.78146195086</v>
      </c>
      <c r="AT58" s="89">
        <f t="shared" si="91"/>
        <v>-109006.83719876384</v>
      </c>
      <c r="AU58" s="89">
        <f t="shared" si="91"/>
        <v>17179.085510865378</v>
      </c>
      <c r="AV58" s="89">
        <f t="shared" si="91"/>
        <v>-30108.45630599084</v>
      </c>
      <c r="AW58" s="85">
        <f t="shared" si="83"/>
        <v>380439.99035054637</v>
      </c>
      <c r="AX58" s="89">
        <f t="shared" si="83"/>
        <v>756245.35525589262</v>
      </c>
      <c r="AY58" s="90">
        <f t="shared" si="83"/>
        <v>-53364.577435098443</v>
      </c>
    </row>
    <row r="59" spans="1:53" x14ac:dyDescent="0.3">
      <c r="B59" s="75"/>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3"/>
      <c r="AX59" s="74"/>
      <c r="AY59" s="77"/>
    </row>
    <row r="60" spans="1:53" x14ac:dyDescent="0.3">
      <c r="A60" s="139" t="s">
        <v>70</v>
      </c>
      <c r="B60" s="75"/>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3"/>
      <c r="AX60" s="74"/>
      <c r="AY60" s="77"/>
    </row>
    <row r="61" spans="1:53" x14ac:dyDescent="0.3">
      <c r="A61" s="139" t="s">
        <v>0</v>
      </c>
      <c r="B61" s="85">
        <f>B54</f>
        <v>317847.94516670017</v>
      </c>
      <c r="C61" s="89">
        <f t="shared" ref="C61:X65" si="92">B61+C54+B68</f>
        <v>380785.03358046559</v>
      </c>
      <c r="D61" s="89">
        <f t="shared" si="92"/>
        <v>536464.83407633961</v>
      </c>
      <c r="E61" s="89">
        <f t="shared" si="92"/>
        <v>3147416.6185700605</v>
      </c>
      <c r="F61" s="89">
        <f t="shared" si="92"/>
        <v>4303585.3930421835</v>
      </c>
      <c r="G61" s="89">
        <f t="shared" si="92"/>
        <v>5998342.4052105891</v>
      </c>
      <c r="H61" s="89">
        <f t="shared" si="92"/>
        <v>4599079.1420380175</v>
      </c>
      <c r="I61" s="89">
        <f t="shared" si="92"/>
        <v>2863114.2094484335</v>
      </c>
      <c r="J61" s="89">
        <f t="shared" si="92"/>
        <v>2300145.3930115015</v>
      </c>
      <c r="K61" s="89">
        <f t="shared" si="92"/>
        <v>-200242.68486003499</v>
      </c>
      <c r="L61" s="89">
        <f t="shared" si="92"/>
        <v>-847961.17385014519</v>
      </c>
      <c r="M61" s="89">
        <f t="shared" si="92"/>
        <v>1113710.6427573096</v>
      </c>
      <c r="N61" s="89">
        <f t="shared" si="92"/>
        <v>3860020.2139158347</v>
      </c>
      <c r="O61" s="89">
        <f t="shared" si="92"/>
        <v>-692338.57228543039</v>
      </c>
      <c r="P61" s="89">
        <f t="shared" si="92"/>
        <v>-2286911.8465305078</v>
      </c>
      <c r="Q61" s="89">
        <f t="shared" si="92"/>
        <v>-1270760.8745248101</v>
      </c>
      <c r="R61" s="89">
        <f t="shared" si="92"/>
        <v>-1774330.2898671874</v>
      </c>
      <c r="S61" s="89">
        <f t="shared" si="92"/>
        <v>-1561223.5804622634</v>
      </c>
      <c r="T61" s="89">
        <f t="shared" si="92"/>
        <v>-1149369.7437150863</v>
      </c>
      <c r="U61" s="89">
        <f t="shared" si="92"/>
        <v>-1173554.6770951552</v>
      </c>
      <c r="V61" s="89">
        <f t="shared" si="92"/>
        <v>-1195409.7652450413</v>
      </c>
      <c r="W61" s="89">
        <f t="shared" si="92"/>
        <v>478238.46136928699</v>
      </c>
      <c r="X61" s="89">
        <f t="shared" si="92"/>
        <v>730904.78171482414</v>
      </c>
      <c r="Y61" s="89">
        <f>X61+Y54+X68+X78</f>
        <v>3233026.3496970977</v>
      </c>
      <c r="Z61" s="89">
        <f t="shared" ref="Z61:AI61" si="93">Y61+Z54+Y68+Y78</f>
        <v>6925461.375509738</v>
      </c>
      <c r="AA61" s="89">
        <f t="shared" si="93"/>
        <v>4897183.2504219189</v>
      </c>
      <c r="AB61" s="89">
        <f t="shared" si="93"/>
        <v>3516045.1557336175</v>
      </c>
      <c r="AC61" s="89">
        <f t="shared" si="93"/>
        <v>3070921.4974815724</v>
      </c>
      <c r="AD61" s="89">
        <f>AC61+AD54+AC68+AC78</f>
        <v>2779184.5527479611</v>
      </c>
      <c r="AE61" s="89">
        <f t="shared" si="93"/>
        <v>2537430.7838906622</v>
      </c>
      <c r="AF61" s="89">
        <f t="shared" si="93"/>
        <v>3480408.3667911594</v>
      </c>
      <c r="AG61" s="89">
        <f t="shared" si="93"/>
        <v>1270644.5962605095</v>
      </c>
      <c r="AH61" s="89">
        <f t="shared" si="93"/>
        <v>1218488.6670884858</v>
      </c>
      <c r="AI61" s="89">
        <f t="shared" si="93"/>
        <v>-511503.4185608562</v>
      </c>
      <c r="AJ61" s="89">
        <f>AI61+AJ54+AI68+AI78</f>
        <v>189402.98791099421</v>
      </c>
      <c r="AK61" s="89">
        <f>AJ61+AK54+AJ68+AJ78</f>
        <v>227460.4431316994</v>
      </c>
      <c r="AL61" s="89">
        <f>AK61+AL54+AK68+AK78</f>
        <v>3991441.7359302402</v>
      </c>
      <c r="AM61" s="89">
        <f>AL61+AM54+AL68+AL78</f>
        <v>936212.15020509972</v>
      </c>
      <c r="AN61" s="89">
        <f>AM61+AN54+AM68+AM78</f>
        <v>-1343023.5690318372</v>
      </c>
      <c r="AO61" s="89">
        <f t="shared" ref="AN61:AV62" si="94">AN61+AO54+AN68+AN78</f>
        <v>-1569605.4953114891</v>
      </c>
      <c r="AP61" s="89">
        <f t="shared" si="94"/>
        <v>-2360160.0372246415</v>
      </c>
      <c r="AQ61" s="89">
        <f t="shared" si="94"/>
        <v>-2635204.2682699864</v>
      </c>
      <c r="AR61" s="89">
        <f t="shared" si="94"/>
        <v>-2669669.2018571505</v>
      </c>
      <c r="AS61" s="89">
        <f t="shared" si="94"/>
        <v>-3898076.1372144246</v>
      </c>
      <c r="AT61" s="89">
        <f t="shared" si="94"/>
        <v>-3750576.3833709443</v>
      </c>
      <c r="AU61" s="89">
        <f t="shared" si="94"/>
        <v>-3926495.4389678938</v>
      </c>
      <c r="AV61" s="89">
        <f t="shared" si="94"/>
        <v>-4243009.8063993789</v>
      </c>
      <c r="AW61" s="85">
        <f>AV61+AW54+AV68+AV78</f>
        <v>-3784655.8187205312</v>
      </c>
      <c r="AX61" s="89">
        <f>AW61+AX54+AW68</f>
        <v>-2839047.5232653725</v>
      </c>
      <c r="AY61" s="90">
        <f>AX61+AY54+AX68</f>
        <v>-5538742.7497597793</v>
      </c>
    </row>
    <row r="62" spans="1:53" x14ac:dyDescent="0.3">
      <c r="A62" s="139" t="s">
        <v>4</v>
      </c>
      <c r="B62" s="85">
        <f>B55</f>
        <v>33385.711349135156</v>
      </c>
      <c r="C62" s="89">
        <f t="shared" si="92"/>
        <v>47273.359240133454</v>
      </c>
      <c r="D62" s="89">
        <f t="shared" si="92"/>
        <v>83547.797173387924</v>
      </c>
      <c r="E62" s="89">
        <f t="shared" si="92"/>
        <v>235175.10523157223</v>
      </c>
      <c r="F62" s="89">
        <f t="shared" si="92"/>
        <v>297577.24177132116</v>
      </c>
      <c r="G62" s="89">
        <f t="shared" si="92"/>
        <v>389307.76353172422</v>
      </c>
      <c r="H62" s="89">
        <f t="shared" si="92"/>
        <v>17623.177826970499</v>
      </c>
      <c r="I62" s="89">
        <f t="shared" si="92"/>
        <v>-400639.42076105648</v>
      </c>
      <c r="J62" s="89">
        <f t="shared" si="92"/>
        <v>-742083.41083366703</v>
      </c>
      <c r="K62" s="89">
        <f t="shared" si="92"/>
        <v>-795498.51968264813</v>
      </c>
      <c r="L62" s="89">
        <f t="shared" si="92"/>
        <v>-1015641.2219261352</v>
      </c>
      <c r="M62" s="89">
        <f t="shared" si="92"/>
        <v>-956085.22963017237</v>
      </c>
      <c r="N62" s="89">
        <f t="shared" si="92"/>
        <v>79993.844602424826</v>
      </c>
      <c r="O62" s="89">
        <f t="shared" si="92"/>
        <v>-88585.705380787069</v>
      </c>
      <c r="P62" s="89">
        <f t="shared" si="92"/>
        <v>-531338.80143085588</v>
      </c>
      <c r="Q62" s="89">
        <f t="shared" si="92"/>
        <v>-904789.41109839885</v>
      </c>
      <c r="R62" s="89">
        <f t="shared" si="92"/>
        <v>-1009564.928531144</v>
      </c>
      <c r="S62" s="89">
        <f t="shared" si="92"/>
        <v>-1149741.7498968055</v>
      </c>
      <c r="T62" s="89">
        <f t="shared" si="92"/>
        <v>-1323059.51980304</v>
      </c>
      <c r="U62" s="89">
        <f t="shared" si="92"/>
        <v>-1747248.6825954192</v>
      </c>
      <c r="V62" s="89">
        <f t="shared" si="92"/>
        <v>-1941288.6333732726</v>
      </c>
      <c r="W62" s="89">
        <f t="shared" si="92"/>
        <v>-2044363.8215405829</v>
      </c>
      <c r="X62" s="89">
        <f t="shared" si="92"/>
        <v>-1948309.5474017437</v>
      </c>
      <c r="Y62" s="89">
        <f>X62+Y55+X69+X79</f>
        <v>-1684572.7094730693</v>
      </c>
      <c r="Z62" s="89">
        <f t="shared" ref="Z62:AJ62" si="95">Y62+Z55+Y69+Y79</f>
        <v>83065.327476476901</v>
      </c>
      <c r="AA62" s="89">
        <f t="shared" si="95"/>
        <v>-131622.67149473183</v>
      </c>
      <c r="AB62" s="89">
        <f t="shared" si="95"/>
        <v>-908724.41156369133</v>
      </c>
      <c r="AC62" s="89">
        <f t="shared" si="95"/>
        <v>-962902.87029803789</v>
      </c>
      <c r="AD62" s="89">
        <f t="shared" si="95"/>
        <v>-1398630.0556505262</v>
      </c>
      <c r="AE62" s="89">
        <f t="shared" si="95"/>
        <v>-1879614.7509712616</v>
      </c>
      <c r="AF62" s="89">
        <f t="shared" si="95"/>
        <v>-2264343.7101981328</v>
      </c>
      <c r="AG62" s="89">
        <f t="shared" si="95"/>
        <v>-2566141.0579037764</v>
      </c>
      <c r="AH62" s="89">
        <f t="shared" si="95"/>
        <v>-3110897.4585767183</v>
      </c>
      <c r="AI62" s="89">
        <f t="shared" si="95"/>
        <v>-3640390.265315623</v>
      </c>
      <c r="AJ62" s="89">
        <f t="shared" si="95"/>
        <v>-3980881.8791184206</v>
      </c>
      <c r="AK62" s="89">
        <f>AJ62+AK55+AJ69+AJ79</f>
        <v>-2897501.0569120697</v>
      </c>
      <c r="AL62" s="89">
        <f>AK62+AL55+AK69+AK79</f>
        <v>-615532.3669832896</v>
      </c>
      <c r="AM62" s="89">
        <f>AL62+AM55+AL69+AL79</f>
        <v>-2217565.8756600819</v>
      </c>
      <c r="AN62" s="89">
        <f t="shared" si="94"/>
        <v>-3001354.4919289262</v>
      </c>
      <c r="AO62" s="89">
        <f t="shared" si="94"/>
        <v>-3397702.9352374114</v>
      </c>
      <c r="AP62" s="89">
        <f t="shared" si="94"/>
        <v>-3330967.5842692866</v>
      </c>
      <c r="AQ62" s="89">
        <f t="shared" si="94"/>
        <v>-3581292.7980246968</v>
      </c>
      <c r="AR62" s="89">
        <f t="shared" si="94"/>
        <v>-3341805.7392223412</v>
      </c>
      <c r="AS62" s="89">
        <f t="shared" si="94"/>
        <v>-3901418.8176453076</v>
      </c>
      <c r="AT62" s="89">
        <f t="shared" si="94"/>
        <v>-4231213.7013876503</v>
      </c>
      <c r="AU62" s="89">
        <f t="shared" si="94"/>
        <v>-4180536.2662836504</v>
      </c>
      <c r="AV62" s="89">
        <f t="shared" si="94"/>
        <v>-4258242.2252007471</v>
      </c>
      <c r="AW62" s="85">
        <f>AV62+AW55+AV69+AV79</f>
        <v>-3310775.7653937032</v>
      </c>
      <c r="AX62" s="89">
        <f t="shared" ref="AX62:AX65" si="96">AW62+AX55+AW69</f>
        <v>-973994.10080031212</v>
      </c>
      <c r="AY62" s="90">
        <f>AX62+AY55+AX69</f>
        <v>-1147606.3202075579</v>
      </c>
    </row>
    <row r="63" spans="1:53" x14ac:dyDescent="0.3">
      <c r="A63" s="139" t="s">
        <v>5</v>
      </c>
      <c r="B63" s="85">
        <f>B56</f>
        <v>72690.254284489041</v>
      </c>
      <c r="C63" s="89">
        <f t="shared" si="92"/>
        <v>101810.12644209334</v>
      </c>
      <c r="D63" s="89">
        <f t="shared" si="92"/>
        <v>175315.09705216042</v>
      </c>
      <c r="E63" s="89">
        <f t="shared" si="92"/>
        <v>488645.84480649739</v>
      </c>
      <c r="F63" s="89">
        <f t="shared" si="92"/>
        <v>633556.86646390089</v>
      </c>
      <c r="G63" s="89">
        <f t="shared" si="92"/>
        <v>884138.60747028841</v>
      </c>
      <c r="H63" s="89">
        <f t="shared" si="92"/>
        <v>11045.614806437827</v>
      </c>
      <c r="I63" s="89">
        <f t="shared" si="92"/>
        <v>-918478.84803854336</v>
      </c>
      <c r="J63" s="89">
        <f t="shared" si="92"/>
        <v>-1674944.8424353742</v>
      </c>
      <c r="K63" s="89">
        <f t="shared" si="92"/>
        <v>-1799390.5146490918</v>
      </c>
      <c r="L63" s="89">
        <f t="shared" si="92"/>
        <v>-2321855.6376373856</v>
      </c>
      <c r="M63" s="89">
        <f t="shared" si="92"/>
        <v>-2186687.4585264027</v>
      </c>
      <c r="N63" s="89">
        <f t="shared" si="92"/>
        <v>30358.369482626276</v>
      </c>
      <c r="O63" s="89">
        <f t="shared" si="92"/>
        <v>-320964.65378592862</v>
      </c>
      <c r="P63" s="89">
        <f t="shared" si="92"/>
        <v>-1235385.7100287953</v>
      </c>
      <c r="Q63" s="89">
        <f t="shared" si="92"/>
        <v>-2034165.9515074813</v>
      </c>
      <c r="R63" s="89">
        <f t="shared" si="92"/>
        <v>-2284296.8391146432</v>
      </c>
      <c r="S63" s="89">
        <f t="shared" si="92"/>
        <v>-2627189.6835988993</v>
      </c>
      <c r="T63" s="89">
        <f t="shared" si="92"/>
        <v>-3027412.9708860824</v>
      </c>
      <c r="U63" s="89">
        <f t="shared" si="92"/>
        <v>-3947156.390777831</v>
      </c>
      <c r="V63" s="89">
        <f t="shared" si="92"/>
        <v>-4379007.9251126116</v>
      </c>
      <c r="W63" s="89">
        <f t="shared" si="92"/>
        <v>-4617600.9207877805</v>
      </c>
      <c r="X63" s="89">
        <f t="shared" si="92"/>
        <v>-4386219.6339774681</v>
      </c>
      <c r="Y63" s="89">
        <f>X63+Y56+X70+X80</f>
        <v>-3765198.8438487281</v>
      </c>
      <c r="Z63" s="89">
        <f t="shared" ref="Z63:AI63" si="97">Y63+Z56+Y70+Y80</f>
        <v>114994.11737945068</v>
      </c>
      <c r="AA63" s="89">
        <f t="shared" si="97"/>
        <v>-309969.55986773345</v>
      </c>
      <c r="AB63" s="89">
        <f t="shared" si="97"/>
        <v>-1789222.3132756774</v>
      </c>
      <c r="AC63" s="89">
        <f t="shared" si="97"/>
        <v>-1897224.2834884818</v>
      </c>
      <c r="AD63" s="89">
        <f t="shared" si="97"/>
        <v>-2893576.1214224091</v>
      </c>
      <c r="AE63" s="89">
        <f t="shared" si="97"/>
        <v>-4039861.3881775634</v>
      </c>
      <c r="AF63" s="89">
        <f t="shared" si="97"/>
        <v>-4894745.7600457845</v>
      </c>
      <c r="AG63" s="89">
        <f t="shared" si="97"/>
        <v>-5558114.9643271109</v>
      </c>
      <c r="AH63" s="89">
        <f t="shared" si="97"/>
        <v>-6743219.1672698939</v>
      </c>
      <c r="AI63" s="89">
        <f t="shared" si="97"/>
        <v>-7904853.5228318749</v>
      </c>
      <c r="AJ63" s="89">
        <f>AI63+AJ56+AI70+AI80</f>
        <v>-8691732.9452126622</v>
      </c>
      <c r="AK63" s="89">
        <f t="shared" ref="AK63:AV63" si="98">AJ63+AK56+AJ70+AJ80</f>
        <v>-6197679.5546227852</v>
      </c>
      <c r="AL63" s="89">
        <f t="shared" ref="AL63:AM65" si="99">AK63+AL56+AK70+AK80</f>
        <v>-1168817.7619999263</v>
      </c>
      <c r="AM63" s="89">
        <f t="shared" si="99"/>
        <v>-4369967.3763940502</v>
      </c>
      <c r="AN63" s="89">
        <f t="shared" si="98"/>
        <v>-5886382.6025441838</v>
      </c>
      <c r="AO63" s="89">
        <f t="shared" si="98"/>
        <v>-6714701.4790945621</v>
      </c>
      <c r="AP63" s="89">
        <f t="shared" si="98"/>
        <v>-6564834.51240882</v>
      </c>
      <c r="AQ63" s="89">
        <f t="shared" si="98"/>
        <v>-7155466.9168464839</v>
      </c>
      <c r="AR63" s="89">
        <f t="shared" si="98"/>
        <v>-6637638.6091143712</v>
      </c>
      <c r="AS63" s="89">
        <f t="shared" si="98"/>
        <v>-7820973.2982903877</v>
      </c>
      <c r="AT63" s="89">
        <f t="shared" si="98"/>
        <v>-8534210.1400713213</v>
      </c>
      <c r="AU63" s="89">
        <f t="shared" si="98"/>
        <v>-8436303.8221144527</v>
      </c>
      <c r="AV63" s="89">
        <f t="shared" si="98"/>
        <v>-8626266.78237601</v>
      </c>
      <c r="AW63" s="85">
        <f>AV63+AW56+AV70+AV80</f>
        <v>-6399664.0975544481</v>
      </c>
      <c r="AX63" s="89">
        <f t="shared" si="96"/>
        <v>-1359800.5460482712</v>
      </c>
      <c r="AY63" s="90">
        <f>AX63+AY56+AX70</f>
        <v>-1721477.7643334612</v>
      </c>
    </row>
    <row r="64" spans="1:53" x14ac:dyDescent="0.3">
      <c r="A64" s="139" t="s">
        <v>6</v>
      </c>
      <c r="B64" s="85">
        <f>B57</f>
        <v>33417.905035113341</v>
      </c>
      <c r="C64" s="89">
        <f t="shared" si="92"/>
        <v>44825.92115164936</v>
      </c>
      <c r="D64" s="89">
        <f t="shared" si="92"/>
        <v>74111.134461929454</v>
      </c>
      <c r="E64" s="89">
        <f t="shared" si="92"/>
        <v>200824.59702634398</v>
      </c>
      <c r="F64" s="89">
        <f t="shared" si="92"/>
        <v>262474.34058907622</v>
      </c>
      <c r="G64" s="89">
        <f t="shared" si="92"/>
        <v>372251.51639879448</v>
      </c>
      <c r="H64" s="89">
        <f t="shared" si="92"/>
        <v>56090.19744834202</v>
      </c>
      <c r="I64" s="89">
        <f t="shared" si="92"/>
        <v>-322922.213791585</v>
      </c>
      <c r="J64" s="89">
        <f t="shared" si="92"/>
        <v>-639006.56872668734</v>
      </c>
      <c r="K64" s="89">
        <f t="shared" si="92"/>
        <v>-690077.51313072408</v>
      </c>
      <c r="L64" s="89">
        <f t="shared" si="92"/>
        <v>-906622.46638816921</v>
      </c>
      <c r="M64" s="89">
        <f t="shared" si="92"/>
        <v>-847037.45986124314</v>
      </c>
      <c r="N64" s="89">
        <f t="shared" si="92"/>
        <v>49067.08828063187</v>
      </c>
      <c r="O64" s="89">
        <f t="shared" si="92"/>
        <v>-92016.514604012467</v>
      </c>
      <c r="P64" s="89">
        <f t="shared" si="92"/>
        <v>-483922.19714243204</v>
      </c>
      <c r="Q64" s="89">
        <f t="shared" si="92"/>
        <v>-806891.51871778059</v>
      </c>
      <c r="R64" s="89">
        <f t="shared" si="92"/>
        <v>-925486.81801675167</v>
      </c>
      <c r="S64" s="89">
        <f t="shared" si="92"/>
        <v>-1087974.3635110764</v>
      </c>
      <c r="T64" s="89">
        <f t="shared" si="92"/>
        <v>-1273904.1000983492</v>
      </c>
      <c r="U64" s="89">
        <f t="shared" si="92"/>
        <v>-1653667.5235935142</v>
      </c>
      <c r="V64" s="89">
        <f t="shared" si="92"/>
        <v>-1844357.5273148036</v>
      </c>
      <c r="W64" s="89">
        <f t="shared" si="92"/>
        <v>-1953027.5132598663</v>
      </c>
      <c r="X64" s="89">
        <f t="shared" si="92"/>
        <v>-1854710.2578569169</v>
      </c>
      <c r="Y64" s="89">
        <f>X64+Y57+X71+X81</f>
        <v>-1576665.2469812538</v>
      </c>
      <c r="Z64" s="89">
        <f t="shared" ref="Z64:AI64" si="100">Y64+Z57+Y71+Y81</f>
        <v>141727.7557175041</v>
      </c>
      <c r="AA64" s="89">
        <f t="shared" si="100"/>
        <v>-36800.393301376826</v>
      </c>
      <c r="AB64" s="89">
        <f t="shared" si="100"/>
        <v>-665528.16976649489</v>
      </c>
      <c r="AC64" s="89">
        <f t="shared" si="100"/>
        <v>-703088.44365436374</v>
      </c>
      <c r="AD64" s="89">
        <f t="shared" si="100"/>
        <v>-1143216.6760052</v>
      </c>
      <c r="AE64" s="89">
        <f t="shared" si="100"/>
        <v>-1657421.9156650482</v>
      </c>
      <c r="AF64" s="89">
        <f t="shared" si="100"/>
        <v>-1988109.4175770297</v>
      </c>
      <c r="AG64" s="89">
        <f t="shared" si="100"/>
        <v>-2281341.8834287776</v>
      </c>
      <c r="AH64" s="89">
        <f t="shared" si="100"/>
        <v>-2769134.8460349478</v>
      </c>
      <c r="AI64" s="89">
        <f t="shared" si="100"/>
        <v>-3244095.2608783664</v>
      </c>
      <c r="AJ64" s="89">
        <f>AI64+AJ57+AI71+AI81</f>
        <v>-3559457.0429135566</v>
      </c>
      <c r="AK64" s="89">
        <f t="shared" ref="AK64:AV64" si="101">AJ64+AK57+AJ71+AJ81</f>
        <v>-2566269.0844785301</v>
      </c>
      <c r="AL64" s="89">
        <f t="shared" si="99"/>
        <v>-160715.75344257019</v>
      </c>
      <c r="AM64" s="89">
        <f t="shared" si="99"/>
        <v>-1538164.8099999223</v>
      </c>
      <c r="AN64" s="89">
        <f t="shared" si="101"/>
        <v>-2145944.3869282082</v>
      </c>
      <c r="AO64" s="89">
        <f t="shared" si="101"/>
        <v>-2511689.6083100368</v>
      </c>
      <c r="AP64" s="89">
        <f t="shared" si="101"/>
        <v>-2413694.53350726</v>
      </c>
      <c r="AQ64" s="89">
        <f t="shared" si="101"/>
        <v>-2692754.6866890695</v>
      </c>
      <c r="AR64" s="89">
        <f t="shared" si="101"/>
        <v>-2507932.48762374</v>
      </c>
      <c r="AS64" s="89">
        <f t="shared" si="101"/>
        <v>-3019212.1560122236</v>
      </c>
      <c r="AT64" s="89">
        <f t="shared" si="101"/>
        <v>-3327881.940717597</v>
      </c>
      <c r="AU64" s="89">
        <f t="shared" si="101"/>
        <v>-3310619.3982274663</v>
      </c>
      <c r="AV64" s="89">
        <f t="shared" si="101"/>
        <v>-3413047.6988915359</v>
      </c>
      <c r="AW64" s="85">
        <f>AV64+AW57+AV71+AV81</f>
        <v>-2448297.0872722147</v>
      </c>
      <c r="AX64" s="89">
        <f t="shared" si="96"/>
        <v>-377669.46803377103</v>
      </c>
      <c r="AY64" s="90">
        <f>AX64+AY57+AX71</f>
        <v>-541871.45217449404</v>
      </c>
    </row>
    <row r="65" spans="1:51" x14ac:dyDescent="0.3">
      <c r="A65" s="139" t="s">
        <v>7</v>
      </c>
      <c r="B65" s="85">
        <f>B58</f>
        <v>15564.884164562347</v>
      </c>
      <c r="C65" s="89">
        <f t="shared" si="92"/>
        <v>20162.71958565832</v>
      </c>
      <c r="D65" s="89">
        <f t="shared" si="92"/>
        <v>31475.397236182682</v>
      </c>
      <c r="E65" s="89">
        <f t="shared" si="92"/>
        <v>83367.844365526631</v>
      </c>
      <c r="F65" s="89">
        <f t="shared" si="92"/>
        <v>109576.84656129236</v>
      </c>
      <c r="G65" s="89">
        <f t="shared" si="92"/>
        <v>168971.13233951345</v>
      </c>
      <c r="H65" s="89">
        <f t="shared" si="92"/>
        <v>105218.71956590615</v>
      </c>
      <c r="I65" s="89">
        <f t="shared" si="92"/>
        <v>-54778.653810567303</v>
      </c>
      <c r="J65" s="89">
        <f t="shared" si="92"/>
        <v>-195486.62219417369</v>
      </c>
      <c r="K65" s="89">
        <f t="shared" si="92"/>
        <v>-218520.66373737672</v>
      </c>
      <c r="L65" s="89">
        <f t="shared" si="92"/>
        <v>-318531.51600360614</v>
      </c>
      <c r="M65" s="89">
        <f t="shared" si="92"/>
        <v>-291906.23877809558</v>
      </c>
      <c r="N65" s="89">
        <f t="shared" si="92"/>
        <v>80174.540027285373</v>
      </c>
      <c r="O65" s="89">
        <f t="shared" si="92"/>
        <v>20000.672982485714</v>
      </c>
      <c r="P65" s="89">
        <f t="shared" si="92"/>
        <v>-152142.326008506</v>
      </c>
      <c r="Q65" s="89">
        <f t="shared" si="92"/>
        <v>-270573.42927955277</v>
      </c>
      <c r="R65" s="89">
        <f t="shared" si="92"/>
        <v>-326109.54633895063</v>
      </c>
      <c r="S65" s="89">
        <f t="shared" si="92"/>
        <v>-405487.72493495431</v>
      </c>
      <c r="T65" s="89">
        <f t="shared" si="92"/>
        <v>-385793.71817190439</v>
      </c>
      <c r="U65" s="89">
        <f t="shared" si="92"/>
        <v>-549868.48875950917</v>
      </c>
      <c r="V65" s="89">
        <f t="shared" si="92"/>
        <v>-634482.35267896182</v>
      </c>
      <c r="W65" s="89">
        <f t="shared" si="92"/>
        <v>-686443.67708344234</v>
      </c>
      <c r="X65" s="89">
        <f t="shared" si="92"/>
        <v>-652644.78656262578</v>
      </c>
      <c r="Y65" s="89">
        <f>X65+Y58+X72+X82</f>
        <v>-546492.92338532349</v>
      </c>
      <c r="Z65" s="89">
        <f t="shared" ref="Z65:AI65" si="102">Y65+Z58+Y72+Y82</f>
        <v>124588.68445276846</v>
      </c>
      <c r="AA65" s="89">
        <f t="shared" si="102"/>
        <v>46731.997509726818</v>
      </c>
      <c r="AB65" s="89">
        <f t="shared" si="102"/>
        <v>-229630.45921992007</v>
      </c>
      <c r="AC65" s="89">
        <f t="shared" si="102"/>
        <v>-248683.89037287154</v>
      </c>
      <c r="AD65" s="89">
        <f t="shared" si="102"/>
        <v>-445580.8397779307</v>
      </c>
      <c r="AE65" s="89">
        <f t="shared" si="102"/>
        <v>-659906.22821012593</v>
      </c>
      <c r="AF65" s="89">
        <f t="shared" si="102"/>
        <v>-798918.83301471558</v>
      </c>
      <c r="AG65" s="89">
        <f t="shared" si="102"/>
        <v>-924276.52171420306</v>
      </c>
      <c r="AH65" s="89">
        <f t="shared" si="102"/>
        <v>-1131703.9725400368</v>
      </c>
      <c r="AI65" s="89">
        <f t="shared" si="102"/>
        <v>-1347797.7304126946</v>
      </c>
      <c r="AJ65" s="89">
        <f>AI65+AJ58+AI72+AI82</f>
        <v>-1502562.2375752528</v>
      </c>
      <c r="AK65" s="89">
        <f t="shared" ref="AK65:AV65" si="103">AJ65+AK58+AJ72+AJ82</f>
        <v>-1164401.2979168268</v>
      </c>
      <c r="AL65" s="89">
        <f t="shared" si="99"/>
        <v>-125345.4133178815</v>
      </c>
      <c r="AM65" s="89">
        <f t="shared" si="99"/>
        <v>-627549.57190399524</v>
      </c>
      <c r="AN65" s="89">
        <f t="shared" si="103"/>
        <v>-855568.80437959614</v>
      </c>
      <c r="AO65" s="89">
        <f t="shared" si="103"/>
        <v>-984488.95268231432</v>
      </c>
      <c r="AP65" s="89">
        <f t="shared" si="103"/>
        <v>-712433.41856879357</v>
      </c>
      <c r="AQ65" s="89">
        <f t="shared" si="103"/>
        <v>-795374.34364945116</v>
      </c>
      <c r="AR65" s="89">
        <f t="shared" si="103"/>
        <v>-719346.49452488893</v>
      </c>
      <c r="AS65" s="89">
        <f t="shared" si="103"/>
        <v>-902609.98640220123</v>
      </c>
      <c r="AT65" s="89">
        <f t="shared" si="103"/>
        <v>-1013163.8143784098</v>
      </c>
      <c r="AU65" s="89">
        <f t="shared" si="103"/>
        <v>-998149.56780997117</v>
      </c>
      <c r="AV65" s="89">
        <f t="shared" si="103"/>
        <v>-1030621.7221445014</v>
      </c>
      <c r="AW65" s="85">
        <f>AV65+AW58+AV72+AV82</f>
        <v>-653162.04933599499</v>
      </c>
      <c r="AX65" s="89">
        <f t="shared" si="96"/>
        <v>101194.5136776961</v>
      </c>
      <c r="AY65" s="90">
        <f>AX65+AY58+AX72</f>
        <v>48122.567164100365</v>
      </c>
    </row>
    <row r="66" spans="1:51" x14ac:dyDescent="0.3">
      <c r="B66" s="75"/>
      <c r="C66" s="74"/>
      <c r="D66" s="74"/>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74"/>
      <c r="AL66" s="74"/>
      <c r="AM66" s="74"/>
      <c r="AN66" s="74"/>
      <c r="AO66" s="74"/>
      <c r="AP66" s="74"/>
      <c r="AQ66" s="74"/>
      <c r="AR66" s="74"/>
      <c r="AS66" s="74"/>
      <c r="AT66" s="74"/>
      <c r="AU66" s="74"/>
      <c r="AV66" s="74"/>
      <c r="AW66" s="73"/>
      <c r="AX66" s="74"/>
      <c r="AY66" s="77"/>
    </row>
    <row r="67" spans="1:51" s="32" customFormat="1" x14ac:dyDescent="0.3">
      <c r="A67" s="32" t="s">
        <v>65</v>
      </c>
      <c r="B67" s="258">
        <v>0</v>
      </c>
      <c r="C67" s="160">
        <v>0</v>
      </c>
      <c r="D67" s="160">
        <v>0</v>
      </c>
      <c r="E67" s="160">
        <f>'[2]MEEIA 3 calcs'!F9/12</f>
        <v>2.3231791666666669E-3</v>
      </c>
      <c r="F67" s="160">
        <f>'[2]MEEIA 3 calcs'!G9/12</f>
        <v>2.2185616666666667E-3</v>
      </c>
      <c r="G67" s="160">
        <f>'[2]MEEIA 3 calcs'!H9/12</f>
        <v>2.2311341666666666E-3</v>
      </c>
      <c r="H67" s="160">
        <f>'[2]MEEIA 3 calcs'!I9/12</f>
        <v>2.2083808333333336E-3</v>
      </c>
      <c r="I67" s="160">
        <f>'[2]MEEIA 3 calcs'!J9/12</f>
        <v>2.1623908333333335E-3</v>
      </c>
      <c r="J67" s="160">
        <f>'[2]MEEIA 3 calcs'!K9/12</f>
        <v>1.959325E-3</v>
      </c>
      <c r="K67" s="160">
        <f>'[2]MEEIA 3 calcs'!L9/12</f>
        <v>1.8473916666666666E-3</v>
      </c>
      <c r="L67" s="160">
        <f>'[2]MEEIA 3 calcs'!M9/12</f>
        <v>1.76161E-3</v>
      </c>
      <c r="M67" s="160">
        <f>'[2]MEEIA 3 calcs'!N9/12</f>
        <v>1.5133241666666667E-3</v>
      </c>
      <c r="N67" s="160">
        <f>'[2]MEEIA 3 calcs'!O9/12</f>
        <v>1.5959991666666667E-3</v>
      </c>
      <c r="O67" s="160">
        <f>'[2]MEEIA 3 calcs'!P9/12</f>
        <v>1.5742316666666667E-3</v>
      </c>
      <c r="P67" s="160">
        <f>'[2]MEEIA 3 calcs'!Q9/12</f>
        <v>1.5029858333333332E-3</v>
      </c>
      <c r="Q67" s="160">
        <f>'[2]MEEIA 3 calcs'!R9/12</f>
        <v>1.5738266666666667E-3</v>
      </c>
      <c r="R67" s="160">
        <f>'[2]MEEIA 3 calcs'!S9/12</f>
        <v>7.8204999999999995E-4</v>
      </c>
      <c r="S67" s="160">
        <f>'[2]MEEIA 3 calcs'!T9/12</f>
        <v>1.0755583333333334E-4</v>
      </c>
      <c r="T67" s="160">
        <f>'[2]MEEIA 3 calcs'!U9/12</f>
        <v>1.046925E-4</v>
      </c>
      <c r="U67" s="160">
        <f>'[2]MEEIA 3 calcs'!V9/12</f>
        <v>1.6138583333333333E-4</v>
      </c>
      <c r="V67" s="160">
        <f>'[2]MEEIA 3 calcs'!W9/12</f>
        <v>1.1382083333333333E-4</v>
      </c>
      <c r="W67" s="160">
        <f>'[2]MEEIA 3 calcs'!X9/12</f>
        <v>1.0326333333333334E-4</v>
      </c>
      <c r="X67" s="160">
        <f>'[2]MEEIA 3 calcs'!Y9/12</f>
        <v>1.6666666666666666E-4</v>
      </c>
      <c r="Y67" s="160">
        <f>'[2]MEEIA 3 calcs'!Z9/12</f>
        <v>2.1037000000000001E-4</v>
      </c>
      <c r="Z67" s="160">
        <f>'[2]MEEIA 3 calcs'!AA9/12</f>
        <v>2.3724916666666669E-4</v>
      </c>
      <c r="AA67" s="160">
        <f>'[2]MEEIA 3 calcs'!AB9/12</f>
        <v>1.7178250000000002E-4</v>
      </c>
      <c r="AB67" s="160">
        <f>'[2]MEEIA 3 calcs'!AC9/12</f>
        <v>1.9351416666666668E-4</v>
      </c>
      <c r="AC67" s="160">
        <f>'[2]MEEIA 3 calcs'!AD9/12</f>
        <v>1.7806166666666664E-4</v>
      </c>
      <c r="AD67" s="160">
        <f>'[2]MEEIA 3 calcs'!AE9/12</f>
        <v>1.8760249999999999E-4</v>
      </c>
      <c r="AE67" s="160">
        <f>'[2]MEEIA 3 calcs'!AF9/12</f>
        <v>1.8689333333333334E-4</v>
      </c>
      <c r="AF67" s="160">
        <f>'[2]MEEIA 3 calcs'!AG9/12</f>
        <v>1.6804916666666666E-4</v>
      </c>
      <c r="AG67" s="160">
        <f>'[2]MEEIA 3 calcs'!AH9/12</f>
        <v>1.1629083333333334E-4</v>
      </c>
      <c r="AH67" s="160">
        <f>'[2]MEEIA 3 calcs'!AI9/12</f>
        <v>1.7091583333333333E-4</v>
      </c>
      <c r="AI67" s="160">
        <f>'[2]MEEIA 3 calcs'!AJ9/12</f>
        <v>1.6102749999999998E-4</v>
      </c>
      <c r="AJ67" s="160">
        <f>'[2]MEEIA 3 calcs'!AK9/12</f>
        <v>1.25E-4</v>
      </c>
      <c r="AK67" s="160">
        <f>'[2]MEEIA 3 calcs'!AL9/12</f>
        <v>1.2767416666666667E-4</v>
      </c>
      <c r="AL67" s="160">
        <f>'[2]MEEIA 3 calcs'!AM9/12</f>
        <v>2.1705333333333333E-4</v>
      </c>
      <c r="AM67" s="160">
        <f>'[2]MEEIA 3 calcs'!AN9/12</f>
        <v>1.9537499999999999E-4</v>
      </c>
      <c r="AN67" s="160">
        <f>'[2]MEEIA 3 calcs'!AO9/12</f>
        <v>2.4654083333333334E-4</v>
      </c>
      <c r="AO67" s="160">
        <f>'[2]MEEIA 3 calcs'!AP9/12</f>
        <v>5.7357999999999997E-4</v>
      </c>
      <c r="AP67" s="160">
        <f>'[2]MEEIA 3 calcs'!AQ9/12</f>
        <v>5.0034666666666668E-4</v>
      </c>
      <c r="AQ67" s="160">
        <f>'[2]MEEIA 3 calcs'!AR9/12</f>
        <v>7.9142083333333336E-4</v>
      </c>
      <c r="AR67" s="160">
        <f>'[2]MEEIA 3 calcs'!AS9/12</f>
        <v>1.2382216666666666E-3</v>
      </c>
      <c r="AS67" s="160">
        <f>'[2]MEEIA 3 calcs'!AT9/12</f>
        <v>1.7139083333333333E-3</v>
      </c>
      <c r="AT67" s="160">
        <f>'[2]MEEIA 3 calcs'!AU9/12</f>
        <v>2.1367116666666667E-3</v>
      </c>
      <c r="AU67" s="160">
        <f>'[2]MEEIA 3 calcs'!AV9/12</f>
        <v>2.3680800000000003E-3</v>
      </c>
      <c r="AV67" s="160">
        <f>'[2]MEEIA 3 calcs'!AW9/12</f>
        <v>2.8917666666666668E-3</v>
      </c>
      <c r="AW67" s="258">
        <f>AV67</f>
        <v>2.8917666666666668E-3</v>
      </c>
      <c r="AX67" s="160">
        <f>+AW67</f>
        <v>2.8917666666666668E-3</v>
      </c>
      <c r="AY67" s="206">
        <f>+AX67</f>
        <v>2.8917666666666668E-3</v>
      </c>
    </row>
    <row r="68" spans="1:51" x14ac:dyDescent="0.3">
      <c r="A68" s="139" t="s">
        <v>0</v>
      </c>
      <c r="B68" s="85">
        <f t="shared" ref="B68:L72" si="104">B61*B$67</f>
        <v>0</v>
      </c>
      <c r="C68" s="89">
        <f t="shared" si="104"/>
        <v>0</v>
      </c>
      <c r="D68" s="89">
        <f t="shared" si="104"/>
        <v>0</v>
      </c>
      <c r="E68" s="89">
        <f>E61*E$67</f>
        <v>7312.0127170824117</v>
      </c>
      <c r="F68" s="89">
        <f t="shared" si="104"/>
        <v>9547.7695822299884</v>
      </c>
      <c r="G68" s="89">
        <f t="shared" si="104"/>
        <v>13383.106683630856</v>
      </c>
      <c r="H68" s="89">
        <f t="shared" si="104"/>
        <v>10156.518228259871</v>
      </c>
      <c r="I68" s="89">
        <f t="shared" si="104"/>
        <v>6191.1719212977059</v>
      </c>
      <c r="J68" s="89">
        <f t="shared" si="104"/>
        <v>4506.7323721622606</v>
      </c>
      <c r="K68" s="89">
        <f t="shared" si="104"/>
        <v>-369.92666732138815</v>
      </c>
      <c r="L68" s="89">
        <f>L61*L$67</f>
        <v>-1493.7768834661542</v>
      </c>
      <c r="M68" s="89">
        <f t="shared" ref="M68:AY72" si="105">M61*M$67</f>
        <v>1685.4052303585033</v>
      </c>
      <c r="N68" s="89">
        <f t="shared" si="105"/>
        <v>6160.5890447261609</v>
      </c>
      <c r="O68" s="89">
        <f t="shared" si="105"/>
        <v>-1089.9013045465135</v>
      </c>
      <c r="P68" s="89">
        <f t="shared" si="105"/>
        <v>-3437.1961074175269</v>
      </c>
      <c r="Q68" s="89">
        <f t="shared" si="105"/>
        <v>-1999.9573512838001</v>
      </c>
      <c r="R68" s="89">
        <f t="shared" si="105"/>
        <v>-1387.6150031906338</v>
      </c>
      <c r="S68" s="89">
        <f t="shared" si="105"/>
        <v>-167.91870321626914</v>
      </c>
      <c r="T68" s="89">
        <f t="shared" si="105"/>
        <v>-120.33039189389167</v>
      </c>
      <c r="U68" s="89">
        <f t="shared" si="105"/>
        <v>-189.39509952523252</v>
      </c>
      <c r="V68" s="89">
        <f t="shared" si="105"/>
        <v>-136.06253565499497</v>
      </c>
      <c r="W68" s="89">
        <f t="shared" si="105"/>
        <v>49.384497649197144</v>
      </c>
      <c r="X68" s="89">
        <f t="shared" si="105"/>
        <v>121.81746361913736</v>
      </c>
      <c r="Y68" s="89">
        <f t="shared" ref="Y68:AJ68" si="106">Y61*Y$67</f>
        <v>680.13175318577851</v>
      </c>
      <c r="Z68" s="89">
        <f t="shared" si="106"/>
        <v>1643.0599401218726</v>
      </c>
      <c r="AA68" s="89">
        <f t="shared" si="106"/>
        <v>841.25038171560345</v>
      </c>
      <c r="AB68" s="89">
        <f t="shared" si="106"/>
        <v>680.40454827416124</v>
      </c>
      <c r="AC68" s="337">
        <f>AC61*AC$67-359.54</f>
        <v>187.27340004406454</v>
      </c>
      <c r="AD68" s="89">
        <f>AD61*AD$67</f>
        <v>521.38197005689938</v>
      </c>
      <c r="AE68" s="89">
        <f t="shared" si="106"/>
        <v>474.22889730393882</v>
      </c>
      <c r="AF68" s="89">
        <f t="shared" si="106"/>
        <v>584.87972569894862</v>
      </c>
      <c r="AG68" s="89">
        <f t="shared" si="106"/>
        <v>147.76431896963155</v>
      </c>
      <c r="AH68" s="89">
        <f t="shared" si="106"/>
        <v>208.25900594265113</v>
      </c>
      <c r="AI68" s="89">
        <f t="shared" si="106"/>
        <v>-82.366116732308257</v>
      </c>
      <c r="AJ68" s="89">
        <f t="shared" si="106"/>
        <v>23.675373488874278</v>
      </c>
      <c r="AK68" s="337">
        <f>(AK61*AK$67)+'[1]PCR1.B (M3)'!$D$10</f>
        <v>-95.289177473529477</v>
      </c>
      <c r="AL68" s="89">
        <f>AL61*AL$67</f>
        <v>866.35573358944509</v>
      </c>
      <c r="AM68" s="89">
        <f t="shared" ref="AM68:AV68" si="107">AM61*AM$67</f>
        <v>182.91244884632135</v>
      </c>
      <c r="AN68" s="89">
        <f>AN61*AN$67</f>
        <v>-331.11014989541667</v>
      </c>
      <c r="AO68" s="89">
        <f t="shared" si="107"/>
        <v>-900.29432000076383</v>
      </c>
      <c r="AP68" s="89">
        <f t="shared" si="107"/>
        <v>-1180.8982074252253</v>
      </c>
      <c r="AQ68" s="89">
        <f t="shared" si="107"/>
        <v>-2085.5555579977895</v>
      </c>
      <c r="AR68" s="89">
        <f t="shared" si="107"/>
        <v>-3305.6422485722305</v>
      </c>
      <c r="AS68" s="89">
        <f t="shared" si="107"/>
        <v>-6680.9451755396121</v>
      </c>
      <c r="AT68" s="89">
        <f t="shared" si="107"/>
        <v>-8013.9003150731696</v>
      </c>
      <c r="AU68" s="89">
        <f t="shared" si="107"/>
        <v>-9298.255319111091</v>
      </c>
      <c r="AV68" s="89">
        <f t="shared" si="107"/>
        <v>-12269.794324485511</v>
      </c>
      <c r="AW68" s="85">
        <f>AW61*AW$67</f>
        <v>-10944.341541382075</v>
      </c>
      <c r="AX68" s="89">
        <f>AX61*AX$67</f>
        <v>-8209.8629928613627</v>
      </c>
      <c r="AY68" s="90">
        <f t="shared" ref="AY68" si="108">AY61*AY$67</f>
        <v>-16016.751658997006</v>
      </c>
    </row>
    <row r="69" spans="1:51" x14ac:dyDescent="0.3">
      <c r="A69" s="139" t="s">
        <v>4</v>
      </c>
      <c r="B69" s="85">
        <f t="shared" si="104"/>
        <v>0</v>
      </c>
      <c r="C69" s="89">
        <f t="shared" si="104"/>
        <v>0</v>
      </c>
      <c r="D69" s="89">
        <f t="shared" si="104"/>
        <v>0</v>
      </c>
      <c r="E69" s="89">
        <f t="shared" si="104"/>
        <v>546.35390499262962</v>
      </c>
      <c r="F69" s="89">
        <f t="shared" si="104"/>
        <v>660.19346146625196</v>
      </c>
      <c r="G69" s="89">
        <f t="shared" si="104"/>
        <v>868.59785256421719</v>
      </c>
      <c r="H69" s="89">
        <f t="shared" si="104"/>
        <v>38.918688135506635</v>
      </c>
      <c r="I69" s="89">
        <f t="shared" si="104"/>
        <v>-866.33901092568499</v>
      </c>
      <c r="J69" s="89">
        <f t="shared" si="104"/>
        <v>-1453.9825789316747</v>
      </c>
      <c r="K69" s="89">
        <f t="shared" si="104"/>
        <v>-1469.5973361073934</v>
      </c>
      <c r="L69" s="89">
        <f t="shared" si="104"/>
        <v>-1789.1637329572991</v>
      </c>
      <c r="M69" s="89">
        <f t="shared" si="105"/>
        <v>-1446.8668833923894</v>
      </c>
      <c r="N69" s="89">
        <f t="shared" si="105"/>
        <v>127.67010932393285</v>
      </c>
      <c r="O69" s="89">
        <f t="shared" si="105"/>
        <v>-139.45442262443873</v>
      </c>
      <c r="P69" s="89">
        <f t="shared" si="105"/>
        <v>-798.59469125088935</v>
      </c>
      <c r="Q69" s="89">
        <f t="shared" si="105"/>
        <v>-1423.9817029042895</v>
      </c>
      <c r="R69" s="89">
        <f t="shared" si="105"/>
        <v>-789.53025235778114</v>
      </c>
      <c r="S69" s="89">
        <f t="shared" si="105"/>
        <v>-123.66143202827584</v>
      </c>
      <c r="T69" s="89">
        <f t="shared" si="105"/>
        <v>-138.51440877697976</v>
      </c>
      <c r="U69" s="89">
        <f t="shared" si="105"/>
        <v>-281.98118468123056</v>
      </c>
      <c r="V69" s="89">
        <f t="shared" si="105"/>
        <v>-220.95908999107371</v>
      </c>
      <c r="W69" s="89">
        <f t="shared" si="105"/>
        <v>-211.1078227583524</v>
      </c>
      <c r="X69" s="89">
        <f t="shared" si="105"/>
        <v>-324.71825790029061</v>
      </c>
      <c r="Y69" s="89">
        <f t="shared" ref="Y69:AJ69" si="109">Y62*Y$67</f>
        <v>-354.38356089184958</v>
      </c>
      <c r="Z69" s="89">
        <f t="shared" si="109"/>
        <v>19.707179722687915</v>
      </c>
      <c r="AA69" s="89">
        <f t="shared" si="109"/>
        <v>-22.610471566043774</v>
      </c>
      <c r="AB69" s="89">
        <f t="shared" si="109"/>
        <v>-175.85104723340476</v>
      </c>
      <c r="AC69" s="337">
        <f>AC62*AC$67-32.66</f>
        <v>-204.11608992338577</v>
      </c>
      <c r="AD69" s="89">
        <f t="shared" si="109"/>
        <v>-262.38649501517784</v>
      </c>
      <c r="AE69" s="89">
        <f t="shared" si="109"/>
        <v>-351.28746619152236</v>
      </c>
      <c r="AF69" s="89">
        <f t="shared" si="109"/>
        <v>-380.52107354570438</v>
      </c>
      <c r="AG69" s="89">
        <f t="shared" si="109"/>
        <v>-298.41868207451176</v>
      </c>
      <c r="AH69" s="89">
        <f t="shared" si="109"/>
        <v>-531.70163154718864</v>
      </c>
      <c r="AI69" s="89">
        <f t="shared" si="109"/>
        <v>-586.20294344811145</v>
      </c>
      <c r="AJ69" s="89">
        <f t="shared" si="109"/>
        <v>-497.6102348898026</v>
      </c>
      <c r="AK69" s="89">
        <f t="shared" ref="AK69:AV69" si="110">AK62*AK$67</f>
        <v>-369.93603285703443</v>
      </c>
      <c r="AL69" s="89">
        <f t="shared" si="110"/>
        <v>-133.60335202827963</v>
      </c>
      <c r="AM69" s="89">
        <f t="shared" si="110"/>
        <v>-433.25693295708845</v>
      </c>
      <c r="AN69" s="89">
        <f t="shared" si="110"/>
        <v>-739.9564375689007</v>
      </c>
      <c r="AO69" s="89">
        <f t="shared" si="110"/>
        <v>-1948.8544495934743</v>
      </c>
      <c r="AP69" s="89">
        <f t="shared" si="110"/>
        <v>-1666.6385275638568</v>
      </c>
      <c r="AQ69" s="89">
        <f t="shared" si="110"/>
        <v>-2834.3097306233708</v>
      </c>
      <c r="AR69" s="89">
        <f t="shared" si="110"/>
        <v>-4137.896272096119</v>
      </c>
      <c r="AS69" s="89">
        <f t="shared" si="110"/>
        <v>-6686.6742233857731</v>
      </c>
      <c r="AT69" s="89">
        <f t="shared" si="110"/>
        <v>-9040.8836799148412</v>
      </c>
      <c r="AU69" s="89">
        <f t="shared" si="110"/>
        <v>-9899.8443214609888</v>
      </c>
      <c r="AV69" s="89">
        <f t="shared" si="110"/>
        <v>-12313.842925428014</v>
      </c>
      <c r="AW69" s="85">
        <f t="shared" si="105"/>
        <v>-9573.9909991733311</v>
      </c>
      <c r="AX69" s="89">
        <f t="shared" si="105"/>
        <v>-2816.5636742243159</v>
      </c>
      <c r="AY69" s="90">
        <f t="shared" si="105"/>
        <v>-3318.6097032322091</v>
      </c>
    </row>
    <row r="70" spans="1:51" x14ac:dyDescent="0.3">
      <c r="A70" s="139" t="s">
        <v>5</v>
      </c>
      <c r="B70" s="85">
        <f t="shared" si="104"/>
        <v>0</v>
      </c>
      <c r="C70" s="89">
        <f t="shared" si="104"/>
        <v>0</v>
      </c>
      <c r="D70" s="89">
        <f t="shared" si="104"/>
        <v>0</v>
      </c>
      <c r="E70" s="89">
        <f t="shared" si="104"/>
        <v>1135.211846532688</v>
      </c>
      <c r="F70" s="89">
        <f t="shared" si="104"/>
        <v>1405.5849775902627</v>
      </c>
      <c r="G70" s="89">
        <f t="shared" si="104"/>
        <v>1972.6318551960489</v>
      </c>
      <c r="H70" s="89">
        <f t="shared" si="104"/>
        <v>24.392924030920177</v>
      </c>
      <c r="I70" s="89">
        <f t="shared" si="104"/>
        <v>-1986.110241609106</v>
      </c>
      <c r="J70" s="89">
        <f t="shared" si="104"/>
        <v>-3281.7613034046894</v>
      </c>
      <c r="K70" s="89">
        <f t="shared" si="104"/>
        <v>-3324.1790418417768</v>
      </c>
      <c r="L70" s="89">
        <f t="shared" si="104"/>
        <v>-4090.204109818395</v>
      </c>
      <c r="M70" s="89">
        <f t="shared" si="105"/>
        <v>-3309.1669759349197</v>
      </c>
      <c r="N70" s="89">
        <f t="shared" si="105"/>
        <v>48.451932395630301</v>
      </c>
      <c r="O70" s="89">
        <f t="shared" si="105"/>
        <v>-505.27272187051204</v>
      </c>
      <c r="P70" s="89">
        <f t="shared" si="105"/>
        <v>-1856.7672208757203</v>
      </c>
      <c r="Q70" s="89">
        <f t="shared" si="105"/>
        <v>-3201.4246189078476</v>
      </c>
      <c r="R70" s="89">
        <f t="shared" si="105"/>
        <v>-1786.4343430296067</v>
      </c>
      <c r="S70" s="89">
        <f t="shared" si="105"/>
        <v>-282.56957574421597</v>
      </c>
      <c r="T70" s="89">
        <f t="shared" si="105"/>
        <v>-316.94743245449121</v>
      </c>
      <c r="U70" s="89">
        <f t="shared" si="105"/>
        <v>-637.01512342267256</v>
      </c>
      <c r="V70" s="89">
        <f t="shared" si="105"/>
        <v>-498.42233120958838</v>
      </c>
      <c r="W70" s="89">
        <f t="shared" si="105"/>
        <v>-476.82886308361554</v>
      </c>
      <c r="X70" s="89">
        <f t="shared" si="105"/>
        <v>-731.03660566291137</v>
      </c>
      <c r="Y70" s="89">
        <f t="shared" ref="Y70:AJ70" si="111">Y63*Y$67</f>
        <v>-792.08488078045696</v>
      </c>
      <c r="Z70" s="89">
        <f t="shared" si="111"/>
        <v>27.282258519843527</v>
      </c>
      <c r="AA70" s="89">
        <f t="shared" si="111"/>
        <v>-53.247345917978926</v>
      </c>
      <c r="AB70" s="89">
        <f t="shared" si="111"/>
        <v>-346.23986493494834</v>
      </c>
      <c r="AC70" s="337">
        <f>AC63*AC$67-66.91</f>
        <v>-404.73291795843147</v>
      </c>
      <c r="AD70" s="89">
        <f t="shared" si="111"/>
        <v>-542.84211431914753</v>
      </c>
      <c r="AE70" s="89">
        <f t="shared" si="111"/>
        <v>-755.02316104113208</v>
      </c>
      <c r="AF70" s="89">
        <f t="shared" si="111"/>
        <v>-822.55794602089406</v>
      </c>
      <c r="AG70" s="89">
        <f t="shared" si="111"/>
        <v>-646.35782096407002</v>
      </c>
      <c r="AH70" s="89">
        <f t="shared" si="111"/>
        <v>-1152.5229233232399</v>
      </c>
      <c r="AI70" s="89">
        <f t="shared" si="111"/>
        <v>-1272.8988006478096</v>
      </c>
      <c r="AJ70" s="89">
        <f t="shared" si="111"/>
        <v>-1086.4666181515829</v>
      </c>
      <c r="AK70" s="89">
        <f t="shared" ref="AK70:AV70" si="112">AK63*AK$67</f>
        <v>-791.28357240350192</v>
      </c>
      <c r="AL70" s="89">
        <f t="shared" si="112"/>
        <v>-253.69579130129065</v>
      </c>
      <c r="AM70" s="89">
        <f t="shared" si="112"/>
        <v>-853.78237616298748</v>
      </c>
      <c r="AN70" s="89">
        <f t="shared" si="112"/>
        <v>-1451.2336721500785</v>
      </c>
      <c r="AO70" s="89">
        <f t="shared" si="112"/>
        <v>-3851.4184743790588</v>
      </c>
      <c r="AP70" s="89">
        <f t="shared" si="112"/>
        <v>-3284.6930655020451</v>
      </c>
      <c r="AQ70" s="89">
        <f t="shared" si="112"/>
        <v>-5662.9855902197423</v>
      </c>
      <c r="AR70" s="89">
        <f t="shared" si="112"/>
        <v>-8218.867941308612</v>
      </c>
      <c r="AS70" s="89">
        <f t="shared" si="112"/>
        <v>-13404.43131071738</v>
      </c>
      <c r="AT70" s="89">
        <f t="shared" si="112"/>
        <v>-18235.14637207536</v>
      </c>
      <c r="AU70" s="89">
        <f t="shared" si="112"/>
        <v>-19977.842355072797</v>
      </c>
      <c r="AV70" s="89">
        <f t="shared" si="112"/>
        <v>-24945.150739048866</v>
      </c>
      <c r="AW70" s="85">
        <f t="shared" si="105"/>
        <v>-18506.335315171367</v>
      </c>
      <c r="AX70" s="89">
        <f t="shared" si="105"/>
        <v>-3932.2258923775225</v>
      </c>
      <c r="AY70" s="90">
        <f t="shared" si="105"/>
        <v>-4978.1120163073592</v>
      </c>
    </row>
    <row r="71" spans="1:51" x14ac:dyDescent="0.3">
      <c r="A71" s="139" t="s">
        <v>6</v>
      </c>
      <c r="B71" s="85">
        <f t="shared" si="104"/>
        <v>0</v>
      </c>
      <c r="C71" s="89">
        <f t="shared" si="104"/>
        <v>0</v>
      </c>
      <c r="D71" s="89">
        <f t="shared" si="104"/>
        <v>0</v>
      </c>
      <c r="E71" s="89">
        <f t="shared" si="104"/>
        <v>466.55151996583101</v>
      </c>
      <c r="F71" s="89">
        <f t="shared" si="104"/>
        <v>582.31551051453528</v>
      </c>
      <c r="G71" s="89">
        <f t="shared" si="104"/>
        <v>830.54307683082732</v>
      </c>
      <c r="H71" s="89">
        <f t="shared" si="104"/>
        <v>123.86851698280077</v>
      </c>
      <c r="I71" s="89">
        <f t="shared" si="104"/>
        <v>-698.28403498263037</v>
      </c>
      <c r="J71" s="89">
        <f t="shared" si="104"/>
        <v>-1252.0215452704167</v>
      </c>
      <c r="K71" s="89">
        <f t="shared" si="104"/>
        <v>-1274.8434471117569</v>
      </c>
      <c r="L71" s="89">
        <f t="shared" si="104"/>
        <v>-1597.1152030140629</v>
      </c>
      <c r="M71" s="89">
        <f t="shared" si="105"/>
        <v>-1281.8422580799659</v>
      </c>
      <c r="N71" s="89">
        <f t="shared" si="105"/>
        <v>78.311032006648233</v>
      </c>
      <c r="O71" s="89">
        <f t="shared" si="105"/>
        <v>-144.85531114593223</v>
      </c>
      <c r="P71" s="89">
        <f t="shared" si="105"/>
        <v>-727.32820674061577</v>
      </c>
      <c r="Q71" s="89">
        <f t="shared" si="105"/>
        <v>-1269.9073892652088</v>
      </c>
      <c r="R71" s="89">
        <f t="shared" si="105"/>
        <v>-723.77696603000061</v>
      </c>
      <c r="S71" s="89">
        <f t="shared" si="105"/>
        <v>-117.01798931273676</v>
      </c>
      <c r="T71" s="89">
        <f t="shared" si="105"/>
        <v>-133.36820499954641</v>
      </c>
      <c r="U71" s="89">
        <f t="shared" si="105"/>
        <v>-266.87851135140897</v>
      </c>
      <c r="V71" s="89">
        <f t="shared" si="105"/>
        <v>-209.92631072357705</v>
      </c>
      <c r="W71" s="89">
        <f t="shared" si="105"/>
        <v>-201.67613111092467</v>
      </c>
      <c r="X71" s="89">
        <f t="shared" si="105"/>
        <v>-309.11837630948611</v>
      </c>
      <c r="Y71" s="89">
        <f t="shared" ref="Y71:AJ71" si="113">Y64*Y$67</f>
        <v>-331.68306800744637</v>
      </c>
      <c r="Z71" s="89">
        <f t="shared" si="113"/>
        <v>33.62479193751475</v>
      </c>
      <c r="AA71" s="89">
        <f t="shared" si="113"/>
        <v>-6.3216635622937654</v>
      </c>
      <c r="AB71" s="89">
        <f t="shared" si="113"/>
        <v>-128.78912916555512</v>
      </c>
      <c r="AC71" s="337">
        <f>AC64*AC$67-26.61</f>
        <v>-151.80310009116874</v>
      </c>
      <c r="AD71" s="89">
        <f t="shared" si="113"/>
        <v>-214.47030646026553</v>
      </c>
      <c r="AE71" s="89">
        <f t="shared" si="113"/>
        <v>-309.76110655835976</v>
      </c>
      <c r="AF71" s="89">
        <f t="shared" si="113"/>
        <v>-334.10013086597183</v>
      </c>
      <c r="AG71" s="89">
        <f t="shared" si="113"/>
        <v>-265.29914874216877</v>
      </c>
      <c r="AH71" s="89">
        <f t="shared" si="113"/>
        <v>-473.28898982243476</v>
      </c>
      <c r="AI71" s="89">
        <f t="shared" si="113"/>
        <v>-522.3885496210911</v>
      </c>
      <c r="AJ71" s="89">
        <f t="shared" si="113"/>
        <v>-444.93213036419456</v>
      </c>
      <c r="AK71" s="89">
        <f t="shared" ref="AK71:AV71" si="114">AK64*AK$67</f>
        <v>-327.64626680322596</v>
      </c>
      <c r="AL71" s="89">
        <f t="shared" si="114"/>
        <v>-34.883890003887998</v>
      </c>
      <c r="AM71" s="89">
        <f t="shared" si="114"/>
        <v>-300.51894975373483</v>
      </c>
      <c r="AN71" s="89">
        <f t="shared" si="114"/>
        <v>-529.06291744026953</v>
      </c>
      <c r="AO71" s="89">
        <f t="shared" si="114"/>
        <v>-1440.6549255344707</v>
      </c>
      <c r="AP71" s="89">
        <f t="shared" si="114"/>
        <v>-1207.6840141919126</v>
      </c>
      <c r="AQ71" s="89">
        <f t="shared" si="114"/>
        <v>-2131.1021581017026</v>
      </c>
      <c r="AR71" s="89">
        <f t="shared" si="114"/>
        <v>-3105.3763447129463</v>
      </c>
      <c r="AS71" s="89">
        <f t="shared" si="114"/>
        <v>-5174.6528742906503</v>
      </c>
      <c r="AT71" s="89">
        <f t="shared" si="114"/>
        <v>-7110.724168020598</v>
      </c>
      <c r="AU71" s="89">
        <f t="shared" si="114"/>
        <v>-7839.8115845544989</v>
      </c>
      <c r="AV71" s="89">
        <f t="shared" si="114"/>
        <v>-9869.737567397915</v>
      </c>
      <c r="AW71" s="85">
        <f t="shared" si="105"/>
        <v>-7079.9039070708814</v>
      </c>
      <c r="AX71" s="89">
        <f t="shared" si="105"/>
        <v>-1092.1319786777913</v>
      </c>
      <c r="AY71" s="90">
        <f t="shared" si="105"/>
        <v>-1566.9658030164628</v>
      </c>
    </row>
    <row r="72" spans="1:51" ht="15" thickBot="1" x14ac:dyDescent="0.35">
      <c r="A72" s="139" t="s">
        <v>7</v>
      </c>
      <c r="B72" s="85">
        <f t="shared" si="104"/>
        <v>0</v>
      </c>
      <c r="C72" s="89">
        <f t="shared" si="104"/>
        <v>0</v>
      </c>
      <c r="D72" s="89">
        <f t="shared" si="104"/>
        <v>0</v>
      </c>
      <c r="E72" s="89">
        <f t="shared" si="104"/>
        <v>193.67843919990054</v>
      </c>
      <c r="F72" s="89">
        <f t="shared" si="104"/>
        <v>243.10299133509838</v>
      </c>
      <c r="G72" s="89">
        <f t="shared" si="104"/>
        <v>376.99726654304339</v>
      </c>
      <c r="H72" s="89">
        <f t="shared" si="104"/>
        <v>232.36300359722216</v>
      </c>
      <c r="I72" s="89">
        <f t="shared" si="104"/>
        <v>-118.45285886231082</v>
      </c>
      <c r="J72" s="89">
        <f t="shared" si="104"/>
        <v>-383.02182603059936</v>
      </c>
      <c r="K72" s="89">
        <f t="shared" si="104"/>
        <v>-403.69325318289862</v>
      </c>
      <c r="L72" s="89">
        <f t="shared" si="104"/>
        <v>-561.12830390711258</v>
      </c>
      <c r="M72" s="89">
        <f t="shared" si="105"/>
        <v>-441.7487655436625</v>
      </c>
      <c r="N72" s="89">
        <f t="shared" si="105"/>
        <v>127.95849907143077</v>
      </c>
      <c r="O72" s="89">
        <f t="shared" si="105"/>
        <v>31.485692763673455</v>
      </c>
      <c r="P72" s="89">
        <f t="shared" si="105"/>
        <v>-228.66776064116604</v>
      </c>
      <c r="Q72" s="89">
        <f t="shared" si="105"/>
        <v>-425.83567829160762</v>
      </c>
      <c r="R72" s="89">
        <f t="shared" si="105"/>
        <v>-255.03397071437632</v>
      </c>
      <c r="S72" s="89">
        <f t="shared" si="105"/>
        <v>-43.612570161816457</v>
      </c>
      <c r="T72" s="89">
        <f t="shared" si="105"/>
        <v>-40.3897088397121</v>
      </c>
      <c r="U72" s="89">
        <f t="shared" si="105"/>
        <v>-88.74098428219402</v>
      </c>
      <c r="V72" s="89">
        <f t="shared" si="105"/>
        <v>-72.21731011721333</v>
      </c>
      <c r="W72" s="89">
        <f t="shared" si="105"/>
        <v>-70.884462241226544</v>
      </c>
      <c r="X72" s="89">
        <f t="shared" si="105"/>
        <v>-108.77413109377096</v>
      </c>
      <c r="Y72" s="89">
        <f t="shared" ref="Y72:AJ72" si="115">Y65*Y$67</f>
        <v>-114.96571629257051</v>
      </c>
      <c r="Z72" s="89">
        <f t="shared" si="115"/>
        <v>29.55856156251561</v>
      </c>
      <c r="AA72" s="89">
        <f t="shared" si="115"/>
        <v>8.027739362214648</v>
      </c>
      <c r="AB72" s="89">
        <f t="shared" si="115"/>
        <v>-44.436746957226816</v>
      </c>
      <c r="AC72" s="337">
        <f>AC65*AC$67-6.25</f>
        <v>-50.531067992944124</v>
      </c>
      <c r="AD72" s="89">
        <f>AD65*AD$67</f>
        <v>-83.592079494439247</v>
      </c>
      <c r="AE72" s="89">
        <f t="shared" si="115"/>
        <v>-123.3320746776178</v>
      </c>
      <c r="AF72" s="89">
        <f t="shared" si="115"/>
        <v>-134.25764412242876</v>
      </c>
      <c r="AG72" s="89">
        <f t="shared" si="115"/>
        <v>-107.48488694057944</v>
      </c>
      <c r="AH72" s="89">
        <f t="shared" si="115"/>
        <v>-193.42612755332416</v>
      </c>
      <c r="AI72" s="89">
        <f t="shared" si="115"/>
        <v>-217.03249903403017</v>
      </c>
      <c r="AJ72" s="89">
        <f t="shared" si="115"/>
        <v>-187.8202796969066</v>
      </c>
      <c r="AK72" s="89">
        <f t="shared" ref="AK72:AV72" si="116">AK65*AK$67</f>
        <v>-148.66396537711594</v>
      </c>
      <c r="AL72" s="89">
        <f t="shared" si="116"/>
        <v>-27.206639778690572</v>
      </c>
      <c r="AM72" s="89">
        <f t="shared" si="116"/>
        <v>-122.60749761074307</v>
      </c>
      <c r="AN72" s="89">
        <f t="shared" si="116"/>
        <v>-210.93264600574929</v>
      </c>
      <c r="AO72" s="89">
        <f t="shared" si="116"/>
        <v>-564.68317347952177</v>
      </c>
      <c r="AP72" s="89">
        <f t="shared" si="116"/>
        <v>-356.46368620283397</v>
      </c>
      <c r="AQ72" s="89">
        <f t="shared" si="116"/>
        <v>-629.47582586300166</v>
      </c>
      <c r="AR72" s="89">
        <f t="shared" si="116"/>
        <v>-890.71041536143218</v>
      </c>
      <c r="AS72" s="89">
        <f t="shared" si="116"/>
        <v>-1546.9907774446192</v>
      </c>
      <c r="AT72" s="89">
        <f t="shared" si="116"/>
        <v>-2164.8389424268494</v>
      </c>
      <c r="AU72" s="89">
        <f t="shared" si="116"/>
        <v>-2363.6980285394366</v>
      </c>
      <c r="AV72" s="89">
        <f t="shared" si="116"/>
        <v>-2980.3175420400644</v>
      </c>
      <c r="AW72" s="85">
        <f t="shared" si="105"/>
        <v>-1888.7922422015192</v>
      </c>
      <c r="AX72" s="89">
        <f t="shared" si="105"/>
        <v>292.63092150270569</v>
      </c>
      <c r="AY72" s="90">
        <f t="shared" si="105"/>
        <v>139.1592356395733</v>
      </c>
    </row>
    <row r="73" spans="1:51" ht="15.6" thickTop="1" thickBot="1" x14ac:dyDescent="0.35">
      <c r="A73" s="101" t="s">
        <v>71</v>
      </c>
      <c r="B73" s="105">
        <f>SUM(B68:B72)+SUM(B61:B65)-B76</f>
        <v>0</v>
      </c>
      <c r="C73" s="106">
        <f t="shared" ref="C73:J73" si="117">SUM(C68:C72)+SUM(C61:C65)-C76</f>
        <v>0</v>
      </c>
      <c r="D73" s="106">
        <f t="shared" si="117"/>
        <v>0</v>
      </c>
      <c r="E73" s="106">
        <f t="shared" si="117"/>
        <v>0</v>
      </c>
      <c r="F73" s="106">
        <f t="shared" si="117"/>
        <v>0</v>
      </c>
      <c r="G73" s="106">
        <f t="shared" si="117"/>
        <v>0</v>
      </c>
      <c r="H73" s="106">
        <f t="shared" si="117"/>
        <v>0</v>
      </c>
      <c r="I73" s="106">
        <f t="shared" si="117"/>
        <v>0</v>
      </c>
      <c r="J73" s="106">
        <f t="shared" si="117"/>
        <v>0</v>
      </c>
      <c r="K73" s="106">
        <f t="shared" ref="K73:L73" si="118">SUM(K68:K72)+SUM(K61:K65)-K76</f>
        <v>0</v>
      </c>
      <c r="L73" s="106">
        <f t="shared" si="118"/>
        <v>0</v>
      </c>
      <c r="M73" s="106">
        <f t="shared" ref="M73:N73" si="119">SUM(M68:M72)+SUM(M61:M65)-M76</f>
        <v>0</v>
      </c>
      <c r="N73" s="106">
        <f t="shared" si="119"/>
        <v>0</v>
      </c>
      <c r="O73" s="106">
        <f t="shared" ref="O73:W73" si="120">SUM(O68:O72)+SUM(O61:O65)-O76</f>
        <v>0</v>
      </c>
      <c r="P73" s="106">
        <f t="shared" si="120"/>
        <v>0</v>
      </c>
      <c r="Q73" s="106">
        <f t="shared" si="120"/>
        <v>0</v>
      </c>
      <c r="R73" s="106">
        <f t="shared" si="120"/>
        <v>0</v>
      </c>
      <c r="S73" s="106">
        <f t="shared" si="120"/>
        <v>0</v>
      </c>
      <c r="T73" s="106">
        <f t="shared" si="120"/>
        <v>0</v>
      </c>
      <c r="U73" s="106">
        <f t="shared" si="120"/>
        <v>0</v>
      </c>
      <c r="V73" s="106">
        <f t="shared" si="120"/>
        <v>0</v>
      </c>
      <c r="W73" s="106">
        <f t="shared" si="120"/>
        <v>0</v>
      </c>
      <c r="X73" s="106">
        <f t="shared" ref="X73:AI73" si="121">SUM(X68:X72)+SUM(X61:X65)-X76</f>
        <v>0</v>
      </c>
      <c r="Y73" s="106">
        <f t="shared" si="121"/>
        <v>0</v>
      </c>
      <c r="Z73" s="106">
        <f t="shared" si="121"/>
        <v>0</v>
      </c>
      <c r="AA73" s="106">
        <f t="shared" si="121"/>
        <v>0</v>
      </c>
      <c r="AB73" s="106">
        <f t="shared" si="121"/>
        <v>1.4260876923799515E-9</v>
      </c>
      <c r="AC73" s="106">
        <f>SUM(AC68:AC72)+SUM(AC61:AC65)-AC76</f>
        <v>1.9790604710578918E-9</v>
      </c>
      <c r="AD73" s="106">
        <f>SUM(AD68:AD72)+SUM(AD61:AD65)-AD76</f>
        <v>0</v>
      </c>
      <c r="AE73" s="106">
        <f>SUM(AE68:AE72)+SUM(AE61:AE65)-AE76</f>
        <v>0</v>
      </c>
      <c r="AF73" s="106">
        <f t="shared" si="121"/>
        <v>0</v>
      </c>
      <c r="AG73" s="106">
        <f t="shared" si="121"/>
        <v>0</v>
      </c>
      <c r="AH73" s="106">
        <f t="shared" si="121"/>
        <v>0</v>
      </c>
      <c r="AI73" s="106">
        <f t="shared" si="121"/>
        <v>0</v>
      </c>
      <c r="AJ73" s="106">
        <f t="shared" ref="AJ73:AV73" si="122">SUM(AJ68:AJ72)+SUM(AJ61:AJ65)-AJ76</f>
        <v>0</v>
      </c>
      <c r="AK73" s="106">
        <f>SUM(AK68:AK72)+SUM(AK61:AK65)-AK76</f>
        <v>0</v>
      </c>
      <c r="AL73" s="106">
        <f t="shared" si="122"/>
        <v>0</v>
      </c>
      <c r="AM73" s="106">
        <f>SUM(AM68:AM72)+SUM(AM61:AM65)-AM76</f>
        <v>0</v>
      </c>
      <c r="AN73" s="106">
        <f t="shared" si="122"/>
        <v>0</v>
      </c>
      <c r="AO73" s="106">
        <f t="shared" si="122"/>
        <v>0</v>
      </c>
      <c r="AP73" s="106">
        <f t="shared" si="122"/>
        <v>0</v>
      </c>
      <c r="AQ73" s="106">
        <f t="shared" si="122"/>
        <v>0</v>
      </c>
      <c r="AR73" s="106">
        <f t="shared" si="122"/>
        <v>0</v>
      </c>
      <c r="AS73" s="106">
        <f t="shared" si="122"/>
        <v>0</v>
      </c>
      <c r="AT73" s="106">
        <f t="shared" si="122"/>
        <v>0</v>
      </c>
      <c r="AU73" s="106">
        <f t="shared" si="122"/>
        <v>0</v>
      </c>
      <c r="AV73" s="106">
        <f t="shared" si="122"/>
        <v>0</v>
      </c>
      <c r="AW73" s="105">
        <f>SUM(AW68:AW72)+SUM(AW61:AW65)-AW76</f>
        <v>0</v>
      </c>
      <c r="AX73" s="106">
        <f>SUM(AX68:AX72)+SUM(AX61:AX65)-AX76</f>
        <v>1.3969838619232178E-8</v>
      </c>
      <c r="AY73" s="107">
        <f>SUM(AY68:AY72)+SUM(AY61:AY65)-AY76</f>
        <v>1.4901161193847656E-8</v>
      </c>
    </row>
    <row r="74" spans="1:51" ht="15.6" thickTop="1" thickBot="1" x14ac:dyDescent="0.35">
      <c r="A74" s="101" t="s">
        <v>72</v>
      </c>
      <c r="B74" s="105">
        <f t="shared" ref="B74:J74" si="123">SUM(B68:B72)-B51</f>
        <v>0</v>
      </c>
      <c r="C74" s="106">
        <f t="shared" si="123"/>
        <v>0</v>
      </c>
      <c r="D74" s="103">
        <f>SUM(D68:D72)-D51</f>
        <v>0</v>
      </c>
      <c r="E74" s="106">
        <f>SUM(E68:E72)-E51</f>
        <v>-1.57222653797362E-3</v>
      </c>
      <c r="F74" s="106">
        <f t="shared" si="123"/>
        <v>-3.4768638633977389E-3</v>
      </c>
      <c r="G74" s="106">
        <f t="shared" si="123"/>
        <v>-3.2652350091666449E-3</v>
      </c>
      <c r="H74" s="106">
        <f t="shared" si="123"/>
        <v>1.361006321531022E-3</v>
      </c>
      <c r="I74" s="106">
        <f t="shared" si="123"/>
        <v>-4.2250820260960609E-3</v>
      </c>
      <c r="J74" s="106">
        <f t="shared" si="123"/>
        <v>-4.8814751196459838E-3</v>
      </c>
      <c r="K74" s="106">
        <f t="shared" ref="K74" si="124">SUM(K68:K72)-K51</f>
        <v>2.5443478534725728E-4</v>
      </c>
      <c r="L74" s="106">
        <f>SUM(L68:L72)-L51</f>
        <v>1.7668369764578529E-3</v>
      </c>
      <c r="M74" s="106">
        <f>SUM(M68:M72)-M51</f>
        <v>3.4740756564133335E-4</v>
      </c>
      <c r="N74" s="106">
        <f>SUM(N68:N72)-N51</f>
        <v>6.1752380315738264E-4</v>
      </c>
      <c r="O74" s="106">
        <f t="shared" ref="O74:W74" si="125">SUM(O68:O72)-O51</f>
        <v>1.9325762768858112E-3</v>
      </c>
      <c r="P74" s="106">
        <f t="shared" si="125"/>
        <v>-3.986925918070483E-3</v>
      </c>
      <c r="Q74" s="106">
        <f t="shared" si="125"/>
        <v>3.2593472478765761E-3</v>
      </c>
      <c r="R74" s="106">
        <f t="shared" si="125"/>
        <v>-5.3532239871856291E-4</v>
      </c>
      <c r="S74" s="106">
        <f t="shared" si="125"/>
        <v>-2.7046331422297953E-4</v>
      </c>
      <c r="T74" s="106">
        <f t="shared" si="125"/>
        <v>-1.4696462108076958E-4</v>
      </c>
      <c r="U74" s="106">
        <f t="shared" si="125"/>
        <v>-9.032627388023684E-4</v>
      </c>
      <c r="V74" s="106">
        <f t="shared" si="125"/>
        <v>2.4223035525210435E-3</v>
      </c>
      <c r="W74" s="106">
        <f t="shared" si="125"/>
        <v>-2.7815449219588118E-3</v>
      </c>
      <c r="X74" s="106">
        <f>SUM(X68:X72)-X51</f>
        <v>9.2652678176818881E-5</v>
      </c>
      <c r="Y74" s="106">
        <f>SUM(Y68:Y72)-Y51</f>
        <v>4.5272134550486953E-3</v>
      </c>
      <c r="Z74" s="106">
        <f>SUM(Z68:Z72)-Z51</f>
        <v>2.7318644345086796E-3</v>
      </c>
      <c r="AA74" s="106">
        <f t="shared" ref="AA74:AI74" si="126">SUM(AA68:AA72)-AA51</f>
        <v>-1.3599684983773841E-3</v>
      </c>
      <c r="AB74" s="106">
        <f t="shared" si="126"/>
        <v>-2.2400169737970543E-3</v>
      </c>
      <c r="AC74" s="300">
        <f>SUM(AC68:AC72)-AC51</f>
        <v>8.0224078134392585E-2</v>
      </c>
      <c r="AD74" s="300">
        <f t="shared" si="126"/>
        <v>9.7476786925199121E-4</v>
      </c>
      <c r="AE74" s="300">
        <f t="shared" si="126"/>
        <v>-4.9111646931123687E-3</v>
      </c>
      <c r="AF74" s="300">
        <f t="shared" si="126"/>
        <v>2.9311439495813829E-3</v>
      </c>
      <c r="AG74" s="300">
        <f t="shared" si="126"/>
        <v>3.7802483016093902E-3</v>
      </c>
      <c r="AH74" s="300">
        <f t="shared" si="126"/>
        <v>-6.6630353649088647E-4</v>
      </c>
      <c r="AI74" s="300">
        <f t="shared" si="126"/>
        <v>-16.308909483350362</v>
      </c>
      <c r="AJ74" s="300">
        <f>SUM(AJ68:AJ72)-AJ51</f>
        <v>16.306110386387445</v>
      </c>
      <c r="AK74" s="300">
        <f>SUM(AK68:AK72)-AK51</f>
        <v>1.0985085592210453E-2</v>
      </c>
      <c r="AL74" s="300">
        <f t="shared" ref="AL74:AV74" si="127">SUM(AL68:AL72)-AL51</f>
        <v>-3.9395227037175573E-3</v>
      </c>
      <c r="AM74" s="300">
        <f>SUM(AM68:AM72)-AM51</f>
        <v>-3.3076382326271414E-3</v>
      </c>
      <c r="AN74" s="300">
        <f t="shared" si="127"/>
        <v>4.1769395857045311E-3</v>
      </c>
      <c r="AO74" s="300">
        <f t="shared" si="127"/>
        <v>4.6570127105951542E-3</v>
      </c>
      <c r="AP74" s="300">
        <f t="shared" si="127"/>
        <v>2.4991141262944438E-3</v>
      </c>
      <c r="AQ74" s="300">
        <f t="shared" si="127"/>
        <v>1.1371943946869578E-3</v>
      </c>
      <c r="AR74" s="300">
        <f t="shared" si="127"/>
        <v>-3.222051338525489E-3</v>
      </c>
      <c r="AS74" s="300">
        <f t="shared" si="127"/>
        <v>-4.3613780289888382E-3</v>
      </c>
      <c r="AT74" s="300">
        <f t="shared" si="127"/>
        <v>-3.477510814263951E-3</v>
      </c>
      <c r="AU74" s="300">
        <f t="shared" si="127"/>
        <v>-1.6087388139567338E-3</v>
      </c>
      <c r="AV74" s="300">
        <f t="shared" si="127"/>
        <v>-3.0984003678895533E-3</v>
      </c>
      <c r="AW74" s="105">
        <f>SUM(AW68:AW72)-AW51</f>
        <v>-4.004999173048418E-3</v>
      </c>
      <c r="AX74" s="300">
        <f>SUM(AX68:AX72)-AX51</f>
        <v>-3.6166382869851077E-3</v>
      </c>
      <c r="AY74" s="309">
        <f>SUM(AY68:AY72)-AY51</f>
        <v>5.4086533054942265E-5</v>
      </c>
    </row>
    <row r="75" spans="1:51" ht="15" thickTop="1" x14ac:dyDescent="0.3">
      <c r="B75" s="75"/>
      <c r="C75" s="74"/>
      <c r="D75" s="74"/>
      <c r="E75" s="74"/>
      <c r="F75" s="74"/>
      <c r="G75" s="74"/>
      <c r="H75" s="74"/>
      <c r="I75" s="74"/>
      <c r="J75" s="74"/>
      <c r="K75" s="74"/>
      <c r="L75" s="74"/>
      <c r="M75" s="176"/>
      <c r="N75" s="176"/>
      <c r="O75" s="74"/>
      <c r="P75" s="74"/>
      <c r="Q75" s="74"/>
      <c r="R75" s="74"/>
      <c r="S75" s="74"/>
      <c r="T75" s="74"/>
      <c r="U75" s="74"/>
      <c r="V75" s="74"/>
      <c r="W75" s="74"/>
      <c r="X75" s="74"/>
      <c r="Y75" s="176"/>
      <c r="Z75" s="176"/>
      <c r="AA75" s="74"/>
      <c r="AB75" s="74"/>
      <c r="AC75" s="74"/>
      <c r="AD75" s="74"/>
      <c r="AE75" s="74"/>
      <c r="AF75" s="74"/>
      <c r="AG75" s="74"/>
      <c r="AH75" s="74"/>
      <c r="AI75" s="74"/>
      <c r="AJ75" s="74"/>
      <c r="AK75" s="74"/>
      <c r="AL75" s="74"/>
      <c r="AM75" s="74"/>
      <c r="AN75" s="74"/>
      <c r="AO75" s="74"/>
      <c r="AP75" s="74"/>
      <c r="AQ75" s="74"/>
      <c r="AR75" s="74"/>
      <c r="AS75" s="74"/>
      <c r="AT75" s="74"/>
      <c r="AU75" s="74"/>
      <c r="AV75" s="74"/>
      <c r="AW75" s="73"/>
      <c r="AX75" s="74"/>
      <c r="AY75" s="77"/>
    </row>
    <row r="76" spans="1:51" x14ac:dyDescent="0.3">
      <c r="A76" s="139" t="s">
        <v>73</v>
      </c>
      <c r="B76" s="85">
        <f>(SUM(B15:B18)-SUM(B35:B39))+SUM(B68:B72)</f>
        <v>472906.7</v>
      </c>
      <c r="C76" s="89">
        <f t="shared" ref="C76:J76" si="128">(SUM(C15:C18)-SUM(C35:C39))+SUM(C68:C72)+B76</f>
        <v>594857.16</v>
      </c>
      <c r="D76" s="89">
        <f t="shared" si="128"/>
        <v>900914.26</v>
      </c>
      <c r="E76" s="89">
        <f t="shared" si="128"/>
        <v>4165083.8184277741</v>
      </c>
      <c r="F76" s="89">
        <f t="shared" si="128"/>
        <v>5619209.6549509112</v>
      </c>
      <c r="G76" s="89">
        <f t="shared" si="128"/>
        <v>7830443.301685676</v>
      </c>
      <c r="H76" s="89">
        <f t="shared" si="128"/>
        <v>4799632.9130466823</v>
      </c>
      <c r="I76" s="89">
        <f t="shared" si="128"/>
        <v>1168817.0588215999</v>
      </c>
      <c r="J76" s="89">
        <f t="shared" si="128"/>
        <v>-953240.10605987534</v>
      </c>
      <c r="K76" s="89">
        <f t="shared" ref="K76" si="129">(SUM(K15:K18)-SUM(K35:K39))+SUM(K68:K72)+J76</f>
        <v>-3710572.1358054406</v>
      </c>
      <c r="L76" s="89">
        <f t="shared" ref="L76:W76" si="130">(SUM(L15:L18)-SUM(L35:L39))+SUM(L68:L72)+K76</f>
        <v>-5420143.4040386043</v>
      </c>
      <c r="M76" s="89">
        <f t="shared" si="130"/>
        <v>-3172799.9636911964</v>
      </c>
      <c r="N76" s="89">
        <f t="shared" si="130"/>
        <v>4106157.0369263273</v>
      </c>
      <c r="O76" s="89">
        <f t="shared" si="130"/>
        <v>-1175752.7711410951</v>
      </c>
      <c r="P76" s="89">
        <f t="shared" si="130"/>
        <v>-4696749.4351280211</v>
      </c>
      <c r="Q76" s="89">
        <f t="shared" si="130"/>
        <v>-5295502.2918686736</v>
      </c>
      <c r="R76" s="89">
        <f t="shared" si="130"/>
        <v>-6324730.8124039965</v>
      </c>
      <c r="S76" s="89">
        <f t="shared" si="130"/>
        <v>-6832351.8826744594</v>
      </c>
      <c r="T76" s="89">
        <f t="shared" si="130"/>
        <v>-7160289.6028214237</v>
      </c>
      <c r="U76" s="89">
        <f t="shared" si="130"/>
        <v>-9072959.7737246882</v>
      </c>
      <c r="V76" s="89">
        <f t="shared" si="130"/>
        <v>-9995683.7913023848</v>
      </c>
      <c r="W76" s="89">
        <f t="shared" si="130"/>
        <v>-8824108.5840839278</v>
      </c>
      <c r="X76" s="89">
        <f>(SUM(X15:X18)-SUM(X35:X39))+SUM(X68:X72)+W76</f>
        <v>-8112331.2739912765</v>
      </c>
      <c r="Y76" s="89">
        <f>(SUM(Y15:Y18)-SUM(Y35:Y39))+SUM(Y68:Y72)+X76+X77</f>
        <v>-4340816.3594640624</v>
      </c>
      <c r="Z76" s="89">
        <f t="shared" ref="Z76:AH76" si="131">(SUM(Z15:Z18)-SUM(Z35:Z39))+SUM(Z68:Z72)+Y76+Y77</f>
        <v>7391590.4932678025</v>
      </c>
      <c r="AA76" s="89">
        <f t="shared" si="131"/>
        <v>4466289.7219078345</v>
      </c>
      <c r="AB76" s="89">
        <f t="shared" si="131"/>
        <v>-77075.110332184471</v>
      </c>
      <c r="AC76" s="89">
        <f t="shared" si="131"/>
        <v>-741601.9001081062</v>
      </c>
      <c r="AD76" s="277">
        <f>(SUM(AD15:AD18)-SUM(AD35:AD39))+SUM(AD68:AD72)+AC76+AC77</f>
        <v>-3102401.049133339</v>
      </c>
      <c r="AE76" s="89">
        <f t="shared" si="131"/>
        <v>-5700438.6740445029</v>
      </c>
      <c r="AF76" s="89">
        <f t="shared" si="131"/>
        <v>-6466795.91111336</v>
      </c>
      <c r="AG76" s="89">
        <f t="shared" si="131"/>
        <v>-10060399.627333112</v>
      </c>
      <c r="AH76" s="277">
        <f t="shared" si="131"/>
        <v>-12538609.457999418</v>
      </c>
      <c r="AI76" s="89">
        <f>(SUM(AI15:AI18)-SUM(AI35:AI39))+SUM(AI68:AI72)+AH76+AH77</f>
        <v>-16651321.086908899</v>
      </c>
      <c r="AJ76" s="89">
        <f>(SUM(AJ15:AJ18)-SUM(AJ35:AJ39))+SUM(AJ68:AJ72)+AI76+AI77</f>
        <v>-17547424.270798512</v>
      </c>
      <c r="AK76" s="89">
        <f t="shared" ref="AK76:AU76" si="132">(SUM(AK15:AK18)-SUM(AK35:AK39))+SUM(AK68:AK72)+AJ76+AJ77</f>
        <v>-12600123.369813425</v>
      </c>
      <c r="AL76" s="89">
        <f t="shared" si="132"/>
        <v>1921447.4062470496</v>
      </c>
      <c r="AM76" s="89">
        <f>(SUM(AM15:AM18)-SUM(AM35:AM39))+SUM(AM68:AM72)+AL76</f>
        <v>-7818562.7370605879</v>
      </c>
      <c r="AN76" s="89">
        <f>(SUM(AN15:AN18)-SUM(AN35:AN39))+SUM(AN68:AN72)+AM76+AM77</f>
        <v>-13235536.150635824</v>
      </c>
      <c r="AO76" s="89">
        <f t="shared" si="132"/>
        <v>-15186894.375978813</v>
      </c>
      <c r="AP76" s="89">
        <f t="shared" si="132"/>
        <v>-15389786.4634797</v>
      </c>
      <c r="AQ76" s="89">
        <f t="shared" si="132"/>
        <v>-16873436.442342505</v>
      </c>
      <c r="AR76" s="89">
        <f t="shared" si="132"/>
        <v>-15896051.025564555</v>
      </c>
      <c r="AS76" s="89">
        <f t="shared" si="132"/>
        <v>-19575784.089925934</v>
      </c>
      <c r="AT76" s="89">
        <f t="shared" si="132"/>
        <v>-20901611.473403446</v>
      </c>
      <c r="AU76" s="89">
        <f t="shared" si="132"/>
        <v>-20901483.945012186</v>
      </c>
      <c r="AV76" s="89">
        <f>(SUM(AV15:AV18)-SUM(AV35:AV39))+SUM(AV68:AV72)+AU76+AU77</f>
        <v>-21633567.078110587</v>
      </c>
      <c r="AW76" s="85">
        <f>(SUM(AW15:AW18)-SUM(AW35:AW39))+SUM(AW68:AW72)+AV76</f>
        <v>-16644548.182281904</v>
      </c>
      <c r="AX76" s="89">
        <f>(SUM(AX15:AX18)-SUM(AX35:AX39))+SUM(AX68:AX72)+AW76</f>
        <v>-5465075.2780866828</v>
      </c>
      <c r="AY76" s="90">
        <f>(SUM(AY15:AY18)-SUM(AY35:AY39))+SUM(AY68:AY72)+AX76</f>
        <v>-8927316.9992571194</v>
      </c>
    </row>
    <row r="77" spans="1:51" x14ac:dyDescent="0.3">
      <c r="B77" s="169"/>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90" t="s">
        <v>162</v>
      </c>
      <c r="AM77" s="368">
        <f>'PCR (M2) Final'!BV76</f>
        <v>-696083.93775217561</v>
      </c>
      <c r="AN77" s="170"/>
      <c r="AO77" s="170"/>
      <c r="AP77" s="170"/>
      <c r="AQ77" s="170"/>
      <c r="AR77" s="170"/>
      <c r="AS77" s="170"/>
      <c r="AT77" s="170"/>
      <c r="AU77" s="170"/>
      <c r="AV77" s="170"/>
      <c r="AW77" s="308"/>
      <c r="AX77" s="171"/>
      <c r="AY77" s="172"/>
    </row>
    <row r="78" spans="1:51" x14ac:dyDescent="0.3">
      <c r="A78" s="173" t="s">
        <v>0</v>
      </c>
      <c r="B78" s="75"/>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83"/>
      <c r="AL78" s="74"/>
      <c r="AM78" s="367">
        <f>'PCR (M2) Final'!BV61+'PCR (M2) Final'!BV68</f>
        <v>-112063.39590084087</v>
      </c>
      <c r="AN78" s="74"/>
      <c r="AO78" s="74"/>
      <c r="AP78" s="74"/>
      <c r="AQ78" s="74"/>
      <c r="AR78" s="74"/>
      <c r="AS78" s="74"/>
      <c r="AT78" s="74"/>
      <c r="AU78" s="74"/>
      <c r="AV78" s="74"/>
      <c r="AW78" s="354"/>
      <c r="AX78" s="76"/>
      <c r="AY78" s="77"/>
    </row>
    <row r="79" spans="1:51" x14ac:dyDescent="0.3">
      <c r="A79" s="173" t="s">
        <v>4</v>
      </c>
      <c r="B79" s="75"/>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367">
        <f>'PCR (M2) Final'!BV62+'PCR (M2) Final'!BV69</f>
        <v>-163973.95627627094</v>
      </c>
      <c r="AN79" s="74"/>
      <c r="AO79" s="74"/>
      <c r="AP79" s="74"/>
      <c r="AQ79" s="74"/>
      <c r="AR79" s="74"/>
      <c r="AS79" s="74"/>
      <c r="AT79" s="74"/>
      <c r="AU79" s="74"/>
      <c r="AV79" s="74"/>
      <c r="AW79" s="75"/>
      <c r="AX79" s="76"/>
      <c r="AY79" s="77"/>
    </row>
    <row r="80" spans="1:51" x14ac:dyDescent="0.3">
      <c r="A80" s="173" t="s">
        <v>5</v>
      </c>
      <c r="B80" s="75"/>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367">
        <f>'PCR (M2) Final'!BV63+'PCR (M2) Final'!BV70</f>
        <v>-295090.17501933238</v>
      </c>
      <c r="AN80" s="74"/>
      <c r="AO80" s="74"/>
      <c r="AP80" s="74"/>
      <c r="AQ80" s="74"/>
      <c r="AR80" s="74"/>
      <c r="AS80" s="74"/>
      <c r="AT80" s="74"/>
      <c r="AU80" s="74"/>
      <c r="AV80" s="74"/>
      <c r="AW80" s="75"/>
      <c r="AX80" s="76"/>
      <c r="AY80" s="77"/>
    </row>
    <row r="81" spans="1:54" x14ac:dyDescent="0.3">
      <c r="A81" s="173" t="s">
        <v>6</v>
      </c>
      <c r="B81" s="75"/>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367">
        <f>'PCR (M2) Final'!BV64+'PCR (M2) Final'!BV71</f>
        <v>-106613.35005726748</v>
      </c>
      <c r="AN81" s="74"/>
      <c r="AO81" s="74"/>
      <c r="AP81" s="74"/>
      <c r="AQ81" s="74"/>
      <c r="AR81" s="74"/>
      <c r="AS81" s="74"/>
      <c r="AT81" s="74"/>
      <c r="AU81" s="74"/>
      <c r="AV81" s="74"/>
      <c r="AW81" s="75"/>
      <c r="AX81" s="76"/>
      <c r="AY81" s="77"/>
    </row>
    <row r="82" spans="1:54" ht="15" thickBot="1" x14ac:dyDescent="0.35">
      <c r="A82" s="173" t="s">
        <v>7</v>
      </c>
      <c r="B82" s="124"/>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369">
        <f>'PCR (M2) Final'!BV65+'PCR (M2) Final'!BV72</f>
        <v>-18343.060498452676</v>
      </c>
      <c r="AN82" s="109"/>
      <c r="AO82" s="109"/>
      <c r="AP82" s="109"/>
      <c r="AQ82" s="109"/>
      <c r="AR82" s="109"/>
      <c r="AS82" s="109"/>
      <c r="AT82" s="109"/>
      <c r="AU82" s="109"/>
      <c r="AV82" s="109"/>
      <c r="AW82" s="124"/>
      <c r="AX82" s="125"/>
      <c r="AY82" s="110"/>
    </row>
    <row r="83" spans="1:54" x14ac:dyDescent="0.3">
      <c r="D83" s="38"/>
      <c r="E83" s="35"/>
      <c r="F83" s="35"/>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row>
    <row r="84" spans="1:54" x14ac:dyDescent="0.3">
      <c r="W84" s="336"/>
      <c r="X84" s="31"/>
      <c r="Y84" s="31"/>
      <c r="Z84" s="31"/>
      <c r="AA84" s="31"/>
      <c r="AB84" s="31"/>
      <c r="AC84" s="31"/>
      <c r="AD84" s="236"/>
      <c r="AE84" s="31"/>
      <c r="AF84" s="31"/>
      <c r="AG84" s="31"/>
      <c r="AH84" s="31"/>
      <c r="AI84" s="236"/>
      <c r="AJ84" s="412"/>
      <c r="AK84" s="236"/>
      <c r="AL84" s="236"/>
      <c r="AM84" s="236"/>
      <c r="AN84" s="236"/>
      <c r="AO84" s="236"/>
      <c r="AP84" s="236"/>
      <c r="AQ84" s="236"/>
      <c r="AR84" s="236"/>
      <c r="AS84" s="236"/>
      <c r="AT84" s="236"/>
      <c r="AU84" s="236"/>
      <c r="AV84" s="236"/>
      <c r="AW84" s="236"/>
      <c r="AX84" s="236"/>
      <c r="AY84" s="236"/>
      <c r="AZ84" s="32"/>
      <c r="BA84" s="32"/>
      <c r="BB84" s="32"/>
    </row>
    <row r="85" spans="1:54" x14ac:dyDescent="0.3">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row>
    <row r="86" spans="1:54" x14ac:dyDescent="0.3">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3"/>
    </row>
    <row r="87" spans="1:54" x14ac:dyDescent="0.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9" spans="1:54" x14ac:dyDescent="0.3">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99"/>
      <c r="AL89" s="199"/>
      <c r="AM89" s="199"/>
      <c r="AN89" s="199"/>
      <c r="AO89" s="199"/>
      <c r="AP89" s="199"/>
      <c r="AQ89" s="199"/>
      <c r="AR89" s="199"/>
      <c r="AS89" s="199"/>
      <c r="AT89" s="199"/>
      <c r="AU89" s="199"/>
      <c r="AV89" s="199"/>
      <c r="AW89" s="199"/>
      <c r="AX89" s="199"/>
      <c r="AY89" s="3"/>
    </row>
  </sheetData>
  <mergeCells count="1">
    <mergeCell ref="AW13:AY13"/>
  </mergeCells>
  <pageMargins left="0.7" right="0.7" top="0.75" bottom="0.75" header="0.3" footer="0.3"/>
  <pageSetup scale="7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79998168889431442"/>
  </sheetPr>
  <dimension ref="A1:AA57"/>
  <sheetViews>
    <sheetView workbookViewId="0">
      <selection activeCell="C18" sqref="C18"/>
    </sheetView>
  </sheetViews>
  <sheetFormatPr defaultRowHeight="14.4" x14ac:dyDescent="0.3"/>
  <cols>
    <col min="1" max="1" width="17.5546875" customWidth="1"/>
    <col min="2" max="2" width="15.5546875" customWidth="1"/>
    <col min="3" max="3" width="15.109375" customWidth="1"/>
    <col min="4" max="4" width="16.109375" customWidth="1"/>
    <col min="5" max="5" width="13.88671875" bestFit="1" customWidth="1"/>
  </cols>
  <sheetData>
    <row r="1" spans="1:10" x14ac:dyDescent="0.3">
      <c r="A1" s="6" t="s">
        <v>171</v>
      </c>
      <c r="D1" s="32"/>
    </row>
    <row r="2" spans="1:10" x14ac:dyDescent="0.3">
      <c r="B2" s="50" t="s">
        <v>60</v>
      </c>
      <c r="C2" s="50"/>
      <c r="E2" s="39" t="s">
        <v>26</v>
      </c>
      <c r="F2" s="32"/>
      <c r="G2" s="32"/>
      <c r="H2" s="32"/>
      <c r="I2" s="32"/>
      <c r="J2" s="32"/>
    </row>
    <row r="3" spans="1:10" x14ac:dyDescent="0.3">
      <c r="B3" s="421" t="s">
        <v>62</v>
      </c>
      <c r="C3" s="421"/>
      <c r="E3" s="39" t="s">
        <v>61</v>
      </c>
      <c r="F3" s="32"/>
    </row>
    <row r="4" spans="1:10" s="139" customFormat="1" x14ac:dyDescent="0.3">
      <c r="B4" s="280" t="s">
        <v>147</v>
      </c>
      <c r="C4" s="280" t="s">
        <v>148</v>
      </c>
      <c r="E4" s="39"/>
      <c r="F4" s="32"/>
    </row>
    <row r="5" spans="1:10" x14ac:dyDescent="0.3">
      <c r="A5" s="19" t="s">
        <v>0</v>
      </c>
      <c r="B5" s="29">
        <f>'[2]M2 Allocations - TD'!CT39</f>
        <v>0</v>
      </c>
      <c r="C5" s="29">
        <f>'[2]M3 Allocations - TD'!BJ39</f>
        <v>7389934.1371085709</v>
      </c>
      <c r="F5" s="32"/>
      <c r="G5" s="32"/>
      <c r="H5" s="32"/>
      <c r="I5" s="32"/>
      <c r="J5" s="32"/>
    </row>
    <row r="6" spans="1:10" x14ac:dyDescent="0.3">
      <c r="A6" s="19" t="s">
        <v>4</v>
      </c>
      <c r="B6" s="29">
        <f>'[2]M2 Allocations - TD'!CT40</f>
        <v>0</v>
      </c>
      <c r="C6" s="29">
        <f>'[2]M3 Allocations - TD'!BJ40</f>
        <v>2130235.5894864802</v>
      </c>
      <c r="E6" s="2"/>
    </row>
    <row r="7" spans="1:10" x14ac:dyDescent="0.3">
      <c r="A7" s="19" t="s">
        <v>5</v>
      </c>
      <c r="B7" s="29">
        <f>'[2]M2 Allocations - TD'!CT41</f>
        <v>0</v>
      </c>
      <c r="C7" s="29">
        <f>'[2]M3 Allocations - TD'!BJ41</f>
        <v>7446607.2763517089</v>
      </c>
      <c r="E7" s="2"/>
    </row>
    <row r="8" spans="1:10" x14ac:dyDescent="0.3">
      <c r="A8" s="19" t="s">
        <v>6</v>
      </c>
      <c r="B8" s="29">
        <f>'[2]M2 Allocations - TD'!CT42</f>
        <v>0</v>
      </c>
      <c r="C8" s="29">
        <f>'[2]M3 Allocations - TD'!BJ42</f>
        <v>2553041.1653351495</v>
      </c>
    </row>
    <row r="9" spans="1:10" ht="15" thickBot="1" x14ac:dyDescent="0.35">
      <c r="A9" s="19" t="s">
        <v>7</v>
      </c>
      <c r="B9" s="29">
        <f>'[2]M2 Allocations - TD'!CT43</f>
        <v>0</v>
      </c>
      <c r="C9" s="29">
        <f>'[2]M3 Allocations - TD'!BJ43</f>
        <v>424729.56085309939</v>
      </c>
    </row>
    <row r="10" spans="1:10" ht="15.6" thickTop="1" thickBot="1" x14ac:dyDescent="0.35">
      <c r="A10" s="49" t="s">
        <v>9</v>
      </c>
      <c r="B10" s="47">
        <f>SUM(B5:B9)</f>
        <v>0</v>
      </c>
      <c r="C10" s="47">
        <f>SUM(C5:C9)</f>
        <v>19944547.729135007</v>
      </c>
    </row>
    <row r="11" spans="1:10" ht="15" thickTop="1" x14ac:dyDescent="0.3">
      <c r="C11" s="3"/>
      <c r="D11" s="37"/>
    </row>
    <row r="12" spans="1:10" x14ac:dyDescent="0.3">
      <c r="C12" s="3"/>
    </row>
    <row r="13" spans="1:10" x14ac:dyDescent="0.3">
      <c r="C13" s="3"/>
      <c r="D13" s="3"/>
    </row>
    <row r="14" spans="1:10" x14ac:dyDescent="0.3">
      <c r="D14" s="3"/>
    </row>
    <row r="18" spans="5:27" x14ac:dyDescent="0.3">
      <c r="R18" s="1"/>
      <c r="S18" s="1"/>
      <c r="T18" s="1"/>
      <c r="U18" s="1"/>
      <c r="V18" s="1"/>
      <c r="W18" s="1"/>
      <c r="X18" s="1"/>
      <c r="Y18" s="1"/>
      <c r="Z18" s="1"/>
      <c r="AA18" s="1"/>
    </row>
    <row r="26" spans="5:27" x14ac:dyDescent="0.3">
      <c r="E26" s="40"/>
    </row>
    <row r="48" spans="2:2" x14ac:dyDescent="0.3">
      <c r="B48" s="5"/>
    </row>
    <row r="52" spans="2:4" x14ac:dyDescent="0.3">
      <c r="B52" s="5"/>
      <c r="D52" s="5"/>
    </row>
    <row r="53" spans="2:4" x14ac:dyDescent="0.3">
      <c r="C53" s="5"/>
    </row>
    <row r="56" spans="2:4" x14ac:dyDescent="0.3">
      <c r="D56" s="5"/>
    </row>
    <row r="57" spans="2:4" x14ac:dyDescent="0.3">
      <c r="C57" s="5"/>
    </row>
  </sheetData>
  <mergeCells count="1">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79998168889431442"/>
  </sheetPr>
  <dimension ref="A1:CS75"/>
  <sheetViews>
    <sheetView zoomScale="80" zoomScaleNormal="80" workbookViewId="0">
      <pane xSplit="1" ySplit="14" topLeftCell="B15" activePane="bottomRight" state="frozen"/>
      <selection activeCell="B5" sqref="B5:B9"/>
      <selection pane="topRight" activeCell="B5" sqref="B5:B9"/>
      <selection pane="bottomLeft" activeCell="B5" sqref="B5:B9"/>
      <selection pane="bottomRight" activeCell="P5" sqref="P5"/>
    </sheetView>
  </sheetViews>
  <sheetFormatPr defaultColWidth="9.109375" defaultRowHeight="14.4" x14ac:dyDescent="0.3"/>
  <cols>
    <col min="1" max="1" width="17.5546875" style="48" customWidth="1"/>
    <col min="2" max="2" width="16" style="48" customWidth="1"/>
    <col min="3" max="3" width="14.5546875" style="48" customWidth="1"/>
    <col min="4" max="4" width="15.109375" style="48" customWidth="1"/>
    <col min="5" max="5" width="16.109375" style="48" customWidth="1"/>
    <col min="6" max="6" width="14.33203125" style="48" bestFit="1" customWidth="1"/>
    <col min="7" max="7" width="16" style="48" customWidth="1"/>
    <col min="8" max="9" width="14.33203125" style="48" bestFit="1" customWidth="1"/>
    <col min="10" max="10" width="15.5546875" style="48" customWidth="1"/>
    <col min="11" max="11" width="14" style="48" customWidth="1"/>
    <col min="12" max="18" width="14" style="139" customWidth="1"/>
    <col min="19" max="19" width="15.109375" style="139" bestFit="1" customWidth="1"/>
    <col min="20" max="83" width="14" style="139" customWidth="1"/>
    <col min="84" max="86" width="15.5546875" style="139" customWidth="1"/>
    <col min="87" max="87" width="17.33203125" style="139" customWidth="1"/>
    <col min="88" max="95" width="9.109375" style="139"/>
    <col min="96" max="16384" width="9.109375" style="48"/>
  </cols>
  <sheetData>
    <row r="1" spans="1:97" x14ac:dyDescent="0.3">
      <c r="A1" s="32" t="s">
        <v>160</v>
      </c>
      <c r="B1" s="32"/>
    </row>
    <row r="2" spans="1:97" x14ac:dyDescent="0.3">
      <c r="B2" s="158" t="s">
        <v>100</v>
      </c>
      <c r="E2" s="139"/>
      <c r="I2" s="2" t="s">
        <v>26</v>
      </c>
      <c r="L2" s="48"/>
    </row>
    <row r="3" spans="1:97" x14ac:dyDescent="0.3">
      <c r="B3" s="175" t="s">
        <v>113</v>
      </c>
      <c r="C3" s="60" t="s">
        <v>64</v>
      </c>
      <c r="D3" s="60" t="s">
        <v>76</v>
      </c>
      <c r="E3" s="157" t="s">
        <v>91</v>
      </c>
      <c r="F3" s="60" t="s">
        <v>65</v>
      </c>
      <c r="G3" s="60" t="s">
        <v>66</v>
      </c>
      <c r="I3" s="39" t="s">
        <v>90</v>
      </c>
      <c r="J3" s="32"/>
      <c r="K3" s="32"/>
      <c r="L3" s="48"/>
    </row>
    <row r="4" spans="1:97" x14ac:dyDescent="0.3">
      <c r="A4" s="49" t="s">
        <v>0</v>
      </c>
      <c r="B4" s="21">
        <f>+N66</f>
        <v>7611905</v>
      </c>
      <c r="C4" s="21">
        <f>SUM(B29:CH29)</f>
        <v>45544021.533198781</v>
      </c>
      <c r="D4" s="21">
        <f>SUM(B15:CH15)</f>
        <v>38189868.470763572</v>
      </c>
      <c r="E4" s="21">
        <f>B4-C4+D4</f>
        <v>257751.93756479025</v>
      </c>
      <c r="F4" s="21">
        <f>SUM(B56:CH56)</f>
        <v>-42597.001019471019</v>
      </c>
      <c r="G4" s="26">
        <f>E4+F4</f>
        <v>215154.93654531921</v>
      </c>
      <c r="I4" s="2" t="s">
        <v>98</v>
      </c>
      <c r="J4" s="32"/>
      <c r="K4" s="32"/>
      <c r="L4" s="48"/>
    </row>
    <row r="5" spans="1:97" x14ac:dyDescent="0.3">
      <c r="A5" s="49" t="s">
        <v>4</v>
      </c>
      <c r="B5" s="21">
        <f>+N67</f>
        <v>668388</v>
      </c>
      <c r="C5" s="21">
        <f>SUM(B30:CH30)</f>
        <v>13233980.163757982</v>
      </c>
      <c r="D5" s="21">
        <f>SUM(B16:CH16)</f>
        <v>12625960.252775971</v>
      </c>
      <c r="E5" s="21">
        <f t="shared" ref="E5:E8" si="0">B5-C5+D5</f>
        <v>60368.089017989114</v>
      </c>
      <c r="F5" s="21">
        <f>SUM(B57:CH57)</f>
        <v>-1568.6550795787448</v>
      </c>
      <c r="G5" s="26">
        <f>E5+F5</f>
        <v>58799.433938410366</v>
      </c>
      <c r="I5" s="39" t="s">
        <v>99</v>
      </c>
      <c r="J5" s="32"/>
      <c r="K5" s="32"/>
      <c r="L5" s="48"/>
    </row>
    <row r="6" spans="1:97" x14ac:dyDescent="0.3">
      <c r="A6" s="49" t="s">
        <v>5</v>
      </c>
      <c r="B6" s="21">
        <f>+N68</f>
        <v>905881</v>
      </c>
      <c r="C6" s="21">
        <f>SUM(B31:CH31)</f>
        <v>26911991.038635843</v>
      </c>
      <c r="D6" s="21">
        <f>SUM(B17:CH17)</f>
        <v>26046543.08598239</v>
      </c>
      <c r="E6" s="21">
        <f t="shared" si="0"/>
        <v>40433.047346547246</v>
      </c>
      <c r="F6" s="21">
        <f>SUM(B58:CH58)</f>
        <v>4795.1763596853507</v>
      </c>
      <c r="G6" s="26">
        <f>E6+F6</f>
        <v>45228.223706232595</v>
      </c>
      <c r="I6" s="39" t="s">
        <v>117</v>
      </c>
      <c r="J6" s="32"/>
      <c r="K6" s="32"/>
      <c r="L6" s="48"/>
    </row>
    <row r="7" spans="1:97" x14ac:dyDescent="0.3">
      <c r="A7" s="49" t="s">
        <v>6</v>
      </c>
      <c r="B7" s="21">
        <f>+N69</f>
        <v>2477462</v>
      </c>
      <c r="C7" s="21">
        <f>SUM(B32:CH32)</f>
        <v>13577321.625320207</v>
      </c>
      <c r="D7" s="21">
        <f>SUM(B18:CH18)</f>
        <v>11112183.52490074</v>
      </c>
      <c r="E7" s="21">
        <f t="shared" si="0"/>
        <v>12323.899580532685</v>
      </c>
      <c r="F7" s="21">
        <f>SUM(B59:CH59)</f>
        <v>-2336.0703977358667</v>
      </c>
      <c r="G7" s="26">
        <f>E7+F7</f>
        <v>9987.8291827968187</v>
      </c>
      <c r="I7" s="39" t="s">
        <v>82</v>
      </c>
      <c r="J7" s="32"/>
      <c r="K7" s="32"/>
      <c r="L7" s="48"/>
    </row>
    <row r="8" spans="1:97" ht="15" thickBot="1" x14ac:dyDescent="0.35">
      <c r="A8" s="49" t="s">
        <v>7</v>
      </c>
      <c r="B8" s="21">
        <f>+N70</f>
        <v>1878286</v>
      </c>
      <c r="C8" s="21">
        <f>SUM(B33:CH33)</f>
        <v>4147690.6776895681</v>
      </c>
      <c r="D8" s="21">
        <f>SUM(B19:CH19)</f>
        <v>2261157.9855773323</v>
      </c>
      <c r="E8" s="21">
        <f t="shared" si="0"/>
        <v>-8246.6921122358181</v>
      </c>
      <c r="F8" s="21">
        <f>SUM(B60:CH60)</f>
        <v>7973.2553773373984</v>
      </c>
      <c r="G8" s="26">
        <f>E8+F8</f>
        <v>-273.43673489841967</v>
      </c>
      <c r="I8" s="39" t="s">
        <v>96</v>
      </c>
      <c r="L8" s="48"/>
    </row>
    <row r="9" spans="1:97" ht="15.6" thickTop="1" thickBot="1" x14ac:dyDescent="0.35">
      <c r="B9" s="62">
        <f>SUM(B4:B8)</f>
        <v>13541922</v>
      </c>
      <c r="C9" s="62">
        <f t="shared" ref="C9:G9" si="1">SUM(C4:C8)</f>
        <v>103415005.03860238</v>
      </c>
      <c r="D9" s="62">
        <f t="shared" si="1"/>
        <v>90235713.320000008</v>
      </c>
      <c r="E9" s="62">
        <f t="shared" si="1"/>
        <v>362630.28139762348</v>
      </c>
      <c r="F9" s="62">
        <f t="shared" si="1"/>
        <v>-33733.294759762881</v>
      </c>
      <c r="G9" s="62">
        <f t="shared" si="1"/>
        <v>328896.98663786059</v>
      </c>
      <c r="I9" s="39" t="s">
        <v>116</v>
      </c>
      <c r="L9" s="48"/>
      <c r="CF9" s="31"/>
    </row>
    <row r="10" spans="1:97" ht="15.6" thickTop="1" thickBot="1" x14ac:dyDescent="0.35">
      <c r="B10" s="139"/>
      <c r="E10" s="290" t="s">
        <v>25</v>
      </c>
      <c r="F10" s="18">
        <f>F9-SUM(B39:CH39)</f>
        <v>1.98274104623124E-2</v>
      </c>
      <c r="G10" s="32"/>
      <c r="J10" s="32"/>
      <c r="K10" s="32"/>
      <c r="L10" s="48"/>
    </row>
    <row r="11" spans="1:97" ht="15" thickTop="1" x14ac:dyDescent="0.3">
      <c r="B11" s="139"/>
      <c r="F11" s="3"/>
      <c r="G11" s="3"/>
      <c r="L11" s="48"/>
      <c r="M11" s="48"/>
    </row>
    <row r="12" spans="1:97" ht="15" thickBot="1" x14ac:dyDescent="0.35">
      <c r="B12" s="17"/>
      <c r="C12" s="17"/>
      <c r="D12" s="17"/>
      <c r="E12" s="17"/>
      <c r="F12" s="17"/>
      <c r="G12" s="17"/>
      <c r="H12" s="17"/>
      <c r="I12" s="17"/>
      <c r="J12" s="17"/>
      <c r="K12" s="17"/>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289"/>
      <c r="CG12" s="289"/>
      <c r="CH12" s="32"/>
    </row>
    <row r="13" spans="1:97" ht="15" thickBot="1" x14ac:dyDescent="0.35">
      <c r="B13" s="63"/>
      <c r="C13" s="64"/>
      <c r="D13" s="65" t="s">
        <v>89</v>
      </c>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272"/>
      <c r="BH13" s="64"/>
      <c r="BI13" s="64"/>
      <c r="BJ13" s="64"/>
      <c r="BK13" s="64"/>
      <c r="BL13" s="64"/>
      <c r="BM13" s="64"/>
      <c r="BN13" s="64"/>
      <c r="BO13" s="64"/>
      <c r="BP13" s="64"/>
      <c r="BQ13" s="64"/>
      <c r="BR13" s="64"/>
      <c r="BS13" s="272"/>
      <c r="BT13" s="272"/>
      <c r="BU13" s="272"/>
      <c r="BV13" s="272"/>
      <c r="BW13" s="272"/>
      <c r="BX13" s="272"/>
      <c r="BY13" s="272"/>
      <c r="BZ13" s="272"/>
      <c r="CA13" s="272"/>
      <c r="CB13" s="272"/>
      <c r="CC13" s="272"/>
      <c r="CD13" s="272"/>
      <c r="CE13" s="272"/>
      <c r="CF13" s="418" t="s">
        <v>67</v>
      </c>
      <c r="CG13" s="419"/>
      <c r="CH13" s="420"/>
    </row>
    <row r="14" spans="1:97" x14ac:dyDescent="0.3">
      <c r="A14" s="48" t="s">
        <v>75</v>
      </c>
      <c r="B14" s="66">
        <v>42370</v>
      </c>
      <c r="C14" s="67">
        <f>EDATE(B14,1)</f>
        <v>42401</v>
      </c>
      <c r="D14" s="67">
        <f t="shared" ref="D14:CH14" si="2">EDATE(C14,1)</f>
        <v>42430</v>
      </c>
      <c r="E14" s="67">
        <f t="shared" si="2"/>
        <v>42461</v>
      </c>
      <c r="F14" s="67">
        <f t="shared" si="2"/>
        <v>42491</v>
      </c>
      <c r="G14" s="67">
        <f t="shared" si="2"/>
        <v>42522</v>
      </c>
      <c r="H14" s="67">
        <f t="shared" si="2"/>
        <v>42552</v>
      </c>
      <c r="I14" s="67">
        <f t="shared" si="2"/>
        <v>42583</v>
      </c>
      <c r="J14" s="67">
        <f t="shared" si="2"/>
        <v>42614</v>
      </c>
      <c r="K14" s="67">
        <f t="shared" si="2"/>
        <v>42644</v>
      </c>
      <c r="L14" s="67">
        <f t="shared" ref="L14" si="3">EDATE(K14,1)</f>
        <v>42675</v>
      </c>
      <c r="M14" s="67">
        <f t="shared" ref="M14" si="4">EDATE(L14,1)</f>
        <v>42705</v>
      </c>
      <c r="N14" s="67">
        <f t="shared" ref="N14" si="5">EDATE(M14,1)</f>
        <v>42736</v>
      </c>
      <c r="O14" s="67">
        <f t="shared" ref="O14" si="6">EDATE(N14,1)</f>
        <v>42767</v>
      </c>
      <c r="P14" s="67">
        <f t="shared" ref="P14" si="7">EDATE(O14,1)</f>
        <v>42795</v>
      </c>
      <c r="Q14" s="67">
        <f t="shared" ref="Q14" si="8">EDATE(P14,1)</f>
        <v>42826</v>
      </c>
      <c r="R14" s="67">
        <f t="shared" ref="R14" si="9">EDATE(Q14,1)</f>
        <v>42856</v>
      </c>
      <c r="S14" s="67">
        <f t="shared" ref="S14" si="10">EDATE(R14,1)</f>
        <v>42887</v>
      </c>
      <c r="T14" s="67">
        <f t="shared" ref="T14" si="11">EDATE(S14,1)</f>
        <v>42917</v>
      </c>
      <c r="U14" s="67">
        <f t="shared" ref="U14" si="12">EDATE(T14,1)</f>
        <v>42948</v>
      </c>
      <c r="V14" s="67">
        <f t="shared" ref="V14" si="13">EDATE(U14,1)</f>
        <v>42979</v>
      </c>
      <c r="W14" s="67">
        <f t="shared" ref="W14" si="14">EDATE(V14,1)</f>
        <v>43009</v>
      </c>
      <c r="X14" s="67">
        <f t="shared" ref="X14" si="15">EDATE(W14,1)</f>
        <v>43040</v>
      </c>
      <c r="Y14" s="67">
        <f t="shared" ref="Y14" si="16">EDATE(X14,1)</f>
        <v>43070</v>
      </c>
      <c r="Z14" s="67">
        <f t="shared" ref="Z14" si="17">EDATE(Y14,1)</f>
        <v>43101</v>
      </c>
      <c r="AA14" s="67">
        <f t="shared" ref="AA14" si="18">EDATE(Z14,1)</f>
        <v>43132</v>
      </c>
      <c r="AB14" s="67">
        <f t="shared" ref="AB14" si="19">EDATE(AA14,1)</f>
        <v>43160</v>
      </c>
      <c r="AC14" s="67">
        <f t="shared" ref="AC14" si="20">EDATE(AB14,1)</f>
        <v>43191</v>
      </c>
      <c r="AD14" s="67">
        <f t="shared" ref="AD14" si="21">EDATE(AC14,1)</f>
        <v>43221</v>
      </c>
      <c r="AE14" s="67">
        <f t="shared" ref="AE14" si="22">EDATE(AD14,1)</f>
        <v>43252</v>
      </c>
      <c r="AF14" s="67">
        <f t="shared" ref="AF14" si="23">EDATE(AE14,1)</f>
        <v>43282</v>
      </c>
      <c r="AG14" s="67">
        <f t="shared" ref="AG14" si="24">EDATE(AF14,1)</f>
        <v>43313</v>
      </c>
      <c r="AH14" s="67">
        <f t="shared" ref="AH14:AI14" si="25">EDATE(AG14,1)</f>
        <v>43344</v>
      </c>
      <c r="AI14" s="67">
        <f t="shared" si="25"/>
        <v>43374</v>
      </c>
      <c r="AJ14" s="67">
        <f t="shared" ref="AJ14" si="26">EDATE(AI14,1)</f>
        <v>43405</v>
      </c>
      <c r="AK14" s="67">
        <f t="shared" ref="AK14" si="27">EDATE(AJ14,1)</f>
        <v>43435</v>
      </c>
      <c r="AL14" s="67">
        <f t="shared" ref="AL14" si="28">EDATE(AK14,1)</f>
        <v>43466</v>
      </c>
      <c r="AM14" s="67">
        <f t="shared" ref="AM14" si="29">EDATE(AL14,1)</f>
        <v>43497</v>
      </c>
      <c r="AN14" s="67">
        <f t="shared" ref="AN14" si="30">EDATE(AM14,1)</f>
        <v>43525</v>
      </c>
      <c r="AO14" s="67">
        <f t="shared" ref="AO14" si="31">EDATE(AN14,1)</f>
        <v>43556</v>
      </c>
      <c r="AP14" s="67">
        <f t="shared" ref="AP14" si="32">EDATE(AO14,1)</f>
        <v>43586</v>
      </c>
      <c r="AQ14" s="67">
        <f t="shared" ref="AQ14" si="33">EDATE(AP14,1)</f>
        <v>43617</v>
      </c>
      <c r="AR14" s="67">
        <f t="shared" ref="AR14" si="34">EDATE(AQ14,1)</f>
        <v>43647</v>
      </c>
      <c r="AS14" s="67">
        <f t="shared" ref="AS14" si="35">EDATE(AR14,1)</f>
        <v>43678</v>
      </c>
      <c r="AT14" s="67">
        <f t="shared" ref="AT14" si="36">EDATE(AS14,1)</f>
        <v>43709</v>
      </c>
      <c r="AU14" s="67">
        <f t="shared" ref="AU14" si="37">EDATE(AT14,1)</f>
        <v>43739</v>
      </c>
      <c r="AV14" s="67">
        <f t="shared" ref="AV14" si="38">EDATE(AU14,1)</f>
        <v>43770</v>
      </c>
      <c r="AW14" s="67">
        <f t="shared" ref="AW14" si="39">EDATE(AV14,1)</f>
        <v>43800</v>
      </c>
      <c r="AX14" s="67">
        <f t="shared" ref="AX14" si="40">EDATE(AW14,1)</f>
        <v>43831</v>
      </c>
      <c r="AY14" s="67">
        <f t="shared" ref="AY14" si="41">EDATE(AX14,1)</f>
        <v>43862</v>
      </c>
      <c r="AZ14" s="67">
        <f t="shared" ref="AZ14" si="42">EDATE(AY14,1)</f>
        <v>43891</v>
      </c>
      <c r="BA14" s="67">
        <f t="shared" ref="BA14" si="43">EDATE(AZ14,1)</f>
        <v>43922</v>
      </c>
      <c r="BB14" s="67">
        <f t="shared" ref="BB14" si="44">EDATE(BA14,1)</f>
        <v>43952</v>
      </c>
      <c r="BC14" s="67">
        <f t="shared" ref="BC14" si="45">EDATE(BB14,1)</f>
        <v>43983</v>
      </c>
      <c r="BD14" s="67">
        <f t="shared" ref="BD14" si="46">EDATE(BC14,1)</f>
        <v>44013</v>
      </c>
      <c r="BE14" s="67">
        <f t="shared" ref="BE14" si="47">EDATE(BD14,1)</f>
        <v>44044</v>
      </c>
      <c r="BF14" s="67">
        <f t="shared" ref="BF14" si="48">EDATE(BE14,1)</f>
        <v>44075</v>
      </c>
      <c r="BG14" s="267">
        <f t="shared" ref="BG14" si="49">EDATE(BF14,1)</f>
        <v>44105</v>
      </c>
      <c r="BH14" s="67">
        <f t="shared" ref="BH14" si="50">EDATE(BG14,1)</f>
        <v>44136</v>
      </c>
      <c r="BI14" s="67">
        <f t="shared" ref="BI14" si="51">EDATE(BH14,1)</f>
        <v>44166</v>
      </c>
      <c r="BJ14" s="67">
        <f t="shared" ref="BJ14" si="52">EDATE(BI14,1)</f>
        <v>44197</v>
      </c>
      <c r="BK14" s="67">
        <f t="shared" ref="BK14" si="53">EDATE(BJ14,1)</f>
        <v>44228</v>
      </c>
      <c r="BL14" s="67">
        <f t="shared" ref="BL14" si="54">EDATE(BK14,1)</f>
        <v>44256</v>
      </c>
      <c r="BM14" s="67">
        <f t="shared" ref="BM14" si="55">EDATE(BL14,1)</f>
        <v>44287</v>
      </c>
      <c r="BN14" s="67">
        <f t="shared" ref="BN14" si="56">EDATE(BM14,1)</f>
        <v>44317</v>
      </c>
      <c r="BO14" s="67">
        <f t="shared" ref="BO14" si="57">EDATE(BN14,1)</f>
        <v>44348</v>
      </c>
      <c r="BP14" s="67">
        <f t="shared" ref="BP14" si="58">EDATE(BO14,1)</f>
        <v>44378</v>
      </c>
      <c r="BQ14" s="67">
        <f t="shared" ref="BQ14" si="59">EDATE(BP14,1)</f>
        <v>44409</v>
      </c>
      <c r="BR14" s="67">
        <f t="shared" ref="BR14" si="60">EDATE(BQ14,1)</f>
        <v>44440</v>
      </c>
      <c r="BS14" s="267">
        <f t="shared" ref="BS14" si="61">EDATE(BR14,1)</f>
        <v>44470</v>
      </c>
      <c r="BT14" s="380">
        <f t="shared" ref="BT14" si="62">EDATE(BS14,1)</f>
        <v>44501</v>
      </c>
      <c r="BU14" s="380">
        <f t="shared" ref="BU14" si="63">EDATE(BT14,1)</f>
        <v>44531</v>
      </c>
      <c r="BV14" s="380">
        <f t="shared" ref="BV14" si="64">EDATE(BU14,1)</f>
        <v>44562</v>
      </c>
      <c r="BW14" s="380">
        <f t="shared" ref="BW14" si="65">EDATE(BV14,1)</f>
        <v>44593</v>
      </c>
      <c r="BX14" s="380">
        <f t="shared" ref="BX14" si="66">EDATE(BW14,1)</f>
        <v>44621</v>
      </c>
      <c r="BY14" s="380">
        <f t="shared" ref="BY14" si="67">EDATE(BX14,1)</f>
        <v>44652</v>
      </c>
      <c r="BZ14" s="380">
        <f t="shared" ref="BZ14" si="68">EDATE(BY14,1)</f>
        <v>44682</v>
      </c>
      <c r="CA14" s="380">
        <f t="shared" ref="CA14" si="69">EDATE(BZ14,1)</f>
        <v>44713</v>
      </c>
      <c r="CB14" s="380">
        <f t="shared" ref="CB14" si="70">EDATE(CA14,1)</f>
        <v>44743</v>
      </c>
      <c r="CC14" s="380">
        <f t="shared" ref="CC14" si="71">EDATE(CB14,1)</f>
        <v>44774</v>
      </c>
      <c r="CD14" s="380">
        <f t="shared" ref="CD14" si="72">EDATE(CC14,1)</f>
        <v>44805</v>
      </c>
      <c r="CE14" s="380">
        <f t="shared" ref="CE14" si="73">EDATE(CD14,1)</f>
        <v>44835</v>
      </c>
      <c r="CF14" s="66">
        <f>EDATE(CE14,1)</f>
        <v>44866</v>
      </c>
      <c r="CG14" s="67">
        <f>EDATE(CF14,1)</f>
        <v>44896</v>
      </c>
      <c r="CH14" s="68">
        <f t="shared" si="2"/>
        <v>44927</v>
      </c>
      <c r="CJ14" s="1"/>
      <c r="CK14" s="1"/>
      <c r="CL14" s="1"/>
      <c r="CM14" s="1"/>
      <c r="CN14" s="1"/>
      <c r="CO14" s="1"/>
      <c r="CP14" s="1"/>
      <c r="CQ14" s="1"/>
      <c r="CR14" s="1"/>
      <c r="CS14" s="1"/>
    </row>
    <row r="15" spans="1:97" x14ac:dyDescent="0.3">
      <c r="A15" s="48" t="s">
        <v>0</v>
      </c>
      <c r="B15" s="69">
        <v>0</v>
      </c>
      <c r="C15" s="70">
        <v>0</v>
      </c>
      <c r="D15" s="70">
        <v>0</v>
      </c>
      <c r="E15" s="70">
        <v>1328.78</v>
      </c>
      <c r="F15" s="70">
        <v>9526.5300000000007</v>
      </c>
      <c r="G15" s="70">
        <v>120352.88</v>
      </c>
      <c r="H15" s="70">
        <v>256080.65000000002</v>
      </c>
      <c r="I15" s="70">
        <v>373393.34435846674</v>
      </c>
      <c r="J15" s="70">
        <v>671736.21363575384</v>
      </c>
      <c r="K15" s="70">
        <v>120839.85</v>
      </c>
      <c r="L15" s="70">
        <v>185093.49881649271</v>
      </c>
      <c r="M15" s="70">
        <v>303285.19452852954</v>
      </c>
      <c r="N15" s="70">
        <v>329743.7910035231</v>
      </c>
      <c r="O15" s="70">
        <v>319589.12614734296</v>
      </c>
      <c r="P15" s="70">
        <v>307416.51622437377</v>
      </c>
      <c r="Q15" s="70">
        <v>202009.99758789604</v>
      </c>
      <c r="R15" s="70">
        <v>201518.00847600689</v>
      </c>
      <c r="S15" s="70">
        <v>884196.51701427973</v>
      </c>
      <c r="T15" s="70">
        <v>1282604.3399999999</v>
      </c>
      <c r="U15" s="70">
        <v>1412760.5841518985</v>
      </c>
      <c r="V15" s="70">
        <v>912043.87330211163</v>
      </c>
      <c r="W15" s="70">
        <v>279976.46619588812</v>
      </c>
      <c r="X15" s="70">
        <v>377438.47759872582</v>
      </c>
      <c r="Y15" s="70">
        <v>565267.94576951256</v>
      </c>
      <c r="Z15" s="70">
        <v>607215.02747681318</v>
      </c>
      <c r="AA15" s="70">
        <v>515316.53827609093</v>
      </c>
      <c r="AB15" s="70">
        <v>473150.50916160172</v>
      </c>
      <c r="AC15" s="70">
        <v>270731.77958850004</v>
      </c>
      <c r="AD15" s="70">
        <v>491596.14834248205</v>
      </c>
      <c r="AE15" s="70">
        <v>2024956.6659391024</v>
      </c>
      <c r="AF15" s="70">
        <v>2753783.435947692</v>
      </c>
      <c r="AG15" s="70">
        <v>2655187.2707727067</v>
      </c>
      <c r="AH15" s="70">
        <v>1585670.784126644</v>
      </c>
      <c r="AI15" s="70">
        <v>556118.7299202627</v>
      </c>
      <c r="AJ15" s="70">
        <v>513458.06050710165</v>
      </c>
      <c r="AK15" s="70">
        <v>702799.89768350183</v>
      </c>
      <c r="AL15" s="70">
        <v>705267.00941836974</v>
      </c>
      <c r="AM15" s="70">
        <v>626813.61963691877</v>
      </c>
      <c r="AN15" s="70">
        <v>733376.44916449382</v>
      </c>
      <c r="AO15" s="70">
        <v>579952.0325992658</v>
      </c>
      <c r="AP15" s="70">
        <v>371011.49182013981</v>
      </c>
      <c r="AQ15" s="70">
        <v>2723256.6958003566</v>
      </c>
      <c r="AR15" s="70">
        <v>3090240.1159956334</v>
      </c>
      <c r="AS15" s="70">
        <v>3319235.3330920129</v>
      </c>
      <c r="AT15" s="70">
        <v>1872423.9163418177</v>
      </c>
      <c r="AU15" s="70">
        <v>468639.40013933519</v>
      </c>
      <c r="AV15" s="70">
        <v>573430.06293424976</v>
      </c>
      <c r="AW15" s="70">
        <v>729001.68500178226</v>
      </c>
      <c r="AX15" s="70">
        <v>731448.99925192562</v>
      </c>
      <c r="AY15" s="70">
        <v>-1101511.7645830091</v>
      </c>
      <c r="AZ15" s="70">
        <v>502297.9307248104</v>
      </c>
      <c r="BA15" s="70">
        <v>0</v>
      </c>
      <c r="BB15" s="70">
        <v>-1201.9391278357582</v>
      </c>
      <c r="BC15" s="70">
        <v>0</v>
      </c>
      <c r="BD15" s="70">
        <v>0</v>
      </c>
      <c r="BE15" s="70">
        <v>0</v>
      </c>
      <c r="BF15" s="70">
        <v>0</v>
      </c>
      <c r="BG15" s="70">
        <v>0</v>
      </c>
      <c r="BH15" s="70">
        <v>0</v>
      </c>
      <c r="BI15" s="70">
        <v>0</v>
      </c>
      <c r="BJ15" s="70">
        <v>0</v>
      </c>
      <c r="BK15" s="70">
        <v>0</v>
      </c>
      <c r="BL15" s="70">
        <v>0</v>
      </c>
      <c r="BM15" s="70">
        <v>0</v>
      </c>
      <c r="BN15" s="70">
        <v>0</v>
      </c>
      <c r="BO15" s="70">
        <v>0</v>
      </c>
      <c r="BP15" s="70">
        <v>0</v>
      </c>
      <c r="BQ15" s="70">
        <v>0</v>
      </c>
      <c r="BR15" s="70">
        <v>0</v>
      </c>
      <c r="BS15" s="70">
        <v>0</v>
      </c>
      <c r="BT15" s="372">
        <f>'[2]MEEIA 2 calcs'!BU27</f>
        <v>0</v>
      </c>
      <c r="BU15" s="372">
        <f>'[2]MEEIA 2 calcs'!BV27</f>
        <v>0</v>
      </c>
      <c r="BV15" s="372">
        <f>'[2]MEEIA 2 calcs'!BW27</f>
        <v>0</v>
      </c>
      <c r="BW15" s="372">
        <f>'[2]MEEIA 2 calcs'!BX27</f>
        <v>0</v>
      </c>
      <c r="BX15" s="372">
        <f>'[2]MEEIA 2 calcs'!BY27</f>
        <v>0</v>
      </c>
      <c r="BY15" s="372">
        <f>'[2]MEEIA 2 calcs'!BZ27</f>
        <v>0</v>
      </c>
      <c r="BZ15" s="372">
        <f>'[2]MEEIA 2 calcs'!CA27</f>
        <v>0</v>
      </c>
      <c r="CA15" s="372">
        <f>'[2]MEEIA 2 calcs'!CB27</f>
        <v>0</v>
      </c>
      <c r="CB15" s="372">
        <f>'[2]MEEIA 2 calcs'!CC27</f>
        <v>0</v>
      </c>
      <c r="CC15" s="372">
        <f>'[2]MEEIA 2 calcs'!CD27</f>
        <v>0</v>
      </c>
      <c r="CD15" s="372">
        <f>'[2]MEEIA 2 calcs'!CE27</f>
        <v>0</v>
      </c>
      <c r="CE15" s="372">
        <f>'[2]MEEIA 2 calcs'!CF27</f>
        <v>0</v>
      </c>
      <c r="CF15" s="114">
        <f>'[2]M2 Allocations - TD'!CF31</f>
        <v>0</v>
      </c>
      <c r="CG15" s="115">
        <f>'[2]M2 Allocations - TD'!CG31</f>
        <v>0</v>
      </c>
      <c r="CH15" s="116">
        <f>'[2]M2 Allocations - TD'!CH31</f>
        <v>0</v>
      </c>
      <c r="CI15" s="32"/>
    </row>
    <row r="16" spans="1:97" x14ac:dyDescent="0.3">
      <c r="A16" s="48" t="s">
        <v>4</v>
      </c>
      <c r="B16" s="69">
        <v>0</v>
      </c>
      <c r="C16" s="70">
        <v>0</v>
      </c>
      <c r="D16" s="70">
        <v>0</v>
      </c>
      <c r="E16" s="70">
        <v>0</v>
      </c>
      <c r="F16" s="70">
        <v>0</v>
      </c>
      <c r="G16" s="70">
        <v>4167.9399999999996</v>
      </c>
      <c r="H16" s="70">
        <v>13357.940000000002</v>
      </c>
      <c r="I16" s="70">
        <v>14670.985238775314</v>
      </c>
      <c r="J16" s="70">
        <v>22602.465674921033</v>
      </c>
      <c r="K16" s="70">
        <v>23670.86</v>
      </c>
      <c r="L16" s="70">
        <v>27753.308601536653</v>
      </c>
      <c r="M16" s="70">
        <v>37258.575758638253</v>
      </c>
      <c r="N16" s="70">
        <v>47579.322188278435</v>
      </c>
      <c r="O16" s="70">
        <v>42911.041729266297</v>
      </c>
      <c r="P16" s="70">
        <v>52823.001162257649</v>
      </c>
      <c r="Q16" s="70">
        <v>25950.307634173645</v>
      </c>
      <c r="R16" s="70">
        <v>48983.559131334005</v>
      </c>
      <c r="S16" s="70">
        <v>90621.489340586311</v>
      </c>
      <c r="T16" s="70">
        <v>138931.90000000002</v>
      </c>
      <c r="U16" s="70">
        <v>133700.2685394297</v>
      </c>
      <c r="V16" s="70">
        <v>151757.81340251025</v>
      </c>
      <c r="W16" s="70">
        <v>116837.79257470783</v>
      </c>
      <c r="X16" s="70">
        <v>88133.517269885691</v>
      </c>
      <c r="Y16" s="70">
        <v>126989.00719390194</v>
      </c>
      <c r="Z16" s="70">
        <v>151376.91870679389</v>
      </c>
      <c r="AA16" s="70">
        <v>131012.65264951537</v>
      </c>
      <c r="AB16" s="70">
        <v>161984.73662810036</v>
      </c>
      <c r="AC16" s="70">
        <v>186884.98622710272</v>
      </c>
      <c r="AD16" s="70">
        <v>260709.07600105793</v>
      </c>
      <c r="AE16" s="70">
        <v>394275.90039880731</v>
      </c>
      <c r="AF16" s="70">
        <v>517564.58433629415</v>
      </c>
      <c r="AG16" s="70">
        <v>456642.37398614379</v>
      </c>
      <c r="AH16" s="70">
        <v>495377.09665466635</v>
      </c>
      <c r="AI16" s="70">
        <v>348239.88671273278</v>
      </c>
      <c r="AJ16" s="70">
        <v>315404.35918017995</v>
      </c>
      <c r="AK16" s="70">
        <v>349367.88347835495</v>
      </c>
      <c r="AL16" s="70">
        <v>376670.80776353204</v>
      </c>
      <c r="AM16" s="70">
        <v>315666.15712072933</v>
      </c>
      <c r="AN16" s="70">
        <v>426235.9958025862</v>
      </c>
      <c r="AO16" s="70">
        <v>429805.50677490461</v>
      </c>
      <c r="AP16" s="70">
        <v>425502.70439957909</v>
      </c>
      <c r="AQ16" s="70">
        <v>711026.13316380861</v>
      </c>
      <c r="AR16" s="70">
        <v>906630.75933951</v>
      </c>
      <c r="AS16" s="70">
        <v>735303.71734464087</v>
      </c>
      <c r="AT16" s="70">
        <v>765682.15647802898</v>
      </c>
      <c r="AU16" s="70">
        <v>522721.08210263157</v>
      </c>
      <c r="AV16" s="70">
        <v>445892.99890309712</v>
      </c>
      <c r="AW16" s="70">
        <v>380966.65670412086</v>
      </c>
      <c r="AX16" s="70">
        <v>451558.90985025105</v>
      </c>
      <c r="AY16" s="70">
        <v>349160.22599545511</v>
      </c>
      <c r="AZ16" s="70">
        <v>388715.00802980497</v>
      </c>
      <c r="BA16" s="70">
        <v>0</v>
      </c>
      <c r="BB16" s="70">
        <v>-280.76739666505853</v>
      </c>
      <c r="BC16" s="70">
        <v>0</v>
      </c>
      <c r="BD16" s="70">
        <v>0</v>
      </c>
      <c r="BE16" s="70">
        <v>0</v>
      </c>
      <c r="BF16" s="70">
        <v>0</v>
      </c>
      <c r="BG16" s="70">
        <v>0</v>
      </c>
      <c r="BH16" s="70">
        <v>0</v>
      </c>
      <c r="BI16" s="70">
        <v>0</v>
      </c>
      <c r="BJ16" s="70">
        <v>0</v>
      </c>
      <c r="BK16" s="70">
        <v>255.64000000059605</v>
      </c>
      <c r="BL16" s="70">
        <v>592.33999999985099</v>
      </c>
      <c r="BM16" s="70">
        <v>632.41000000014901</v>
      </c>
      <c r="BN16" s="70">
        <v>892.52999999932945</v>
      </c>
      <c r="BO16" s="70">
        <v>1958.390000000596</v>
      </c>
      <c r="BP16" s="70">
        <v>2575.9900000002235</v>
      </c>
      <c r="BQ16" s="70">
        <v>2901.589999999851</v>
      </c>
      <c r="BR16" s="70">
        <v>2255.2100000008941</v>
      </c>
      <c r="BS16" s="70">
        <v>1201.0499999988824</v>
      </c>
      <c r="BT16" s="372">
        <f>'[2]MEEIA 2 calcs'!BU37</f>
        <v>993.04000000096858</v>
      </c>
      <c r="BU16" s="372">
        <f>'[2]MEEIA 2 calcs'!BV37</f>
        <v>1022.7099999990314</v>
      </c>
      <c r="BV16" s="372">
        <f>'[2]MEEIA 2 calcs'!BW37</f>
        <v>1061.0999999996275</v>
      </c>
      <c r="BW16" s="372">
        <f>'[2]MEEIA 2 calcs'!BX37</f>
        <v>818.65000000037253</v>
      </c>
      <c r="BX16" s="372">
        <f>'[2]MEEIA 2 calcs'!BY37</f>
        <v>0</v>
      </c>
      <c r="BY16" s="372">
        <f>'[2]MEEIA 2 calcs'!BZ37</f>
        <v>0</v>
      </c>
      <c r="BZ16" s="372">
        <f>'[2]MEEIA 2 calcs'!CA37</f>
        <v>0</v>
      </c>
      <c r="CA16" s="372">
        <f>'[2]MEEIA 2 calcs'!CB37</f>
        <v>0</v>
      </c>
      <c r="CB16" s="372">
        <f>'[2]MEEIA 2 calcs'!CC37</f>
        <v>0</v>
      </c>
      <c r="CC16" s="372">
        <f>'[2]MEEIA 2 calcs'!CD37</f>
        <v>0</v>
      </c>
      <c r="CD16" s="372">
        <f>'[2]MEEIA 2 calcs'!CE37</f>
        <v>0</v>
      </c>
      <c r="CE16" s="372">
        <f>'[2]MEEIA 2 calcs'!CF37</f>
        <v>0</v>
      </c>
      <c r="CF16" s="114">
        <f>'[2]M2 Allocations - TD'!CF32</f>
        <v>0</v>
      </c>
      <c r="CG16" s="115">
        <f>'[2]M2 Allocations - TD'!CG32</f>
        <v>0</v>
      </c>
      <c r="CH16" s="116">
        <f>'[2]M2 Allocations - TD'!CH32</f>
        <v>0</v>
      </c>
      <c r="CI16" s="32"/>
    </row>
    <row r="17" spans="1:88" x14ac:dyDescent="0.3">
      <c r="A17" s="48" t="s">
        <v>5</v>
      </c>
      <c r="B17" s="69">
        <v>0</v>
      </c>
      <c r="C17" s="70">
        <v>0</v>
      </c>
      <c r="D17" s="70">
        <v>0</v>
      </c>
      <c r="E17" s="70">
        <v>0</v>
      </c>
      <c r="F17" s="70">
        <v>0</v>
      </c>
      <c r="G17" s="70">
        <v>6853.38</v>
      </c>
      <c r="H17" s="70">
        <v>24493.5</v>
      </c>
      <c r="I17" s="70">
        <v>33902.946879751129</v>
      </c>
      <c r="J17" s="70">
        <v>57130.941306139037</v>
      </c>
      <c r="K17" s="70">
        <v>48568.43</v>
      </c>
      <c r="L17" s="70">
        <v>56402.832716238408</v>
      </c>
      <c r="M17" s="70">
        <v>76416.403445979842</v>
      </c>
      <c r="N17" s="70">
        <v>98464.472713338357</v>
      </c>
      <c r="O17" s="70">
        <v>92820.247439449406</v>
      </c>
      <c r="P17" s="70">
        <v>115878.51859125202</v>
      </c>
      <c r="Q17" s="70">
        <v>64178.344243350926</v>
      </c>
      <c r="R17" s="70">
        <v>102867.21859456625</v>
      </c>
      <c r="S17" s="70">
        <v>225026.10782354834</v>
      </c>
      <c r="T17" s="70">
        <v>332206.05000000005</v>
      </c>
      <c r="U17" s="70">
        <v>326565.43828407576</v>
      </c>
      <c r="V17" s="70">
        <v>357152.1332604558</v>
      </c>
      <c r="W17" s="70">
        <v>233165.34998028661</v>
      </c>
      <c r="X17" s="70">
        <v>242735.19909115109</v>
      </c>
      <c r="Y17" s="70">
        <v>270260.8911173091</v>
      </c>
      <c r="Z17" s="70">
        <v>318931.98735694966</v>
      </c>
      <c r="AA17" s="70">
        <v>278425.9450890508</v>
      </c>
      <c r="AB17" s="70">
        <v>325174.04680208978</v>
      </c>
      <c r="AC17" s="70">
        <v>343158.29248776339</v>
      </c>
      <c r="AD17" s="70">
        <v>457118.03014316031</v>
      </c>
      <c r="AE17" s="70">
        <v>886825.58305134752</v>
      </c>
      <c r="AF17" s="70">
        <v>1197518.2821251666</v>
      </c>
      <c r="AG17" s="70">
        <v>1030275.3853313371</v>
      </c>
      <c r="AH17" s="70">
        <v>1033786.813176945</v>
      </c>
      <c r="AI17" s="70">
        <v>565137.42472021224</v>
      </c>
      <c r="AJ17" s="70">
        <v>515386.54786655982</v>
      </c>
      <c r="AK17" s="70">
        <v>600621.60749234632</v>
      </c>
      <c r="AL17" s="70">
        <v>677840.83886779845</v>
      </c>
      <c r="AM17" s="70">
        <v>590569.34077565547</v>
      </c>
      <c r="AN17" s="70">
        <v>785533.21729427099</v>
      </c>
      <c r="AO17" s="70">
        <v>759722.89069128735</v>
      </c>
      <c r="AP17" s="70">
        <v>730573.86433008127</v>
      </c>
      <c r="AQ17" s="70">
        <v>1701261.2984572235</v>
      </c>
      <c r="AR17" s="70">
        <v>2138329.3142225798</v>
      </c>
      <c r="AS17" s="70">
        <v>1807748.5219926799</v>
      </c>
      <c r="AT17" s="70">
        <v>1650674.4488178033</v>
      </c>
      <c r="AU17" s="70">
        <v>846164.39074269368</v>
      </c>
      <c r="AV17" s="70">
        <v>722912.52035272913</v>
      </c>
      <c r="AW17" s="70">
        <v>787449.04813982907</v>
      </c>
      <c r="AX17" s="70">
        <v>821876.98404895363</v>
      </c>
      <c r="AY17" s="70">
        <v>663143.00246334542</v>
      </c>
      <c r="AZ17" s="70">
        <v>717865.1381538827</v>
      </c>
      <c r="BA17" s="70">
        <v>2286.3100000023842</v>
      </c>
      <c r="BB17" s="70">
        <v>1973.3555017490889</v>
      </c>
      <c r="BC17" s="70">
        <v>12223.310000002384</v>
      </c>
      <c r="BD17" s="70">
        <v>22853.179999999702</v>
      </c>
      <c r="BE17" s="70">
        <v>20540.269999999553</v>
      </c>
      <c r="BF17" s="70">
        <v>15022.210000000894</v>
      </c>
      <c r="BG17" s="70">
        <v>6711.089999999851</v>
      </c>
      <c r="BH17" s="70">
        <v>6702.839999999851</v>
      </c>
      <c r="BI17" s="70">
        <v>8127.0399999991059</v>
      </c>
      <c r="BJ17" s="70">
        <v>8329.3000000007451</v>
      </c>
      <c r="BK17" s="70">
        <v>8800.269999999553</v>
      </c>
      <c r="BL17" s="70">
        <v>10333.070000000298</v>
      </c>
      <c r="BM17" s="70">
        <v>8760.0100000016391</v>
      </c>
      <c r="BN17" s="70">
        <v>11044.909999996424</v>
      </c>
      <c r="BO17" s="70">
        <v>31907.310000002384</v>
      </c>
      <c r="BP17" s="70">
        <v>40946.179999999702</v>
      </c>
      <c r="BQ17" s="70">
        <v>36410.359999999404</v>
      </c>
      <c r="BR17" s="70">
        <v>22318.39999999851</v>
      </c>
      <c r="BS17" s="70">
        <v>8944.2900000028312</v>
      </c>
      <c r="BT17" s="372">
        <f>'[2]MEEIA 2 calcs'!BU47</f>
        <v>9312.6499999985099</v>
      </c>
      <c r="BU17" s="372">
        <f>'[2]MEEIA 2 calcs'!BV47</f>
        <v>11751.719999998808</v>
      </c>
      <c r="BV17" s="372">
        <f>'[2]MEEIA 2 calcs'!BW47</f>
        <v>12005.310000002384</v>
      </c>
      <c r="BW17" s="372">
        <f>'[2]MEEIA 2 calcs'!BX47</f>
        <v>10126.529999997467</v>
      </c>
      <c r="BX17" s="372">
        <f>'[2]MEEIA 2 calcs'!BY47</f>
        <v>0</v>
      </c>
      <c r="BY17" s="372">
        <f>'[2]MEEIA 2 calcs'!BZ47</f>
        <v>0</v>
      </c>
      <c r="BZ17" s="372">
        <f>'[2]MEEIA 2 calcs'!CA47</f>
        <v>0</v>
      </c>
      <c r="CA17" s="372">
        <f>'[2]MEEIA 2 calcs'!CB47</f>
        <v>0</v>
      </c>
      <c r="CB17" s="372">
        <f>'[2]MEEIA 2 calcs'!CC47</f>
        <v>0</v>
      </c>
      <c r="CC17" s="372">
        <f>'[2]MEEIA 2 calcs'!CD47</f>
        <v>0</v>
      </c>
      <c r="CD17" s="372">
        <f>'[2]MEEIA 2 calcs'!CE47</f>
        <v>0</v>
      </c>
      <c r="CE17" s="372">
        <f>'[2]MEEIA 2 calcs'!CF47</f>
        <v>0</v>
      </c>
      <c r="CF17" s="114">
        <f>'[2]M2 Allocations - TD'!CF33</f>
        <v>0</v>
      </c>
      <c r="CG17" s="115">
        <f>'[2]M2 Allocations - TD'!CG33</f>
        <v>0</v>
      </c>
      <c r="CH17" s="116">
        <f>'[2]M2 Allocations - TD'!CH33</f>
        <v>0</v>
      </c>
      <c r="CI17" s="32"/>
    </row>
    <row r="18" spans="1:88" x14ac:dyDescent="0.3">
      <c r="A18" s="48" t="s">
        <v>6</v>
      </c>
      <c r="B18" s="69">
        <v>0</v>
      </c>
      <c r="C18" s="70">
        <v>0</v>
      </c>
      <c r="D18" s="70">
        <v>0</v>
      </c>
      <c r="E18" s="70">
        <v>0</v>
      </c>
      <c r="F18" s="70">
        <v>0</v>
      </c>
      <c r="G18" s="70">
        <v>526.23</v>
      </c>
      <c r="H18" s="70">
        <v>1707.2399999999998</v>
      </c>
      <c r="I18" s="70">
        <v>2230.0207254609436</v>
      </c>
      <c r="J18" s="70">
        <v>4794.6581417484167</v>
      </c>
      <c r="K18" s="70">
        <v>4373.8599999999997</v>
      </c>
      <c r="L18" s="70">
        <v>7453.242982336099</v>
      </c>
      <c r="M18" s="70">
        <v>18084.577784318448</v>
      </c>
      <c r="N18" s="70">
        <v>27963.810761260709</v>
      </c>
      <c r="O18" s="70">
        <v>24456.059952649921</v>
      </c>
      <c r="P18" s="70">
        <v>29615.310672687767</v>
      </c>
      <c r="Q18" s="70">
        <v>12166.436689655247</v>
      </c>
      <c r="R18" s="70">
        <v>28108.084360485296</v>
      </c>
      <c r="S18" s="70">
        <v>128148.15141495112</v>
      </c>
      <c r="T18" s="70">
        <v>175689.74</v>
      </c>
      <c r="U18" s="70">
        <v>218402.52810095585</v>
      </c>
      <c r="V18" s="70">
        <v>205067.89849978662</v>
      </c>
      <c r="W18" s="70">
        <v>101187.08297273742</v>
      </c>
      <c r="X18" s="70">
        <v>97773.438006020719</v>
      </c>
      <c r="Y18" s="70">
        <v>113746.10309897989</v>
      </c>
      <c r="Z18" s="70">
        <v>131796.02801249109</v>
      </c>
      <c r="AA18" s="70">
        <v>116090.38160247794</v>
      </c>
      <c r="AB18" s="70">
        <v>132068.16497570253</v>
      </c>
      <c r="AC18" s="70">
        <v>133321.08677453059</v>
      </c>
      <c r="AD18" s="70">
        <v>180104.81791441111</v>
      </c>
      <c r="AE18" s="70">
        <v>422991.61425343697</v>
      </c>
      <c r="AF18" s="70">
        <v>543609.86073367961</v>
      </c>
      <c r="AG18" s="70">
        <v>486263.01132460969</v>
      </c>
      <c r="AH18" s="70">
        <v>414107.44556621916</v>
      </c>
      <c r="AI18" s="70">
        <v>207208.35422995902</v>
      </c>
      <c r="AJ18" s="70">
        <v>191307.18426831797</v>
      </c>
      <c r="AK18" s="70">
        <v>223825.29632810416</v>
      </c>
      <c r="AL18" s="70">
        <v>251714.86075436554</v>
      </c>
      <c r="AM18" s="70">
        <v>220841.99668727524</v>
      </c>
      <c r="AN18" s="70">
        <v>305651.11265488941</v>
      </c>
      <c r="AO18" s="70">
        <v>284274.24631552736</v>
      </c>
      <c r="AP18" s="70">
        <v>294781.80288519792</v>
      </c>
      <c r="AQ18" s="70">
        <v>791914.33120203775</v>
      </c>
      <c r="AR18" s="70">
        <v>978344.05317777325</v>
      </c>
      <c r="AS18" s="70">
        <v>874777.66117086785</v>
      </c>
      <c r="AT18" s="70">
        <v>686805.48036969628</v>
      </c>
      <c r="AU18" s="70">
        <v>321802.45107933023</v>
      </c>
      <c r="AV18" s="70">
        <v>280028.89151037188</v>
      </c>
      <c r="AW18" s="70">
        <v>274144.21732121875</v>
      </c>
      <c r="AX18" s="70">
        <v>303711.11912158254</v>
      </c>
      <c r="AY18" s="70">
        <v>251998.46611210689</v>
      </c>
      <c r="AZ18" s="70">
        <v>276069.3565741299</v>
      </c>
      <c r="BA18" s="70">
        <v>0</v>
      </c>
      <c r="BB18" s="70">
        <v>-315.01218360235936</v>
      </c>
      <c r="BC18" s="70">
        <v>0</v>
      </c>
      <c r="BD18" s="70">
        <v>0</v>
      </c>
      <c r="BE18" s="70">
        <v>16813.580000000075</v>
      </c>
      <c r="BF18" s="70">
        <v>19387.400000000373</v>
      </c>
      <c r="BG18" s="70">
        <v>6785.070000000298</v>
      </c>
      <c r="BH18" s="70">
        <v>6167.2299999985844</v>
      </c>
      <c r="BI18" s="70">
        <v>9586.9900000002235</v>
      </c>
      <c r="BJ18" s="70">
        <v>12497.580000000075</v>
      </c>
      <c r="BK18" s="70">
        <v>10043.310000000522</v>
      </c>
      <c r="BL18" s="70">
        <v>10496.050000000745</v>
      </c>
      <c r="BM18" s="70">
        <v>9775.9599999990314</v>
      </c>
      <c r="BN18" s="70">
        <v>13527.650000000373</v>
      </c>
      <c r="BO18" s="70">
        <v>36494.849999999627</v>
      </c>
      <c r="BP18" s="70">
        <v>47679.970000000671</v>
      </c>
      <c r="BQ18" s="70">
        <v>45288.439999999478</v>
      </c>
      <c r="BR18" s="70">
        <v>29486.400000000373</v>
      </c>
      <c r="BS18" s="70">
        <v>11833.289999999106</v>
      </c>
      <c r="BT18" s="372">
        <f>'[2]MEEIA 2 calcs'!BU57</f>
        <v>10374.580000000075</v>
      </c>
      <c r="BU18" s="372">
        <f>'[2]MEEIA 2 calcs'!BV57</f>
        <v>12057.450000001118</v>
      </c>
      <c r="BV18" s="372">
        <f>'[2]MEEIA 2 calcs'!BW57</f>
        <v>12824.789999999106</v>
      </c>
      <c r="BW18" s="372">
        <f>'[2]MEEIA 2 calcs'!BX57</f>
        <v>10330.179999999702</v>
      </c>
      <c r="BX18" s="372">
        <f>'[2]MEEIA 2 calcs'!BY57</f>
        <v>0</v>
      </c>
      <c r="BY18" s="372">
        <f>'[2]MEEIA 2 calcs'!BZ57</f>
        <v>0</v>
      </c>
      <c r="BZ18" s="372">
        <f>'[2]MEEIA 2 calcs'!CA57</f>
        <v>0</v>
      </c>
      <c r="CA18" s="372">
        <f>'[2]MEEIA 2 calcs'!CB57</f>
        <v>0</v>
      </c>
      <c r="CB18" s="372">
        <f>'[2]MEEIA 2 calcs'!CC57</f>
        <v>0</v>
      </c>
      <c r="CC18" s="372">
        <f>'[2]MEEIA 2 calcs'!CD57</f>
        <v>0</v>
      </c>
      <c r="CD18" s="372">
        <f>'[2]MEEIA 2 calcs'!CE57</f>
        <v>0</v>
      </c>
      <c r="CE18" s="372">
        <f>'[2]MEEIA 2 calcs'!CF57</f>
        <v>0</v>
      </c>
      <c r="CF18" s="114">
        <f>'[2]M2 Allocations - TD'!CF34</f>
        <v>0</v>
      </c>
      <c r="CG18" s="115">
        <f>'[2]M2 Allocations - TD'!CG34</f>
        <v>0</v>
      </c>
      <c r="CH18" s="116">
        <f>'[2]M2 Allocations - TD'!CH34</f>
        <v>0</v>
      </c>
      <c r="CI18" s="32"/>
    </row>
    <row r="19" spans="1:88" x14ac:dyDescent="0.3">
      <c r="A19" s="48" t="s">
        <v>7</v>
      </c>
      <c r="B19" s="69">
        <v>0</v>
      </c>
      <c r="C19" s="70">
        <v>0</v>
      </c>
      <c r="D19" s="70">
        <v>0</v>
      </c>
      <c r="E19" s="70">
        <v>0</v>
      </c>
      <c r="F19" s="70">
        <v>0</v>
      </c>
      <c r="G19" s="70">
        <v>0</v>
      </c>
      <c r="H19" s="70">
        <v>360.22</v>
      </c>
      <c r="I19" s="70">
        <v>1356.5027975457876</v>
      </c>
      <c r="J19" s="70">
        <v>2255.3712414377201</v>
      </c>
      <c r="K19" s="70">
        <v>1897.72</v>
      </c>
      <c r="L19" s="70">
        <v>2405.4668833960245</v>
      </c>
      <c r="M19" s="70">
        <v>3262.8984825339485</v>
      </c>
      <c r="N19" s="70">
        <v>5909.4833335993335</v>
      </c>
      <c r="O19" s="70">
        <v>6425.014731291647</v>
      </c>
      <c r="P19" s="70">
        <v>9106.0133494287093</v>
      </c>
      <c r="Q19" s="70">
        <v>8390.7638449238184</v>
      </c>
      <c r="R19" s="70">
        <v>10997.379437607351</v>
      </c>
      <c r="S19" s="70">
        <v>20856.094406634937</v>
      </c>
      <c r="T19" s="70">
        <v>29338.039999999994</v>
      </c>
      <c r="U19" s="70">
        <v>27923.370923640025</v>
      </c>
      <c r="V19" s="70">
        <v>26983.721535135461</v>
      </c>
      <c r="W19" s="70">
        <v>19471.188276380515</v>
      </c>
      <c r="X19" s="70">
        <v>18971.478034215677</v>
      </c>
      <c r="Y19" s="70">
        <v>20838.032820297231</v>
      </c>
      <c r="Z19" s="70">
        <v>24107.448446951264</v>
      </c>
      <c r="AA19" s="70">
        <v>21893.062382864882</v>
      </c>
      <c r="AB19" s="70">
        <v>24080.232432507251</v>
      </c>
      <c r="AC19" s="70">
        <v>25697.334922102909</v>
      </c>
      <c r="AD19" s="70">
        <v>34703.027598888038</v>
      </c>
      <c r="AE19" s="70">
        <v>75519.476357307751</v>
      </c>
      <c r="AF19" s="70">
        <v>100273.42685716876</v>
      </c>
      <c r="AG19" s="70">
        <v>85499.508585205374</v>
      </c>
      <c r="AH19" s="70">
        <v>69397.820475524379</v>
      </c>
      <c r="AI19" s="70">
        <v>37821.144416831085</v>
      </c>
      <c r="AJ19" s="70">
        <v>35865.098177838852</v>
      </c>
      <c r="AK19" s="70">
        <v>42905.24501769265</v>
      </c>
      <c r="AL19" s="70">
        <v>48941.253195931422</v>
      </c>
      <c r="AM19" s="70">
        <v>45736.205779424003</v>
      </c>
      <c r="AN19" s="70">
        <v>61794.995083764363</v>
      </c>
      <c r="AO19" s="70">
        <v>56159.323619014431</v>
      </c>
      <c r="AP19" s="70">
        <v>66116.096564999927</v>
      </c>
      <c r="AQ19" s="70">
        <v>196336.18137657503</v>
      </c>
      <c r="AR19" s="70">
        <v>261767.5472645007</v>
      </c>
      <c r="AS19" s="70">
        <v>232206.9863998002</v>
      </c>
      <c r="AT19" s="70">
        <v>149701.48799265211</v>
      </c>
      <c r="AU19" s="70">
        <v>63981.67593600769</v>
      </c>
      <c r="AV19" s="70">
        <v>56131.256299554763</v>
      </c>
      <c r="AW19" s="70">
        <v>57173.072833048078</v>
      </c>
      <c r="AX19" s="70">
        <v>61251.937727286851</v>
      </c>
      <c r="AY19" s="70">
        <v>54765.460012100484</v>
      </c>
      <c r="AZ19" s="70">
        <v>55225.416517369085</v>
      </c>
      <c r="BA19" s="70">
        <v>0</v>
      </c>
      <c r="BB19" s="70">
        <v>-142.24679364857641</v>
      </c>
      <c r="BC19" s="70">
        <v>0</v>
      </c>
      <c r="BD19" s="70">
        <v>0</v>
      </c>
      <c r="BE19" s="70">
        <v>0</v>
      </c>
      <c r="BF19" s="70">
        <v>0</v>
      </c>
      <c r="BG19" s="70">
        <v>0</v>
      </c>
      <c r="BH19" s="70">
        <v>0</v>
      </c>
      <c r="BI19" s="70">
        <v>0</v>
      </c>
      <c r="BJ19" s="70">
        <v>0</v>
      </c>
      <c r="BK19" s="70">
        <v>0</v>
      </c>
      <c r="BL19" s="70">
        <v>0</v>
      </c>
      <c r="BM19" s="70">
        <v>0</v>
      </c>
      <c r="BN19" s="70">
        <v>0</v>
      </c>
      <c r="BO19" s="70">
        <v>0</v>
      </c>
      <c r="BP19" s="70">
        <v>0</v>
      </c>
      <c r="BQ19" s="70">
        <v>-101.14999999990687</v>
      </c>
      <c r="BR19" s="70">
        <v>-108.16000000014901</v>
      </c>
      <c r="BS19" s="70">
        <v>-67.520000000018626</v>
      </c>
      <c r="BT19" s="372">
        <f>'[2]MEEIA 2 calcs'!BU67</f>
        <v>-54.189999999944121</v>
      </c>
      <c r="BU19" s="372">
        <f>'[2]MEEIA 2 calcs'!BV67</f>
        <v>-56.580000000074506</v>
      </c>
      <c r="BV19" s="372">
        <f>'[2]MEEIA 2 calcs'!BW67</f>
        <v>-61.179999999701977</v>
      </c>
      <c r="BW19" s="372">
        <f>'[2]MEEIA 2 calcs'!BX67</f>
        <v>-51.470000000204891</v>
      </c>
      <c r="BX19" s="372">
        <f>'[2]MEEIA 2 calcs'!BY67</f>
        <v>0</v>
      </c>
      <c r="BY19" s="372">
        <f>'[2]MEEIA 2 calcs'!BZ67</f>
        <v>0</v>
      </c>
      <c r="BZ19" s="372">
        <f>'[2]MEEIA 2 calcs'!CA67</f>
        <v>0</v>
      </c>
      <c r="CA19" s="372">
        <f>'[2]MEEIA 2 calcs'!CB67</f>
        <v>0</v>
      </c>
      <c r="CB19" s="372">
        <f>'[2]MEEIA 2 calcs'!CC67</f>
        <v>0</v>
      </c>
      <c r="CC19" s="372">
        <f>'[2]MEEIA 2 calcs'!CD67</f>
        <v>0</v>
      </c>
      <c r="CD19" s="372">
        <f>'[2]MEEIA 2 calcs'!CE67</f>
        <v>0</v>
      </c>
      <c r="CE19" s="372">
        <f>'[2]MEEIA 2 calcs'!CF67</f>
        <v>0</v>
      </c>
      <c r="CF19" s="114">
        <f>'[2]M2 Allocations - TD'!CF35</f>
        <v>0</v>
      </c>
      <c r="CG19" s="115">
        <f>'[2]M2 Allocations - TD'!CG35</f>
        <v>0</v>
      </c>
      <c r="CH19" s="116">
        <f>'[2]M2 Allocations - TD'!CH35</f>
        <v>0</v>
      </c>
      <c r="CI19" s="32"/>
    </row>
    <row r="20" spans="1:88" x14ac:dyDescent="0.3">
      <c r="B20" s="73"/>
      <c r="C20" s="74"/>
      <c r="D20" s="74"/>
      <c r="E20" s="74"/>
      <c r="F20" s="74"/>
      <c r="G20" s="83"/>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5"/>
      <c r="CG20" s="76"/>
      <c r="CH20" s="77"/>
    </row>
    <row r="21" spans="1:88" x14ac:dyDescent="0.3">
      <c r="A21" s="32" t="s">
        <v>118</v>
      </c>
      <c r="B21" s="177"/>
      <c r="C21" s="74"/>
      <c r="D21" s="78" t="s">
        <v>68</v>
      </c>
      <c r="E21" s="176"/>
      <c r="F21" s="176"/>
      <c r="G21" s="83"/>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5"/>
      <c r="CG21" s="76"/>
      <c r="CH21" s="77"/>
      <c r="CI21" s="91" t="s">
        <v>106</v>
      </c>
    </row>
    <row r="22" spans="1:88" x14ac:dyDescent="0.3">
      <c r="A22" s="48" t="s">
        <v>0</v>
      </c>
      <c r="B22" s="69">
        <v>0</v>
      </c>
      <c r="C22" s="70">
        <v>0</v>
      </c>
      <c r="D22" s="70">
        <v>0</v>
      </c>
      <c r="E22" s="70">
        <v>0</v>
      </c>
      <c r="F22" s="70">
        <v>12454.76</v>
      </c>
      <c r="G22" s="70">
        <v>191642.45</v>
      </c>
      <c r="H22" s="70">
        <v>257925.06</v>
      </c>
      <c r="I22" s="70">
        <v>258848.42</v>
      </c>
      <c r="J22" s="70">
        <v>234125.18</v>
      </c>
      <c r="K22" s="70">
        <v>166948.49</v>
      </c>
      <c r="L22" s="70">
        <v>136842.14000000001</v>
      </c>
      <c r="M22" s="70">
        <v>210493.55</v>
      </c>
      <c r="N22" s="70">
        <v>406285.42</v>
      </c>
      <c r="O22" s="70">
        <v>1369889.78</v>
      </c>
      <c r="P22" s="70">
        <v>1103029.06</v>
      </c>
      <c r="Q22" s="70">
        <v>964230.74</v>
      </c>
      <c r="R22" s="70">
        <v>918986.9</v>
      </c>
      <c r="S22" s="70">
        <v>1235335.3500000001</v>
      </c>
      <c r="T22" s="70">
        <v>1643710.03</v>
      </c>
      <c r="U22" s="70">
        <v>1663991.32</v>
      </c>
      <c r="V22" s="70">
        <v>1315722.52</v>
      </c>
      <c r="W22" s="70">
        <v>1155142.76</v>
      </c>
      <c r="X22" s="70">
        <v>1008647.72</v>
      </c>
      <c r="Y22" s="70">
        <v>1300717.95</v>
      </c>
      <c r="Z22" s="70">
        <v>1995202.44</v>
      </c>
      <c r="AA22" s="70">
        <v>1361606.16</v>
      </c>
      <c r="AB22" s="70">
        <v>1097480.82</v>
      </c>
      <c r="AC22" s="70">
        <v>1059578.1200000001</v>
      </c>
      <c r="AD22" s="70">
        <v>862980.65</v>
      </c>
      <c r="AE22" s="70">
        <v>1281774.72</v>
      </c>
      <c r="AF22" s="70">
        <v>1502957.34</v>
      </c>
      <c r="AG22" s="70">
        <v>1346919.46</v>
      </c>
      <c r="AH22" s="70">
        <v>1295482.8999999999</v>
      </c>
      <c r="AI22" s="70">
        <v>1002485.52</v>
      </c>
      <c r="AJ22" s="70">
        <v>930228.6</v>
      </c>
      <c r="AK22" s="70">
        <v>1294357.3</v>
      </c>
      <c r="AL22" s="70">
        <v>1435395.83</v>
      </c>
      <c r="AM22" s="70">
        <v>1500360.52</v>
      </c>
      <c r="AN22" s="70">
        <v>1351205.92</v>
      </c>
      <c r="AO22" s="70">
        <v>930965.27</v>
      </c>
      <c r="AP22" s="70">
        <v>791487</v>
      </c>
      <c r="AQ22" s="70">
        <v>1054075.57</v>
      </c>
      <c r="AR22" s="70">
        <v>1341002.6200000001</v>
      </c>
      <c r="AS22" s="70">
        <v>1411567.5</v>
      </c>
      <c r="AT22" s="70">
        <v>1302183.99</v>
      </c>
      <c r="AU22" s="70">
        <v>1070055.19</v>
      </c>
      <c r="AV22" s="263">
        <v>960017.17000000016</v>
      </c>
      <c r="AW22" s="263">
        <v>1291710.2399999998</v>
      </c>
      <c r="AX22" s="263">
        <v>1426440.21</v>
      </c>
      <c r="AY22" s="263">
        <v>836821.82000000007</v>
      </c>
      <c r="AZ22" s="263">
        <v>123502.59999999999</v>
      </c>
      <c r="BA22" s="263">
        <v>92675.74</v>
      </c>
      <c r="BB22" s="263">
        <v>82719.98000000001</v>
      </c>
      <c r="BC22" s="263">
        <v>109517.12</v>
      </c>
      <c r="BD22" s="263">
        <v>147043.66000000003</v>
      </c>
      <c r="BE22" s="263">
        <v>137831</v>
      </c>
      <c r="BF22" s="263">
        <v>124319.87000000002</v>
      </c>
      <c r="BG22" s="263">
        <v>84008.529999999984</v>
      </c>
      <c r="BH22" s="263">
        <v>89633.179999999978</v>
      </c>
      <c r="BI22" s="263">
        <v>118817.26999999997</v>
      </c>
      <c r="BJ22" s="263">
        <v>154664.07999999996</v>
      </c>
      <c r="BK22" s="263">
        <v>-113458.01000000001</v>
      </c>
      <c r="BL22" s="263">
        <v>-325175.89</v>
      </c>
      <c r="BM22" s="263">
        <v>-219552.88999999998</v>
      </c>
      <c r="BN22" s="263">
        <v>-206267.21999999997</v>
      </c>
      <c r="BO22" s="263">
        <v>-270595.87</v>
      </c>
      <c r="BP22" s="263">
        <v>-357386.66</v>
      </c>
      <c r="BQ22" s="263">
        <v>-364675.44</v>
      </c>
      <c r="BR22" s="263">
        <v>-358208.47</v>
      </c>
      <c r="BS22" s="263">
        <v>-248050.57999999996</v>
      </c>
      <c r="BT22" s="263">
        <f>-'[1]TDR.2 (M2)'!BP7</f>
        <v>-232428.06</v>
      </c>
      <c r="BU22" s="263">
        <f>-'[1]TDR.2 (M2)'!BQ7</f>
        <v>-290836.60999999993</v>
      </c>
      <c r="BV22" s="263">
        <f>-'[1]TDR.2 (M2)'!BR7</f>
        <v>-375935.37</v>
      </c>
      <c r="BW22" s="263">
        <f>-'[1]TDR.2 (M2)'!BS7</f>
        <v>-242680.23</v>
      </c>
      <c r="BX22" s="263">
        <f>-'[1]TDR.2 (M2)'!BT7</f>
        <v>-13830.450000000003</v>
      </c>
      <c r="BY22" s="263">
        <f>-'[1]TDR.2 (M2)'!BU7</f>
        <v>-7909.1399999999994</v>
      </c>
      <c r="BZ22" s="263">
        <f>-'[1]TDR.2 (M2)'!BV7</f>
        <v>-7927.25</v>
      </c>
      <c r="CA22" s="263">
        <f>-'[1]TDR.2 (M2)'!BW7</f>
        <v>-10363.710000000001</v>
      </c>
      <c r="CB22" s="263">
        <f>-'[1]TDR.2 (M2)'!BX7</f>
        <v>-14271.869999999999</v>
      </c>
      <c r="CC22" s="263">
        <f>-'[1]TDR.2 (M2)'!BY7</f>
        <v>-13453.179999999998</v>
      </c>
      <c r="CD22" s="263">
        <f>-'[1]TDR.2 (M2)'!BZ7</f>
        <v>-11260.050000000003</v>
      </c>
      <c r="CE22" s="263">
        <f>-'[1]TDR.2 (M2)'!CA7</f>
        <v>-8003.9400000000014</v>
      </c>
      <c r="CF22" s="306">
        <f>'[2]M2 Allocations - TD'!$CF$23*'TDR (M2)'!$CI$22+CF36</f>
        <v>-7859.8815598755764</v>
      </c>
      <c r="CG22" s="352">
        <f>'[2]M2 Allocations - TD'!$CG$23*'TDR (M2)'!$CI$22+CG36</f>
        <v>-11296.617394752953</v>
      </c>
      <c r="CH22" s="373">
        <f>'[2]M2 Allocations - TD'!$CH$23*'TDR (M2)'!$CI$22+CH36</f>
        <v>-13965.1525740786</v>
      </c>
      <c r="CI22" s="80">
        <v>-1.0000000000000001E-5</v>
      </c>
      <c r="CJ22" s="81"/>
    </row>
    <row r="23" spans="1:88" x14ac:dyDescent="0.3">
      <c r="A23" s="48" t="s">
        <v>4</v>
      </c>
      <c r="B23" s="69">
        <v>0</v>
      </c>
      <c r="C23" s="70">
        <v>0</v>
      </c>
      <c r="D23" s="70">
        <v>0</v>
      </c>
      <c r="E23" s="70">
        <v>0</v>
      </c>
      <c r="F23" s="70">
        <v>856.28</v>
      </c>
      <c r="G23" s="70">
        <v>12419.27</v>
      </c>
      <c r="H23" s="70">
        <v>14760.05</v>
      </c>
      <c r="I23" s="70">
        <v>14736.25</v>
      </c>
      <c r="J23" s="70">
        <v>14174.52</v>
      </c>
      <c r="K23" s="70">
        <v>12053.27</v>
      </c>
      <c r="L23" s="70">
        <v>10707.26</v>
      </c>
      <c r="M23" s="70">
        <v>12431.58</v>
      </c>
      <c r="N23" s="70">
        <v>27338.89</v>
      </c>
      <c r="O23" s="70">
        <v>144726.28</v>
      </c>
      <c r="P23" s="70">
        <v>128485.97</v>
      </c>
      <c r="Q23" s="70">
        <v>121597.62</v>
      </c>
      <c r="R23" s="70">
        <v>120360.92</v>
      </c>
      <c r="S23" s="70">
        <v>143026.74</v>
      </c>
      <c r="T23" s="70">
        <v>165801.25</v>
      </c>
      <c r="U23" s="70">
        <v>167384.09</v>
      </c>
      <c r="V23" s="70">
        <v>149701.24</v>
      </c>
      <c r="W23" s="70">
        <v>141748.14000000001</v>
      </c>
      <c r="X23" s="70">
        <v>126699.78</v>
      </c>
      <c r="Y23" s="70">
        <v>139926.94</v>
      </c>
      <c r="Z23" s="70">
        <v>202221.15</v>
      </c>
      <c r="AA23" s="70">
        <v>343067.75</v>
      </c>
      <c r="AB23" s="70">
        <v>300632.48</v>
      </c>
      <c r="AC23" s="70">
        <v>296300.02</v>
      </c>
      <c r="AD23" s="70">
        <v>268199.42</v>
      </c>
      <c r="AE23" s="70">
        <v>337634.86</v>
      </c>
      <c r="AF23" s="70">
        <v>372521.79</v>
      </c>
      <c r="AG23" s="70">
        <v>348089.17</v>
      </c>
      <c r="AH23" s="70">
        <v>342034.51</v>
      </c>
      <c r="AI23" s="70">
        <v>301373.81</v>
      </c>
      <c r="AJ23" s="70">
        <v>271517.73</v>
      </c>
      <c r="AK23" s="70">
        <v>328156.33</v>
      </c>
      <c r="AL23" s="70">
        <v>377703.97</v>
      </c>
      <c r="AM23" s="70">
        <v>708077.88</v>
      </c>
      <c r="AN23" s="70">
        <v>666764.85</v>
      </c>
      <c r="AO23" s="70">
        <v>540522.54</v>
      </c>
      <c r="AP23" s="70">
        <v>509584.1</v>
      </c>
      <c r="AQ23" s="70">
        <v>594934.36</v>
      </c>
      <c r="AR23" s="70">
        <v>680484</v>
      </c>
      <c r="AS23" s="70">
        <v>699354.09</v>
      </c>
      <c r="AT23" s="70">
        <v>675136.56</v>
      </c>
      <c r="AU23" s="70">
        <v>608437.81999999995</v>
      </c>
      <c r="AV23" s="263">
        <v>545178.31000000006</v>
      </c>
      <c r="AW23" s="263">
        <v>640578.34</v>
      </c>
      <c r="AX23" s="263">
        <v>683111.7200000002</v>
      </c>
      <c r="AY23" s="263">
        <v>419075.86999999994</v>
      </c>
      <c r="AZ23" s="263">
        <v>88037.890000000014</v>
      </c>
      <c r="BA23" s="263">
        <v>65160.170000000013</v>
      </c>
      <c r="BB23" s="263">
        <v>59309.859999999993</v>
      </c>
      <c r="BC23" s="263">
        <v>74165.440000000017</v>
      </c>
      <c r="BD23" s="263">
        <v>92442.400000000009</v>
      </c>
      <c r="BE23" s="263">
        <v>90973.54</v>
      </c>
      <c r="BF23" s="263">
        <v>86398.800000000047</v>
      </c>
      <c r="BG23" s="263">
        <v>70150.48000000001</v>
      </c>
      <c r="BH23" s="263">
        <v>70037.790000000008</v>
      </c>
      <c r="BI23" s="263">
        <v>80808.38</v>
      </c>
      <c r="BJ23" s="263">
        <v>96369.710000000021</v>
      </c>
      <c r="BK23" s="263">
        <v>-2328.37</v>
      </c>
      <c r="BL23" s="263">
        <v>-103760.54000000001</v>
      </c>
      <c r="BM23" s="263">
        <v>-82575.289999999994</v>
      </c>
      <c r="BN23" s="263">
        <v>-81377.440000000002</v>
      </c>
      <c r="BO23" s="263">
        <v>-96431.960000000021</v>
      </c>
      <c r="BP23" s="263">
        <v>-113596.04</v>
      </c>
      <c r="BQ23" s="263">
        <v>-114121.57000000002</v>
      </c>
      <c r="BR23" s="263">
        <v>-115328.91</v>
      </c>
      <c r="BS23" s="263">
        <v>-96228.189999999973</v>
      </c>
      <c r="BT23" s="263">
        <f>-'[1]TDR.2 (M2)'!BP8</f>
        <v>-85982.199999999983</v>
      </c>
      <c r="BU23" s="263">
        <f>-'[1]TDR.2 (M2)'!BQ8</f>
        <v>-98041.830000000016</v>
      </c>
      <c r="BV23" s="263">
        <f>-'[1]TDR.2 (M2)'!BR8</f>
        <v>-115723.73999999999</v>
      </c>
      <c r="BW23" s="263">
        <f>-'[1]TDR.2 (M2)'!BS8</f>
        <v>-71353.679999999993</v>
      </c>
      <c r="BX23" s="263">
        <f>-'[1]TDR.2 (M2)'!BT8</f>
        <v>-3857.4300000000007</v>
      </c>
      <c r="BY23" s="263">
        <f>-'[1]TDR.2 (M2)'!BU8</f>
        <v>-3467.3700000000013</v>
      </c>
      <c r="BZ23" s="263">
        <f>-'[1]TDR.2 (M2)'!BV8</f>
        <v>-3190.6100000000006</v>
      </c>
      <c r="CA23" s="263">
        <f>-'[1]TDR.2 (M2)'!BW8</f>
        <v>-3616.7400000000002</v>
      </c>
      <c r="CB23" s="263">
        <f>-'[1]TDR.2 (M2)'!BX8</f>
        <v>-4165.8599999999997</v>
      </c>
      <c r="CC23" s="263">
        <f>-'[1]TDR.2 (M2)'!BY8</f>
        <v>-4368.6100000000006</v>
      </c>
      <c r="CD23" s="263">
        <f>-'[1]TDR.2 (M2)'!BZ8</f>
        <v>-3971.1800000000007</v>
      </c>
      <c r="CE23" s="263">
        <f>-'[1]TDR.2 (M2)'!CA8</f>
        <v>-3310.57</v>
      </c>
      <c r="CF23" s="306">
        <f>+'[2]M2 Allocations - TD'!$CF$24*'TDR (M2)'!$CI$23</f>
        <v>-2996.0922712585716</v>
      </c>
      <c r="CG23" s="352">
        <f>'[2]M2 Allocations - TD'!$CG$24*'TDR (M2)'!$CI$23</f>
        <v>-3628.9175899277211</v>
      </c>
      <c r="CH23" s="371">
        <f>'[2]M2 Allocations - TD'!$CH$24*'TDR (M2)'!$CI$23</f>
        <v>-4283.3480788264505</v>
      </c>
      <c r="CI23" s="80">
        <v>-1.4E-5</v>
      </c>
      <c r="CJ23" s="81"/>
    </row>
    <row r="24" spans="1:88" x14ac:dyDescent="0.3">
      <c r="A24" s="48" t="s">
        <v>5</v>
      </c>
      <c r="B24" s="69">
        <v>0</v>
      </c>
      <c r="C24" s="70">
        <v>0</v>
      </c>
      <c r="D24" s="70">
        <v>0</v>
      </c>
      <c r="E24" s="70">
        <v>0</v>
      </c>
      <c r="F24" s="70">
        <v>2460.2199999999998</v>
      </c>
      <c r="G24" s="70">
        <v>40611.43</v>
      </c>
      <c r="H24" s="70">
        <v>46133.34</v>
      </c>
      <c r="I24" s="70">
        <v>46227.56</v>
      </c>
      <c r="J24" s="70">
        <v>46423.360000000001</v>
      </c>
      <c r="K24" s="70">
        <v>40852.160000000003</v>
      </c>
      <c r="L24" s="70">
        <v>37249.85</v>
      </c>
      <c r="M24" s="70">
        <v>38727.83</v>
      </c>
      <c r="N24" s="70">
        <v>63808.639999999999</v>
      </c>
      <c r="O24" s="70">
        <v>334912.75</v>
      </c>
      <c r="P24" s="70">
        <v>311859.65000000002</v>
      </c>
      <c r="Q24" s="70">
        <v>306431.03999999998</v>
      </c>
      <c r="R24" s="70">
        <v>315079.21999999997</v>
      </c>
      <c r="S24" s="70">
        <v>357143.49</v>
      </c>
      <c r="T24" s="70">
        <v>388918.74</v>
      </c>
      <c r="U24" s="70">
        <v>396209.91</v>
      </c>
      <c r="V24" s="70">
        <v>373506.75</v>
      </c>
      <c r="W24" s="70">
        <v>358646.38</v>
      </c>
      <c r="X24" s="70">
        <v>321927.84000000003</v>
      </c>
      <c r="Y24" s="70">
        <v>337190.07</v>
      </c>
      <c r="Z24" s="70">
        <v>406112.33</v>
      </c>
      <c r="AA24" s="70">
        <v>569283.56999999995</v>
      </c>
      <c r="AB24" s="70">
        <v>530638.37</v>
      </c>
      <c r="AC24" s="70">
        <v>535419.43000000005</v>
      </c>
      <c r="AD24" s="70">
        <v>530865.09</v>
      </c>
      <c r="AE24" s="70">
        <v>632987.31999999995</v>
      </c>
      <c r="AF24" s="70">
        <v>672168.03</v>
      </c>
      <c r="AG24" s="70">
        <v>636130.80000000005</v>
      </c>
      <c r="AH24" s="70">
        <v>647286.31999999995</v>
      </c>
      <c r="AI24" s="70">
        <v>588134.43000000005</v>
      </c>
      <c r="AJ24" s="70">
        <v>523066.9</v>
      </c>
      <c r="AK24" s="70">
        <v>569652.57999999996</v>
      </c>
      <c r="AL24" s="70">
        <v>622149.86</v>
      </c>
      <c r="AM24" s="70">
        <v>1121084.3899999999</v>
      </c>
      <c r="AN24" s="70">
        <v>1064143.96</v>
      </c>
      <c r="AO24" s="70">
        <v>956310.33</v>
      </c>
      <c r="AP24" s="70">
        <v>988397.62</v>
      </c>
      <c r="AQ24" s="70">
        <v>1099738.51</v>
      </c>
      <c r="AR24" s="70">
        <v>1183208.1399999999</v>
      </c>
      <c r="AS24" s="70">
        <v>1210589.8</v>
      </c>
      <c r="AT24" s="70">
        <v>1222150.02</v>
      </c>
      <c r="AU24" s="70">
        <v>1122226.3600000001</v>
      </c>
      <c r="AV24" s="263">
        <v>990572.77999999991</v>
      </c>
      <c r="AW24" s="263">
        <v>1074771.6100000001</v>
      </c>
      <c r="AX24" s="263">
        <v>1111703.5</v>
      </c>
      <c r="AY24" s="263">
        <v>772025.25999999966</v>
      </c>
      <c r="AZ24" s="263">
        <v>319798.53000000003</v>
      </c>
      <c r="BA24" s="263">
        <v>269033.2</v>
      </c>
      <c r="BB24" s="263">
        <v>249777.14000000004</v>
      </c>
      <c r="BC24" s="263">
        <v>297315.92999999988</v>
      </c>
      <c r="BD24" s="263">
        <v>347144.50999999989</v>
      </c>
      <c r="BE24" s="263">
        <v>345440.08999999991</v>
      </c>
      <c r="BF24" s="263">
        <v>344230.10999999993</v>
      </c>
      <c r="BG24" s="263">
        <v>293731.97000000003</v>
      </c>
      <c r="BH24" s="263">
        <v>286094.81999999995</v>
      </c>
      <c r="BI24" s="263">
        <v>307534.56999999995</v>
      </c>
      <c r="BJ24" s="263">
        <v>329595.59000000008</v>
      </c>
      <c r="BK24" s="263">
        <v>128230.92000000003</v>
      </c>
      <c r="BL24" s="263">
        <v>-119113.35999999999</v>
      </c>
      <c r="BM24" s="263">
        <v>-106709.26000000002</v>
      </c>
      <c r="BN24" s="263">
        <v>-108656.28</v>
      </c>
      <c r="BO24" s="263">
        <v>-121205.96</v>
      </c>
      <c r="BP24" s="263">
        <v>-141073.83000000002</v>
      </c>
      <c r="BQ24" s="263">
        <v>-140301.07</v>
      </c>
      <c r="BR24" s="263">
        <v>-142985.78</v>
      </c>
      <c r="BS24" s="263">
        <v>-125672.79000000004</v>
      </c>
      <c r="BT24" s="263">
        <f>-'[1]TDR.2 (M2)'!BP9</f>
        <v>-111672.41</v>
      </c>
      <c r="BU24" s="263">
        <f>-'[1]TDR.2 (M2)'!BQ9</f>
        <v>-122048.8</v>
      </c>
      <c r="BV24" s="263">
        <f>-'[1]TDR.2 (M2)'!BR9</f>
        <v>-130402.89999999998</v>
      </c>
      <c r="BW24" s="263">
        <f>-'[1]TDR.2 (M2)'!BS9</f>
        <v>-91979.270000000019</v>
      </c>
      <c r="BX24" s="263">
        <f>-'[1]TDR.2 (M2)'!BT9</f>
        <v>-29965.900000000005</v>
      </c>
      <c r="BY24" s="263">
        <f>-'[1]TDR.2 (M2)'!BU9</f>
        <v>-27757.9</v>
      </c>
      <c r="BZ24" s="263">
        <f>-'[1]TDR.2 (M2)'!BV9</f>
        <v>-28438.250000000004</v>
      </c>
      <c r="CA24" s="263">
        <f>-'[1]TDR.2 (M2)'!BW9</f>
        <v>-31790.6</v>
      </c>
      <c r="CB24" s="263">
        <f>-'[1]TDR.2 (M2)'!BX9</f>
        <v>-36362.75</v>
      </c>
      <c r="CC24" s="263">
        <f>-'[1]TDR.2 (M2)'!BY9</f>
        <v>-35481.11</v>
      </c>
      <c r="CD24" s="263">
        <f>-'[1]TDR.2 (M2)'!BZ9</f>
        <v>-33868.720000000001</v>
      </c>
      <c r="CE24" s="263">
        <f>-'[1]TDR.2 (M2)'!CA9</f>
        <v>-29154.440000000006</v>
      </c>
      <c r="CF24" s="306">
        <f>'[2]M2 Allocations - TD'!$CF$25*'TDR (M2)'!$CI$24</f>
        <v>-27766.866471993697</v>
      </c>
      <c r="CG24" s="352">
        <f>'[2]M2 Allocations - TD'!$CG$25*'TDR (M2)'!$CI$24</f>
        <v>-30819.784877240669</v>
      </c>
      <c r="CH24" s="371">
        <f>'[2]M2 Allocations - TD'!$CH$25*'TDR (M2)'!$CI$24</f>
        <v>-33735.600022934857</v>
      </c>
      <c r="CI24" s="80">
        <v>-5.5000000000000002E-5</v>
      </c>
      <c r="CJ24" s="81"/>
    </row>
    <row r="25" spans="1:88" x14ac:dyDescent="0.3">
      <c r="A25" s="48" t="s">
        <v>6</v>
      </c>
      <c r="B25" s="69">
        <v>0</v>
      </c>
      <c r="C25" s="70">
        <v>0</v>
      </c>
      <c r="D25" s="70">
        <v>0</v>
      </c>
      <c r="E25" s="70">
        <v>0</v>
      </c>
      <c r="F25" s="70">
        <v>1621.85</v>
      </c>
      <c r="G25" s="70">
        <v>15413.06</v>
      </c>
      <c r="H25" s="70">
        <v>19333.560000000001</v>
      </c>
      <c r="I25" s="70">
        <v>18858.009999999998</v>
      </c>
      <c r="J25" s="70">
        <v>20468.599999999999</v>
      </c>
      <c r="K25" s="70">
        <v>17365.72</v>
      </c>
      <c r="L25" s="70">
        <v>16669.060000000001</v>
      </c>
      <c r="M25" s="70">
        <v>16712.28</v>
      </c>
      <c r="N25" s="70">
        <v>31958.9</v>
      </c>
      <c r="O25" s="70">
        <v>328456.90999999997</v>
      </c>
      <c r="P25" s="70">
        <v>267175.5</v>
      </c>
      <c r="Q25" s="70">
        <v>287500.39</v>
      </c>
      <c r="R25" s="70">
        <v>291239.59000000003</v>
      </c>
      <c r="S25" s="70">
        <v>334700.84000000003</v>
      </c>
      <c r="T25" s="70">
        <v>327858.78000000003</v>
      </c>
      <c r="U25" s="70">
        <v>345877.98</v>
      </c>
      <c r="V25" s="70">
        <v>332796.82</v>
      </c>
      <c r="W25" s="70">
        <v>325738.77</v>
      </c>
      <c r="X25" s="70">
        <v>293261.37</v>
      </c>
      <c r="Y25" s="70">
        <v>307322.53000000003</v>
      </c>
      <c r="Z25" s="70">
        <v>339565.96</v>
      </c>
      <c r="AA25" s="70">
        <v>307869.25</v>
      </c>
      <c r="AB25" s="70">
        <v>306963.45</v>
      </c>
      <c r="AC25" s="70">
        <v>283370.14</v>
      </c>
      <c r="AD25" s="70">
        <v>326351.34000000003</v>
      </c>
      <c r="AE25" s="70">
        <v>353914.84</v>
      </c>
      <c r="AF25" s="70">
        <v>366503.78</v>
      </c>
      <c r="AG25" s="70">
        <v>360257.72</v>
      </c>
      <c r="AH25" s="70">
        <v>350605.05</v>
      </c>
      <c r="AI25" s="70">
        <v>328773.59000000003</v>
      </c>
      <c r="AJ25" s="70">
        <v>305971.46999999997</v>
      </c>
      <c r="AK25" s="70">
        <v>329009.21000000002</v>
      </c>
      <c r="AL25" s="70">
        <v>301972.13</v>
      </c>
      <c r="AM25" s="70">
        <v>361271.84</v>
      </c>
      <c r="AN25" s="70">
        <v>357649</v>
      </c>
      <c r="AO25" s="70">
        <v>342832.09</v>
      </c>
      <c r="AP25" s="70">
        <v>342002.7</v>
      </c>
      <c r="AQ25" s="70">
        <v>397393.17</v>
      </c>
      <c r="AR25" s="70">
        <v>399370.7</v>
      </c>
      <c r="AS25" s="70">
        <v>419257.53</v>
      </c>
      <c r="AT25" s="70">
        <v>416719</v>
      </c>
      <c r="AU25" s="70">
        <v>386141.21</v>
      </c>
      <c r="AV25" s="263">
        <v>357086.62000000005</v>
      </c>
      <c r="AW25" s="263">
        <v>359534.38999999996</v>
      </c>
      <c r="AX25" s="263">
        <v>369865.83</v>
      </c>
      <c r="AY25" s="263">
        <v>293791.12000000011</v>
      </c>
      <c r="AZ25" s="263">
        <v>123483.39000000001</v>
      </c>
      <c r="BA25" s="263">
        <v>118999.09</v>
      </c>
      <c r="BB25" s="263">
        <v>112027.34</v>
      </c>
      <c r="BC25" s="263">
        <v>130470.39999999999</v>
      </c>
      <c r="BD25" s="263">
        <v>137323.88</v>
      </c>
      <c r="BE25" s="263">
        <v>143937.83000000002</v>
      </c>
      <c r="BF25" s="263">
        <v>143974.57</v>
      </c>
      <c r="BG25" s="263">
        <v>127974.64999999998</v>
      </c>
      <c r="BH25" s="263">
        <v>127068.07999999999</v>
      </c>
      <c r="BI25" s="263">
        <v>132955.77000000002</v>
      </c>
      <c r="BJ25" s="263">
        <v>130544.62999999999</v>
      </c>
      <c r="BK25" s="263">
        <v>73117.320000000007</v>
      </c>
      <c r="BL25" s="263">
        <v>-23752.07</v>
      </c>
      <c r="BM25" s="263">
        <v>-25347.519999999997</v>
      </c>
      <c r="BN25" s="263">
        <v>-27081.250000000004</v>
      </c>
      <c r="BO25" s="263">
        <v>-24437.949999999997</v>
      </c>
      <c r="BP25" s="263">
        <v>-33816.269999999997</v>
      </c>
      <c r="BQ25" s="263">
        <v>-31047.429999999997</v>
      </c>
      <c r="BR25" s="263">
        <v>-31441.61</v>
      </c>
      <c r="BS25" s="263">
        <v>-27149.440000000002</v>
      </c>
      <c r="BT25" s="263">
        <f>-'[1]TDR.2 (M2)'!BP10</f>
        <v>-23682.34</v>
      </c>
      <c r="BU25" s="263">
        <f>-'[1]TDR.2 (M2)'!BQ10</f>
        <v>-31128.820000000003</v>
      </c>
      <c r="BV25" s="263">
        <f>-'[1]TDR.2 (M2)'!BR10</f>
        <v>-30061.68</v>
      </c>
      <c r="BW25" s="263">
        <f>-'[1]TDR.2 (M2)'!BS10</f>
        <v>-21727.82</v>
      </c>
      <c r="BX25" s="263">
        <f>-'[1]TDR.2 (M2)'!BT10</f>
        <v>-9411.08</v>
      </c>
      <c r="BY25" s="263">
        <f>-'[1]TDR.2 (M2)'!BU10</f>
        <v>-9472.94</v>
      </c>
      <c r="BZ25" s="263">
        <f>-'[1]TDR.2 (M2)'!BV10</f>
        <v>-9265.8999999999978</v>
      </c>
      <c r="CA25" s="263">
        <f>-'[1]TDR.2 (M2)'!BW10</f>
        <v>-10540.89</v>
      </c>
      <c r="CB25" s="263">
        <f>-'[1]TDR.2 (M2)'!BX10</f>
        <v>-10967.710000000001</v>
      </c>
      <c r="CC25" s="263">
        <f>-'[1]TDR.2 (M2)'!BY10</f>
        <v>-10879.65</v>
      </c>
      <c r="CD25" s="263">
        <f>-'[1]TDR.2 (M2)'!BZ10</f>
        <v>-10597.96</v>
      </c>
      <c r="CE25" s="263">
        <f>-'[1]TDR.2 (M2)'!CA10</f>
        <v>-9396.31</v>
      </c>
      <c r="CF25" s="306">
        <f>'[2]M2 Allocations - TD'!$CF$26*'TDR (M2)'!$CI$25</f>
        <v>-9148.6063466728483</v>
      </c>
      <c r="CG25" s="352">
        <f>'[2]M2 Allocations - TD'!$CG$26*'TDR (M2)'!$CI$25</f>
        <v>-9533.9634449839014</v>
      </c>
      <c r="CH25" s="371">
        <f>'[2]M2 Allocations - TD'!$CH$26*'TDR (M2)'!$CI$25</f>
        <v>-9903.8817614824802</v>
      </c>
      <c r="CI25" s="80">
        <v>-4.1E-5</v>
      </c>
      <c r="CJ25" s="81"/>
    </row>
    <row r="26" spans="1:88" x14ac:dyDescent="0.3">
      <c r="A26" s="48" t="s">
        <v>7</v>
      </c>
      <c r="B26" s="69">
        <v>0</v>
      </c>
      <c r="C26" s="70">
        <v>0</v>
      </c>
      <c r="D26" s="70">
        <v>0</v>
      </c>
      <c r="E26" s="70">
        <v>0</v>
      </c>
      <c r="F26" s="70"/>
      <c r="G26" s="70">
        <v>4867.8</v>
      </c>
      <c r="H26" s="70">
        <v>9528.7800000000007</v>
      </c>
      <c r="I26" s="70">
        <v>9622.07</v>
      </c>
      <c r="J26" s="70">
        <v>10571.65</v>
      </c>
      <c r="K26" s="70">
        <v>9276.2800000000007</v>
      </c>
      <c r="L26" s="70">
        <v>8552.14</v>
      </c>
      <c r="M26" s="70">
        <v>8040.28</v>
      </c>
      <c r="N26" s="70">
        <v>7958.8</v>
      </c>
      <c r="O26" s="70">
        <v>202699.47</v>
      </c>
      <c r="P26" s="70">
        <v>167678.56</v>
      </c>
      <c r="Q26" s="70">
        <v>185826.61</v>
      </c>
      <c r="R26" s="70">
        <v>189002.31</v>
      </c>
      <c r="S26" s="70">
        <v>225674.13</v>
      </c>
      <c r="T26" s="70">
        <v>213450.91</v>
      </c>
      <c r="U26" s="70">
        <v>236566.37</v>
      </c>
      <c r="V26" s="70">
        <v>225419.26</v>
      </c>
      <c r="W26" s="70">
        <v>214922.7</v>
      </c>
      <c r="X26" s="70">
        <v>204773.48</v>
      </c>
      <c r="Y26" s="70">
        <v>187770.83</v>
      </c>
      <c r="Z26" s="70">
        <v>190411.74</v>
      </c>
      <c r="AA26" s="70">
        <v>104692.59</v>
      </c>
      <c r="AB26" s="70">
        <v>18094.560000000001</v>
      </c>
      <c r="AC26" s="70">
        <v>17212.91</v>
      </c>
      <c r="AD26" s="70">
        <v>19682.41</v>
      </c>
      <c r="AE26" s="70">
        <v>21781.17</v>
      </c>
      <c r="AF26" s="70">
        <v>13233.54</v>
      </c>
      <c r="AG26" s="70">
        <v>22431.52</v>
      </c>
      <c r="AH26" s="70">
        <v>21067.32</v>
      </c>
      <c r="AI26" s="70">
        <v>20801.22</v>
      </c>
      <c r="AJ26" s="70">
        <v>19547.939999999999</v>
      </c>
      <c r="AK26" s="70">
        <v>19036.14</v>
      </c>
      <c r="AL26" s="70">
        <v>21300.85</v>
      </c>
      <c r="AM26" s="70">
        <v>41051.660000000003</v>
      </c>
      <c r="AN26" s="70">
        <v>64352.88</v>
      </c>
      <c r="AO26" s="70">
        <v>64072.1</v>
      </c>
      <c r="AP26" s="70">
        <v>62519.33</v>
      </c>
      <c r="AQ26" s="70">
        <v>78748.960000000006</v>
      </c>
      <c r="AR26" s="70">
        <v>73304.259999999995</v>
      </c>
      <c r="AS26" s="70">
        <v>81170.33</v>
      </c>
      <c r="AT26" s="70">
        <v>82260.42</v>
      </c>
      <c r="AU26" s="70">
        <v>77599.5</v>
      </c>
      <c r="AV26" s="263">
        <v>68913.849999999991</v>
      </c>
      <c r="AW26" s="263">
        <v>64843.479999999981</v>
      </c>
      <c r="AX26" s="263">
        <v>68622.930000000008</v>
      </c>
      <c r="AY26" s="263">
        <v>67842.5</v>
      </c>
      <c r="AZ26" s="263">
        <v>38688.329999999994</v>
      </c>
      <c r="BA26" s="263">
        <v>44298.869999999988</v>
      </c>
      <c r="BB26" s="263">
        <v>44976.560000000012</v>
      </c>
      <c r="BC26" s="263">
        <v>11431.369999999999</v>
      </c>
      <c r="BD26" s="263">
        <v>50558.239999999998</v>
      </c>
      <c r="BE26" s="263">
        <v>52075.91</v>
      </c>
      <c r="BF26" s="263">
        <v>52816.959999999999</v>
      </c>
      <c r="BG26" s="263">
        <v>46523.240000000005</v>
      </c>
      <c r="BH26" s="263">
        <v>45630.69</v>
      </c>
      <c r="BI26" s="263">
        <v>46596.579999999994</v>
      </c>
      <c r="BJ26" s="263">
        <v>42614.78</v>
      </c>
      <c r="BK26" s="263">
        <v>37690.370000000003</v>
      </c>
      <c r="BL26" s="263">
        <v>-999.06</v>
      </c>
      <c r="BM26" s="263">
        <v>1068.3500000000001</v>
      </c>
      <c r="BN26" s="263">
        <v>1085.3800000000001</v>
      </c>
      <c r="BO26" s="263">
        <v>1047.53</v>
      </c>
      <c r="BP26" s="263">
        <v>1336.8500000000001</v>
      </c>
      <c r="BQ26" s="263">
        <v>1272.6199999999999</v>
      </c>
      <c r="BR26" s="263">
        <v>1376.1</v>
      </c>
      <c r="BS26" s="263">
        <v>1261.3000000000002</v>
      </c>
      <c r="BT26" s="263">
        <f>-'[1]TDR.2 (M2)'!BP11</f>
        <v>837.34000000000015</v>
      </c>
      <c r="BU26" s="263">
        <f>-'[1]TDR.2 (M2)'!BQ11</f>
        <v>1174.03</v>
      </c>
      <c r="BV26" s="263">
        <f>-'[1]TDR.2 (M2)'!BR11</f>
        <v>1093.94</v>
      </c>
      <c r="BW26" s="263">
        <f>-'[1]TDR.2 (M2)'!BS11</f>
        <v>596.12000000000012</v>
      </c>
      <c r="BX26" s="263">
        <f>-'[1]TDR.2 (M2)'!BT11</f>
        <v>-2115.3000000000002</v>
      </c>
      <c r="BY26" s="263">
        <f>-'[1]TDR.2 (M2)'!BU11</f>
        <v>-9955.1299999999992</v>
      </c>
      <c r="BZ26" s="263">
        <f>-'[1]TDR.2 (M2)'!BV11</f>
        <v>-1926.46</v>
      </c>
      <c r="CA26" s="263">
        <f>-'[1]TDR.2 (M2)'!BW11</f>
        <v>-2348.3700000000003</v>
      </c>
      <c r="CB26" s="263">
        <f>-'[1]TDR.2 (M2)'!BX11</f>
        <v>-2694.11</v>
      </c>
      <c r="CC26" s="263">
        <f>-'[1]TDR.2 (M2)'!BY11</f>
        <v>-2663.9100000000003</v>
      </c>
      <c r="CD26" s="263">
        <f>-'[1]TDR.2 (M2)'!BZ11</f>
        <v>-2777.2000000000003</v>
      </c>
      <c r="CE26" s="263">
        <f>-'[1]TDR.2 (M2)'!CA11</f>
        <v>-2385.87</v>
      </c>
      <c r="CF26" s="306">
        <f>'[2]M2 Allocations - TD'!$CF$27*'TDR (M2)'!$CI$26</f>
        <v>-2313.5820133384063</v>
      </c>
      <c r="CG26" s="352">
        <f>'[2]M2 Allocations - TD'!$CG$27*'TDR (M2)'!$CI$26</f>
        <v>-2266.9716748860501</v>
      </c>
      <c r="CH26" s="371">
        <f>'[2]M2 Allocations - TD'!$CH$27*'TDR (M2)'!$CI$26</f>
        <v>-2388.5053153889112</v>
      </c>
      <c r="CI26" s="80">
        <v>-2.6999999999999999E-5</v>
      </c>
      <c r="CJ26" s="81"/>
    </row>
    <row r="27" spans="1:88" x14ac:dyDescent="0.3">
      <c r="B27" s="82"/>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2"/>
      <c r="CG27" s="83"/>
      <c r="CH27" s="77"/>
      <c r="CJ27" s="3"/>
    </row>
    <row r="28" spans="1:88" s="139" customFormat="1" x14ac:dyDescent="0.3">
      <c r="A28" s="32" t="s">
        <v>101</v>
      </c>
      <c r="B28" s="179"/>
      <c r="C28" s="176"/>
      <c r="D28" s="78"/>
      <c r="E28" s="74"/>
      <c r="F28" s="74"/>
      <c r="G28" s="74"/>
      <c r="H28" s="74"/>
      <c r="I28" s="74"/>
      <c r="J28" s="74"/>
      <c r="K28" s="83"/>
      <c r="L28" s="83"/>
      <c r="M28" s="83"/>
      <c r="N28" s="83"/>
      <c r="CF28" s="82"/>
      <c r="CG28" s="83"/>
      <c r="CH28" s="77"/>
    </row>
    <row r="29" spans="1:88" s="139" customFormat="1" x14ac:dyDescent="0.3">
      <c r="A29" s="139" t="s">
        <v>0</v>
      </c>
      <c r="B29" s="85">
        <v>0</v>
      </c>
      <c r="C29" s="89">
        <v>0</v>
      </c>
      <c r="D29" s="89">
        <v>0</v>
      </c>
      <c r="E29" s="89">
        <v>0</v>
      </c>
      <c r="F29" s="89">
        <f>+(F22-F36)+(F36*F22/SUM(F22:F26))</f>
        <v>12454.76</v>
      </c>
      <c r="G29" s="89">
        <f>+(G22-G36)+(G36*G22/SUM(G22:G26))</f>
        <v>191642.45</v>
      </c>
      <c r="H29" s="89">
        <f t="shared" ref="H29:P29" si="74">+(H22-H36)+(H36*H22/SUM(H22:H26))</f>
        <v>257925.06</v>
      </c>
      <c r="I29" s="89">
        <f t="shared" si="74"/>
        <v>258848.42</v>
      </c>
      <c r="J29" s="89">
        <f t="shared" si="74"/>
        <v>234125.18</v>
      </c>
      <c r="K29" s="89">
        <f t="shared" si="74"/>
        <v>166948.49</v>
      </c>
      <c r="L29" s="89">
        <f t="shared" si="74"/>
        <v>136842.14000000001</v>
      </c>
      <c r="M29" s="89">
        <f t="shared" si="74"/>
        <v>210493.55</v>
      </c>
      <c r="N29" s="89">
        <f t="shared" si="74"/>
        <v>406285.42</v>
      </c>
      <c r="O29" s="89">
        <f t="shared" si="74"/>
        <v>1369889.78</v>
      </c>
      <c r="P29" s="89">
        <f t="shared" si="74"/>
        <v>1103029.06</v>
      </c>
      <c r="Q29" s="89">
        <f>+(Q22-Q36)+(Q36*'PCR (M2) Final'!Q28/SUM('PCR (M2) Final'!Q28:Q32))</f>
        <v>983976.8055998187</v>
      </c>
      <c r="R29" s="89">
        <f>+(R22-R36)+(R36*'PCR (M2) Final'!R28/SUM('PCR (M2) Final'!R28:R32))</f>
        <v>936126.67058040295</v>
      </c>
      <c r="S29" s="112">
        <f>+(S22-S36)+(S36*'PCR (M2) Final'!S28/SUM('PCR (M2) Final'!S28:S32))</f>
        <v>1254886.244789884</v>
      </c>
      <c r="T29" s="89">
        <f>+(T22-T36)+(T36*'PCR (M2) Final'!T28/SUM('PCR (M2) Final'!T28:T32))</f>
        <v>1666724.2213379955</v>
      </c>
      <c r="U29" s="89">
        <f>+(U22-U36)+(U36*'PCR (M2) Final'!U28/SUM('PCR (M2) Final'!U28:U32))</f>
        <v>1687867.967739454</v>
      </c>
      <c r="V29" s="89">
        <f>+(V22-V36)+(V36*'PCR (M2) Final'!V28/SUM('PCR (M2) Final'!V28:V32))</f>
        <v>1336984.8118306769</v>
      </c>
      <c r="W29" s="86">
        <f>+(W22-W36)+(W36*'PCR (M2) Final'!W28/SUM('PCR (M2) Final'!W28:W32))</f>
        <v>1174985.3507627479</v>
      </c>
      <c r="X29" s="86">
        <f>+(X22-X36)+(X36*'PCR (M2) Final'!X28/SUM('PCR (M2) Final'!X28:X32))</f>
        <v>1029531.6444714632</v>
      </c>
      <c r="Y29" s="86">
        <f>+(Y22-Y36)+(Y36*'PCR (M2) Final'!Y28/SUM('PCR (M2) Final'!Y28:Y32))</f>
        <v>1326453.2350570641</v>
      </c>
      <c r="Z29" s="86">
        <f>+(Z22-Z36)+(Z36*'PCR (M2) Final'!Z28/SUM('PCR (M2) Final'!Z28:Z32))</f>
        <v>2030661.7411402338</v>
      </c>
      <c r="AA29" s="86">
        <f>+(AA22-AA36)+(AA36*'PCR (M2) Final'!AA28/SUM('PCR (M2) Final'!AA28:AA32))</f>
        <v>1388250.351917315</v>
      </c>
      <c r="AB29" s="86">
        <f>+(AB22-AB36)+(AB36*'PCR (M2) Final'!AB28/SUM('PCR (M2) Final'!AB28:AB32))</f>
        <v>1120654.6531242458</v>
      </c>
      <c r="AC29" s="86">
        <f>+(AC22-AC36)+(AC36*'PCR (M2) Final'!AC28/SUM('PCR (M2) Final'!AC28:AC32))</f>
        <v>1082451.6725849968</v>
      </c>
      <c r="AD29" s="86">
        <f>+(AD22-AD36)+(AD36*'PCR (M2) Final'!AD28/SUM('PCR (M2) Final'!AD28:AD32))</f>
        <v>880251.85351460415</v>
      </c>
      <c r="AE29" s="86">
        <f>+(AE22-AE36)+(AE36*'PCR (M2) Final'!AE28/SUM('PCR (M2) Final'!AE28:AE32))</f>
        <v>1301284.1891339927</v>
      </c>
      <c r="AF29" s="86">
        <f>+(AF22-AF36)+(AF36*'PCR (M2) Final'!AF28/SUM('PCR (M2) Final'!AF28:AF32))</f>
        <v>1524704.8572049867</v>
      </c>
      <c r="AG29" s="86">
        <f>+(AG22-AG36)+(AG36*'PCR (M2) Final'!AG28/SUM('PCR (M2) Final'!AG28:AG32))</f>
        <v>1366723.6950669868</v>
      </c>
      <c r="AH29" s="86">
        <f>+(AH22-AH36)+(AH36*'PCR (M2) Final'!AH28/SUM('PCR (M2) Final'!AH28:AH32))</f>
        <v>1314605.108458352</v>
      </c>
      <c r="AI29" s="86">
        <f>+(AI22-AI36)+(AI36*'PCR (M2) Final'!AI28/SUM('PCR (M2) Final'!AI28:AI32))</f>
        <v>1020432.9529194708</v>
      </c>
      <c r="AJ29" s="86">
        <f>+(AJ22-AJ36)+(AJ36*'PCR (M2) Final'!AJ28/SUM('PCR (M2) Final'!AJ28:AJ32))</f>
        <v>950195.40735321853</v>
      </c>
      <c r="AK29" s="86">
        <f>+(AK22-AK36)+(AK36*'PCR (M2) Final'!AK28/SUM('PCR (M2) Final'!AK28:AK32))</f>
        <v>1320371.9817385538</v>
      </c>
      <c r="AL29" s="86">
        <f>+(AL22-AL36)+(AL36*'PCR (M2) Final'!AL28/SUM('PCR (M2) Final'!AL28:AL32))</f>
        <v>1462433.5546846255</v>
      </c>
      <c r="AM29" s="86">
        <f>+(AM22-AM36)+(AM36*'PCR (M2) Final'!AM28/SUM('PCR (M2) Final'!AM28:AM32))</f>
        <v>1529137.4028414818</v>
      </c>
      <c r="AN29" s="86">
        <f>+(AN22-AN36)+(AN36*'PCR (M2) Final'!AN28/SUM('PCR (M2) Final'!AN28:AN32))</f>
        <v>1378360.7270812315</v>
      </c>
      <c r="AO29" s="86">
        <f>+(AO22-AO36)+(AO36*'PCR (M2) Final'!AO28/SUM('PCR (M2) Final'!AO28:AO32))</f>
        <v>951160.98963883938</v>
      </c>
      <c r="AP29" s="86">
        <f>+(AP22-AP36)+(AP36*'PCR (M2) Final'!AP28/SUM('PCR (M2) Final'!AP28:AP32))</f>
        <v>807723.67786616471</v>
      </c>
      <c r="AQ29" s="86">
        <f>+(AQ22-AQ36)+(AQ36*'PCR (M2) Final'!AQ28/SUM('PCR (M2) Final'!AQ28:AQ32))</f>
        <v>1071830.4459348798</v>
      </c>
      <c r="AR29" s="86">
        <f>+(AR22-AR36)+(AR36*'PCR (M2) Final'!AR28/SUM('PCR (M2) Final'!AR28:AR32))</f>
        <v>1361027.792333117</v>
      </c>
      <c r="AS29" s="86">
        <f>+(AS22-AS36)+(AS36*'PCR (M2) Final'!AS28/SUM('PCR (M2) Final'!AS28:AS32))</f>
        <v>1432733.48651519</v>
      </c>
      <c r="AT29" s="86">
        <f>+(AT22-AT36)+(AT36*'PCR (M2) Final'!AT28/SUM('PCR (M2) Final'!AT28:AT32))</f>
        <v>1322179.2642833879</v>
      </c>
      <c r="AU29" s="86">
        <f>+(AU22-AU36)+(AU36*'PCR (M2) Final'!AU28/SUM('PCR (M2) Final'!AU28:AU32))</f>
        <v>1087865.4265500808</v>
      </c>
      <c r="AV29" s="86">
        <f>+(AV22-AV36)+(AV36*'PCR (M2) Final'!AV28/SUM('PCR (M2) Final'!AV28:AV32))</f>
        <v>979499.93887924915</v>
      </c>
      <c r="AW29" s="86">
        <f>+(AW22-AW36)+(AW36*'PCR (M2) Final'!AW28/SUM('PCR (M2) Final'!AW28:AW32))</f>
        <v>1315854.6359199635</v>
      </c>
      <c r="AX29" s="86">
        <f>+(AX22-AX36)+(AX36*'PCR (M2) Final'!AX28/SUM('PCR (M2) Final'!AX28:AX32))</f>
        <v>1452342.8430098211</v>
      </c>
      <c r="AY29" s="86">
        <f>+(AY22-AY36)+(AY36*'PCR (M2) Final'!AY28/SUM('PCR (M2) Final'!AY28:AY32))</f>
        <v>852786.52127385815</v>
      </c>
      <c r="AZ29" s="86">
        <f>+(AZ22-AZ36)+(AZ36*'PCR (M2) Final'!AZ28/SUM('PCR (M2) Final'!AZ28:AZ32))</f>
        <v>125873.38282544474</v>
      </c>
      <c r="BA29" s="86">
        <f>+(BA22-BA36)+(BA36*'PCR (M2) Final'!BA28/SUM('PCR (M2) Final'!BA28:BA32))</f>
        <v>94402.787188311384</v>
      </c>
      <c r="BB29" s="86">
        <f>+(BB22-BB36)+(BB36*'PCR (M2) Final'!BB28/SUM('PCR (M2) Final'!BB28:BB32))</f>
        <v>84175.513069788285</v>
      </c>
      <c r="BC29" s="86">
        <f>+(BC22-BC36)+(BC36*'PCR (M2) Final'!BC28/SUM('PCR (M2) Final'!BC28:BC32))</f>
        <v>111088.05405709325</v>
      </c>
      <c r="BD29" s="86">
        <f>+(BD22-BD36)+(BD36*'PCR (M2) Final'!BD28/SUM('PCR (M2) Final'!BD28:BD32))</f>
        <v>148912.49147732253</v>
      </c>
      <c r="BE29" s="86">
        <f>+(BE22-BE36)+(BE36*'PCR (M2) Final'!BE28/SUM('PCR (M2) Final'!BE28:BE32))</f>
        <v>139614.44094102815</v>
      </c>
      <c r="BF29" s="86">
        <f>+(BF22-BF36)+(BF36*'PCR (M2) Final'!BF28/SUM('PCR (M2) Final'!BF28:BF32))</f>
        <v>125976.71022904468</v>
      </c>
      <c r="BG29" s="86">
        <f>+(BG22-BG36)+(BG36*'PCR (M2) Final'!BG28/SUM('PCR (M2) Final'!BG28:BG32))</f>
        <v>85433.845861912763</v>
      </c>
      <c r="BH29" s="86">
        <f>+(BH22-BH36)+(BH36*'PCR (M2) Final'!BH28/SUM('PCR (M2) Final'!BH28:BH32))</f>
        <v>91258.917890257682</v>
      </c>
      <c r="BI29" s="86">
        <f>+(BI22-BI36)+(BI36*'PCR (M2) Final'!BI28/SUM('PCR (M2) Final'!BI28:BI32))</f>
        <v>120857.06275512141</v>
      </c>
      <c r="BJ29" s="86">
        <f>+(BJ22-BJ36)+(BJ36*'PCR (M2) Final'!BJ28/SUM('PCR (M2) Final'!BJ28:BJ32))</f>
        <v>157131.76386056474</v>
      </c>
      <c r="BK29" s="86">
        <f>+(BK22-BK36)+(BK36*'PCR (M2) Final'!BK28/SUM('PCR (M2) Final'!BK28:BK32))</f>
        <v>-115197.03218943031</v>
      </c>
      <c r="BL29" s="86">
        <f>+(BL22-BL36)+(BL36*'PCR (M2) Final'!BL28/SUM('PCR (M2) Final'!BL28:BL32))</f>
        <v>-330846.44785598782</v>
      </c>
      <c r="BM29" s="86">
        <f>+(BM22-BM36)+(BM36*'PCR (M2) Final'!BM28/SUM('PCR (M2) Final'!BM28:BM32))</f>
        <v>-223865.36362995685</v>
      </c>
      <c r="BN29" s="86">
        <f>+(BN22-BN36)+(BN36*'PCR (M2) Final'!BN28/SUM('PCR (M2) Final'!BN28:BN32))</f>
        <v>-210176.78057078714</v>
      </c>
      <c r="BO29" s="86">
        <f>+(BO22-BO36)+(BO36*'PCR (M2) Final'!BO28/SUM('PCR (M2) Final'!BO28:BO32))</f>
        <v>-274664.86631310626</v>
      </c>
      <c r="BP29" s="86">
        <f>+(BP22-BP36)+(BP36*'PCR (M2) Final'!BP28/SUM('PCR (M2) Final'!BP28:BP32))</f>
        <v>-362529.15554440091</v>
      </c>
      <c r="BQ29" s="86">
        <f>+(BQ22-BQ36)+(BQ36*'PCR (M2) Final'!BQ28/SUM('PCR (M2) Final'!BQ28:BQ32))</f>
        <v>-369792.94310600177</v>
      </c>
      <c r="BR29" s="86">
        <f>+(BR22-BR36)+(BR36*'PCR (M2) Final'!BR28/SUM('PCR (M2) Final'!BR28:BR32))</f>
        <v>-363385.55298456381</v>
      </c>
      <c r="BS29" s="86">
        <f>+(BS22-BS36)+(BS36*'PCR (M2) Final'!BS28/SUM('PCR (M2) Final'!BS28:BS32))</f>
        <v>-252118.80647925977</v>
      </c>
      <c r="BT29" s="86">
        <f>+(BT22-BT36)+(BT36*'PCR (M2) Final'!BT28/SUM('PCR (M2) Final'!BT28:BT32))</f>
        <v>-237271.91053566517</v>
      </c>
      <c r="BU29" s="86">
        <f>+(BU22-BU36)+(BU36*'PCR (M2) Final'!BU28/SUM('PCR (M2) Final'!BU28:BU32))</f>
        <v>-297440.02156472037</v>
      </c>
      <c r="BV29" s="86">
        <f>+(BV22-BV36)+(BV36*'PCR (M2) Final'!BV28/SUM('PCR (M2) Final'!BV28:BV32))</f>
        <v>-384027.55955538503</v>
      </c>
      <c r="BW29" s="86">
        <f>+(BW22-BW36)+(BW36*'PCR (M3)'!AN28/SUM('PCR (M3)'!AN28:AN32))</f>
        <v>-248448.70779312411</v>
      </c>
      <c r="BX29" s="86">
        <f>+(BX22-BX36)+(BX36*'PCR (M3)'!AO28/SUM('PCR (M3)'!AO28:AO32))</f>
        <v>-14142.518065753949</v>
      </c>
      <c r="BY29" s="86">
        <f>+(BY22-BY36)+(BY36*'PCR (M3)'!AP28/SUM('PCR (M3)'!AP28:AP32))</f>
        <v>-8108.3955144196925</v>
      </c>
      <c r="BZ29" s="86">
        <f>+(BZ22-BZ36)+(BZ36*'PCR (M3)'!AQ28/SUM('PCR (M3)'!AQ28:AQ32))</f>
        <v>-8073.3360940229468</v>
      </c>
      <c r="CA29" s="86">
        <f>+(CA22-CA36)+(CA36*'PCR (M3)'!AR28/SUM('PCR (M3)'!AR28:AR32))</f>
        <v>-10522.970092720119</v>
      </c>
      <c r="CB29" s="86">
        <f>+(CB22-CB36)+(CB36*'PCR (M3)'!AS28/SUM('PCR (M3)'!AS28:AS32))</f>
        <v>-14468.941204805697</v>
      </c>
      <c r="CC29" s="86">
        <f>+(CC22-CC36)+(CC36*'PCR (M3)'!AT28/SUM('PCR (M3)'!AT28:AT32))</f>
        <v>-13654.530108070916</v>
      </c>
      <c r="CD29" s="86">
        <f>+(CD22-CD36)+(CD36*'PCR (M3)'!AU28/SUM('PCR (M3)'!AU28:AU32))</f>
        <v>-11445.528735503305</v>
      </c>
      <c r="CE29" s="86">
        <f>+(CE22-CE36)+(CE36*'PCR (M3)'!AV28/SUM('PCR (M3)'!AV28:AV32))</f>
        <v>-8161.2905921701904</v>
      </c>
      <c r="CF29" s="306">
        <f>+(CF22-CF36)+(CF36*'PCR (M3)'!AW28/SUM('PCR (M3)'!AW28:AW32))</f>
        <v>-8069.8126067853509</v>
      </c>
      <c r="CG29" s="352">
        <f>+(CG22-CG36)+(CG36*'PCR (M3)'!AX28/SUM('PCR (M3)'!AX28:AX32))</f>
        <v>-11562.794733164532</v>
      </c>
      <c r="CH29" s="371">
        <f>+(CH22-CH36)+(CH36*'PCR (M3)'!AY28/SUM('PCR (M3)'!AY28:AY32))</f>
        <v>-14274.604225665193</v>
      </c>
    </row>
    <row r="30" spans="1:88" s="139" customFormat="1" x14ac:dyDescent="0.3">
      <c r="A30" s="139" t="s">
        <v>4</v>
      </c>
      <c r="B30" s="85">
        <v>0</v>
      </c>
      <c r="C30" s="89">
        <v>0</v>
      </c>
      <c r="D30" s="89">
        <v>0</v>
      </c>
      <c r="E30" s="89">
        <v>0</v>
      </c>
      <c r="F30" s="89">
        <f>+F23+(F36*F23/SUM(F22:F26))</f>
        <v>856.28</v>
      </c>
      <c r="G30" s="89">
        <f t="shared" ref="G30:P30" si="75">+G23+(G36*G23/SUM(G22:G26))</f>
        <v>12419.27</v>
      </c>
      <c r="H30" s="89">
        <f t="shared" si="75"/>
        <v>14760.05</v>
      </c>
      <c r="I30" s="89">
        <f t="shared" si="75"/>
        <v>14736.25</v>
      </c>
      <c r="J30" s="89">
        <f t="shared" si="75"/>
        <v>14174.52</v>
      </c>
      <c r="K30" s="89">
        <f t="shared" si="75"/>
        <v>12053.27</v>
      </c>
      <c r="L30" s="89">
        <f t="shared" si="75"/>
        <v>10707.26</v>
      </c>
      <c r="M30" s="89">
        <f t="shared" si="75"/>
        <v>12431.58</v>
      </c>
      <c r="N30" s="89">
        <f t="shared" si="75"/>
        <v>27338.89</v>
      </c>
      <c r="O30" s="89">
        <f t="shared" si="75"/>
        <v>144726.28</v>
      </c>
      <c r="P30" s="89">
        <f t="shared" si="75"/>
        <v>128485.97</v>
      </c>
      <c r="Q30" s="89">
        <f>+Q23+(Q36*'PCR (M2) Final'!Q29/SUM('PCR (M2) Final'!Q28:Q32))</f>
        <v>117754.86766427531</v>
      </c>
      <c r="R30" s="89">
        <f>+R23+(R36*'PCR (M2) Final'!R29/SUM('PCR (M2) Final'!R28:R32))</f>
        <v>117111.78358657917</v>
      </c>
      <c r="S30" s="89">
        <f>+S23+(S36*'PCR (M2) Final'!S29/SUM('PCR (M2) Final'!S28:S32))</f>
        <v>139211.1271761941</v>
      </c>
      <c r="T30" s="89">
        <f>+T23+(T36*'PCR (M2) Final'!T29/SUM('PCR (M2) Final'!T28:T32))</f>
        <v>160900.46992761682</v>
      </c>
      <c r="U30" s="89">
        <f>+U23+(U36*'PCR (M2) Final'!U29/SUM('PCR (M2) Final'!U28:U32))</f>
        <v>162415.72720926077</v>
      </c>
      <c r="V30" s="89">
        <f>+V23+(V36*'PCR (M2) Final'!V29/SUM('PCR (M2) Final'!V28:V32))</f>
        <v>145481.1603029698</v>
      </c>
      <c r="W30" s="86">
        <f>+W23+(W36*'PCR (M2) Final'!W29/SUM('PCR (M2) Final'!W28:W32))</f>
        <v>137867.15538119225</v>
      </c>
      <c r="X30" s="86">
        <f>+X23+(X36*'PCR (M2) Final'!X29/SUM('PCR (M2) Final'!X28:X32))</f>
        <v>122671.59779667509</v>
      </c>
      <c r="Y30" s="86">
        <f>+Y23+(Y36*'PCR (M2) Final'!Y29/SUM('PCR (M2) Final'!Y28:Y32))</f>
        <v>134648.09810155624</v>
      </c>
      <c r="Z30" s="86">
        <f>+Z23+(Z36*'PCR (M2) Final'!Z29/SUM('PCR (M2) Final'!Z28:Z32))</f>
        <v>193970.45230344273</v>
      </c>
      <c r="AA30" s="86">
        <f>+AA23+(AA36*'PCR (M2) Final'!AA29/SUM('PCR (M2) Final'!AA28:AA32))</f>
        <v>337014.48620173347</v>
      </c>
      <c r="AB30" s="86">
        <f>+AB23+(AB36*'PCR (M2) Final'!AB29/SUM('PCR (M2) Final'!AB28:AB32))</f>
        <v>295708.57620644657</v>
      </c>
      <c r="AC30" s="86">
        <f>+AC23+(AC36*'PCR (M2) Final'!AC29/SUM('PCR (M2) Final'!AC28:AC32))</f>
        <v>291406.59328999976</v>
      </c>
      <c r="AD30" s="86">
        <f>+AD23+(AD36*'PCR (M2) Final'!AD29/SUM('PCR (M2) Final'!AD28:AD32))</f>
        <v>264923.25566753082</v>
      </c>
      <c r="AE30" s="86">
        <f>+AE23+(AE36*'PCR (M2) Final'!AE29/SUM('PCR (M2) Final'!AE28:AE32))</f>
        <v>333657.21503767214</v>
      </c>
      <c r="AF30" s="86">
        <f>+AF23+(AF36*'PCR (M2) Final'!AF29/SUM('PCR (M2) Final'!AF28:AF32))</f>
        <v>367915.86365673423</v>
      </c>
      <c r="AG30" s="86">
        <f>+AG23+(AG36*'PCR (M2) Final'!AG29/SUM('PCR (M2) Final'!AG28:AG32))</f>
        <v>344001.06732957577</v>
      </c>
      <c r="AH30" s="86">
        <f>+AH23+(AH36*'PCR (M2) Final'!AH29/SUM('PCR (M2) Final'!AH28:AH32))</f>
        <v>338126.29031171976</v>
      </c>
      <c r="AI30" s="86">
        <f>+AI23+(AI36*'PCR (M2) Final'!AI29/SUM('PCR (M2) Final'!AI28:AI32))</f>
        <v>297845.76900715684</v>
      </c>
      <c r="AJ30" s="86">
        <f>+AJ23+(AJ36*'PCR (M2) Final'!AJ29/SUM('PCR (M2) Final'!AJ28:AJ32))</f>
        <v>267618.62093979405</v>
      </c>
      <c r="AK30" s="86">
        <f>+AK23+(AK36*'PCR (M2) Final'!AK29/SUM('PCR (M2) Final'!AK28:AK32))</f>
        <v>322555.10705520917</v>
      </c>
      <c r="AL30" s="86">
        <f>+AL23+(AL36*'PCR (M2) Final'!AL29/SUM('PCR (M2) Final'!AL28:AL32))</f>
        <v>371341.16797562933</v>
      </c>
      <c r="AM30" s="86">
        <f>+AM23+(AM36*'PCR (M2) Final'!AM29/SUM('PCR (M2) Final'!AM28:AM32))</f>
        <v>701136.2388481237</v>
      </c>
      <c r="AN30" s="86">
        <f>+AN23+(AN36*'PCR (M2) Final'!AN29/SUM('PCR (M2) Final'!AN28:AN32))</f>
        <v>660367.02395744435</v>
      </c>
      <c r="AO30" s="86">
        <f>+AO23+(AO36*'PCR (M2) Final'!AO29/SUM('PCR (M2) Final'!AO28:AO32))</f>
        <v>536256.50994038768</v>
      </c>
      <c r="AP30" s="86">
        <f>+AP23+(AP36*'PCR (M2) Final'!AP29/SUM('PCR (M2) Final'!AP28:AP32))</f>
        <v>506299.41162084811</v>
      </c>
      <c r="AQ30" s="86">
        <f>+AQ23+(AQ36*'PCR (M2) Final'!AQ29/SUM('PCR (M2) Final'!AQ28:AQ32))</f>
        <v>591277.49932374491</v>
      </c>
      <c r="AR30" s="86">
        <f>+AR23+(AR36*'PCR (M2) Final'!AR29/SUM('PCR (M2) Final'!AR28:AR32))</f>
        <v>676039.62753147224</v>
      </c>
      <c r="AS30" s="86">
        <f>+AS23+(AS36*'PCR (M2) Final'!AS29/SUM('PCR (M2) Final'!AS28:AS32))</f>
        <v>694696.60025960801</v>
      </c>
      <c r="AT30" s="86">
        <f>+AT23+(AT36*'PCR (M2) Final'!AT29/SUM('PCR (M2) Final'!AT28:AT32))</f>
        <v>670877.10139883822</v>
      </c>
      <c r="AU30" s="86">
        <f>+AU23+(AU36*'PCR (M2) Final'!AU29/SUM('PCR (M2) Final'!AU28:AU32))</f>
        <v>604713.02387172775</v>
      </c>
      <c r="AV30" s="86">
        <f>+AV23+(AV36*'PCR (M2) Final'!AV29/SUM('PCR (M2) Final'!AV28:AV32))</f>
        <v>541098.36747130833</v>
      </c>
      <c r="AW30" s="86">
        <f>+AW23+(AW36*'PCR (M2) Final'!AW29/SUM('PCR (M2) Final'!AW28:AW32))</f>
        <v>635047.56064080668</v>
      </c>
      <c r="AX30" s="86">
        <f>+AX23+(AX36*'PCR (M2) Final'!AX29/SUM('PCR (M2) Final'!AX28:AX32))</f>
        <v>677042.48835283821</v>
      </c>
      <c r="AY30" s="86">
        <f>+AY23+(AY36*'PCR (M2) Final'!AY29/SUM('PCR (M2) Final'!AY28:AY32))</f>
        <v>415381.06618172344</v>
      </c>
      <c r="AZ30" s="86">
        <f>+AZ23+(AZ36*'PCR (M2) Final'!AZ29/SUM('PCR (M2) Final'!AZ28:AZ32))</f>
        <v>87488.365088698498</v>
      </c>
      <c r="BA30" s="86">
        <f>+BA23+(BA36*'PCR (M2) Final'!BA29/SUM('PCR (M2) Final'!BA28:BA32))</f>
        <v>64808.481988011001</v>
      </c>
      <c r="BB30" s="86">
        <f>+BB23+(BB36*'PCR (M2) Final'!BB29/SUM('PCR (M2) Final'!BB28:BB32))</f>
        <v>59023.185490174168</v>
      </c>
      <c r="BC30" s="86">
        <f>+BC23+(BC36*'PCR (M2) Final'!BC29/SUM('PCR (M2) Final'!BC28:BC32))</f>
        <v>73834.94972054036</v>
      </c>
      <c r="BD30" s="86">
        <f>+BD23+(BD36*'PCR (M2) Final'!BD29/SUM('PCR (M2) Final'!BD28:BD32))</f>
        <v>92018.552084119598</v>
      </c>
      <c r="BE30" s="86">
        <f>+BE23+(BE36*'PCR (M2) Final'!BE29/SUM('PCR (M2) Final'!BE28:BE32))</f>
        <v>90580.739582948823</v>
      </c>
      <c r="BF30" s="86">
        <f>+BF23+(BF36*'PCR (M2) Final'!BF29/SUM('PCR (M2) Final'!BF28:BF32))</f>
        <v>86046.105340623835</v>
      </c>
      <c r="BG30" s="86">
        <f>+BG23+(BG36*'PCR (M2) Final'!BG29/SUM('PCR (M2) Final'!BG28:BG32))</f>
        <v>69862.512633552542</v>
      </c>
      <c r="BH30" s="86">
        <f>+BH23+(BH36*'PCR (M2) Final'!BH29/SUM('PCR (M2) Final'!BH28:BH32))</f>
        <v>69704.108724079604</v>
      </c>
      <c r="BI30" s="86">
        <f>+BI23+(BI36*'PCR (M2) Final'!BI29/SUM('PCR (M2) Final'!BI28:BI32))</f>
        <v>80360.687024982573</v>
      </c>
      <c r="BJ30" s="86">
        <f>+BJ23+(BJ36*'PCR (M2) Final'!BJ29/SUM('PCR (M2) Final'!BJ28:BJ32))</f>
        <v>95761.440926806681</v>
      </c>
      <c r="BK30" s="86">
        <f>+BK23+(BK36*'PCR (M2) Final'!BK29/SUM('PCR (M2) Final'!BK28:BK32))</f>
        <v>-1907.9937762007746</v>
      </c>
      <c r="BL30" s="86">
        <f>+BL23+(BL36*'PCR (M2) Final'!BL29/SUM('PCR (M2) Final'!BL28:BL32))</f>
        <v>-102362.10040602236</v>
      </c>
      <c r="BM30" s="86">
        <f>+BM23+(BM36*'PCR (M2) Final'!BM29/SUM('PCR (M2) Final'!BM28:BM32))</f>
        <v>-81659.759942022312</v>
      </c>
      <c r="BN30" s="86">
        <f>+BN23+(BN36*'PCR (M2) Final'!BN29/SUM('PCR (M2) Final'!BN28:BN32))</f>
        <v>-80583.41964173934</v>
      </c>
      <c r="BO30" s="86">
        <f>+BO23+(BO36*'PCR (M2) Final'!BO29/SUM('PCR (M2) Final'!BO28:BO32))</f>
        <v>-95520.020947600307</v>
      </c>
      <c r="BP30" s="86">
        <f>+BP23+(BP36*'PCR (M2) Final'!BP29/SUM('PCR (M2) Final'!BP28:BP32))</f>
        <v>-112468.59809397052</v>
      </c>
      <c r="BQ30" s="86">
        <f>+BQ23+(BQ36*'PCR (M2) Final'!BQ29/SUM('PCR (M2) Final'!BQ28:BQ32))</f>
        <v>-112970.2964743077</v>
      </c>
      <c r="BR30" s="86">
        <f>+BR23+(BR36*'PCR (M2) Final'!BR29/SUM('PCR (M2) Final'!BR28:BR32))</f>
        <v>-114176.56432782451</v>
      </c>
      <c r="BS30" s="86">
        <f>+BS23+(BS36*'PCR (M2) Final'!BS29/SUM('PCR (M2) Final'!BS28:BS32))</f>
        <v>-95359.199900074513</v>
      </c>
      <c r="BT30" s="86">
        <f>+BT23+(BT36*'PCR (M2) Final'!BT29/SUM('PCR (M2) Final'!BT28:BT32))</f>
        <v>-84913.526641125733</v>
      </c>
      <c r="BU30" s="86">
        <f>+BU23+(BU36*'PCR (M2) Final'!BU29/SUM('PCR (M2) Final'!BU28:BU32))</f>
        <v>-96636.184986975437</v>
      </c>
      <c r="BV30" s="86">
        <f>+BV23+(BV36*'PCR (M2) Final'!BV29/SUM('PCR (M2) Final'!BV28:BV32))</f>
        <v>-113783.6694985327</v>
      </c>
      <c r="BW30" s="86">
        <f>+BW23+(BW36*'PCR (M3)'!AN29/SUM('PCR (M3)'!AN28:AN32))</f>
        <v>-69912.247064021896</v>
      </c>
      <c r="BX30" s="86">
        <f>+BX23+(BX36*'PCR (M3)'!AO29/SUM('PCR (M3)'!AO28:AO32))</f>
        <v>-3783.1481282858344</v>
      </c>
      <c r="BY30" s="86">
        <f>+BY23+(BY36*'PCR (M3)'!AP29/SUM('PCR (M3)'!AP28:AP32))</f>
        <v>-3423.5497542955172</v>
      </c>
      <c r="BZ30" s="86">
        <f>+BZ23+(BZ36*'PCR (M3)'!AQ29/SUM('PCR (M3)'!AQ28:AQ32))</f>
        <v>-3159.0651251823292</v>
      </c>
      <c r="CA30" s="86">
        <f>+CA23+(CA36*'PCR (M3)'!AR29/SUM('PCR (M3)'!AR28:AR32))</f>
        <v>-3581.516211305307</v>
      </c>
      <c r="CB30" s="86">
        <f>+CB23+(CB36*'PCR (M3)'!AS29/SUM('PCR (M3)'!AS28:AS32))</f>
        <v>-4119.5944291965261</v>
      </c>
      <c r="CC30" s="86">
        <f>+CC23+(CC36*'PCR (M3)'!AT29/SUM('PCR (M3)'!AT28:AT32))</f>
        <v>-4322.0730845019016</v>
      </c>
      <c r="CD30" s="86">
        <f>+CD23+(CD36*'PCR (M3)'!AU29/SUM('PCR (M3)'!AU28:AU32))</f>
        <v>-3929.9254185913214</v>
      </c>
      <c r="CE30" s="86">
        <f>+CE23+(CE36*'PCR (M3)'!AV29/SUM('PCR (M3)'!AV28:AV32))</f>
        <v>-3276.9745441742421</v>
      </c>
      <c r="CF30" s="306">
        <f>+CF23+(CF36*'PCR (M3)'!AW29/SUM('PCR (M3)'!AW28:AW32))</f>
        <v>-2952.3758739805608</v>
      </c>
      <c r="CG30" s="352">
        <f>+CG23+(CG36*'PCR (M3)'!AX29/SUM('PCR (M3)'!AX28:AX32))</f>
        <v>-3568.1857151146278</v>
      </c>
      <c r="CH30" s="371">
        <f>+CH23+(CH36*'PCR (M3)'!AY29/SUM('PCR (M3)'!AY28:AY32))</f>
        <v>-4207.566389348307</v>
      </c>
    </row>
    <row r="31" spans="1:88" s="139" customFormat="1" x14ac:dyDescent="0.3">
      <c r="A31" s="139" t="s">
        <v>5</v>
      </c>
      <c r="B31" s="85">
        <v>0</v>
      </c>
      <c r="C31" s="89">
        <v>0</v>
      </c>
      <c r="D31" s="89">
        <v>0</v>
      </c>
      <c r="E31" s="89">
        <v>0</v>
      </c>
      <c r="F31" s="89">
        <f t="shared" ref="F31:P31" si="76">+F24+(F36*F24/SUM(F22:F26))</f>
        <v>2460.2199999999998</v>
      </c>
      <c r="G31" s="89">
        <f t="shared" si="76"/>
        <v>40611.43</v>
      </c>
      <c r="H31" s="89">
        <f t="shared" si="76"/>
        <v>46133.34</v>
      </c>
      <c r="I31" s="89">
        <f t="shared" si="76"/>
        <v>46227.56</v>
      </c>
      <c r="J31" s="89">
        <f t="shared" si="76"/>
        <v>46423.360000000001</v>
      </c>
      <c r="K31" s="89">
        <f t="shared" si="76"/>
        <v>40852.160000000003</v>
      </c>
      <c r="L31" s="89">
        <f t="shared" si="76"/>
        <v>37249.85</v>
      </c>
      <c r="M31" s="89">
        <f t="shared" si="76"/>
        <v>38727.83</v>
      </c>
      <c r="N31" s="89">
        <f t="shared" si="76"/>
        <v>63808.639999999999</v>
      </c>
      <c r="O31" s="89">
        <f t="shared" si="76"/>
        <v>334912.75</v>
      </c>
      <c r="P31" s="89">
        <f t="shared" si="76"/>
        <v>311859.65000000002</v>
      </c>
      <c r="Q31" s="89">
        <f>+Q24+(Q36*'PCR (M2) Final'!Q30/SUM('PCR (M2) Final'!Q28:Q32))</f>
        <v>297067.25661237026</v>
      </c>
      <c r="R31" s="89">
        <f>+R24+(R36*'PCR (M2) Final'!R30/SUM('PCR (M2) Final'!R28:R32))</f>
        <v>306858.76704664429</v>
      </c>
      <c r="S31" s="89">
        <f>+S24+(S36*'PCR (M2) Final'!S30/SUM('PCR (M2) Final'!S28:S32))</f>
        <v>347930.82125503593</v>
      </c>
      <c r="T31" s="89">
        <f>+T24+(T36*'PCR (M2) Final'!T30/SUM('PCR (M2) Final'!T28:T32))</f>
        <v>377801.41744412482</v>
      </c>
      <c r="U31" s="89">
        <f>+U24+(U36*'PCR (M2) Final'!U30/SUM('PCR (M2) Final'!U28:U32))</f>
        <v>384838.10767902108</v>
      </c>
      <c r="V31" s="89">
        <f>+V24+(V36*'PCR (M2) Final'!V30/SUM('PCR (M2) Final'!V28:V32))</f>
        <v>363327.24534638016</v>
      </c>
      <c r="W31" s="86">
        <f>+W24+(W36*'PCR (M2) Final'!W30/SUM('PCR (M2) Final'!W28:W32))</f>
        <v>349151.70540680212</v>
      </c>
      <c r="X31" s="86">
        <f>+X24+(X36*'PCR (M2) Final'!X30/SUM('PCR (M2) Final'!X28:X32))</f>
        <v>312029.63241835893</v>
      </c>
      <c r="Y31" s="86">
        <f>+Y24+(Y36*'PCR (M2) Final'!Y30/SUM('PCR (M2) Final'!Y28:Y32))</f>
        <v>324930.27431740938</v>
      </c>
      <c r="Z31" s="86">
        <f>+Z24+(Z36*'PCR (M2) Final'!Z30/SUM('PCR (M2) Final'!Z28:Z32))</f>
        <v>389339.8693849984</v>
      </c>
      <c r="AA31" s="86">
        <f>+AA24+(AA36*'PCR (M2) Final'!AA30/SUM('PCR (M2) Final'!AA28:AA32))</f>
        <v>556625.85708732984</v>
      </c>
      <c r="AB31" s="86">
        <f>+AB24+(AB36*'PCR (M2) Final'!AB30/SUM('PCR (M2) Final'!AB28:AB32))</f>
        <v>519727.84944586566</v>
      </c>
      <c r="AC31" s="86">
        <f>+AC24+(AC36*'PCR (M2) Final'!AC30/SUM('PCR (M2) Final'!AC28:AC32))</f>
        <v>524323.57207482436</v>
      </c>
      <c r="AD31" s="86">
        <f>+AD24+(AD36*'PCR (M2) Final'!AD30/SUM('PCR (M2) Final'!AD28:AD32))</f>
        <v>522730.47478252684</v>
      </c>
      <c r="AE31" s="86">
        <f>+AE24+(AE36*'PCR (M2) Final'!AE30/SUM('PCR (M2) Final'!AE28:AE32))</f>
        <v>623624.8655420111</v>
      </c>
      <c r="AF31" s="86">
        <f>+AF24+(AF36*'PCR (M2) Final'!AF30/SUM('PCR (M2) Final'!AF28:AF32))</f>
        <v>661725.50586693978</v>
      </c>
      <c r="AG31" s="86">
        <f>+AG24+(AG36*'PCR (M2) Final'!AG30/SUM('PCR (M2) Final'!AG28:AG32))</f>
        <v>626757.48216571088</v>
      </c>
      <c r="AH31" s="86">
        <f>+AH24+(AH36*'PCR (M2) Final'!AH30/SUM('PCR (M2) Final'!AH28:AH32))</f>
        <v>638007.84216665139</v>
      </c>
      <c r="AI31" s="86">
        <f>+AI24+(AI36*'PCR (M2) Final'!AI30/SUM('PCR (M2) Final'!AI28:AI32))</f>
        <v>579490.47761485481</v>
      </c>
      <c r="AJ31" s="86">
        <f>+AJ24+(AJ36*'PCR (M2) Final'!AJ30/SUM('PCR (M2) Final'!AJ28:AJ32))</f>
        <v>513641.84877388977</v>
      </c>
      <c r="AK31" s="86">
        <f>+AK24+(AK36*'PCR (M2) Final'!AK30/SUM('PCR (M2) Final'!AK28:AK32))</f>
        <v>557457.11362508603</v>
      </c>
      <c r="AL31" s="86">
        <f>+AL24+(AL36*'PCR (M2) Final'!AL30/SUM('PCR (M2) Final'!AL28:AL32))</f>
        <v>608808.22123092401</v>
      </c>
      <c r="AM31" s="86">
        <f>+AM24+(AM36*'PCR (M2) Final'!AM30/SUM('PCR (M2) Final'!AM28:AM32))</f>
        <v>1107018.1450648431</v>
      </c>
      <c r="AN31" s="86">
        <f>+AN24+(AN36*'PCR (M2) Final'!AN30/SUM('PCR (M2) Final'!AN28:AN32))</f>
        <v>1050923.1514029966</v>
      </c>
      <c r="AO31" s="86">
        <f>+AO24+(AO36*'PCR (M2) Final'!AO30/SUM('PCR (M2) Final'!AO28:AO32))</f>
        <v>946394.49189445085</v>
      </c>
      <c r="AP31" s="86">
        <f>+AP24+(AP36*'PCR (M2) Final'!AP30/SUM('PCR (M2) Final'!AP28:AP32))</f>
        <v>980269.66694109701</v>
      </c>
      <c r="AQ31" s="86">
        <f>+AQ24+(AQ36*'PCR (M2) Final'!AQ30/SUM('PCR (M2) Final'!AQ28:AQ32))</f>
        <v>1091122.5576982794</v>
      </c>
      <c r="AR31" s="86">
        <f>+AR24+(AR36*'PCR (M2) Final'!AR30/SUM('PCR (M2) Final'!AR28:AR32))</f>
        <v>1173345.4165751</v>
      </c>
      <c r="AS31" s="86">
        <f>+AS24+(AS36*'PCR (M2) Final'!AS30/SUM('PCR (M2) Final'!AS28:AS32))</f>
        <v>1200301.9882335844</v>
      </c>
      <c r="AT31" s="86">
        <f>+AT24+(AT36*'PCR (M2) Final'!AT30/SUM('PCR (M2) Final'!AT28:AT32))</f>
        <v>1212308.9277305761</v>
      </c>
      <c r="AU31" s="86">
        <f>+AU24+(AU36*'PCR (M2) Final'!AU30/SUM('PCR (M2) Final'!AU28:AU32))</f>
        <v>1113467.1918631792</v>
      </c>
      <c r="AV31" s="86">
        <f>+AV24+(AV36*'PCR (M2) Final'!AV30/SUM('PCR (M2) Final'!AV28:AV32))</f>
        <v>981117.22422696988</v>
      </c>
      <c r="AW31" s="86">
        <f>+AW24+(AW36*'PCR (M2) Final'!AW30/SUM('PCR (M2) Final'!AW28:AW32))</f>
        <v>1062930.0447087046</v>
      </c>
      <c r="AX31" s="86">
        <f>+AX24+(AX36*'PCR (M2) Final'!AX30/SUM('PCR (M2) Final'!AX28:AX32))</f>
        <v>1099098.7608177634</v>
      </c>
      <c r="AY31" s="86">
        <f>+AY24+(AY36*'PCR (M2) Final'!AY30/SUM('PCR (M2) Final'!AY28:AY32))</f>
        <v>764411.3959813976</v>
      </c>
      <c r="AZ31" s="86">
        <f>+AZ24+(AZ36*'PCR (M2) Final'!AZ30/SUM('PCR (M2) Final'!AZ28:AZ32))</f>
        <v>318623.73714683513</v>
      </c>
      <c r="BA31" s="86">
        <f>+BA24+(BA36*'PCR (M2) Final'!BA30/SUM('PCR (M2) Final'!BA28:BA32))</f>
        <v>268197.12227908301</v>
      </c>
      <c r="BB31" s="86">
        <f>+BB24+(BB36*'PCR (M2) Final'!BB30/SUM('PCR (M2) Final'!BB28:BB32))</f>
        <v>249075.16076692485</v>
      </c>
      <c r="BC31" s="86">
        <f>+BC24+(BC36*'PCR (M2) Final'!BC30/SUM('PCR (M2) Final'!BC28:BC32))</f>
        <v>296551.86746010324</v>
      </c>
      <c r="BD31" s="86">
        <f>+BD24+(BD36*'PCR (M2) Final'!BD30/SUM('PCR (M2) Final'!BD28:BD32))</f>
        <v>346227.00320999842</v>
      </c>
      <c r="BE31" s="86">
        <f>+BE24+(BE36*'PCR (M2) Final'!BE30/SUM('PCR (M2) Final'!BE28:BE32))</f>
        <v>344571.98080537352</v>
      </c>
      <c r="BF31" s="86">
        <f>+BF24+(BF36*'PCR (M2) Final'!BF30/SUM('PCR (M2) Final'!BF28:BF32))</f>
        <v>343418.65957003593</v>
      </c>
      <c r="BG31" s="86">
        <f>+BG24+(BG36*'PCR (M2) Final'!BG30/SUM('PCR (M2) Final'!BG28:BG32))</f>
        <v>293034.59528354998</v>
      </c>
      <c r="BH31" s="86">
        <f>+BH24+(BH36*'PCR (M2) Final'!BH30/SUM('PCR (M2) Final'!BH28:BH32))</f>
        <v>285307.32387213997</v>
      </c>
      <c r="BI31" s="86">
        <f>+BI24+(BI36*'PCR (M2) Final'!BI30/SUM('PCR (M2) Final'!BI28:BI32))</f>
        <v>306551.462101474</v>
      </c>
      <c r="BJ31" s="86">
        <f>+BJ24+(BJ36*'PCR (M2) Final'!BJ30/SUM('PCR (M2) Final'!BJ28:BJ32))</f>
        <v>328395.30665898888</v>
      </c>
      <c r="BK31" s="86">
        <f>+BK24+(BK36*'PCR (M2) Final'!BK30/SUM('PCR (M2) Final'!BK28:BK32))</f>
        <v>129041.97894362175</v>
      </c>
      <c r="BL31" s="86">
        <f>+BL24+(BL36*'PCR (M2) Final'!BL30/SUM('PCR (M2) Final'!BL28:BL32))</f>
        <v>-116248.37555983225</v>
      </c>
      <c r="BM31" s="86">
        <f>+BM24+(BM36*'PCR (M2) Final'!BM30/SUM('PCR (M2) Final'!BM28:BM32))</f>
        <v>-104613.38045356747</v>
      </c>
      <c r="BN31" s="86">
        <f>+BN24+(BN36*'PCR (M2) Final'!BN30/SUM('PCR (M2) Final'!BN28:BN32))</f>
        <v>-106758.31587632833</v>
      </c>
      <c r="BO31" s="86">
        <f>+BO24+(BO36*'PCR (M2) Final'!BO30/SUM('PCR (M2) Final'!BO28:BO32))</f>
        <v>-119183.41184852651</v>
      </c>
      <c r="BP31" s="86">
        <f>+BP24+(BP36*'PCR (M2) Final'!BP30/SUM('PCR (M2) Final'!BP28:BP32))</f>
        <v>-138596.39079341321</v>
      </c>
      <c r="BQ31" s="86">
        <f>+BQ24+(BQ36*'PCR (M2) Final'!BQ30/SUM('PCR (M2) Final'!BQ28:BQ32))</f>
        <v>-137793.28735156739</v>
      </c>
      <c r="BR31" s="86">
        <f>+BR24+(BR36*'PCR (M2) Final'!BR30/SUM('PCR (M2) Final'!BR28:BR32))</f>
        <v>-140452.99254978076</v>
      </c>
      <c r="BS31" s="86">
        <f>+BS24+(BS36*'PCR (M2) Final'!BS30/SUM('PCR (M2) Final'!BS28:BS32))</f>
        <v>-123659.88827741767</v>
      </c>
      <c r="BT31" s="86">
        <f>+BT24+(BT36*'PCR (M2) Final'!BT30/SUM('PCR (M2) Final'!BT28:BT32))</f>
        <v>-109213.44913716688</v>
      </c>
      <c r="BU31" s="86">
        <f>+BU24+(BU36*'PCR (M2) Final'!BU30/SUM('PCR (M2) Final'!BU28:BU32))</f>
        <v>-118950.08683599679</v>
      </c>
      <c r="BV31" s="86">
        <f>+BV24+(BV36*'PCR (M2) Final'!BV30/SUM('PCR (M2) Final'!BV28:BV32))</f>
        <v>-126522.54456751022</v>
      </c>
      <c r="BW31" s="86">
        <f>+BW24+(BW36*'PCR (M3)'!AN30/SUM('PCR (M3)'!AN28:AN32))</f>
        <v>-89191.62769017533</v>
      </c>
      <c r="BX31" s="86">
        <f>+BX24+(BX36*'PCR (M3)'!AO30/SUM('PCR (M3)'!AO28:AO32))</f>
        <v>-29813.934940734489</v>
      </c>
      <c r="BY31" s="86">
        <f>+BY24+(BY36*'PCR (M3)'!AP30/SUM('PCR (M3)'!AP28:AP32))</f>
        <v>-27661.804594547866</v>
      </c>
      <c r="BZ31" s="86">
        <f>+BZ24+(BZ36*'PCR (M3)'!AQ30/SUM('PCR (M3)'!AQ28:AQ32))</f>
        <v>-28365.583171593848</v>
      </c>
      <c r="CA31" s="86">
        <f>+CA24+(CA36*'PCR (M3)'!AR30/SUM('PCR (M3)'!AR28:AR32))</f>
        <v>-31712.240190643679</v>
      </c>
      <c r="CB31" s="86">
        <f>+CB24+(CB36*'PCR (M3)'!AS30/SUM('PCR (M3)'!AS28:AS32))</f>
        <v>-36266.351017925241</v>
      </c>
      <c r="CC31" s="86">
        <f>+CC24+(CC36*'PCR (M3)'!AT30/SUM('PCR (M3)'!AT28:AT32))</f>
        <v>-35382.790747787352</v>
      </c>
      <c r="CD31" s="86">
        <f>+CD24+(CD36*'PCR (M3)'!AU30/SUM('PCR (M3)'!AU28:AU32))</f>
        <v>-33777.721147319782</v>
      </c>
      <c r="CE31" s="86">
        <f>+CE24+(CE36*'PCR (M3)'!AV30/SUM('PCR (M3)'!AV28:AV32))</f>
        <v>-29077.038685363292</v>
      </c>
      <c r="CF31" s="306">
        <f>+CF24+(CF36*'PCR (M3)'!AW30/SUM('PCR (M3)'!AW28:AW32))</f>
        <v>-27663.737331625234</v>
      </c>
      <c r="CG31" s="352">
        <f>+CG24+(CG36*'PCR (M3)'!AX30/SUM('PCR (M3)'!AX28:AX32))</f>
        <v>-30688.494005625664</v>
      </c>
      <c r="CH31" s="371">
        <f>+CH24+(CH36*'PCR (M3)'!AY30/SUM('PCR (M3)'!AY28:AY32))</f>
        <v>-33583.673114546691</v>
      </c>
    </row>
    <row r="32" spans="1:88" s="139" customFormat="1" x14ac:dyDescent="0.3">
      <c r="A32" s="139" t="s">
        <v>6</v>
      </c>
      <c r="B32" s="85">
        <v>0</v>
      </c>
      <c r="C32" s="89">
        <v>0</v>
      </c>
      <c r="D32" s="89">
        <v>0</v>
      </c>
      <c r="E32" s="89">
        <v>0</v>
      </c>
      <c r="F32" s="89">
        <f t="shared" ref="F32:P32" si="77">+F25+(F36*F25/SUM(F22:F26))</f>
        <v>1621.85</v>
      </c>
      <c r="G32" s="89">
        <f t="shared" si="77"/>
        <v>15413.06</v>
      </c>
      <c r="H32" s="89">
        <f t="shared" si="77"/>
        <v>19333.560000000001</v>
      </c>
      <c r="I32" s="89">
        <f t="shared" si="77"/>
        <v>18858.009999999998</v>
      </c>
      <c r="J32" s="89">
        <f t="shared" si="77"/>
        <v>20468.599999999999</v>
      </c>
      <c r="K32" s="89">
        <f t="shared" si="77"/>
        <v>17365.72</v>
      </c>
      <c r="L32" s="89">
        <f t="shared" si="77"/>
        <v>16669.060000000001</v>
      </c>
      <c r="M32" s="89">
        <f t="shared" si="77"/>
        <v>16712.28</v>
      </c>
      <c r="N32" s="89">
        <f t="shared" si="77"/>
        <v>31958.9</v>
      </c>
      <c r="O32" s="89">
        <f t="shared" si="77"/>
        <v>328456.90999999997</v>
      </c>
      <c r="P32" s="89">
        <f t="shared" si="77"/>
        <v>267175.5</v>
      </c>
      <c r="Q32" s="89">
        <f>+Q25+(Q36*'PCR (M2) Final'!Q31/SUM('PCR (M2) Final'!Q28:Q32))</f>
        <v>283136.40886630391</v>
      </c>
      <c r="R32" s="89">
        <f>+R25+(R36*'PCR (M2) Final'!R31/SUM('PCR (M2) Final'!R28:R32))</f>
        <v>287460.81327816768</v>
      </c>
      <c r="S32" s="89">
        <f>+S25+(S36*'PCR (M2) Final'!S31/SUM('PCR (M2) Final'!S28:S32))</f>
        <v>330409.77575572423</v>
      </c>
      <c r="T32" s="89">
        <f>+T25+(T36*'PCR (M2) Final'!T31/SUM('PCR (M2) Final'!T28:T32))</f>
        <v>323201.37525993661</v>
      </c>
      <c r="U32" s="89">
        <f>+U25+(U36*'PCR (M2) Final'!U31/SUM('PCR (M2) Final'!U28:U32))</f>
        <v>340944.20704658219</v>
      </c>
      <c r="V32" s="89">
        <f>+V25+(V36*'PCR (M2) Final'!V31/SUM('PCR (M2) Final'!V28:V32))</f>
        <v>328289.08781066153</v>
      </c>
      <c r="W32" s="86">
        <f>+W25+(W36*'PCR (M2) Final'!W31/SUM('PCR (M2) Final'!W28:W32))</f>
        <v>321452.90171375725</v>
      </c>
      <c r="X32" s="86">
        <f>+X25+(X36*'PCR (M2) Final'!X31/SUM('PCR (M2) Final'!X28:X32))</f>
        <v>288778.65587559086</v>
      </c>
      <c r="Y32" s="86">
        <f>+Y25+(Y36*'PCR (M2) Final'!Y31/SUM('PCR (M2) Final'!Y28:Y32))</f>
        <v>301751.31193612184</v>
      </c>
      <c r="Z32" s="86">
        <f>+Z25+(Z36*'PCR (M2) Final'!Z31/SUM('PCR (M2) Final'!Z28:Z32))</f>
        <v>332299.53125242464</v>
      </c>
      <c r="AA32" s="86">
        <f>+AA25+(AA36*'PCR (M2) Final'!AA31/SUM('PCR (M2) Final'!AA28:AA32))</f>
        <v>302428.95514228137</v>
      </c>
      <c r="AB32" s="86">
        <f>+AB25+(AB36*'PCR (M2) Final'!AB31/SUM('PCR (M2) Final'!AB28:AB32))</f>
        <v>301943.60981245001</v>
      </c>
      <c r="AC32" s="86">
        <f>+AC25+(AC36*'PCR (M2) Final'!AC31/SUM('PCR (M2) Final'!AC28:AC32))</f>
        <v>278699.7057611302</v>
      </c>
      <c r="AD32" s="86">
        <f>+AD25+(AD36*'PCR (M2) Final'!AD31/SUM('PCR (M2) Final'!AD28:AD32))</f>
        <v>322370.88601313852</v>
      </c>
      <c r="AE32" s="86">
        <f>+AE25+(AE36*'PCR (M2) Final'!AE31/SUM('PCR (M2) Final'!AE28:AE32))</f>
        <v>349751.02773569047</v>
      </c>
      <c r="AF32" s="86">
        <f>+AF25+(AF36*'PCR (M2) Final'!AF31/SUM('PCR (M2) Final'!AF28:AF32))</f>
        <v>361975.97928185289</v>
      </c>
      <c r="AG32" s="86">
        <f>+AG25+(AG36*'PCR (M2) Final'!AG31/SUM('PCR (M2) Final'!AG28:AG32))</f>
        <v>356032.65352996916</v>
      </c>
      <c r="AH32" s="86">
        <f>+AH25+(AH36*'PCR (M2) Final'!AH31/SUM('PCR (M2) Final'!AH28:AH32))</f>
        <v>346604.60421828728</v>
      </c>
      <c r="AI32" s="86">
        <f>+AI25+(AI36*'PCR (M2) Final'!AI31/SUM('PCR (M2) Final'!AI28:AI32))</f>
        <v>324956.79952393915</v>
      </c>
      <c r="AJ32" s="86">
        <f>+AJ25+(AJ36*'PCR (M2) Final'!AJ31/SUM('PCR (M2) Final'!AJ28:AJ32))</f>
        <v>301584.85459624138</v>
      </c>
      <c r="AK32" s="86">
        <f>+AK25+(AK36*'PCR (M2) Final'!AK31/SUM('PCR (M2) Final'!AK28:AK32))</f>
        <v>323402.5858220082</v>
      </c>
      <c r="AL32" s="86">
        <f>+AL25+(AL36*'PCR (M2) Final'!AL31/SUM('PCR (M2) Final'!AL28:AL32))</f>
        <v>296745.40272335312</v>
      </c>
      <c r="AM32" s="86">
        <f>+AM25+(AM36*'PCR (M2) Final'!AM31/SUM('PCR (M2) Final'!AM28:AM32))</f>
        <v>355667.68860749144</v>
      </c>
      <c r="AN32" s="86">
        <f>+AN25+(AN36*'PCR (M2) Final'!AN31/SUM('PCR (M2) Final'!AN28:AN32))</f>
        <v>352302.39917248994</v>
      </c>
      <c r="AO32" s="86">
        <f>+AO25+(AO36*'PCR (M2) Final'!AO31/SUM('PCR (M2) Final'!AO28:AO32))</f>
        <v>338612.44673821039</v>
      </c>
      <c r="AP32" s="86">
        <f>+AP25+(AP36*'PCR (M2) Final'!AP31/SUM('PCR (M2) Final'!AP28:AP32))</f>
        <v>338607.64249172056</v>
      </c>
      <c r="AQ32" s="86">
        <f>+AQ25+(AQ36*'PCR (M2) Final'!AQ31/SUM('PCR (M2) Final'!AQ28:AQ32))</f>
        <v>393628.70516997529</v>
      </c>
      <c r="AR32" s="86">
        <f>+AR25+(AR36*'PCR (M2) Final'!AR31/SUM('PCR (M2) Final'!AR28:AR32))</f>
        <v>395351.29305083206</v>
      </c>
      <c r="AS32" s="86">
        <f>+AS25+(AS36*'PCR (M2) Final'!AS31/SUM('PCR (M2) Final'!AS28:AS32))</f>
        <v>414954.8489846529</v>
      </c>
      <c r="AT32" s="86">
        <f>+AT25+(AT36*'PCR (M2) Final'!AT31/SUM('PCR (M2) Final'!AT28:AT32))</f>
        <v>412666.27260449337</v>
      </c>
      <c r="AU32" s="86">
        <f>+AU25+(AU36*'PCR (M2) Final'!AU31/SUM('PCR (M2) Final'!AU28:AU32))</f>
        <v>382499.83186560834</v>
      </c>
      <c r="AV32" s="86">
        <f>+AV25+(AV36*'PCR (M2) Final'!AV31/SUM('PCR (M2) Final'!AV28:AV32))</f>
        <v>352969.01405759115</v>
      </c>
      <c r="AW32" s="86">
        <f>+AW25+(AW36*'PCR (M2) Final'!AW31/SUM('PCR (M2) Final'!AW28:AW32))</f>
        <v>354749.07044000475</v>
      </c>
      <c r="AX32" s="86">
        <f>+AX25+(AX36*'PCR (M2) Final'!AX31/SUM('PCR (M2) Final'!AX28:AX32))</f>
        <v>364800.86761435715</v>
      </c>
      <c r="AY32" s="86">
        <f>+AY25+(AY36*'PCR (M2) Final'!AY31/SUM('PCR (M2) Final'!AY28:AY32))</f>
        <v>290547.34153219225</v>
      </c>
      <c r="AZ32" s="86">
        <f>+AZ25+(AZ36*'PCR (M2) Final'!AZ31/SUM('PCR (M2) Final'!AZ28:AZ32))</f>
        <v>123016.66955581114</v>
      </c>
      <c r="BA32" s="86">
        <f>+BA25+(BA36*'PCR (M2) Final'!BA31/SUM('PCR (M2) Final'!BA28:BA32))</f>
        <v>118618.96587713738</v>
      </c>
      <c r="BB32" s="86">
        <f>+BB25+(BB36*'PCR (M2) Final'!BB31/SUM('PCR (M2) Final'!BB28:BB32))</f>
        <v>111705.70022132192</v>
      </c>
      <c r="BC32" s="86">
        <f>+BC25+(BC36*'PCR (M2) Final'!BC31/SUM('PCR (M2) Final'!BC28:BC32))</f>
        <v>130125.71091968814</v>
      </c>
      <c r="BD32" s="86">
        <f>+BD25+(BD36*'PCR (M2) Final'!BD31/SUM('PCR (M2) Final'!BD28:BD32))</f>
        <v>136950.86579751672</v>
      </c>
      <c r="BE32" s="86">
        <f>+BE25+(BE36*'PCR (M2) Final'!BE31/SUM('PCR (M2) Final'!BE28:BE32))</f>
        <v>143566.43039610711</v>
      </c>
      <c r="BF32" s="86">
        <f>+BF25+(BF36*'PCR (M2) Final'!BF31/SUM('PCR (M2) Final'!BF28:BF32))</f>
        <v>143625.78644107448</v>
      </c>
      <c r="BG32" s="86">
        <f>+BG25+(BG36*'PCR (M2) Final'!BG31/SUM('PCR (M2) Final'!BG28:BG32))</f>
        <v>127662.31996824291</v>
      </c>
      <c r="BH32" s="86">
        <f>+BH25+(BH36*'PCR (M2) Final'!BH31/SUM('PCR (M2) Final'!BH28:BH32))</f>
        <v>126708.68055025721</v>
      </c>
      <c r="BI32" s="86">
        <f>+BI25+(BI36*'PCR (M2) Final'!BI31/SUM('PCR (M2) Final'!BI28:BI32))</f>
        <v>132518.96109209553</v>
      </c>
      <c r="BJ32" s="86">
        <f>+BJ25+(BJ36*'PCR (M2) Final'!BJ31/SUM('PCR (M2) Final'!BJ28:BJ32))</f>
        <v>130056.06716620011</v>
      </c>
      <c r="BK32" s="86">
        <f>+BK25+(BK36*'PCR (M2) Final'!BK31/SUM('PCR (M2) Final'!BK28:BK32))</f>
        <v>73469.336246691571</v>
      </c>
      <c r="BL32" s="86">
        <f>+BL25+(BL36*'PCR (M2) Final'!BL31/SUM('PCR (M2) Final'!BL28:BL32))</f>
        <v>-22612.659176541922</v>
      </c>
      <c r="BM32" s="86">
        <f>+BM25+(BM36*'PCR (M2) Final'!BM31/SUM('PCR (M2) Final'!BM28:BM32))</f>
        <v>-24415.905916675129</v>
      </c>
      <c r="BN32" s="86">
        <f>+BN25+(BN36*'PCR (M2) Final'!BN31/SUM('PCR (M2) Final'!BN28:BN32))</f>
        <v>-26227.136477870263</v>
      </c>
      <c r="BO32" s="86">
        <f>+BO25+(BO36*'PCR (M2) Final'!BO31/SUM('PCR (M2) Final'!BO28:BO32))</f>
        <v>-23636.693041994655</v>
      </c>
      <c r="BP32" s="86">
        <f>+BP25+(BP36*'PCR (M2) Final'!BP31/SUM('PCR (M2) Final'!BP28:BP32))</f>
        <v>-32709.066060894642</v>
      </c>
      <c r="BQ32" s="86">
        <f>+BQ25+(BQ36*'PCR (M2) Final'!BQ31/SUM('PCR (M2) Final'!BQ28:BQ32))</f>
        <v>-30007.954013018149</v>
      </c>
      <c r="BR32" s="86">
        <f>+BR25+(BR36*'PCR (M2) Final'!BR31/SUM('PCR (M2) Final'!BR28:BR32))</f>
        <v>-30398.556259296256</v>
      </c>
      <c r="BS32" s="86">
        <f>+BS25+(BS36*'PCR (M2) Final'!BS31/SUM('PCR (M2) Final'!BS28:BS32))</f>
        <v>-26335.111362820862</v>
      </c>
      <c r="BT32" s="86">
        <f>+BT25+(BT36*'PCR (M2) Final'!BT31/SUM('PCR (M2) Final'!BT28:BT32))</f>
        <v>-22705.686486155013</v>
      </c>
      <c r="BU32" s="86">
        <f>+BU25+(BU36*'PCR (M2) Final'!BU31/SUM('PCR (M2) Final'!BU28:BU32))</f>
        <v>-29648.694170827283</v>
      </c>
      <c r="BV32" s="86">
        <f>+BV25+(BV36*'PCR (M2) Final'!BV31/SUM('PCR (M2) Final'!BV28:BV32))</f>
        <v>-28388.594686249391</v>
      </c>
      <c r="BW32" s="86">
        <f>+BW25+(BW36*'PCR (M3)'!AN31/SUM('PCR (M3)'!AN28:AN32))</f>
        <v>-20595.01936131802</v>
      </c>
      <c r="BX32" s="86">
        <f>+BX25+(BX36*'PCR (M3)'!AO31/SUM('PCR (M3)'!AO28:AO32))</f>
        <v>-9348.310124921727</v>
      </c>
      <c r="BY32" s="86">
        <f>+BY25+(BY36*'PCR (M3)'!AP31/SUM('PCR (M3)'!AP28:AP32))</f>
        <v>-9429.8658266884941</v>
      </c>
      <c r="BZ32" s="86">
        <f>+BZ25+(BZ36*'PCR (M3)'!AQ31/SUM('PCR (M3)'!AQ28:AQ32))</f>
        <v>-9234.0736114224237</v>
      </c>
      <c r="CA32" s="86">
        <f>+CA25+(CA36*'PCR (M3)'!AR31/SUM('PCR (M3)'!AR28:AR32))</f>
        <v>-10506.965502226194</v>
      </c>
      <c r="CB32" s="86">
        <f>+CB25+(CB36*'PCR (M3)'!AS31/SUM('PCR (M3)'!AS28:AS32))</f>
        <v>-10928.084351774705</v>
      </c>
      <c r="CC32" s="86">
        <f>+CC25+(CC36*'PCR (M3)'!AT31/SUM('PCR (M3)'!AT28:AT32))</f>
        <v>-10838.193004551051</v>
      </c>
      <c r="CD32" s="86">
        <f>+CD25+(CD36*'PCR (M3)'!AU31/SUM('PCR (M3)'!AU28:AU32))</f>
        <v>-10559.893442002107</v>
      </c>
      <c r="CE32" s="86">
        <f>+CE25+(CE36*'PCR (M3)'!AV31/SUM('PCR (M3)'!AV28:AV32))</f>
        <v>-9362.8553505780201</v>
      </c>
      <c r="CF32" s="306">
        <f>+CF25+(CF36*'PCR (M3)'!AW31/SUM('PCR (M3)'!AW28:AW32))</f>
        <v>-9103.0248795618627</v>
      </c>
      <c r="CG32" s="352">
        <f>+CG25+(CG36*'PCR (M3)'!AX31/SUM('PCR (M3)'!AX28:AX32))</f>
        <v>-9479.4809178612231</v>
      </c>
      <c r="CH32" s="371">
        <f>+CH25+(CH36*'PCR (M3)'!AY31/SUM('PCR (M3)'!AY28:AY32))</f>
        <v>-9844.0501719231434</v>
      </c>
    </row>
    <row r="33" spans="1:88" s="139" customFormat="1" x14ac:dyDescent="0.3">
      <c r="A33" s="139" t="s">
        <v>7</v>
      </c>
      <c r="B33" s="85">
        <v>0</v>
      </c>
      <c r="C33" s="89">
        <v>0</v>
      </c>
      <c r="D33" s="89">
        <v>0</v>
      </c>
      <c r="E33" s="89">
        <v>0</v>
      </c>
      <c r="F33" s="89">
        <f t="shared" ref="F33:P33" si="78">+F26+(F36*F26/SUM(F22:F26))</f>
        <v>0</v>
      </c>
      <c r="G33" s="89">
        <f t="shared" si="78"/>
        <v>4867.8</v>
      </c>
      <c r="H33" s="89">
        <f t="shared" si="78"/>
        <v>9528.7800000000007</v>
      </c>
      <c r="I33" s="89">
        <f t="shared" si="78"/>
        <v>9622.07</v>
      </c>
      <c r="J33" s="89">
        <f t="shared" si="78"/>
        <v>10571.65</v>
      </c>
      <c r="K33" s="89">
        <f t="shared" si="78"/>
        <v>9276.2800000000007</v>
      </c>
      <c r="L33" s="89">
        <f t="shared" si="78"/>
        <v>8552.14</v>
      </c>
      <c r="M33" s="89">
        <f t="shared" si="78"/>
        <v>8040.28</v>
      </c>
      <c r="N33" s="89">
        <f t="shared" si="78"/>
        <v>7958.8</v>
      </c>
      <c r="O33" s="89">
        <f t="shared" si="78"/>
        <v>202699.47</v>
      </c>
      <c r="P33" s="89">
        <f t="shared" si="78"/>
        <v>167678.56</v>
      </c>
      <c r="Q33" s="89">
        <f>+Q26+(Q36*'PCR (M2) Final'!Q32/SUM('PCR (M2) Final'!Q28:Q32))</f>
        <v>183651.06125723169</v>
      </c>
      <c r="R33" s="89">
        <f>+R26+(R36*'PCR (M2) Final'!R32/SUM('PCR (M2) Final'!R28:R32))</f>
        <v>187110.90550820582</v>
      </c>
      <c r="S33" s="89">
        <f>+S26+(S36*'PCR (M2) Final'!S32/SUM('PCR (M2) Final'!S28:S32))</f>
        <v>223442.58102316182</v>
      </c>
      <c r="T33" s="89">
        <f>+T26+(T36*'PCR (M2) Final'!T32/SUM('PCR (M2) Final'!T28:T32))</f>
        <v>211112.22603032622</v>
      </c>
      <c r="U33" s="89">
        <f>+U26+(U36*'PCR (M2) Final'!U32/SUM('PCR (M2) Final'!U28:U32))</f>
        <v>233963.66032568182</v>
      </c>
      <c r="V33" s="89">
        <f>+V26+(V36*'PCR (M2) Final'!V32/SUM('PCR (M2) Final'!V28:V32))</f>
        <v>223064.28470931173</v>
      </c>
      <c r="W33" s="86">
        <f>+W26+(W36*'PCR (M2) Final'!W32/SUM('PCR (M2) Final'!W28:W32))</f>
        <v>212741.63673550039</v>
      </c>
      <c r="X33" s="86">
        <f>+X26+(X36*'PCR (M2) Final'!X32/SUM('PCR (M2) Final'!X28:X32))</f>
        <v>202298.65943791193</v>
      </c>
      <c r="Y33" s="86">
        <f>+Y26+(Y36*'PCR (M2) Final'!Y32/SUM('PCR (M2) Final'!Y28:Y32))</f>
        <v>185145.40058784836</v>
      </c>
      <c r="Z33" s="86">
        <f>+Z26+(Z36*'PCR (M2) Final'!Z32/SUM('PCR (M2) Final'!Z28:Z32))</f>
        <v>187242.02591890033</v>
      </c>
      <c r="AA33" s="86">
        <f>+AA26+(AA36*'PCR (M2) Final'!AA32/SUM('PCR (M2) Final'!AA28:AA32))</f>
        <v>102199.66965133997</v>
      </c>
      <c r="AB33" s="86">
        <f>+AB26+(AB36*'PCR (M2) Final'!AB32/SUM('PCR (M2) Final'!AB28:AB32))</f>
        <v>15774.991410991883</v>
      </c>
      <c r="AC33" s="86">
        <f>+AC26+(AC36*'PCR (M2) Final'!AC32/SUM('PCR (M2) Final'!AC28:AC32))</f>
        <v>14999.076289049191</v>
      </c>
      <c r="AD33" s="86">
        <f>+AD26+(AD36*'PCR (M2) Final'!AD32/SUM('PCR (M2) Final'!AD28:AD32))</f>
        <v>17802.440022199695</v>
      </c>
      <c r="AE33" s="86">
        <f>+AE26+(AE36*'PCR (M2) Final'!AE32/SUM('PCR (M2) Final'!AE28:AE32))</f>
        <v>19775.612550633668</v>
      </c>
      <c r="AF33" s="86">
        <f>+AF26+(AF36*'PCR (M2) Final'!AF32/SUM('PCR (M2) Final'!AF28:AF32))</f>
        <v>11062.273989486501</v>
      </c>
      <c r="AG33" s="86">
        <f>+AG26+(AG36*'PCR (M2) Final'!AG32/SUM('PCR (M2) Final'!AG28:AG32))</f>
        <v>20313.771907757455</v>
      </c>
      <c r="AH33" s="86">
        <f>+AH26+(AH36*'PCR (M2) Final'!AH32/SUM('PCR (M2) Final'!AH28:AH32))</f>
        <v>19132.25484498954</v>
      </c>
      <c r="AI33" s="86">
        <f>+AI26+(AI36*'PCR (M2) Final'!AI32/SUM('PCR (M2) Final'!AI28:AI32))</f>
        <v>18842.570934578442</v>
      </c>
      <c r="AJ33" s="86">
        <f>+AJ26+(AJ36*'PCR (M2) Final'!AJ32/SUM('PCR (M2) Final'!AJ28:AJ32))</f>
        <v>17291.908336856264</v>
      </c>
      <c r="AK33" s="86">
        <f>+AK26+(AK36*'PCR (M2) Final'!AK32/SUM('PCR (M2) Final'!AK28:AK32))</f>
        <v>16424.771759142779</v>
      </c>
      <c r="AL33" s="86">
        <f>+AL26+(AL36*'PCR (M2) Final'!AL32/SUM('PCR (M2) Final'!AL28:AL32))</f>
        <v>19194.293385468092</v>
      </c>
      <c r="AM33" s="86">
        <f>+AM26+(AM36*'PCR (M2) Final'!AM32/SUM('PCR (M2) Final'!AM28:AM32))</f>
        <v>38886.814638059877</v>
      </c>
      <c r="AN33" s="86">
        <f>+AN26+(AN36*'PCR (M2) Final'!AN32/SUM('PCR (M2) Final'!AN28:AN32))</f>
        <v>62163.30838583759</v>
      </c>
      <c r="AO33" s="86">
        <f>+AO26+(AO36*'PCR (M2) Final'!AO32/SUM('PCR (M2) Final'!AO28:AO32))</f>
        <v>62277.891788111709</v>
      </c>
      <c r="AP33" s="86">
        <f>+AP26+(AP36*'PCR (M2) Final'!AP32/SUM('PCR (M2) Final'!AP28:AP32))</f>
        <v>61090.351080169654</v>
      </c>
      <c r="AQ33" s="86">
        <f>+AQ26+(AQ36*'PCR (M2) Final'!AQ32/SUM('PCR (M2) Final'!AQ28:AQ32))</f>
        <v>77031.361873120681</v>
      </c>
      <c r="AR33" s="86">
        <f>+AR26+(AR36*'PCR (M2) Final'!AR32/SUM('PCR (M2) Final'!AR28:AR32))</f>
        <v>71605.590509478847</v>
      </c>
      <c r="AS33" s="86">
        <f>+AS26+(AS36*'PCR (M2) Final'!AS32/SUM('PCR (M2) Final'!AS28:AS32))</f>
        <v>79252.326006964737</v>
      </c>
      <c r="AT33" s="86">
        <f>+AT26+(AT36*'PCR (M2) Final'!AT32/SUM('PCR (M2) Final'!AT28:AT32))</f>
        <v>80418.423982704393</v>
      </c>
      <c r="AU33" s="86">
        <f>+AU26+(AU36*'PCR (M2) Final'!AU32/SUM('PCR (M2) Final'!AU28:AU32))</f>
        <v>75914.605849404077</v>
      </c>
      <c r="AV33" s="86">
        <f>+AV26+(AV36*'PCR (M2) Final'!AV32/SUM('PCR (M2) Final'!AV28:AV32))</f>
        <v>67084.185364881589</v>
      </c>
      <c r="AW33" s="86">
        <f>+AW26+(AW36*'PCR (M2) Final'!AW32/SUM('PCR (M2) Final'!AW28:AW32))</f>
        <v>62856.748290520263</v>
      </c>
      <c r="AX33" s="86">
        <f>+AX26+(AX36*'PCR (M2) Final'!AX32/SUM('PCR (M2) Final'!AX28:AX32))</f>
        <v>66459.23020522017</v>
      </c>
      <c r="AY33" s="86">
        <f>+AY26+(AY36*'PCR (M2) Final'!AY32/SUM('PCR (M2) Final'!AY28:AY32))</f>
        <v>66430.245030828315</v>
      </c>
      <c r="AZ33" s="86">
        <f>+AZ26+(AZ36*'PCR (M2) Final'!AZ32/SUM('PCR (M2) Final'!AZ28:AZ32))</f>
        <v>38508.58538321052</v>
      </c>
      <c r="BA33" s="86">
        <f>+BA26+(BA36*'PCR (M2) Final'!BA32/SUM('PCR (M2) Final'!BA28:BA32))</f>
        <v>44139.712667457257</v>
      </c>
      <c r="BB33" s="86">
        <f>+BB26+(BB36*'PCR (M2) Final'!BB32/SUM('PCR (M2) Final'!BB28:BB32))</f>
        <v>44831.320451790831</v>
      </c>
      <c r="BC33" s="86">
        <f>+BC26+(BC36*'PCR (M2) Final'!BC32/SUM('PCR (M2) Final'!BC28:BC32))</f>
        <v>11299.677842574869</v>
      </c>
      <c r="BD33" s="86">
        <f>+BD26+(BD36*'PCR (M2) Final'!BD32/SUM('PCR (M2) Final'!BD28:BD32))</f>
        <v>50403.777431042647</v>
      </c>
      <c r="BE33" s="86">
        <f>+BE26+(BE36*'PCR (M2) Final'!BE32/SUM('PCR (M2) Final'!BE28:BE32))</f>
        <v>51924.778274542303</v>
      </c>
      <c r="BF33" s="86">
        <f>+BF26+(BF36*'PCR (M2) Final'!BF32/SUM('PCR (M2) Final'!BF28:BF32))</f>
        <v>52673.048419221035</v>
      </c>
      <c r="BG33" s="86">
        <f>+BG26+(BG36*'PCR (M2) Final'!BG32/SUM('PCR (M2) Final'!BG28:BG32))</f>
        <v>46395.596252741845</v>
      </c>
      <c r="BH33" s="86">
        <f>+BH26+(BH36*'PCR (M2) Final'!BH32/SUM('PCR (M2) Final'!BH28:BH32))</f>
        <v>45485.528963265475</v>
      </c>
      <c r="BI33" s="86">
        <f>+BI26+(BI36*'PCR (M2) Final'!BI32/SUM('PCR (M2) Final'!BI28:BI32))</f>
        <v>46424.397026326442</v>
      </c>
      <c r="BJ33" s="86">
        <f>+BJ26+(BJ36*'PCR (M2) Final'!BJ32/SUM('PCR (M2) Final'!BJ28:BJ32))</f>
        <v>42444.211387439616</v>
      </c>
      <c r="BK33" s="86">
        <f>+BK26+(BK36*'PCR (M2) Final'!BK32/SUM('PCR (M2) Final'!BK28:BK32))</f>
        <v>37845.94077531778</v>
      </c>
      <c r="BL33" s="86">
        <f>+BL26+(BL36*'PCR (M2) Final'!BL32/SUM('PCR (M2) Final'!BL28:BL32))</f>
        <v>-731.33700161567504</v>
      </c>
      <c r="BM33" s="86">
        <f>+BM26+(BM36*'PCR (M2) Final'!BM32/SUM('PCR (M2) Final'!BM28:BM32))</f>
        <v>1437.799942221774</v>
      </c>
      <c r="BN33" s="86">
        <f>+BN26+(BN36*'PCR (M2) Final'!BN32/SUM('PCR (M2) Final'!BN28:BN32))</f>
        <v>1448.8425667251033</v>
      </c>
      <c r="BO33" s="86">
        <f>+BO26+(BO36*'PCR (M2) Final'!BO32/SUM('PCR (M2) Final'!BO28:BO32))</f>
        <v>1380.7821512277105</v>
      </c>
      <c r="BP33" s="86">
        <f>+BP26+(BP36*'PCR (M2) Final'!BP32/SUM('PCR (M2) Final'!BP28:BP32))</f>
        <v>1767.2604926793404</v>
      </c>
      <c r="BQ33" s="86">
        <f>+BQ26+(BQ36*'PCR (M2) Final'!BQ32/SUM('PCR (M2) Final'!BQ28:BQ32))</f>
        <v>1691.5909448949833</v>
      </c>
      <c r="BR33" s="86">
        <f>+BR26+(BR36*'PCR (M2) Final'!BR32/SUM('PCR (M2) Final'!BR28:BR32))</f>
        <v>1824.9961214654177</v>
      </c>
      <c r="BS33" s="86">
        <f>+BS26+(BS36*'PCR (M2) Final'!BS32/SUM('PCR (M2) Final'!BS28:BS32))</f>
        <v>1633.3060195728408</v>
      </c>
      <c r="BT33" s="86">
        <f>+BT26+(BT36*'PCR (M2) Final'!BT32/SUM('PCR (M2) Final'!BT28:BT32))</f>
        <v>1176.9028001128138</v>
      </c>
      <c r="BU33" s="86">
        <f>+BU26+(BU36*'PCR (M2) Final'!BU32/SUM('PCR (M2) Final'!BU28:BU32))</f>
        <v>1792.9575585199016</v>
      </c>
      <c r="BV33" s="86">
        <f>+BV26+(BV36*'PCR (M2) Final'!BV32/SUM('PCR (M2) Final'!BV28:BV32))</f>
        <v>1692.6183076773953</v>
      </c>
      <c r="BW33" s="86">
        <f>+BW26+(BW36*'PCR (M3)'!AN32/SUM('PCR (M3)'!AN28:AN32))</f>
        <v>1002.7219086393445</v>
      </c>
      <c r="BX33" s="86">
        <f>+BX26+(BX36*'PCR (M3)'!AO32/SUM('PCR (M3)'!AO28:AO32))</f>
        <v>-2092.2487403040109</v>
      </c>
      <c r="BY33" s="86">
        <f>+BY26+(BY36*'PCR (M3)'!AP32/SUM('PCR (M3)'!AP28:AP32))</f>
        <v>-9938.8643100484314</v>
      </c>
      <c r="BZ33" s="86">
        <f>+BZ26+(BZ36*'PCR (M3)'!AQ32/SUM('PCR (M3)'!AQ28:AQ32))</f>
        <v>-1916.4119977784555</v>
      </c>
      <c r="CA33" s="86">
        <f>+CA26+(CA36*'PCR (M3)'!AR32/SUM('PCR (M3)'!AR28:AR32))</f>
        <v>-2336.6180031047015</v>
      </c>
      <c r="CB33" s="86">
        <f>+CB26+(CB36*'PCR (M3)'!AS32/SUM('PCR (M3)'!AS28:AS32))</f>
        <v>-2679.3289962978324</v>
      </c>
      <c r="CC33" s="86">
        <f>+CC26+(CC36*'PCR (M3)'!AT32/SUM('PCR (M3)'!AT28:AT32))</f>
        <v>-2648.8730550887767</v>
      </c>
      <c r="CD33" s="86">
        <f>+CD26+(CD36*'PCR (M3)'!AU32/SUM('PCR (M3)'!AU28:AU32))</f>
        <v>-2762.041256583489</v>
      </c>
      <c r="CE33" s="86">
        <f>+CE26+(CE36*'PCR (M3)'!AV32/SUM('PCR (M3)'!AV28:AV32))</f>
        <v>-2372.9708277142608</v>
      </c>
      <c r="CF33" s="306">
        <f>+CF26+(CF36*'PCR (M3)'!AW32/SUM('PCR (M3)'!AW28:AW32))</f>
        <v>-2296.0779711860914</v>
      </c>
      <c r="CG33" s="352">
        <f>+CG26+(CG36*'PCR (M3)'!AX32/SUM('PCR (M3)'!AX28:AX32))</f>
        <v>-2247.299610025249</v>
      </c>
      <c r="CH33" s="371">
        <f>+CH26+(CH36*'PCR (M3)'!AY32/SUM('PCR (M3)'!AY28:AY32))</f>
        <v>-2366.5938512279645</v>
      </c>
    </row>
    <row r="34" spans="1:88" s="32" customFormat="1" x14ac:dyDescent="0.3">
      <c r="B34" s="180"/>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c r="CF34" s="73"/>
      <c r="CG34" s="74"/>
      <c r="CH34" s="77"/>
    </row>
    <row r="35" spans="1:88" s="139" customFormat="1" x14ac:dyDescent="0.3">
      <c r="A35" s="32" t="s">
        <v>105</v>
      </c>
      <c r="B35" s="179"/>
      <c r="C35" s="176"/>
      <c r="D35" s="78" t="s">
        <v>86</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3"/>
      <c r="CG35" s="74"/>
      <c r="CH35" s="77"/>
    </row>
    <row r="36" spans="1:88" s="139" customFormat="1" x14ac:dyDescent="0.3">
      <c r="A36" s="32" t="str">
        <f>A22</f>
        <v>RES</v>
      </c>
      <c r="B36" s="69">
        <v>0</v>
      </c>
      <c r="C36" s="70">
        <v>0</v>
      </c>
      <c r="D36" s="70">
        <v>0</v>
      </c>
      <c r="E36" s="70">
        <v>0</v>
      </c>
      <c r="F36" s="70">
        <v>0</v>
      </c>
      <c r="G36" s="70">
        <v>0</v>
      </c>
      <c r="H36" s="70">
        <v>0</v>
      </c>
      <c r="I36" s="70">
        <v>0</v>
      </c>
      <c r="J36" s="70">
        <v>0</v>
      </c>
      <c r="K36" s="70">
        <v>0</v>
      </c>
      <c r="L36" s="70">
        <v>0</v>
      </c>
      <c r="M36" s="70">
        <v>0</v>
      </c>
      <c r="N36" s="70">
        <v>0</v>
      </c>
      <c r="O36" s="70">
        <v>0</v>
      </c>
      <c r="P36" s="70">
        <v>0</v>
      </c>
      <c r="Q36" s="70">
        <v>-32811.980000000003</v>
      </c>
      <c r="R36" s="70">
        <v>-27741.819999999996</v>
      </c>
      <c r="S36" s="70">
        <v>-33591.72</v>
      </c>
      <c r="T36" s="70">
        <v>-43701.210000000006</v>
      </c>
      <c r="U36" s="70">
        <v>-44913.150000000016</v>
      </c>
      <c r="V36" s="70">
        <v>-37075.26</v>
      </c>
      <c r="W36" s="79">
        <v>-33337.619999999995</v>
      </c>
      <c r="X36" s="79">
        <v>-34636.379999999997</v>
      </c>
      <c r="Y36" s="79">
        <v>-46816.780000000006</v>
      </c>
      <c r="Z36" s="79">
        <v>-74379.199999999997</v>
      </c>
      <c r="AA36" s="79">
        <v>-53026.439999999981</v>
      </c>
      <c r="AB36" s="79">
        <v>-42925.730000000018</v>
      </c>
      <c r="AC36" s="79">
        <v>-42106.7</v>
      </c>
      <c r="AD36" s="79">
        <v>-28791.749999999996</v>
      </c>
      <c r="AE36" s="79">
        <v>-35930.130000000005</v>
      </c>
      <c r="AF36" s="79">
        <v>-41963.429999999993</v>
      </c>
      <c r="AG36" s="79">
        <v>-36995.590000000011</v>
      </c>
      <c r="AH36" s="79">
        <v>-35204.390000000014</v>
      </c>
      <c r="AI36" s="79">
        <v>-30748.660000000003</v>
      </c>
      <c r="AJ36" s="79">
        <v>-34618.679999999993</v>
      </c>
      <c r="AK36" s="79">
        <v>-50285.73</v>
      </c>
      <c r="AL36" s="79">
        <v>-55873.150000000009</v>
      </c>
      <c r="AM36" s="79">
        <v>-60492.49</v>
      </c>
      <c r="AN36" s="79">
        <v>-55114.33</v>
      </c>
      <c r="AO36" s="79">
        <v>-36035.890000000007</v>
      </c>
      <c r="AP36" s="79">
        <v>-27170.16</v>
      </c>
      <c r="AQ36" s="79">
        <v>-31591.29</v>
      </c>
      <c r="AR36" s="79">
        <v>-38703.740000000005</v>
      </c>
      <c r="AS36" s="79">
        <v>-41224.720000000001</v>
      </c>
      <c r="AT36" s="79">
        <v>-37524.060000000005</v>
      </c>
      <c r="AU36" s="79">
        <v>-31789.249999999996</v>
      </c>
      <c r="AV36" s="79">
        <v>-34917.82</v>
      </c>
      <c r="AW36" s="79">
        <v>-48130.950000000004</v>
      </c>
      <c r="AX36" s="79">
        <v>-53162.189999999995</v>
      </c>
      <c r="AY36" s="79">
        <v>-32508.630000000005</v>
      </c>
      <c r="AZ36" s="79">
        <v>-4700.05</v>
      </c>
      <c r="BA36" s="79">
        <v>-3259.1800000000003</v>
      </c>
      <c r="BB36" s="79">
        <v>-2682.7599999999998</v>
      </c>
      <c r="BC36" s="79">
        <v>-3058.82</v>
      </c>
      <c r="BD36" s="79">
        <v>-3921.83</v>
      </c>
      <c r="BE36" s="79">
        <v>-3613.12</v>
      </c>
      <c r="BF36" s="79">
        <v>-3328.0600000000004</v>
      </c>
      <c r="BG36" s="79">
        <v>-2482.1</v>
      </c>
      <c r="BH36" s="79">
        <v>-2937.02</v>
      </c>
      <c r="BI36" s="79">
        <v>-4062.2200000000003</v>
      </c>
      <c r="BJ36" s="79">
        <v>-5469.2800000000007</v>
      </c>
      <c r="BK36" s="79">
        <v>3825.8900000000003</v>
      </c>
      <c r="BL36" s="79">
        <v>11958.710000000001</v>
      </c>
      <c r="BM36" s="79">
        <v>7797.5</v>
      </c>
      <c r="BN36" s="79">
        <v>6812.78</v>
      </c>
      <c r="BO36" s="79">
        <v>7728.46</v>
      </c>
      <c r="BP36" s="79">
        <v>10162.719999999999</v>
      </c>
      <c r="BQ36" s="79">
        <v>10354.620000000001</v>
      </c>
      <c r="BR36" s="79">
        <v>10275.1</v>
      </c>
      <c r="BS36" s="79">
        <v>7262</v>
      </c>
      <c r="BT36" s="79">
        <f>'[1]TDR.3 (M2)'!BE5</f>
        <v>7844.09</v>
      </c>
      <c r="BU36" s="79">
        <f>'[1]TDR.3 (M2)'!BF5</f>
        <v>10087.69</v>
      </c>
      <c r="BV36" s="79">
        <f>'[1]TDR.3 (M2)'!BG5</f>
        <v>12406.73</v>
      </c>
      <c r="BW36" s="79">
        <f>'[1]TDR.3 (M2)'!BH5</f>
        <v>8862.6500000000015</v>
      </c>
      <c r="BX36" s="79">
        <f>'[1]TDR.3 (M2)'!BI5</f>
        <v>487.33999999999992</v>
      </c>
      <c r="BY36" s="79">
        <f>'[1]TDR.3 (M2)'!BJ5</f>
        <v>308.75</v>
      </c>
      <c r="BZ36" s="79">
        <f>'[1]TDR.3 (M2)'!BK5</f>
        <v>257.05</v>
      </c>
      <c r="CA36" s="79">
        <f>'[1]TDR.3 (M2)'!BL5</f>
        <v>302.51</v>
      </c>
      <c r="CB36" s="79">
        <f>'[1]TDR.3 (M2)'!BM5</f>
        <v>412.95</v>
      </c>
      <c r="CC36" s="79">
        <f>'[1]TDR.3 (M2)'!BN5</f>
        <v>413.28</v>
      </c>
      <c r="CD36" s="79">
        <f>'[1]TDR.3 (M2)'!BO5</f>
        <v>356.38</v>
      </c>
      <c r="CE36" s="79">
        <f>'[1]TDR.3 (M2)'!BP5</f>
        <v>279.54000000000002</v>
      </c>
      <c r="CF36" s="85">
        <f>-('PCR (M3)'!AW28*'TDR (M2)'!$CI$22*PPC!$B$14)</f>
        <v>378.21554911989864</v>
      </c>
      <c r="CG36" s="89">
        <f>-('PCR (M3)'!AX28*'TDR (M2)'!$CI$22*PPC!$B$14)</f>
        <v>543.5904241821072</v>
      </c>
      <c r="CH36" s="90">
        <f>-('PCR (M3)'!AY28*'TDR (M2)'!$CI$22*PPC!$B$14)</f>
        <v>671.99967443681385</v>
      </c>
    </row>
    <row r="37" spans="1:88" s="139" customFormat="1" x14ac:dyDescent="0.3">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2"/>
      <c r="CG37" s="83"/>
      <c r="CH37" s="77"/>
      <c r="CJ37" s="3"/>
    </row>
    <row r="38" spans="1:88" x14ac:dyDescent="0.3">
      <c r="B38" s="82"/>
      <c r="C38" s="83"/>
      <c r="D38" s="78" t="s">
        <v>68</v>
      </c>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2"/>
      <c r="CG38" s="83"/>
      <c r="CH38" s="87"/>
      <c r="CI38" s="3"/>
    </row>
    <row r="39" spans="1:88" ht="15" thickBot="1" x14ac:dyDescent="0.35">
      <c r="A39" s="91" t="s">
        <v>88</v>
      </c>
      <c r="B39" s="340">
        <v>0</v>
      </c>
      <c r="C39" s="299">
        <v>0</v>
      </c>
      <c r="D39" s="299">
        <v>0</v>
      </c>
      <c r="E39" s="299">
        <v>0.83</v>
      </c>
      <c r="F39" s="299">
        <v>-4.12</v>
      </c>
      <c r="G39" s="299">
        <v>-72.86</v>
      </c>
      <c r="H39" s="299">
        <v>-100.31</v>
      </c>
      <c r="I39" s="299">
        <v>-72.75</v>
      </c>
      <c r="J39" s="299">
        <v>200.51</v>
      </c>
      <c r="K39" s="299">
        <v>172.02</v>
      </c>
      <c r="L39" s="299">
        <v>217.02</v>
      </c>
      <c r="M39" s="93">
        <v>395.25</v>
      </c>
      <c r="N39" s="93">
        <v>349.23</v>
      </c>
      <c r="O39" s="93">
        <v>9085.07</v>
      </c>
      <c r="P39" s="93">
        <v>10214.99</v>
      </c>
      <c r="Q39" s="93">
        <v>8736.59</v>
      </c>
      <c r="R39" s="93">
        <v>7362.86</v>
      </c>
      <c r="S39" s="93">
        <v>7923.4</v>
      </c>
      <c r="T39" s="93">
        <v>6924.77</v>
      </c>
      <c r="U39" s="93">
        <v>6462.66</v>
      </c>
      <c r="V39" s="93">
        <v>5489.98</v>
      </c>
      <c r="W39" s="93">
        <v>3758.58</v>
      </c>
      <c r="X39" s="93">
        <v>2383.46</v>
      </c>
      <c r="Y39" s="93">
        <v>1195.4000000000001</v>
      </c>
      <c r="Z39" s="93">
        <v>-1558.24</v>
      </c>
      <c r="AA39" s="93">
        <v>-4135.4799999999996</v>
      </c>
      <c r="AB39" s="93">
        <v>-6601.54</v>
      </c>
      <c r="AC39" s="93">
        <v>-9814.07</v>
      </c>
      <c r="AD39" s="93">
        <v>-10424.57</v>
      </c>
      <c r="AE39" s="93">
        <v>-8592.41</v>
      </c>
      <c r="AF39" s="93">
        <v>-4589.53</v>
      </c>
      <c r="AG39" s="93">
        <v>-680.13</v>
      </c>
      <c r="AH39" s="93">
        <v>1145.49</v>
      </c>
      <c r="AI39" s="93">
        <v>131.71</v>
      </c>
      <c r="AJ39" s="93">
        <v>-872.83</v>
      </c>
      <c r="AK39" s="93">
        <v>-2378.1799999999998</v>
      </c>
      <c r="AL39" s="93">
        <v>-4152.67</v>
      </c>
      <c r="AM39" s="93">
        <v>-8693.64</v>
      </c>
      <c r="AN39" s="93">
        <v>-11321.04</v>
      </c>
      <c r="AO39" s="93">
        <v>-12444.34</v>
      </c>
      <c r="AP39" s="93">
        <v>-14340.93</v>
      </c>
      <c r="AQ39" s="93">
        <v>-7824.47</v>
      </c>
      <c r="AR39" s="93">
        <v>-9334.36</v>
      </c>
      <c r="AS39" s="93">
        <v>6436.46</v>
      </c>
      <c r="AT39" s="93">
        <v>8716.57</v>
      </c>
      <c r="AU39" s="93">
        <v>6493.08</v>
      </c>
      <c r="AV39" s="93">
        <v>4311.46</v>
      </c>
      <c r="AW39" s="93">
        <v>2634.36</v>
      </c>
      <c r="AX39" s="93">
        <v>571.99</v>
      </c>
      <c r="AY39" s="93">
        <v>-2717.53</v>
      </c>
      <c r="AZ39" s="93">
        <v>-887.86</v>
      </c>
      <c r="BA39" s="93">
        <v>-901.63</v>
      </c>
      <c r="BB39" s="93">
        <v>-183.12</v>
      </c>
      <c r="BC39" s="93">
        <v>-242.2</v>
      </c>
      <c r="BD39" s="93">
        <v>-494.7</v>
      </c>
      <c r="BE39" s="93">
        <v>-432.38</v>
      </c>
      <c r="BF39" s="93">
        <v>-466.39</v>
      </c>
      <c r="BG39" s="93">
        <v>-854.31</v>
      </c>
      <c r="BH39" s="93">
        <v>-1205.9100000000001</v>
      </c>
      <c r="BI39" s="93">
        <v>-1518.99</v>
      </c>
      <c r="BJ39" s="93">
        <v>-1226.01</v>
      </c>
      <c r="BK39" s="93">
        <v>-1401.5</v>
      </c>
      <c r="BL39" s="93">
        <v>-1184.03</v>
      </c>
      <c r="BM39" s="93">
        <v>-1162.8499999999999</v>
      </c>
      <c r="BN39" s="93">
        <v>-1074.99</v>
      </c>
      <c r="BO39" s="93">
        <v>-868.97</v>
      </c>
      <c r="BP39" s="93">
        <v>-515.88</v>
      </c>
      <c r="BQ39" s="93">
        <v>-632.94000000000005</v>
      </c>
      <c r="BR39" s="93">
        <v>-483.62</v>
      </c>
      <c r="BS39" s="93">
        <v>-310.76</v>
      </c>
      <c r="BT39" s="93">
        <f>-'[1]TDR.4 (M2)'!$W$76</f>
        <v>-256.98</v>
      </c>
      <c r="BU39" s="93">
        <f>-'[1]TDR.4 (M2)'!$W$77</f>
        <v>-314.17</v>
      </c>
      <c r="BV39" s="93">
        <f>-'[1]TDR.4 (M2)'!$W$78</f>
        <v>-150.61000000000001</v>
      </c>
      <c r="BW39" s="93">
        <f>-'[1]TDR.4 (M2)'!$W$79</f>
        <v>-79.55</v>
      </c>
      <c r="BX39" s="93">
        <f>-'[1]TDR.4 (M2)'!$W$80</f>
        <v>-151.16999999999999</v>
      </c>
      <c r="BY39" s="93">
        <f>-'[1]TDR.4 (M2)'!$W$81</f>
        <v>-102.64</v>
      </c>
      <c r="BZ39" s="93">
        <f>-'[1]TDR.4 (M2)'!$W$82</f>
        <v>-122.27</v>
      </c>
      <c r="CA39" s="93">
        <f>-'[1]TDR.4 (M2)'!$W$83</f>
        <v>-118.81</v>
      </c>
      <c r="CB39" s="93">
        <f>-'[1]TDR.4 (M2)'!$W$84</f>
        <v>-47.32</v>
      </c>
      <c r="CC39" s="93">
        <f>-'[1]TDR.4 (M2)'!$W$85</f>
        <v>83.74</v>
      </c>
      <c r="CD39" s="93">
        <f>-'[1]TDR.4 (M2)'!$W$86</f>
        <v>240.95</v>
      </c>
      <c r="CE39" s="94">
        <f>-'[1]TDR.4 (M2)'!$W$87</f>
        <v>446.03</v>
      </c>
      <c r="CF39" s="196">
        <f>'[2]MEEIA 2 calcs'!CG21</f>
        <v>592.15627306824376</v>
      </c>
      <c r="CG39" s="197">
        <f>'[2]MEEIA 2 calcs'!CH21</f>
        <v>760.27899278800464</v>
      </c>
      <c r="CH39" s="126">
        <f>'[2]MEEIA 2 calcs'!CI21</f>
        <v>948.3501469704147</v>
      </c>
      <c r="CI39" s="32"/>
    </row>
    <row r="40" spans="1:88" x14ac:dyDescent="0.3">
      <c r="B40" s="254"/>
      <c r="C40" s="266"/>
      <c r="D40" s="266"/>
      <c r="E40" s="266"/>
      <c r="F40" s="266"/>
      <c r="G40" s="338"/>
      <c r="H40" s="266"/>
      <c r="I40" s="266"/>
      <c r="J40" s="266"/>
      <c r="K40" s="266"/>
      <c r="L40" s="266"/>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73"/>
      <c r="CG40" s="74"/>
      <c r="CH40" s="77"/>
    </row>
    <row r="41" spans="1:88" x14ac:dyDescent="0.3">
      <c r="A41" s="32" t="s">
        <v>69</v>
      </c>
      <c r="B41" s="97"/>
      <c r="C41" s="33"/>
      <c r="D41" s="33"/>
      <c r="E41" s="33"/>
      <c r="F41" s="33"/>
      <c r="G41" s="165"/>
      <c r="H41" s="33"/>
      <c r="I41" s="33"/>
      <c r="J41" s="3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73"/>
      <c r="CG41" s="74"/>
      <c r="CH41" s="77"/>
    </row>
    <row r="42" spans="1:88" x14ac:dyDescent="0.3">
      <c r="A42" s="48" t="s">
        <v>0</v>
      </c>
      <c r="B42" s="339">
        <f>B15-B29</f>
        <v>0</v>
      </c>
      <c r="C42" s="302">
        <f t="shared" ref="C42:CH46" si="79">C15-C29</f>
        <v>0</v>
      </c>
      <c r="D42" s="302">
        <f t="shared" si="79"/>
        <v>0</v>
      </c>
      <c r="E42" s="302">
        <f t="shared" si="79"/>
        <v>1328.78</v>
      </c>
      <c r="F42" s="302">
        <f t="shared" si="79"/>
        <v>-2928.2299999999996</v>
      </c>
      <c r="G42" s="302">
        <f t="shared" si="79"/>
        <v>-71289.570000000007</v>
      </c>
      <c r="H42" s="302">
        <f t="shared" si="79"/>
        <v>-1844.4099999999744</v>
      </c>
      <c r="I42" s="302">
        <f t="shared" si="79"/>
        <v>114544.92435846673</v>
      </c>
      <c r="J42" s="302">
        <f t="shared" si="79"/>
        <v>437611.03363575385</v>
      </c>
      <c r="K42" s="302">
        <f t="shared" si="79"/>
        <v>-46108.639999999985</v>
      </c>
      <c r="L42" s="302">
        <f t="shared" si="79"/>
        <v>48251.358816492691</v>
      </c>
      <c r="M42" s="89">
        <f t="shared" si="79"/>
        <v>92791.644528529549</v>
      </c>
      <c r="N42" s="89">
        <f t="shared" si="79"/>
        <v>-76541.62899647688</v>
      </c>
      <c r="O42" s="89">
        <f t="shared" si="79"/>
        <v>-1050300.6538526569</v>
      </c>
      <c r="P42" s="89">
        <f t="shared" si="79"/>
        <v>-795612.54377562623</v>
      </c>
      <c r="Q42" s="89">
        <f t="shared" si="79"/>
        <v>-781966.80801192264</v>
      </c>
      <c r="R42" s="89">
        <f t="shared" si="79"/>
        <v>-734608.66210439603</v>
      </c>
      <c r="S42" s="89">
        <f t="shared" si="79"/>
        <v>-370689.72777560423</v>
      </c>
      <c r="T42" s="89">
        <f t="shared" si="79"/>
        <v>-384119.88133799564</v>
      </c>
      <c r="U42" s="89">
        <f t="shared" si="79"/>
        <v>-275107.38358755549</v>
      </c>
      <c r="V42" s="89">
        <f t="shared" si="79"/>
        <v>-424940.93852856522</v>
      </c>
      <c r="W42" s="89">
        <f t="shared" si="79"/>
        <v>-895008.88456685981</v>
      </c>
      <c r="X42" s="89">
        <f t="shared" ref="X42:AH42" si="80">X15-X29</f>
        <v>-652093.16687273735</v>
      </c>
      <c r="Y42" s="89">
        <f t="shared" si="80"/>
        <v>-761185.28928755154</v>
      </c>
      <c r="Z42" s="89">
        <f t="shared" si="80"/>
        <v>-1423446.7136634206</v>
      </c>
      <c r="AA42" s="89">
        <f t="shared" si="80"/>
        <v>-872933.81364122406</v>
      </c>
      <c r="AB42" s="89">
        <f t="shared" si="80"/>
        <v>-647504.14396264404</v>
      </c>
      <c r="AC42" s="89">
        <f t="shared" si="80"/>
        <v>-811719.89299649675</v>
      </c>
      <c r="AD42" s="89">
        <f t="shared" si="80"/>
        <v>-388655.70517212211</v>
      </c>
      <c r="AE42" s="89">
        <f t="shared" si="80"/>
        <v>723672.47680510976</v>
      </c>
      <c r="AF42" s="89">
        <f t="shared" si="80"/>
        <v>1229078.5787427053</v>
      </c>
      <c r="AG42" s="89">
        <f t="shared" si="80"/>
        <v>1288463.5757057199</v>
      </c>
      <c r="AH42" s="89">
        <f t="shared" si="80"/>
        <v>271065.67566829198</v>
      </c>
      <c r="AI42" s="89">
        <f t="shared" ref="AI42:AU42" si="81">AI15-AI29</f>
        <v>-464314.22299920814</v>
      </c>
      <c r="AJ42" s="89">
        <f t="shared" si="81"/>
        <v>-436737.34684611688</v>
      </c>
      <c r="AK42" s="89">
        <f t="shared" si="81"/>
        <v>-617572.08405505202</v>
      </c>
      <c r="AL42" s="89">
        <f t="shared" si="81"/>
        <v>-757166.54526625574</v>
      </c>
      <c r="AM42" s="89">
        <f t="shared" si="81"/>
        <v>-902323.78320456308</v>
      </c>
      <c r="AN42" s="89">
        <f t="shared" si="81"/>
        <v>-644984.27791673772</v>
      </c>
      <c r="AO42" s="89">
        <f t="shared" si="81"/>
        <v>-371208.95703957358</v>
      </c>
      <c r="AP42" s="89">
        <f t="shared" si="81"/>
        <v>-436712.1860460249</v>
      </c>
      <c r="AQ42" s="89">
        <f t="shared" si="81"/>
        <v>1651426.2498654767</v>
      </c>
      <c r="AR42" s="89">
        <f t="shared" si="81"/>
        <v>1729212.3236625164</v>
      </c>
      <c r="AS42" s="89">
        <f>AS15-AS29</f>
        <v>1886501.8465768229</v>
      </c>
      <c r="AT42" s="89">
        <f t="shared" si="81"/>
        <v>550244.65205842978</v>
      </c>
      <c r="AU42" s="89">
        <f t="shared" si="81"/>
        <v>-619226.02641074557</v>
      </c>
      <c r="AV42" s="89">
        <f t="shared" ref="AV42:BF42" si="82">AV15-AV29</f>
        <v>-406069.8759449994</v>
      </c>
      <c r="AW42" s="89">
        <f t="shared" si="82"/>
        <v>-586852.95091818122</v>
      </c>
      <c r="AX42" s="89">
        <f t="shared" si="82"/>
        <v>-720893.84375789552</v>
      </c>
      <c r="AY42" s="89">
        <f t="shared" si="82"/>
        <v>-1954298.2858568672</v>
      </c>
      <c r="AZ42" s="89">
        <f t="shared" si="82"/>
        <v>376424.54789936566</v>
      </c>
      <c r="BA42" s="89">
        <f t="shared" si="82"/>
        <v>-94402.787188311384</v>
      </c>
      <c r="BB42" s="89">
        <f t="shared" si="82"/>
        <v>-85377.45219762405</v>
      </c>
      <c r="BC42" s="89">
        <f t="shared" si="82"/>
        <v>-111088.05405709325</v>
      </c>
      <c r="BD42" s="89">
        <f t="shared" si="82"/>
        <v>-148912.49147732253</v>
      </c>
      <c r="BE42" s="89">
        <f t="shared" si="82"/>
        <v>-139614.44094102815</v>
      </c>
      <c r="BF42" s="89">
        <f t="shared" si="82"/>
        <v>-125976.71022904468</v>
      </c>
      <c r="BG42" s="89">
        <f t="shared" ref="BG42:BR42" si="83">BG15-BG29</f>
        <v>-85433.845861912763</v>
      </c>
      <c r="BH42" s="89">
        <f t="shared" si="83"/>
        <v>-91258.917890257682</v>
      </c>
      <c r="BI42" s="89">
        <f t="shared" si="83"/>
        <v>-120857.06275512141</v>
      </c>
      <c r="BJ42" s="89">
        <f t="shared" si="83"/>
        <v>-157131.76386056474</v>
      </c>
      <c r="BK42" s="89">
        <f t="shared" si="83"/>
        <v>115197.03218943031</v>
      </c>
      <c r="BL42" s="89">
        <f t="shared" si="83"/>
        <v>330846.44785598782</v>
      </c>
      <c r="BM42" s="89">
        <f t="shared" si="83"/>
        <v>223865.36362995685</v>
      </c>
      <c r="BN42" s="89">
        <f t="shared" si="83"/>
        <v>210176.78057078714</v>
      </c>
      <c r="BO42" s="89">
        <f t="shared" si="83"/>
        <v>274664.86631310626</v>
      </c>
      <c r="BP42" s="89">
        <f t="shared" si="83"/>
        <v>362529.15554440091</v>
      </c>
      <c r="BQ42" s="89">
        <f t="shared" si="83"/>
        <v>369792.94310600177</v>
      </c>
      <c r="BR42" s="89">
        <f t="shared" si="83"/>
        <v>363385.55298456381</v>
      </c>
      <c r="BS42" s="89">
        <f t="shared" ref="BS42:CE42" si="84">BS15-BS29</f>
        <v>252118.80647925977</v>
      </c>
      <c r="BT42" s="89">
        <f t="shared" si="84"/>
        <v>237271.91053566517</v>
      </c>
      <c r="BU42" s="89">
        <f t="shared" si="84"/>
        <v>297440.02156472037</v>
      </c>
      <c r="BV42" s="89">
        <f t="shared" si="84"/>
        <v>384027.55955538503</v>
      </c>
      <c r="BW42" s="89">
        <f t="shared" si="84"/>
        <v>248448.70779312411</v>
      </c>
      <c r="BX42" s="89">
        <f>BX15-BX29</f>
        <v>14142.518065753949</v>
      </c>
      <c r="BY42" s="89">
        <f t="shared" si="84"/>
        <v>8108.3955144196925</v>
      </c>
      <c r="BZ42" s="89">
        <f t="shared" si="84"/>
        <v>8073.3360940229468</v>
      </c>
      <c r="CA42" s="89">
        <f t="shared" si="84"/>
        <v>10522.970092720119</v>
      </c>
      <c r="CB42" s="89">
        <f t="shared" si="84"/>
        <v>14468.941204805697</v>
      </c>
      <c r="CC42" s="89">
        <f t="shared" si="84"/>
        <v>13654.530108070916</v>
      </c>
      <c r="CD42" s="89">
        <f t="shared" si="84"/>
        <v>11445.528735503305</v>
      </c>
      <c r="CE42" s="86">
        <f t="shared" si="84"/>
        <v>8161.2905921701904</v>
      </c>
      <c r="CF42" s="85">
        <f>CF15-CF29</f>
        <v>8069.8126067853509</v>
      </c>
      <c r="CG42" s="89">
        <f t="shared" si="79"/>
        <v>11562.794733164532</v>
      </c>
      <c r="CH42" s="90">
        <f t="shared" si="79"/>
        <v>14274.604225665193</v>
      </c>
    </row>
    <row r="43" spans="1:88" x14ac:dyDescent="0.3">
      <c r="A43" s="48" t="s">
        <v>4</v>
      </c>
      <c r="B43" s="339">
        <f t="shared" ref="B43:Q46" si="85">B16-B30</f>
        <v>0</v>
      </c>
      <c r="C43" s="302">
        <f t="shared" si="85"/>
        <v>0</v>
      </c>
      <c r="D43" s="302">
        <f t="shared" si="85"/>
        <v>0</v>
      </c>
      <c r="E43" s="302">
        <f t="shared" si="85"/>
        <v>0</v>
      </c>
      <c r="F43" s="302">
        <f t="shared" si="85"/>
        <v>-856.28</v>
      </c>
      <c r="G43" s="302">
        <f t="shared" si="85"/>
        <v>-8251.3300000000017</v>
      </c>
      <c r="H43" s="302">
        <f t="shared" si="85"/>
        <v>-1402.1099999999969</v>
      </c>
      <c r="I43" s="302">
        <f t="shared" si="85"/>
        <v>-65.264761224685572</v>
      </c>
      <c r="J43" s="302">
        <f t="shared" si="85"/>
        <v>8427.9456749210331</v>
      </c>
      <c r="K43" s="302">
        <f t="shared" si="85"/>
        <v>11617.59</v>
      </c>
      <c r="L43" s="302">
        <f t="shared" si="85"/>
        <v>17046.048601536655</v>
      </c>
      <c r="M43" s="89">
        <f t="shared" si="85"/>
        <v>24826.995758638252</v>
      </c>
      <c r="N43" s="89">
        <f t="shared" si="85"/>
        <v>20240.432188278435</v>
      </c>
      <c r="O43" s="89">
        <f t="shared" si="85"/>
        <v>-101815.23827073371</v>
      </c>
      <c r="P43" s="89">
        <f t="shared" si="85"/>
        <v>-75662.968837742344</v>
      </c>
      <c r="Q43" s="89">
        <f t="shared" si="85"/>
        <v>-91804.560030101668</v>
      </c>
      <c r="R43" s="89">
        <f t="shared" si="79"/>
        <v>-68128.224455245159</v>
      </c>
      <c r="S43" s="89">
        <f t="shared" si="79"/>
        <v>-48589.637835607791</v>
      </c>
      <c r="T43" s="89">
        <f t="shared" si="79"/>
        <v>-21968.569927616802</v>
      </c>
      <c r="U43" s="89">
        <f t="shared" si="79"/>
        <v>-28715.458669831074</v>
      </c>
      <c r="V43" s="89">
        <f t="shared" si="79"/>
        <v>6276.6530995404464</v>
      </c>
      <c r="W43" s="89">
        <f t="shared" si="79"/>
        <v>-21029.362806484423</v>
      </c>
      <c r="X43" s="89">
        <f t="shared" ref="X43:AH43" si="86">X16-X30</f>
        <v>-34538.080526789403</v>
      </c>
      <c r="Y43" s="89">
        <f t="shared" si="86"/>
        <v>-7659.090907654303</v>
      </c>
      <c r="Z43" s="89">
        <f t="shared" si="86"/>
        <v>-42593.533596648835</v>
      </c>
      <c r="AA43" s="89">
        <f t="shared" si="86"/>
        <v>-206001.8335522181</v>
      </c>
      <c r="AB43" s="89">
        <f t="shared" si="86"/>
        <v>-133723.8395783462</v>
      </c>
      <c r="AC43" s="89">
        <f t="shared" si="86"/>
        <v>-104521.60706289703</v>
      </c>
      <c r="AD43" s="89">
        <f t="shared" si="86"/>
        <v>-4214.1796664728899</v>
      </c>
      <c r="AE43" s="89">
        <f t="shared" si="86"/>
        <v>60618.685361135169</v>
      </c>
      <c r="AF43" s="89">
        <f t="shared" si="86"/>
        <v>149648.72067955992</v>
      </c>
      <c r="AG43" s="89">
        <f t="shared" si="86"/>
        <v>112641.30665656802</v>
      </c>
      <c r="AH43" s="89">
        <f t="shared" si="86"/>
        <v>157250.8063429466</v>
      </c>
      <c r="AI43" s="89">
        <f t="shared" ref="AI43:AU43" si="87">AI16-AI30</f>
        <v>50394.117705575947</v>
      </c>
      <c r="AJ43" s="89">
        <f t="shared" si="87"/>
        <v>47785.738240385894</v>
      </c>
      <c r="AK43" s="89">
        <f t="shared" si="87"/>
        <v>26812.776423145784</v>
      </c>
      <c r="AL43" s="89">
        <f t="shared" si="87"/>
        <v>5329.6397879027063</v>
      </c>
      <c r="AM43" s="89">
        <f t="shared" si="87"/>
        <v>-385470.08172739437</v>
      </c>
      <c r="AN43" s="89">
        <f t="shared" si="87"/>
        <v>-234131.02815485816</v>
      </c>
      <c r="AO43" s="89">
        <f t="shared" si="87"/>
        <v>-106451.00316548307</v>
      </c>
      <c r="AP43" s="89">
        <f t="shared" si="87"/>
        <v>-80796.707221269025</v>
      </c>
      <c r="AQ43" s="89">
        <f t="shared" si="87"/>
        <v>119748.6338400637</v>
      </c>
      <c r="AR43" s="89">
        <f t="shared" si="87"/>
        <v>230591.13180803775</v>
      </c>
      <c r="AS43" s="89">
        <f t="shared" si="87"/>
        <v>40607.117085032864</v>
      </c>
      <c r="AT43" s="89">
        <f t="shared" si="87"/>
        <v>94805.055079190759</v>
      </c>
      <c r="AU43" s="89">
        <f t="shared" si="87"/>
        <v>-81991.941769096185</v>
      </c>
      <c r="AV43" s="89">
        <f t="shared" ref="AV43:BF43" si="88">AV16-AV30</f>
        <v>-95205.368568211212</v>
      </c>
      <c r="AW43" s="89">
        <f t="shared" si="88"/>
        <v>-254080.90393668582</v>
      </c>
      <c r="AX43" s="89">
        <f t="shared" si="88"/>
        <v>-225483.57850258716</v>
      </c>
      <c r="AY43" s="89">
        <f t="shared" si="88"/>
        <v>-66220.840186268324</v>
      </c>
      <c r="AZ43" s="89">
        <f t="shared" si="88"/>
        <v>301226.64294110646</v>
      </c>
      <c r="BA43" s="89">
        <f t="shared" si="88"/>
        <v>-64808.481988011001</v>
      </c>
      <c r="BB43" s="89">
        <f t="shared" si="88"/>
        <v>-59303.95288683923</v>
      </c>
      <c r="BC43" s="89">
        <f t="shared" si="88"/>
        <v>-73834.94972054036</v>
      </c>
      <c r="BD43" s="89">
        <f t="shared" si="88"/>
        <v>-92018.552084119598</v>
      </c>
      <c r="BE43" s="89">
        <f t="shared" si="88"/>
        <v>-90580.739582948823</v>
      </c>
      <c r="BF43" s="89">
        <f t="shared" si="88"/>
        <v>-86046.105340623835</v>
      </c>
      <c r="BG43" s="89">
        <f t="shared" ref="BG43:BR43" si="89">BG16-BG30</f>
        <v>-69862.512633552542</v>
      </c>
      <c r="BH43" s="89">
        <f t="shared" si="89"/>
        <v>-69704.108724079604</v>
      </c>
      <c r="BI43" s="89">
        <f t="shared" si="89"/>
        <v>-80360.687024982573</v>
      </c>
      <c r="BJ43" s="89">
        <f t="shared" si="89"/>
        <v>-95761.440926806681</v>
      </c>
      <c r="BK43" s="89">
        <f t="shared" si="89"/>
        <v>2163.6337762013709</v>
      </c>
      <c r="BL43" s="89">
        <f t="shared" si="89"/>
        <v>102954.44040602222</v>
      </c>
      <c r="BM43" s="89">
        <f t="shared" si="89"/>
        <v>82292.169942022461</v>
      </c>
      <c r="BN43" s="89">
        <f t="shared" si="89"/>
        <v>81475.949641738669</v>
      </c>
      <c r="BO43" s="89">
        <f t="shared" si="89"/>
        <v>97478.410947600903</v>
      </c>
      <c r="BP43" s="89">
        <f t="shared" si="89"/>
        <v>115044.58809397074</v>
      </c>
      <c r="BQ43" s="89">
        <f t="shared" si="89"/>
        <v>115871.88647430755</v>
      </c>
      <c r="BR43" s="89">
        <f t="shared" si="89"/>
        <v>116431.77432782541</v>
      </c>
      <c r="BS43" s="89">
        <f>BS16-BS30</f>
        <v>96560.249900073395</v>
      </c>
      <c r="BT43" s="89">
        <f t="shared" ref="BT43:CE43" si="90">BT16-BT30</f>
        <v>85906.566641126701</v>
      </c>
      <c r="BU43" s="89">
        <f t="shared" si="90"/>
        <v>97658.894986974468</v>
      </c>
      <c r="BV43" s="89">
        <f t="shared" si="90"/>
        <v>114844.76949853233</v>
      </c>
      <c r="BW43" s="89">
        <f t="shared" si="90"/>
        <v>70730.897064022269</v>
      </c>
      <c r="BX43" s="89">
        <f t="shared" si="90"/>
        <v>3783.1481282858344</v>
      </c>
      <c r="BY43" s="89">
        <f t="shared" si="90"/>
        <v>3423.5497542955172</v>
      </c>
      <c r="BZ43" s="89">
        <f t="shared" si="90"/>
        <v>3159.0651251823292</v>
      </c>
      <c r="CA43" s="89">
        <f t="shared" si="90"/>
        <v>3581.516211305307</v>
      </c>
      <c r="CB43" s="89">
        <f t="shared" si="90"/>
        <v>4119.5944291965261</v>
      </c>
      <c r="CC43" s="89">
        <f t="shared" si="90"/>
        <v>4322.0730845019016</v>
      </c>
      <c r="CD43" s="89">
        <f t="shared" si="90"/>
        <v>3929.9254185913214</v>
      </c>
      <c r="CE43" s="86">
        <f t="shared" si="90"/>
        <v>3276.9745441742421</v>
      </c>
      <c r="CF43" s="85">
        <f t="shared" si="79"/>
        <v>2952.3758739805608</v>
      </c>
      <c r="CG43" s="89">
        <f t="shared" si="79"/>
        <v>3568.1857151146278</v>
      </c>
      <c r="CH43" s="90">
        <f t="shared" si="79"/>
        <v>4207.566389348307</v>
      </c>
    </row>
    <row r="44" spans="1:88" x14ac:dyDescent="0.3">
      <c r="A44" s="48" t="s">
        <v>5</v>
      </c>
      <c r="B44" s="339">
        <f t="shared" si="85"/>
        <v>0</v>
      </c>
      <c r="C44" s="302">
        <f t="shared" si="79"/>
        <v>0</v>
      </c>
      <c r="D44" s="302">
        <f t="shared" si="79"/>
        <v>0</v>
      </c>
      <c r="E44" s="302">
        <f t="shared" si="79"/>
        <v>0</v>
      </c>
      <c r="F44" s="302">
        <f t="shared" si="79"/>
        <v>-2460.2199999999998</v>
      </c>
      <c r="G44" s="302">
        <f t="shared" si="79"/>
        <v>-33758.050000000003</v>
      </c>
      <c r="H44" s="302">
        <f t="shared" si="79"/>
        <v>-21639.839999999997</v>
      </c>
      <c r="I44" s="302">
        <f t="shared" si="79"/>
        <v>-12324.613120248869</v>
      </c>
      <c r="J44" s="302">
        <f t="shared" si="79"/>
        <v>10707.581306139036</v>
      </c>
      <c r="K44" s="302">
        <f t="shared" si="79"/>
        <v>7716.2699999999968</v>
      </c>
      <c r="L44" s="302">
        <f t="shared" si="79"/>
        <v>19152.98271623841</v>
      </c>
      <c r="M44" s="89">
        <f t="shared" si="79"/>
        <v>37688.57344597984</v>
      </c>
      <c r="N44" s="89">
        <f t="shared" si="79"/>
        <v>34655.832713338357</v>
      </c>
      <c r="O44" s="89">
        <f t="shared" si="79"/>
        <v>-242092.50256055058</v>
      </c>
      <c r="P44" s="89">
        <f t="shared" si="79"/>
        <v>-195981.13140874798</v>
      </c>
      <c r="Q44" s="89">
        <f t="shared" si="79"/>
        <v>-232888.91236901932</v>
      </c>
      <c r="R44" s="89">
        <f t="shared" si="79"/>
        <v>-203991.54845207804</v>
      </c>
      <c r="S44" s="89">
        <f t="shared" si="79"/>
        <v>-122904.71343148759</v>
      </c>
      <c r="T44" s="89">
        <f t="shared" si="79"/>
        <v>-45595.367444124771</v>
      </c>
      <c r="U44" s="89">
        <f t="shared" si="79"/>
        <v>-58272.669394945318</v>
      </c>
      <c r="V44" s="89">
        <f t="shared" si="79"/>
        <v>-6175.1120859243674</v>
      </c>
      <c r="W44" s="89">
        <f t="shared" si="79"/>
        <v>-115986.35542651551</v>
      </c>
      <c r="X44" s="89">
        <f t="shared" ref="X44:AH44" si="91">X17-X31</f>
        <v>-69294.433327207837</v>
      </c>
      <c r="Y44" s="89">
        <f t="shared" si="91"/>
        <v>-54669.383200100274</v>
      </c>
      <c r="Z44" s="89">
        <f t="shared" si="91"/>
        <v>-70407.882028048742</v>
      </c>
      <c r="AA44" s="89">
        <f t="shared" si="91"/>
        <v>-278199.91199827904</v>
      </c>
      <c r="AB44" s="89">
        <f t="shared" si="91"/>
        <v>-194553.80264377588</v>
      </c>
      <c r="AC44" s="89">
        <f t="shared" si="91"/>
        <v>-181165.27958706097</v>
      </c>
      <c r="AD44" s="89">
        <f t="shared" si="91"/>
        <v>-65612.444639366528</v>
      </c>
      <c r="AE44" s="89">
        <f t="shared" si="91"/>
        <v>263200.71750933642</v>
      </c>
      <c r="AF44" s="89">
        <f t="shared" si="91"/>
        <v>535792.77625822683</v>
      </c>
      <c r="AG44" s="89">
        <f t="shared" si="91"/>
        <v>403517.90316562622</v>
      </c>
      <c r="AH44" s="89">
        <f t="shared" si="91"/>
        <v>395778.97101029358</v>
      </c>
      <c r="AI44" s="89">
        <f t="shared" ref="AI44:AU44" si="92">AI17-AI31</f>
        <v>-14353.052894642577</v>
      </c>
      <c r="AJ44" s="89">
        <f t="shared" si="92"/>
        <v>1744.6990926700528</v>
      </c>
      <c r="AK44" s="89">
        <f t="shared" si="92"/>
        <v>43164.493867260288</v>
      </c>
      <c r="AL44" s="89">
        <f t="shared" si="92"/>
        <v>69032.617636874435</v>
      </c>
      <c r="AM44" s="89">
        <f t="shared" si="92"/>
        <v>-516448.80428918765</v>
      </c>
      <c r="AN44" s="89">
        <f t="shared" si="92"/>
        <v>-265389.93410872563</v>
      </c>
      <c r="AO44" s="89">
        <f t="shared" si="92"/>
        <v>-186671.6012031635</v>
      </c>
      <c r="AP44" s="89">
        <f t="shared" si="92"/>
        <v>-249695.80261101574</v>
      </c>
      <c r="AQ44" s="89">
        <f t="shared" si="92"/>
        <v>610138.74075894407</v>
      </c>
      <c r="AR44" s="89">
        <f t="shared" si="92"/>
        <v>964983.89764747978</v>
      </c>
      <c r="AS44" s="89">
        <f t="shared" si="92"/>
        <v>607446.53375909547</v>
      </c>
      <c r="AT44" s="89">
        <f t="shared" si="92"/>
        <v>438365.52108722716</v>
      </c>
      <c r="AU44" s="89">
        <f t="shared" si="92"/>
        <v>-267302.80112048553</v>
      </c>
      <c r="AV44" s="89">
        <f t="shared" ref="AV44:BF44" si="93">AV17-AV31</f>
        <v>-258204.70387424075</v>
      </c>
      <c r="AW44" s="89">
        <f t="shared" si="93"/>
        <v>-275480.9965688755</v>
      </c>
      <c r="AX44" s="89">
        <f t="shared" si="93"/>
        <v>-277221.77676880977</v>
      </c>
      <c r="AY44" s="89">
        <f t="shared" si="93"/>
        <v>-101268.39351805218</v>
      </c>
      <c r="AZ44" s="89">
        <f t="shared" si="93"/>
        <v>399241.40100704756</v>
      </c>
      <c r="BA44" s="89">
        <f t="shared" si="93"/>
        <v>-265910.81227908062</v>
      </c>
      <c r="BB44" s="89">
        <f t="shared" si="93"/>
        <v>-247101.80526517576</v>
      </c>
      <c r="BC44" s="89">
        <f t="shared" si="93"/>
        <v>-284328.55746010086</v>
      </c>
      <c r="BD44" s="89">
        <f t="shared" si="93"/>
        <v>-323373.82320999872</v>
      </c>
      <c r="BE44" s="89">
        <f t="shared" si="93"/>
        <v>-324031.71080537396</v>
      </c>
      <c r="BF44" s="89">
        <f t="shared" si="93"/>
        <v>-328396.44957003504</v>
      </c>
      <c r="BG44" s="89">
        <f t="shared" ref="BG44:BR44" si="94">BG17-BG31</f>
        <v>-286323.50528355013</v>
      </c>
      <c r="BH44" s="89">
        <f t="shared" si="94"/>
        <v>-278604.48387214012</v>
      </c>
      <c r="BI44" s="89">
        <f t="shared" si="94"/>
        <v>-298424.42210147489</v>
      </c>
      <c r="BJ44" s="89">
        <f t="shared" si="94"/>
        <v>-320066.00665898813</v>
      </c>
      <c r="BK44" s="89">
        <f t="shared" si="94"/>
        <v>-120241.7089436222</v>
      </c>
      <c r="BL44" s="89">
        <f t="shared" si="94"/>
        <v>126581.44555983254</v>
      </c>
      <c r="BM44" s="89">
        <f t="shared" si="94"/>
        <v>113373.39045356911</v>
      </c>
      <c r="BN44" s="89">
        <f t="shared" si="94"/>
        <v>117803.22587632475</v>
      </c>
      <c r="BO44" s="89">
        <f t="shared" si="94"/>
        <v>151090.72184852889</v>
      </c>
      <c r="BP44" s="89">
        <f t="shared" si="94"/>
        <v>179542.57079341292</v>
      </c>
      <c r="BQ44" s="89">
        <f t="shared" si="94"/>
        <v>174203.64735156679</v>
      </c>
      <c r="BR44" s="89">
        <f t="shared" si="94"/>
        <v>162771.39254977927</v>
      </c>
      <c r="BS44" s="89">
        <f t="shared" ref="BS44:CE44" si="95">BS17-BS31</f>
        <v>132604.17827742052</v>
      </c>
      <c r="BT44" s="89">
        <f t="shared" si="95"/>
        <v>118526.09913716539</v>
      </c>
      <c r="BU44" s="89">
        <f t="shared" si="95"/>
        <v>130701.80683599559</v>
      </c>
      <c r="BV44" s="89">
        <f t="shared" si="95"/>
        <v>138527.85456751261</v>
      </c>
      <c r="BW44" s="89">
        <f t="shared" si="95"/>
        <v>99318.157690172797</v>
      </c>
      <c r="BX44" s="89">
        <f t="shared" si="95"/>
        <v>29813.934940734489</v>
      </c>
      <c r="BY44" s="89">
        <f t="shared" si="95"/>
        <v>27661.804594547866</v>
      </c>
      <c r="BZ44" s="89">
        <f t="shared" si="95"/>
        <v>28365.583171593848</v>
      </c>
      <c r="CA44" s="89">
        <f t="shared" si="95"/>
        <v>31712.240190643679</v>
      </c>
      <c r="CB44" s="89">
        <f t="shared" si="95"/>
        <v>36266.351017925241</v>
      </c>
      <c r="CC44" s="89">
        <f t="shared" si="95"/>
        <v>35382.790747787352</v>
      </c>
      <c r="CD44" s="89">
        <f t="shared" si="95"/>
        <v>33777.721147319782</v>
      </c>
      <c r="CE44" s="86">
        <f t="shared" si="95"/>
        <v>29077.038685363292</v>
      </c>
      <c r="CF44" s="85">
        <f t="shared" si="79"/>
        <v>27663.737331625234</v>
      </c>
      <c r="CG44" s="89">
        <f t="shared" si="79"/>
        <v>30688.494005625664</v>
      </c>
      <c r="CH44" s="90">
        <f t="shared" si="79"/>
        <v>33583.673114546691</v>
      </c>
    </row>
    <row r="45" spans="1:88" x14ac:dyDescent="0.3">
      <c r="A45" s="48" t="s">
        <v>6</v>
      </c>
      <c r="B45" s="339">
        <f t="shared" si="85"/>
        <v>0</v>
      </c>
      <c r="C45" s="302">
        <f t="shared" si="79"/>
        <v>0</v>
      </c>
      <c r="D45" s="302">
        <f t="shared" si="79"/>
        <v>0</v>
      </c>
      <c r="E45" s="302">
        <f t="shared" si="79"/>
        <v>0</v>
      </c>
      <c r="F45" s="302">
        <f t="shared" si="79"/>
        <v>-1621.85</v>
      </c>
      <c r="G45" s="302">
        <f t="shared" si="79"/>
        <v>-14886.83</v>
      </c>
      <c r="H45" s="302">
        <f t="shared" si="79"/>
        <v>-17626.32</v>
      </c>
      <c r="I45" s="302">
        <f t="shared" si="79"/>
        <v>-16627.989274539053</v>
      </c>
      <c r="J45" s="302">
        <f t="shared" si="79"/>
        <v>-15673.941858251583</v>
      </c>
      <c r="K45" s="302">
        <f t="shared" si="79"/>
        <v>-12991.86</v>
      </c>
      <c r="L45" s="302">
        <f t="shared" si="79"/>
        <v>-9215.8170176639032</v>
      </c>
      <c r="M45" s="89">
        <f t="shared" si="79"/>
        <v>1372.297784318449</v>
      </c>
      <c r="N45" s="89">
        <f t="shared" si="79"/>
        <v>-3995.0892387392923</v>
      </c>
      <c r="O45" s="89">
        <f t="shared" si="79"/>
        <v>-304000.85004735005</v>
      </c>
      <c r="P45" s="89">
        <f t="shared" si="79"/>
        <v>-237560.18932731223</v>
      </c>
      <c r="Q45" s="89">
        <f t="shared" si="79"/>
        <v>-270969.97217664868</v>
      </c>
      <c r="R45" s="89">
        <f t="shared" si="79"/>
        <v>-259352.7289176824</v>
      </c>
      <c r="S45" s="89">
        <f t="shared" si="79"/>
        <v>-202261.62434077309</v>
      </c>
      <c r="T45" s="89">
        <f t="shared" si="79"/>
        <v>-147511.63525993662</v>
      </c>
      <c r="U45" s="89">
        <f t="shared" si="79"/>
        <v>-122541.67894562634</v>
      </c>
      <c r="V45" s="89">
        <f t="shared" si="79"/>
        <v>-123221.18931087491</v>
      </c>
      <c r="W45" s="89">
        <f t="shared" si="79"/>
        <v>-220265.81874101982</v>
      </c>
      <c r="X45" s="89">
        <f t="shared" ref="X45:AH45" si="96">X18-X32</f>
        <v>-191005.21786957013</v>
      </c>
      <c r="Y45" s="89">
        <f t="shared" si="96"/>
        <v>-188005.20883714195</v>
      </c>
      <c r="Z45" s="89">
        <f t="shared" si="96"/>
        <v>-200503.50323993355</v>
      </c>
      <c r="AA45" s="89">
        <f t="shared" si="96"/>
        <v>-186338.57353980344</v>
      </c>
      <c r="AB45" s="89">
        <f t="shared" si="96"/>
        <v>-169875.44483674748</v>
      </c>
      <c r="AC45" s="89">
        <f t="shared" si="96"/>
        <v>-145378.61898659961</v>
      </c>
      <c r="AD45" s="89">
        <f t="shared" si="96"/>
        <v>-142266.06809872741</v>
      </c>
      <c r="AE45" s="89">
        <f t="shared" si="96"/>
        <v>73240.586517746502</v>
      </c>
      <c r="AF45" s="89">
        <f t="shared" si="96"/>
        <v>181633.88145182672</v>
      </c>
      <c r="AG45" s="89">
        <f t="shared" si="96"/>
        <v>130230.35779464053</v>
      </c>
      <c r="AH45" s="89">
        <f t="shared" si="96"/>
        <v>67502.841347931884</v>
      </c>
      <c r="AI45" s="89">
        <f t="shared" ref="AI45:AU45" si="97">AI18-AI32</f>
        <v>-117748.44529398013</v>
      </c>
      <c r="AJ45" s="89">
        <f t="shared" si="97"/>
        <v>-110277.67032792341</v>
      </c>
      <c r="AK45" s="89">
        <f t="shared" si="97"/>
        <v>-99577.289493904042</v>
      </c>
      <c r="AL45" s="89">
        <f t="shared" si="97"/>
        <v>-45030.541968987585</v>
      </c>
      <c r="AM45" s="89">
        <f t="shared" si="97"/>
        <v>-134825.6919202162</v>
      </c>
      <c r="AN45" s="89">
        <f t="shared" si="97"/>
        <v>-46651.286517600529</v>
      </c>
      <c r="AO45" s="89">
        <f t="shared" si="97"/>
        <v>-54338.200422683032</v>
      </c>
      <c r="AP45" s="89">
        <f t="shared" si="97"/>
        <v>-43825.839606522641</v>
      </c>
      <c r="AQ45" s="89">
        <f t="shared" si="97"/>
        <v>398285.62603206246</v>
      </c>
      <c r="AR45" s="89">
        <f t="shared" si="97"/>
        <v>582992.76012694114</v>
      </c>
      <c r="AS45" s="89">
        <f t="shared" si="97"/>
        <v>459822.81218621496</v>
      </c>
      <c r="AT45" s="89">
        <f t="shared" si="97"/>
        <v>274139.20776520291</v>
      </c>
      <c r="AU45" s="89">
        <f t="shared" si="97"/>
        <v>-60697.38078627811</v>
      </c>
      <c r="AV45" s="89">
        <f t="shared" ref="AV45:BF45" si="98">AV18-AV32</f>
        <v>-72940.122547219275</v>
      </c>
      <c r="AW45" s="89">
        <f t="shared" si="98"/>
        <v>-80604.853118786006</v>
      </c>
      <c r="AX45" s="89">
        <f t="shared" si="98"/>
        <v>-61089.748492774612</v>
      </c>
      <c r="AY45" s="89">
        <f t="shared" si="98"/>
        <v>-38548.875420085358</v>
      </c>
      <c r="AZ45" s="89">
        <f t="shared" si="98"/>
        <v>153052.68701831874</v>
      </c>
      <c r="BA45" s="89">
        <f t="shared" si="98"/>
        <v>-118618.96587713738</v>
      </c>
      <c r="BB45" s="89">
        <f t="shared" si="98"/>
        <v>-112020.71240492428</v>
      </c>
      <c r="BC45" s="89">
        <f t="shared" si="98"/>
        <v>-130125.71091968814</v>
      </c>
      <c r="BD45" s="89">
        <f t="shared" si="98"/>
        <v>-136950.86579751672</v>
      </c>
      <c r="BE45" s="89">
        <f t="shared" si="98"/>
        <v>-126752.85039610704</v>
      </c>
      <c r="BF45" s="89">
        <f t="shared" si="98"/>
        <v>-124238.38644107411</v>
      </c>
      <c r="BG45" s="89">
        <f t="shared" ref="BG45:BR45" si="99">BG18-BG32</f>
        <v>-120877.24996824261</v>
      </c>
      <c r="BH45" s="89">
        <f t="shared" si="99"/>
        <v>-120541.45055025863</v>
      </c>
      <c r="BI45" s="89">
        <f t="shared" si="99"/>
        <v>-122931.97109209531</v>
      </c>
      <c r="BJ45" s="89">
        <f t="shared" si="99"/>
        <v>-117558.48716620004</v>
      </c>
      <c r="BK45" s="89">
        <f t="shared" si="99"/>
        <v>-63426.02624669105</v>
      </c>
      <c r="BL45" s="89">
        <f t="shared" si="99"/>
        <v>33108.709176542667</v>
      </c>
      <c r="BM45" s="89">
        <f t="shared" si="99"/>
        <v>34191.865916674156</v>
      </c>
      <c r="BN45" s="89">
        <f t="shared" si="99"/>
        <v>39754.786477870635</v>
      </c>
      <c r="BO45" s="89">
        <f t="shared" si="99"/>
        <v>60131.543041994286</v>
      </c>
      <c r="BP45" s="89">
        <f t="shared" si="99"/>
        <v>80389.036060895305</v>
      </c>
      <c r="BQ45" s="89">
        <f t="shared" si="99"/>
        <v>75296.39401301762</v>
      </c>
      <c r="BR45" s="89">
        <f t="shared" si="99"/>
        <v>59884.956259296625</v>
      </c>
      <c r="BS45" s="89">
        <f t="shared" ref="BS45:CE45" si="100">BS18-BS32</f>
        <v>38168.401362819968</v>
      </c>
      <c r="BT45" s="89">
        <f t="shared" si="100"/>
        <v>33080.266486155087</v>
      </c>
      <c r="BU45" s="89">
        <f t="shared" si="100"/>
        <v>41706.144170828396</v>
      </c>
      <c r="BV45" s="89">
        <f t="shared" si="100"/>
        <v>41213.384686248493</v>
      </c>
      <c r="BW45" s="89">
        <f t="shared" si="100"/>
        <v>30925.199361317722</v>
      </c>
      <c r="BX45" s="89">
        <f t="shared" si="100"/>
        <v>9348.310124921727</v>
      </c>
      <c r="BY45" s="89">
        <f t="shared" si="100"/>
        <v>9429.8658266884941</v>
      </c>
      <c r="BZ45" s="89">
        <f t="shared" si="100"/>
        <v>9234.0736114224237</v>
      </c>
      <c r="CA45" s="89">
        <f t="shared" si="100"/>
        <v>10506.965502226194</v>
      </c>
      <c r="CB45" s="89">
        <f t="shared" si="100"/>
        <v>10928.084351774705</v>
      </c>
      <c r="CC45" s="89">
        <f t="shared" si="100"/>
        <v>10838.193004551051</v>
      </c>
      <c r="CD45" s="89">
        <f t="shared" si="100"/>
        <v>10559.893442002107</v>
      </c>
      <c r="CE45" s="86">
        <f t="shared" si="100"/>
        <v>9362.8553505780201</v>
      </c>
      <c r="CF45" s="85">
        <f t="shared" si="79"/>
        <v>9103.0248795618627</v>
      </c>
      <c r="CG45" s="89">
        <f t="shared" si="79"/>
        <v>9479.4809178612231</v>
      </c>
      <c r="CH45" s="90">
        <f t="shared" si="79"/>
        <v>9844.0501719231434</v>
      </c>
    </row>
    <row r="46" spans="1:88" x14ac:dyDescent="0.3">
      <c r="A46" s="48" t="s">
        <v>7</v>
      </c>
      <c r="B46" s="339">
        <f t="shared" si="85"/>
        <v>0</v>
      </c>
      <c r="C46" s="302">
        <f t="shared" si="79"/>
        <v>0</v>
      </c>
      <c r="D46" s="302">
        <f t="shared" si="79"/>
        <v>0</v>
      </c>
      <c r="E46" s="302">
        <f t="shared" si="79"/>
        <v>0</v>
      </c>
      <c r="F46" s="302">
        <f t="shared" si="79"/>
        <v>0</v>
      </c>
      <c r="G46" s="302">
        <f t="shared" si="79"/>
        <v>-4867.8</v>
      </c>
      <c r="H46" s="302">
        <f t="shared" si="79"/>
        <v>-9168.5600000000013</v>
      </c>
      <c r="I46" s="302">
        <f t="shared" si="79"/>
        <v>-8265.5672024542127</v>
      </c>
      <c r="J46" s="302">
        <f t="shared" si="79"/>
        <v>-8316.2787585622791</v>
      </c>
      <c r="K46" s="302">
        <f t="shared" si="79"/>
        <v>-7378.56</v>
      </c>
      <c r="L46" s="302">
        <f t="shared" si="79"/>
        <v>-6146.6731166039754</v>
      </c>
      <c r="M46" s="89">
        <f t="shared" si="79"/>
        <v>-4777.3815174660513</v>
      </c>
      <c r="N46" s="89">
        <f t="shared" si="79"/>
        <v>-2049.3166664006667</v>
      </c>
      <c r="O46" s="89">
        <f t="shared" si="79"/>
        <v>-196274.45526870835</v>
      </c>
      <c r="P46" s="89">
        <f t="shared" si="79"/>
        <v>-158572.54665057128</v>
      </c>
      <c r="Q46" s="89">
        <f t="shared" si="79"/>
        <v>-175260.29741230787</v>
      </c>
      <c r="R46" s="89">
        <f t="shared" si="79"/>
        <v>-176113.52607059845</v>
      </c>
      <c r="S46" s="89">
        <f t="shared" si="79"/>
        <v>-202586.48661652688</v>
      </c>
      <c r="T46" s="89">
        <f t="shared" si="79"/>
        <v>-181774.18603032624</v>
      </c>
      <c r="U46" s="89">
        <f t="shared" si="79"/>
        <v>-206040.28940204179</v>
      </c>
      <c r="V46" s="89">
        <f t="shared" si="79"/>
        <v>-196080.56317417626</v>
      </c>
      <c r="W46" s="89">
        <f t="shared" si="79"/>
        <v>-193270.44845911989</v>
      </c>
      <c r="X46" s="89">
        <f t="shared" ref="X46:AH46" si="101">X19-X33</f>
        <v>-183327.18140369625</v>
      </c>
      <c r="Y46" s="89">
        <f t="shared" si="101"/>
        <v>-164307.36776755113</v>
      </c>
      <c r="Z46" s="89">
        <f t="shared" si="101"/>
        <v>-163134.57747194907</v>
      </c>
      <c r="AA46" s="89">
        <f t="shared" si="101"/>
        <v>-80306.607268475083</v>
      </c>
      <c r="AB46" s="89">
        <f t="shared" si="101"/>
        <v>8305.2410215153686</v>
      </c>
      <c r="AC46" s="89">
        <f t="shared" si="101"/>
        <v>10698.258633053718</v>
      </c>
      <c r="AD46" s="89">
        <f t="shared" si="101"/>
        <v>16900.587576688344</v>
      </c>
      <c r="AE46" s="89">
        <f t="shared" si="101"/>
        <v>55743.863806674082</v>
      </c>
      <c r="AF46" s="89">
        <f t="shared" si="101"/>
        <v>89211.152867682249</v>
      </c>
      <c r="AG46" s="89">
        <f t="shared" si="101"/>
        <v>65185.736677447916</v>
      </c>
      <c r="AH46" s="89">
        <f t="shared" si="101"/>
        <v>50265.565630534838</v>
      </c>
      <c r="AI46" s="89">
        <f t="shared" ref="AI46:AU46" si="102">AI19-AI33</f>
        <v>18978.573482252643</v>
      </c>
      <c r="AJ46" s="89">
        <f t="shared" si="102"/>
        <v>18573.189840982588</v>
      </c>
      <c r="AK46" s="89">
        <f t="shared" si="102"/>
        <v>26480.473258549871</v>
      </c>
      <c r="AL46" s="89">
        <f t="shared" si="102"/>
        <v>29746.95981046333</v>
      </c>
      <c r="AM46" s="89">
        <f t="shared" si="102"/>
        <v>6849.3911413641254</v>
      </c>
      <c r="AN46" s="89">
        <f t="shared" si="102"/>
        <v>-368.31330207322753</v>
      </c>
      <c r="AO46" s="89">
        <f t="shared" si="102"/>
        <v>-6118.5681690972779</v>
      </c>
      <c r="AP46" s="89">
        <f t="shared" si="102"/>
        <v>5025.7454848302732</v>
      </c>
      <c r="AQ46" s="89">
        <f t="shared" si="102"/>
        <v>119304.81950345435</v>
      </c>
      <c r="AR46" s="89">
        <f t="shared" si="102"/>
        <v>190161.95675502185</v>
      </c>
      <c r="AS46" s="89">
        <f t="shared" si="102"/>
        <v>152954.66039283545</v>
      </c>
      <c r="AT46" s="89">
        <f t="shared" si="102"/>
        <v>69283.064009947717</v>
      </c>
      <c r="AU46" s="89">
        <f t="shared" si="102"/>
        <v>-11932.929913396387</v>
      </c>
      <c r="AV46" s="89">
        <f t="shared" ref="AV46:BF46" si="103">AV19-AV33</f>
        <v>-10952.929065326825</v>
      </c>
      <c r="AW46" s="89">
        <f t="shared" si="103"/>
        <v>-5683.6754574721854</v>
      </c>
      <c r="AX46" s="89">
        <f t="shared" si="103"/>
        <v>-5207.2924779333189</v>
      </c>
      <c r="AY46" s="89">
        <f t="shared" si="103"/>
        <v>-11664.785018727831</v>
      </c>
      <c r="AZ46" s="89">
        <f t="shared" si="103"/>
        <v>16716.831134158565</v>
      </c>
      <c r="BA46" s="89">
        <f t="shared" si="103"/>
        <v>-44139.712667457257</v>
      </c>
      <c r="BB46" s="89">
        <f t="shared" si="103"/>
        <v>-44973.567245439408</v>
      </c>
      <c r="BC46" s="89">
        <f t="shared" si="103"/>
        <v>-11299.677842574869</v>
      </c>
      <c r="BD46" s="89">
        <f t="shared" si="103"/>
        <v>-50403.777431042647</v>
      </c>
      <c r="BE46" s="89">
        <f t="shared" si="103"/>
        <v>-51924.778274542303</v>
      </c>
      <c r="BF46" s="89">
        <f t="shared" si="103"/>
        <v>-52673.048419221035</v>
      </c>
      <c r="BG46" s="89">
        <f t="shared" ref="BG46:BR46" si="104">BG19-BG33</f>
        <v>-46395.596252741845</v>
      </c>
      <c r="BH46" s="89">
        <f t="shared" si="104"/>
        <v>-45485.528963265475</v>
      </c>
      <c r="BI46" s="89">
        <f t="shared" si="104"/>
        <v>-46424.397026326442</v>
      </c>
      <c r="BJ46" s="89">
        <f t="shared" si="104"/>
        <v>-42444.211387439616</v>
      </c>
      <c r="BK46" s="89">
        <f t="shared" si="104"/>
        <v>-37845.94077531778</v>
      </c>
      <c r="BL46" s="89">
        <f t="shared" si="104"/>
        <v>731.33700161567504</v>
      </c>
      <c r="BM46" s="89">
        <f t="shared" si="104"/>
        <v>-1437.799942221774</v>
      </c>
      <c r="BN46" s="89">
        <f t="shared" si="104"/>
        <v>-1448.8425667251033</v>
      </c>
      <c r="BO46" s="89">
        <f t="shared" si="104"/>
        <v>-1380.7821512277105</v>
      </c>
      <c r="BP46" s="89">
        <f t="shared" si="104"/>
        <v>-1767.2604926793404</v>
      </c>
      <c r="BQ46" s="89">
        <f t="shared" si="104"/>
        <v>-1792.7409448948902</v>
      </c>
      <c r="BR46" s="89">
        <f t="shared" si="104"/>
        <v>-1933.1561214655667</v>
      </c>
      <c r="BS46" s="89">
        <f t="shared" ref="BS46:CE46" si="105">BS19-BS33</f>
        <v>-1700.8260195728594</v>
      </c>
      <c r="BT46" s="89">
        <f t="shared" si="105"/>
        <v>-1231.0928001127579</v>
      </c>
      <c r="BU46" s="89">
        <f t="shared" si="105"/>
        <v>-1849.5375585199761</v>
      </c>
      <c r="BV46" s="89">
        <f t="shared" si="105"/>
        <v>-1753.7983076770972</v>
      </c>
      <c r="BW46" s="89">
        <f t="shared" si="105"/>
        <v>-1054.1919086395494</v>
      </c>
      <c r="BX46" s="89">
        <f t="shared" si="105"/>
        <v>2092.2487403040109</v>
      </c>
      <c r="BY46" s="89">
        <f t="shared" si="105"/>
        <v>9938.8643100484314</v>
      </c>
      <c r="BZ46" s="89">
        <f t="shared" si="105"/>
        <v>1916.4119977784555</v>
      </c>
      <c r="CA46" s="89">
        <f t="shared" si="105"/>
        <v>2336.6180031047015</v>
      </c>
      <c r="CB46" s="89">
        <f t="shared" si="105"/>
        <v>2679.3289962978324</v>
      </c>
      <c r="CC46" s="89">
        <f t="shared" si="105"/>
        <v>2648.8730550887767</v>
      </c>
      <c r="CD46" s="89">
        <f t="shared" si="105"/>
        <v>2762.041256583489</v>
      </c>
      <c r="CE46" s="86">
        <f t="shared" si="105"/>
        <v>2372.9708277142608</v>
      </c>
      <c r="CF46" s="85">
        <f t="shared" si="79"/>
        <v>2296.0779711860914</v>
      </c>
      <c r="CG46" s="89">
        <f t="shared" si="79"/>
        <v>2247.299610025249</v>
      </c>
      <c r="CH46" s="90">
        <f t="shared" si="79"/>
        <v>2366.5938512279645</v>
      </c>
    </row>
    <row r="47" spans="1:88" x14ac:dyDescent="0.3">
      <c r="B47" s="177"/>
      <c r="C47" s="176"/>
      <c r="D47" s="176"/>
      <c r="E47" s="176"/>
      <c r="F47" s="281"/>
      <c r="G47" s="281"/>
      <c r="H47" s="176"/>
      <c r="I47" s="176"/>
      <c r="J47" s="176"/>
      <c r="K47" s="176"/>
      <c r="L47" s="176"/>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3"/>
      <c r="CG47" s="74"/>
      <c r="CH47" s="77"/>
    </row>
    <row r="48" spans="1:88" x14ac:dyDescent="0.3">
      <c r="A48" s="32" t="s">
        <v>70</v>
      </c>
      <c r="B48" s="73"/>
      <c r="C48" s="74"/>
      <c r="D48" s="74"/>
      <c r="E48" s="74"/>
      <c r="F48" s="76"/>
      <c r="G48" s="76"/>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3"/>
      <c r="CG48" s="74"/>
      <c r="CH48" s="77"/>
    </row>
    <row r="49" spans="1:86" x14ac:dyDescent="0.3">
      <c r="A49" s="48" t="s">
        <v>0</v>
      </c>
      <c r="B49" s="85">
        <f>B42</f>
        <v>0</v>
      </c>
      <c r="C49" s="89">
        <f>B49+C42+B56</f>
        <v>0</v>
      </c>
      <c r="D49" s="89">
        <f t="shared" ref="D49:J49" si="106">C49+D42+C56</f>
        <v>0</v>
      </c>
      <c r="E49" s="89">
        <f t="shared" si="106"/>
        <v>1328.78</v>
      </c>
      <c r="F49" s="89">
        <f>E49+F42+E56</f>
        <v>-1598.6244190201496</v>
      </c>
      <c r="G49" s="89">
        <f t="shared" si="106"/>
        <v>-72889.201277973625</v>
      </c>
      <c r="H49" s="89">
        <f t="shared" si="106"/>
        <v>-74771.654703242617</v>
      </c>
      <c r="I49" s="89">
        <f t="shared" si="106"/>
        <v>39734.074166899532</v>
      </c>
      <c r="J49" s="89">
        <f t="shared" si="106"/>
        <v>477370.42390444461</v>
      </c>
      <c r="K49" s="89">
        <f>J49+K42+J56</f>
        <v>431562.31245481368</v>
      </c>
      <c r="L49" s="89">
        <f t="shared" ref="L49:T53" si="107">K49+L42+K56</f>
        <v>480087.05520718865</v>
      </c>
      <c r="M49" s="89">
        <f t="shared" si="107"/>
        <v>573184.413171386</v>
      </c>
      <c r="N49" s="89">
        <f t="shared" si="107"/>
        <v>497102.38445415173</v>
      </c>
      <c r="O49" s="89">
        <f>N49+O42+N56+N66</f>
        <v>7059079.5573898349</v>
      </c>
      <c r="P49" s="89">
        <f t="shared" si="107"/>
        <v>6268761.3232822511</v>
      </c>
      <c r="Q49" s="89">
        <f t="shared" si="107"/>
        <v>5492802.0782051403</v>
      </c>
      <c r="R49" s="89">
        <f t="shared" si="107"/>
        <v>4763457.3514256906</v>
      </c>
      <c r="S49" s="89">
        <f t="shared" si="107"/>
        <v>4397332.6036118688</v>
      </c>
      <c r="T49" s="89">
        <f t="shared" si="107"/>
        <v>4018379.5880831173</v>
      </c>
      <c r="U49" s="89">
        <f t="shared" ref="U49:W49" si="108">T49+U42+T56</f>
        <v>3747933.0225202898</v>
      </c>
      <c r="V49" s="89">
        <f t="shared" si="108"/>
        <v>3327573.8571530953</v>
      </c>
      <c r="W49" s="89">
        <f t="shared" si="108"/>
        <v>2436581.0103825205</v>
      </c>
      <c r="X49" s="89">
        <f t="shared" ref="X49:X53" si="109">W49+X42+W56</f>
        <v>1787433.7308658608</v>
      </c>
      <c r="Y49" s="89">
        <f t="shared" ref="Y49:Y53" si="110">X49+Y42+X56</f>
        <v>1028397.6353625404</v>
      </c>
      <c r="Z49" s="89">
        <f t="shared" ref="Z49:Z53" si="111">Y49+Z42+Y56</f>
        <v>-393529.15715869819</v>
      </c>
      <c r="AA49" s="89">
        <f t="shared" ref="AA49:AA53" si="112">Z49+AA42+Z56</f>
        <v>-1267025.5161389071</v>
      </c>
      <c r="AB49" s="89">
        <f t="shared" ref="AB49:AB53" si="113">AA49+AB42+AA56</f>
        <v>-1916459.3040635744</v>
      </c>
      <c r="AC49" s="89">
        <f t="shared" ref="AC49:AC53" si="114">AB49+AC42+AB56</f>
        <v>-2731459.4503281913</v>
      </c>
      <c r="AD49" s="89">
        <f t="shared" ref="AD49:AD53" si="115">AC49+AD42+AC56</f>
        <v>-3125375.9372967808</v>
      </c>
      <c r="AE49" s="89">
        <f t="shared" ref="AE49:AE53" si="116">AD49+AE42+AD56</f>
        <v>-2407430.1779783783</v>
      </c>
      <c r="AF49" s="89">
        <f t="shared" ref="AF49:AF53" si="117">AE49+AF42+AE56</f>
        <v>-1182924.8358556251</v>
      </c>
      <c r="AG49" s="89">
        <f t="shared" ref="AG49:AG53" si="118">AF49+AG42+AF56</f>
        <v>103224.96943005276</v>
      </c>
      <c r="AH49" s="89">
        <f t="shared" ref="AH49:AH53" si="119">AG49+AH42+AG56</f>
        <v>374490.6818418958</v>
      </c>
      <c r="AI49" s="89">
        <f t="shared" ref="AI49:AI53" si="120">AH49+AI42+AH56</f>
        <v>-89096.729017842459</v>
      </c>
      <c r="AJ49" s="89">
        <f t="shared" ref="AJ49:AJ53" si="121">AI49+AJ42+AI56</f>
        <v>-526016.53208074765</v>
      </c>
      <c r="AK49" s="89">
        <f t="shared" ref="AK49:AK53" si="122">AJ49+AK42+AJ56</f>
        <v>-1144696.3701312046</v>
      </c>
      <c r="AL49" s="89">
        <f t="shared" ref="AL49:AL53" si="123">AK49+AL42+AK56</f>
        <v>-1904490.54588291</v>
      </c>
      <c r="AM49" s="89">
        <f t="shared" ref="AM49:AM53" si="124">AL49+AM42+AL56</f>
        <v>-2811368.7515850291</v>
      </c>
      <c r="AN49" s="89">
        <f t="shared" ref="AN49:AN53" si="125">AM49+AN42+AM56</f>
        <v>-3463007.5182515029</v>
      </c>
      <c r="AO49" s="89">
        <f t="shared" ref="AO49:AO53" si="126">AN49+AO42+AN56</f>
        <v>-3842261.6622114885</v>
      </c>
      <c r="AP49" s="89">
        <f t="shared" ref="AP49:AP53" si="127">AO49+AP42+AO56</f>
        <v>-4287498.142694599</v>
      </c>
      <c r="AQ49" s="89">
        <f t="shared" ref="AQ49:AQ53" si="128">AP49+AQ42+AP56</f>
        <v>-2645637.8764248076</v>
      </c>
      <c r="AR49" s="89">
        <f t="shared" ref="AR49:AR53" si="129">AQ49+AR42+AQ56</f>
        <v>-922268.12874052837</v>
      </c>
      <c r="AS49" s="89">
        <f>AR49+AS42+AR56</f>
        <v>952587.0936888305</v>
      </c>
      <c r="AT49" s="89">
        <f t="shared" ref="AT49:AT53" si="130">AS49+AT42+AS56</f>
        <v>1504698.1734546022</v>
      </c>
      <c r="AU49" s="89">
        <f t="shared" ref="AU49:AU53" si="131">AT49+AU42+AT56</f>
        <v>888251.91391034529</v>
      </c>
      <c r="AV49" s="89">
        <f t="shared" ref="AV49:AV53" si="132">AU49+AV42+AU56</f>
        <v>483746.79141940951</v>
      </c>
      <c r="AW49" s="89">
        <f t="shared" ref="AW49:AW53" si="133">AV49+AW42+AV56</f>
        <v>-102374.09378876926</v>
      </c>
      <c r="AX49" s="89">
        <f t="shared" ref="AX49:AX53" si="134">AW49+AX42+AW56</f>
        <v>-823431.32651503989</v>
      </c>
      <c r="AY49" s="89">
        <f t="shared" ref="AY49:AY53" si="135">AX49+AY42+AX56</f>
        <v>-2779025.8840414323</v>
      </c>
      <c r="AZ49" s="89">
        <f t="shared" ref="AZ49:AZ53" si="136">AY49+AZ42+AY56</f>
        <v>-2406778.172676248</v>
      </c>
      <c r="BA49" s="89">
        <f t="shared" ref="BA49:BA53" si="137">AZ49+BA42+AZ56</f>
        <v>-2504968.8115334688</v>
      </c>
      <c r="BB49" s="89">
        <f t="shared" ref="BB49:BB53" si="138">BA49+BB42+BA56</f>
        <v>-2592305.2745901523</v>
      </c>
      <c r="BC49" s="89">
        <f t="shared" ref="BC49:BC53" si="139">BB49+BC42+BB56</f>
        <v>-2703672.1462013088</v>
      </c>
      <c r="BD49" s="89">
        <f t="shared" ref="BD49:BD53" si="140">BC49+BD42+BC56</f>
        <v>-2852867.6918747979</v>
      </c>
      <c r="BE49" s="89">
        <f t="shared" ref="BE49:BE53" si="141">BD49+BE42+BD56</f>
        <v>-2992942.5452456693</v>
      </c>
      <c r="BF49" s="89">
        <f t="shared" ref="BF49:BG53" si="142">BE49+BF42+BE56</f>
        <v>-3119259.9146893327</v>
      </c>
      <c r="BG49" s="89">
        <f t="shared" si="142"/>
        <v>-3205015.8657275694</v>
      </c>
      <c r="BH49" s="89">
        <f t="shared" ref="BH49:BH53" si="143">BG49+BH42+BG56</f>
        <v>-3296808.9529287815</v>
      </c>
      <c r="BI49" s="89">
        <f t="shared" ref="BI49:BI53" si="144">BH49+BI42+BH56</f>
        <v>-3418359.5653833305</v>
      </c>
      <c r="BJ49" s="89">
        <f t="shared" ref="BJ49:BJ53" si="145">BI49+BJ42+BI56</f>
        <v>-3576302.3322021496</v>
      </c>
      <c r="BK49" s="89">
        <f t="shared" ref="BK49:BK53" si="146">BJ49+BK42+BJ56</f>
        <v>-3461719.6461681006</v>
      </c>
      <c r="BL49" s="89">
        <f t="shared" ref="BL49:BL53" si="147">BK49+BL42+BK56</f>
        <v>-3131543.0901046749</v>
      </c>
      <c r="BM49" s="89">
        <f t="shared" ref="BM49:BM53" si="148">BL49+BM42+BL56</f>
        <v>-2908235.3342565806</v>
      </c>
      <c r="BN49" s="89">
        <f t="shared" ref="BN49:BN53" si="149">BM49+BN42+BM56</f>
        <v>-2698604.1459050886</v>
      </c>
      <c r="BO49" s="89">
        <f t="shared" ref="BO49:BO53" si="150">BN49+BO42+BN56</f>
        <v>-2424443.6307161576</v>
      </c>
      <c r="BP49" s="89">
        <f t="shared" ref="BP49:BP53" si="151">BO49+BP42+BO56</f>
        <v>-2062321.9009035288</v>
      </c>
      <c r="BQ49" s="89">
        <f t="shared" ref="BQ49:BQ53" si="152">BP49+BQ42+BP56</f>
        <v>-1692768.7869299848</v>
      </c>
      <c r="BR49" s="89">
        <f t="shared" ref="BR49:BR53" si="153">BQ49+BR42+BQ56</f>
        <v>-1329672.5549332798</v>
      </c>
      <c r="BS49" s="89">
        <f t="shared" ref="BS49:BS53" si="154">BR49+BS42+BR56</f>
        <v>-1077767.8623013594</v>
      </c>
      <c r="BT49" s="89">
        <f t="shared" ref="BT49:BT53" si="155">BS49+BT42+BS56</f>
        <v>-840630.67274848185</v>
      </c>
      <c r="BU49" s="89">
        <f t="shared" ref="BU49:BU53" si="156">BT49+BU42+BT56</f>
        <v>-543297.97800437908</v>
      </c>
      <c r="BV49" s="89">
        <f t="shared" ref="BV49:BV53" si="157">BU49+BV42+BU56</f>
        <v>-159388.34308611316</v>
      </c>
      <c r="BW49" s="89">
        <f t="shared" ref="BW49:BW53" si="158">BV49+BW42+BV56</f>
        <v>89029.224209480497</v>
      </c>
      <c r="BX49" s="89">
        <f t="shared" ref="BX49:BX53" si="159">BW49+BX42+BW56</f>
        <v>103193.69161436206</v>
      </c>
      <c r="BY49" s="89">
        <f t="shared" ref="BY49:BY53" si="160">BX49+BY42+BX56</f>
        <v>111361.27696641792</v>
      </c>
      <c r="BZ49" s="89">
        <f t="shared" ref="BZ49:BZ53" si="161">BY49+BZ42+BY56</f>
        <v>119490.33230416676</v>
      </c>
      <c r="CA49" s="89">
        <f t="shared" ref="CA49:CA53" si="162">BZ49+CA42+BZ56</f>
        <v>130107.86953525431</v>
      </c>
      <c r="CB49" s="89">
        <f t="shared" ref="CB49:CB53" si="163">CA49+CB42+CA56</f>
        <v>144737.91312312239</v>
      </c>
      <c r="CC49" s="89">
        <f t="shared" ref="CC49:CC53" si="164">CB49+CC42+CB56</f>
        <v>158640.51074664429</v>
      </c>
      <c r="CD49" s="89">
        <f t="shared" ref="CD49:CD53" si="165">CC49+CD42+CC56</f>
        <v>170425.00851226589</v>
      </c>
      <c r="CE49" s="86">
        <f>CD49+CE42+CD56</f>
        <v>178989.87915859383</v>
      </c>
      <c r="CF49" s="85">
        <f>CE49+CF42+CE56</f>
        <v>187577.28873160071</v>
      </c>
      <c r="CG49" s="89">
        <f>CF49+CG42+CF56</f>
        <v>199682.51321574301</v>
      </c>
      <c r="CH49" s="90">
        <f>CG49+CH42+CG56</f>
        <v>214534.55267704171</v>
      </c>
    </row>
    <row r="50" spans="1:86" x14ac:dyDescent="0.3">
      <c r="A50" s="48" t="s">
        <v>4</v>
      </c>
      <c r="B50" s="85">
        <f>B43</f>
        <v>0</v>
      </c>
      <c r="C50" s="89">
        <f t="shared" ref="C50:K53" si="166">B50+C43+B57</f>
        <v>0</v>
      </c>
      <c r="D50" s="89">
        <f t="shared" si="166"/>
        <v>0</v>
      </c>
      <c r="E50" s="89">
        <f t="shared" si="166"/>
        <v>0</v>
      </c>
      <c r="F50" s="89">
        <f t="shared" si="166"/>
        <v>-856.28</v>
      </c>
      <c r="G50" s="89">
        <f t="shared" si="166"/>
        <v>-9108.1493094052694</v>
      </c>
      <c r="H50" s="89">
        <f t="shared" si="166"/>
        <v>-10515.013171315071</v>
      </c>
      <c r="I50" s="89">
        <f t="shared" si="166"/>
        <v>-10585.789928731692</v>
      </c>
      <c r="J50" s="89">
        <f t="shared" si="166"/>
        <v>-2164.588866362868</v>
      </c>
      <c r="K50" s="89">
        <f t="shared" si="166"/>
        <v>9451.6384167163123</v>
      </c>
      <c r="L50" s="89">
        <f t="shared" si="107"/>
        <v>26503.674394898997</v>
      </c>
      <c r="M50" s="89">
        <f t="shared" si="107"/>
        <v>51347.547362095989</v>
      </c>
      <c r="N50" s="89">
        <f t="shared" si="107"/>
        <v>71629.151896592753</v>
      </c>
      <c r="O50" s="89">
        <f t="shared" ref="O50:O53" si="167">N50+O43+N57+N67</f>
        <v>638255.6354897815</v>
      </c>
      <c r="P50" s="89">
        <f t="shared" si="107"/>
        <v>563071.35837865644</v>
      </c>
      <c r="Q50" s="89">
        <f t="shared" si="107"/>
        <v>471806.4084003343</v>
      </c>
      <c r="R50" s="89">
        <f t="shared" si="107"/>
        <v>404130.33175313944</v>
      </c>
      <c r="S50" s="89">
        <f t="shared" si="107"/>
        <v>355927.98548546172</v>
      </c>
      <c r="T50" s="89">
        <f t="shared" si="107"/>
        <v>334377.63094079035</v>
      </c>
      <c r="U50" s="89">
        <f t="shared" ref="U50:W50" si="168">T50+U43+T57</f>
        <v>306050.0085256467</v>
      </c>
      <c r="V50" s="89">
        <f t="shared" si="168"/>
        <v>312700.80163960956</v>
      </c>
      <c r="W50" s="89">
        <f t="shared" si="168"/>
        <v>292048.83638828801</v>
      </c>
      <c r="X50" s="89">
        <f t="shared" si="109"/>
        <v>257863.85020591295</v>
      </c>
      <c r="Y50" s="89">
        <f t="shared" si="110"/>
        <v>250514.8124065056</v>
      </c>
      <c r="Z50" s="89">
        <f t="shared" si="111"/>
        <v>208291.52738561531</v>
      </c>
      <c r="AA50" s="89">
        <f t="shared" si="112"/>
        <v>2587.4441417271241</v>
      </c>
      <c r="AB50" s="89">
        <f t="shared" si="113"/>
        <v>-131132.45483250215</v>
      </c>
      <c r="AC50" s="89">
        <f t="shared" si="114"/>
        <v>-235878.51104629369</v>
      </c>
      <c r="AD50" s="89">
        <f t="shared" si="115"/>
        <v>-240546.99193878003</v>
      </c>
      <c r="AE50" s="89">
        <f t="shared" si="116"/>
        <v>-180369.06784692823</v>
      </c>
      <c r="AF50" s="89">
        <f t="shared" si="117"/>
        <v>-31062.982411260153</v>
      </c>
      <c r="AG50" s="89">
        <f t="shared" si="118"/>
        <v>81517.565854171829</v>
      </c>
      <c r="AH50" s="89">
        <f t="shared" si="119"/>
        <v>238926.34277832284</v>
      </c>
      <c r="AI50" s="89">
        <f t="shared" si="120"/>
        <v>289784.1691281735</v>
      </c>
      <c r="AJ50" s="89">
        <f t="shared" si="121"/>
        <v>338163.34018890088</v>
      </c>
      <c r="AK50" s="89">
        <f t="shared" si="122"/>
        <v>365688.26493505068</v>
      </c>
      <c r="AL50" s="89">
        <f t="shared" si="123"/>
        <v>371857.33573556715</v>
      </c>
      <c r="AM50" s="89">
        <f t="shared" si="124"/>
        <v>-12723.48171093249</v>
      </c>
      <c r="AN50" s="89">
        <f t="shared" si="125"/>
        <v>-246884.62625157429</v>
      </c>
      <c r="AO50" s="89">
        <f t="shared" si="126"/>
        <v>-353909.18663733534</v>
      </c>
      <c r="AP50" s="89">
        <f t="shared" si="127"/>
        <v>-435491.06321355916</v>
      </c>
      <c r="AQ50" s="89">
        <f t="shared" si="128"/>
        <v>-316714.0683639092</v>
      </c>
      <c r="AR50" s="89">
        <f t="shared" si="129"/>
        <v>-86822.361834093332</v>
      </c>
      <c r="AS50" s="89">
        <f t="shared" ref="AS50:AS53" si="169">AR50+AS43+AR57</f>
        <v>-46402.988628418861</v>
      </c>
      <c r="AT50" s="89">
        <f t="shared" si="130"/>
        <v>48311.147915077519</v>
      </c>
      <c r="AU50" s="89">
        <f t="shared" si="131"/>
        <v>-33591.544241953248</v>
      </c>
      <c r="AV50" s="89">
        <f t="shared" si="132"/>
        <v>-128856.08801041653</v>
      </c>
      <c r="AW50" s="89">
        <f t="shared" si="133"/>
        <v>-383131.99297911063</v>
      </c>
      <c r="AX50" s="89">
        <f t="shared" si="134"/>
        <v>-609227.0498232157</v>
      </c>
      <c r="AY50" s="89">
        <f t="shared" si="135"/>
        <v>-676406.95452350564</v>
      </c>
      <c r="AZ50" s="89">
        <f t="shared" si="136"/>
        <v>-376196.94165261614</v>
      </c>
      <c r="BA50" s="89">
        <f t="shared" si="137"/>
        <v>-441597.49241931847</v>
      </c>
      <c r="BB50" s="89">
        <f t="shared" si="138"/>
        <v>-501246.79662510421</v>
      </c>
      <c r="BC50" s="89">
        <f t="shared" si="139"/>
        <v>-575135.65836256125</v>
      </c>
      <c r="BD50" s="89">
        <f t="shared" si="140"/>
        <v>-667214.42283659405</v>
      </c>
      <c r="BE50" s="89">
        <f t="shared" si="141"/>
        <v>-757902.84137518436</v>
      </c>
      <c r="BF50" s="89">
        <f t="shared" si="142"/>
        <v>-844035.21184879926</v>
      </c>
      <c r="BG50" s="89">
        <f t="shared" si="142"/>
        <v>-913984.88237177802</v>
      </c>
      <c r="BH50" s="89">
        <f t="shared" si="143"/>
        <v>-983841.3219095862</v>
      </c>
      <c r="BI50" s="89">
        <f t="shared" si="144"/>
        <v>-1064408.9796334589</v>
      </c>
      <c r="BJ50" s="89">
        <f t="shared" si="145"/>
        <v>-1160422.9507036763</v>
      </c>
      <c r="BK50" s="89">
        <f t="shared" si="146"/>
        <v>-1158458.6572830041</v>
      </c>
      <c r="BL50" s="89">
        <f t="shared" si="147"/>
        <v>-1055728.3950386639</v>
      </c>
      <c r="BM50" s="89">
        <f t="shared" si="148"/>
        <v>-973624.20985420933</v>
      </c>
      <c r="BN50" s="89">
        <f t="shared" si="149"/>
        <v>-892330.91454829986</v>
      </c>
      <c r="BO50" s="89">
        <f t="shared" si="150"/>
        <v>-795019.27429975523</v>
      </c>
      <c r="BP50" s="89">
        <f t="shared" si="151"/>
        <v>-680108.28853231447</v>
      </c>
      <c r="BQ50" s="89">
        <f t="shared" si="152"/>
        <v>-564315.49241763726</v>
      </c>
      <c r="BR50" s="89">
        <f t="shared" si="153"/>
        <v>-447980.1685424613</v>
      </c>
      <c r="BS50" s="89">
        <f t="shared" si="154"/>
        <v>-351492.05576897785</v>
      </c>
      <c r="BT50" s="89">
        <f t="shared" si="155"/>
        <v>-265629.42563482228</v>
      </c>
      <c r="BU50" s="89">
        <f t="shared" si="156"/>
        <v>-168004.44466340786</v>
      </c>
      <c r="BV50" s="89">
        <f t="shared" si="157"/>
        <v>-53196.141089604542</v>
      </c>
      <c r="BW50" s="89">
        <f t="shared" si="158"/>
        <v>17524.362778352344</v>
      </c>
      <c r="BX50" s="89">
        <f t="shared" si="159"/>
        <v>21311.831377641189</v>
      </c>
      <c r="BY50" s="89">
        <f t="shared" si="160"/>
        <v>24747.605172178293</v>
      </c>
      <c r="BZ50" s="89">
        <f t="shared" si="161"/>
        <v>27919.052679116503</v>
      </c>
      <c r="CA50" s="89">
        <f t="shared" si="162"/>
        <v>31522.664610358996</v>
      </c>
      <c r="CB50" s="89">
        <f t="shared" si="163"/>
        <v>35681.291085867138</v>
      </c>
      <c r="CC50" s="89">
        <f t="shared" si="164"/>
        <v>40064.518632505198</v>
      </c>
      <c r="CD50" s="89">
        <f t="shared" si="165"/>
        <v>44080.050375477978</v>
      </c>
      <c r="CE50" s="86">
        <f t="shared" ref="CE50:CE53" si="170">CD50+CE43+CD57</f>
        <v>47461.41000534538</v>
      </c>
      <c r="CF50" s="85">
        <f t="shared" ref="CF50:CG53" si="171">CE50+CF43+CE57</f>
        <v>50551.033202732404</v>
      </c>
      <c r="CG50" s="89">
        <f t="shared" si="171"/>
        <v>54265.400710628252</v>
      </c>
      <c r="CH50" s="90">
        <f t="shared" ref="CH50:CH53" si="172">CG50+CH43+CG57</f>
        <v>58629.889976904866</v>
      </c>
    </row>
    <row r="51" spans="1:86" x14ac:dyDescent="0.3">
      <c r="A51" s="48" t="s">
        <v>5</v>
      </c>
      <c r="B51" s="85">
        <f>B44</f>
        <v>0</v>
      </c>
      <c r="C51" s="89">
        <f t="shared" si="166"/>
        <v>0</v>
      </c>
      <c r="D51" s="89">
        <f t="shared" si="166"/>
        <v>0</v>
      </c>
      <c r="E51" s="89">
        <f t="shared" si="166"/>
        <v>0</v>
      </c>
      <c r="F51" s="89">
        <f t="shared" si="166"/>
        <v>-2460.2199999999998</v>
      </c>
      <c r="G51" s="89">
        <f t="shared" si="166"/>
        <v>-36219.819516262236</v>
      </c>
      <c r="H51" s="89">
        <f t="shared" si="166"/>
        <v>-57878.563907761454</v>
      </c>
      <c r="I51" s="89">
        <f t="shared" si="166"/>
        <v>-70233.517115907176</v>
      </c>
      <c r="J51" s="89">
        <f t="shared" si="166"/>
        <v>-59570.684275807507</v>
      </c>
      <c r="K51" s="89">
        <f t="shared" si="166"/>
        <v>-51891.917000093345</v>
      </c>
      <c r="L51" s="89">
        <f t="shared" si="107"/>
        <v>-32771.806515976568</v>
      </c>
      <c r="M51" s="89">
        <f t="shared" si="107"/>
        <v>4895.89825326148</v>
      </c>
      <c r="N51" s="89">
        <f t="shared" si="107"/>
        <v>39555.656677335573</v>
      </c>
      <c r="O51" s="89">
        <f t="shared" si="167"/>
        <v>703373.82085929299</v>
      </c>
      <c r="P51" s="89">
        <f t="shared" si="107"/>
        <v>507920.21981618949</v>
      </c>
      <c r="Q51" s="89">
        <f t="shared" si="107"/>
        <v>275518.06432449399</v>
      </c>
      <c r="R51" s="89">
        <f t="shared" si="107"/>
        <v>71790.554017393588</v>
      </c>
      <c r="S51" s="89">
        <f t="shared" si="107"/>
        <v>-51045.360133160662</v>
      </c>
      <c r="T51" s="89">
        <f t="shared" si="107"/>
        <v>-96700.705875441898</v>
      </c>
      <c r="U51" s="89">
        <f t="shared" ref="U51:W51" si="173">T51+U44+T58</f>
        <v>-155085.5360016145</v>
      </c>
      <c r="V51" s="89">
        <f t="shared" si="173"/>
        <v>-161450.23705359013</v>
      </c>
      <c r="W51" s="89">
        <f t="shared" si="173"/>
        <v>-277631.44623303815</v>
      </c>
      <c r="X51" s="89">
        <f t="shared" si="109"/>
        <v>-347261.54291952791</v>
      </c>
      <c r="Y51" s="89">
        <f t="shared" si="110"/>
        <v>-402348.47018666536</v>
      </c>
      <c r="Z51" s="89">
        <f t="shared" si="111"/>
        <v>-473351.00347151689</v>
      </c>
      <c r="AA51" s="89">
        <f t="shared" si="112"/>
        <v>-752227.56520683004</v>
      </c>
      <c r="AB51" s="89">
        <f t="shared" si="113"/>
        <v>-947926.98911930155</v>
      </c>
      <c r="AC51" s="89">
        <f t="shared" si="114"/>
        <v>-1130714.7610793572</v>
      </c>
      <c r="AD51" s="89">
        <f t="shared" si="115"/>
        <v>-1198504.9585795135</v>
      </c>
      <c r="AE51" s="89">
        <f t="shared" si="116"/>
        <v>-937500.29666217696</v>
      </c>
      <c r="AF51" s="89">
        <f t="shared" si="117"/>
        <v>-403488.42799874971</v>
      </c>
      <c r="AG51" s="89">
        <f t="shared" si="118"/>
        <v>-759.73777483798847</v>
      </c>
      <c r="AH51" s="89">
        <f t="shared" si="119"/>
        <v>395017.76096114761</v>
      </c>
      <c r="AI51" s="89">
        <f t="shared" si="120"/>
        <v>381431.35919534136</v>
      </c>
      <c r="AJ51" s="89">
        <f t="shared" si="121"/>
        <v>383957.1702719233</v>
      </c>
      <c r="AK51" s="89">
        <f t="shared" si="122"/>
        <v>427930.25106277433</v>
      </c>
      <c r="AL51" s="89">
        <f t="shared" si="123"/>
        <v>497945.17510218394</v>
      </c>
      <c r="AM51" s="89">
        <f t="shared" si="124"/>
        <v>-17312.836870949657</v>
      </c>
      <c r="AN51" s="89">
        <f t="shared" si="125"/>
        <v>-282743.75033470255</v>
      </c>
      <c r="AO51" s="89">
        <f t="shared" si="126"/>
        <v>-470072.21592814883</v>
      </c>
      <c r="AP51" s="89">
        <f t="shared" si="127"/>
        <v>-720810.90273798781</v>
      </c>
      <c r="AQ51" s="89">
        <f t="shared" si="128"/>
        <v>-112280.38781184831</v>
      </c>
      <c r="AR51" s="89">
        <f t="shared" si="129"/>
        <v>852455.5519792285</v>
      </c>
      <c r="AS51" s="89">
        <f t="shared" si="169"/>
        <v>1461745.4278097481</v>
      </c>
      <c r="AT51" s="89">
        <f t="shared" si="130"/>
        <v>1902974.9832573186</v>
      </c>
      <c r="AU51" s="89">
        <f t="shared" si="131"/>
        <v>1639187.7222627779</v>
      </c>
      <c r="AV51" s="89">
        <f t="shared" si="132"/>
        <v>1383870.6278719525</v>
      </c>
      <c r="AW51" s="89">
        <f t="shared" si="133"/>
        <v>1110483.8761677758</v>
      </c>
      <c r="AX51" s="89">
        <f t="shared" si="134"/>
        <v>835034.43073992664</v>
      </c>
      <c r="AY51" s="89">
        <f t="shared" si="135"/>
        <v>735080.57486550219</v>
      </c>
      <c r="AZ51" s="89">
        <f t="shared" si="136"/>
        <v>1135426.7915629311</v>
      </c>
      <c r="BA51" s="89">
        <f t="shared" si="137"/>
        <v>871302.94424645999</v>
      </c>
      <c r="BB51" s="89">
        <f t="shared" si="138"/>
        <v>624882.54144883214</v>
      </c>
      <c r="BC51" s="89">
        <f t="shared" si="139"/>
        <v>340621.19375121227</v>
      </c>
      <c r="BD51" s="89">
        <f t="shared" si="140"/>
        <v>17283.031025540346</v>
      </c>
      <c r="BE51" s="89">
        <f t="shared" si="141"/>
        <v>-306745.89054346905</v>
      </c>
      <c r="BF51" s="89">
        <f t="shared" si="142"/>
        <v>-635177.25418638729</v>
      </c>
      <c r="BG51" s="89">
        <f t="shared" si="142"/>
        <v>-921566.34999046219</v>
      </c>
      <c r="BH51" s="89">
        <f t="shared" si="143"/>
        <v>-1200324.4282542674</v>
      </c>
      <c r="BI51" s="89">
        <f t="shared" si="144"/>
        <v>-1499001.362605714</v>
      </c>
      <c r="BJ51" s="89">
        <f t="shared" si="145"/>
        <v>-1819423.0060888124</v>
      </c>
      <c r="BK51" s="89">
        <f t="shared" si="146"/>
        <v>-1939977.2600649779</v>
      </c>
      <c r="BL51" s="89">
        <f t="shared" si="147"/>
        <v>-1813771.2275879793</v>
      </c>
      <c r="BM51" s="89">
        <f t="shared" si="148"/>
        <v>-1700720.8002621466</v>
      </c>
      <c r="BN51" s="89">
        <f t="shared" si="149"/>
        <v>-1583236.6338597529</v>
      </c>
      <c r="BO51" s="89">
        <f t="shared" si="150"/>
        <v>-1432441.8083831815</v>
      </c>
      <c r="BP51" s="89">
        <f t="shared" si="151"/>
        <v>-1253139.9582419659</v>
      </c>
      <c r="BQ51" s="89">
        <f t="shared" si="152"/>
        <v>-1079082.0395804264</v>
      </c>
      <c r="BR51" s="89">
        <f t="shared" si="153"/>
        <v>-916495.07923667703</v>
      </c>
      <c r="BS51" s="89">
        <f t="shared" si="154"/>
        <v>-784038.48187062831</v>
      </c>
      <c r="BT51" s="89">
        <f t="shared" si="155"/>
        <v>-665610.38754369679</v>
      </c>
      <c r="BU51" s="89">
        <f t="shared" si="156"/>
        <v>-534993.56195925549</v>
      </c>
      <c r="BV51" s="89">
        <f t="shared" si="157"/>
        <v>-396581.82952767797</v>
      </c>
      <c r="BW51" s="89">
        <f t="shared" si="158"/>
        <v>-297341.15401244914</v>
      </c>
      <c r="BX51" s="89">
        <f t="shared" si="159"/>
        <v>-267600.5258076092</v>
      </c>
      <c r="BY51" s="89">
        <f t="shared" si="160"/>
        <v>-240092.21152265405</v>
      </c>
      <c r="BZ51" s="89">
        <f t="shared" si="161"/>
        <v>-211846.7576887882</v>
      </c>
      <c r="CA51" s="89">
        <f t="shared" si="162"/>
        <v>-180302.17743565355</v>
      </c>
      <c r="CB51" s="89">
        <f t="shared" si="163"/>
        <v>-144259.08048037629</v>
      </c>
      <c r="CC51" s="89">
        <f t="shared" si="164"/>
        <v>-109123.53657278325</v>
      </c>
      <c r="CD51" s="89">
        <f t="shared" si="165"/>
        <v>-75578.980959166467</v>
      </c>
      <c r="CE51" s="86">
        <f t="shared" si="170"/>
        <v>-46680.919347032956</v>
      </c>
      <c r="CF51" s="85">
        <f t="shared" si="171"/>
        <v>-19152.172341944828</v>
      </c>
      <c r="CG51" s="89">
        <f t="shared" si="171"/>
        <v>11480.938050108145</v>
      </c>
      <c r="CH51" s="90">
        <f t="shared" si="172"/>
        <v>45097.811358610204</v>
      </c>
    </row>
    <row r="52" spans="1:86" x14ac:dyDescent="0.3">
      <c r="A52" s="48" t="s">
        <v>6</v>
      </c>
      <c r="B52" s="85">
        <f>B45</f>
        <v>0</v>
      </c>
      <c r="C52" s="89">
        <f t="shared" si="166"/>
        <v>0</v>
      </c>
      <c r="D52" s="89">
        <f t="shared" si="166"/>
        <v>0</v>
      </c>
      <c r="E52" s="89">
        <f t="shared" si="166"/>
        <v>0</v>
      </c>
      <c r="F52" s="89">
        <f t="shared" si="166"/>
        <v>-1621.85</v>
      </c>
      <c r="G52" s="89">
        <f t="shared" si="166"/>
        <v>-16509.701487082417</v>
      </c>
      <c r="H52" s="89">
        <f t="shared" si="166"/>
        <v>-34144.638478128072</v>
      </c>
      <c r="I52" s="89">
        <f t="shared" si="166"/>
        <v>-50790.526457518958</v>
      </c>
      <c r="J52" s="89">
        <f t="shared" si="166"/>
        <v>-66496.828907146817</v>
      </c>
      <c r="K52" s="89">
        <f t="shared" si="166"/>
        <v>-79530.551985785307</v>
      </c>
      <c r="L52" s="89">
        <f t="shared" si="107"/>
        <v>-88796.749619868409</v>
      </c>
      <c r="M52" s="89">
        <f t="shared" si="107"/>
        <v>-87480.996495748521</v>
      </c>
      <c r="N52" s="89">
        <f t="shared" si="107"/>
        <v>-91546.231205114644</v>
      </c>
      <c r="O52" s="89">
        <f t="shared" si="167"/>
        <v>2081846.2590741315</v>
      </c>
      <c r="P52" s="89">
        <f t="shared" si="107"/>
        <v>1845847.454441125</v>
      </c>
      <c r="Q52" s="89">
        <f t="shared" si="107"/>
        <v>1576646.4194083158</v>
      </c>
      <c r="R52" s="89">
        <f t="shared" si="107"/>
        <v>1318804.643309233</v>
      </c>
      <c r="S52" s="89">
        <f t="shared" si="107"/>
        <v>1117806.8734182979</v>
      </c>
      <c r="T52" s="89">
        <f t="shared" si="107"/>
        <v>971608.66123462783</v>
      </c>
      <c r="U52" s="89">
        <f t="shared" ref="U52:W52" si="174">T52+U45+T59</f>
        <v>850193.92688495095</v>
      </c>
      <c r="V52" s="89">
        <f t="shared" si="174"/>
        <v>728012.0826458144</v>
      </c>
      <c r="W52" s="89">
        <f t="shared" si="174"/>
        <v>508624.89926063287</v>
      </c>
      <c r="X52" s="89">
        <f t="shared" si="109"/>
        <v>318234.6216098913</v>
      </c>
      <c r="Y52" s="89">
        <f t="shared" si="110"/>
        <v>130612.05513810283</v>
      </c>
      <c r="Z52" s="89">
        <f t="shared" si="111"/>
        <v>-69698.409906095971</v>
      </c>
      <c r="AA52" s="89">
        <f t="shared" si="112"/>
        <v>-256136.61650971207</v>
      </c>
      <c r="AB52" s="89">
        <f t="shared" si="113"/>
        <v>-426402.1501561997</v>
      </c>
      <c r="AC52" s="89">
        <f t="shared" si="114"/>
        <v>-572510.60830171988</v>
      </c>
      <c r="AD52" s="89">
        <f t="shared" si="115"/>
        <v>-715879.32992366771</v>
      </c>
      <c r="AE52" s="89">
        <f t="shared" si="116"/>
        <v>-643950.46998195408</v>
      </c>
      <c r="AF52" s="89">
        <f t="shared" si="117"/>
        <v>-463539.85884454614</v>
      </c>
      <c r="AG52" s="89">
        <f t="shared" si="118"/>
        <v>-334216.17303902586</v>
      </c>
      <c r="AH52" s="89">
        <f t="shared" si="119"/>
        <v>-267360.99974336807</v>
      </c>
      <c r="AI52" s="89">
        <f t="shared" si="120"/>
        <v>-385628.33971125179</v>
      </c>
      <c r="AJ52" s="89">
        <f t="shared" si="121"/>
        <v>-496695.71678515419</v>
      </c>
      <c r="AK52" s="89">
        <f t="shared" si="122"/>
        <v>-597319.01268990769</v>
      </c>
      <c r="AL52" s="89">
        <f t="shared" si="123"/>
        <v>-643720.6899994422</v>
      </c>
      <c r="AM52" s="89">
        <f t="shared" si="124"/>
        <v>-780085.7836242317</v>
      </c>
      <c r="AN52" s="89">
        <f t="shared" si="125"/>
        <v>-828583.52734102739</v>
      </c>
      <c r="AO52" s="89">
        <f t="shared" si="126"/>
        <v>-884846.67575227225</v>
      </c>
      <c r="AP52" s="89">
        <f t="shared" si="127"/>
        <v>-930635.60227449634</v>
      </c>
      <c r="AQ52" s="89">
        <f t="shared" si="128"/>
        <v>-534426.34913138498</v>
      </c>
      <c r="AR52" s="89">
        <f t="shared" si="129"/>
        <v>47386.194089306096</v>
      </c>
      <c r="AS52" s="89">
        <f t="shared" si="169"/>
        <v>507311.47374724632</v>
      </c>
      <c r="AT52" s="89">
        <f t="shared" si="130"/>
        <v>782444.66956574901</v>
      </c>
      <c r="AU52" s="89">
        <f t="shared" si="131"/>
        <v>723192.77054165432</v>
      </c>
      <c r="AV52" s="89">
        <f t="shared" si="132"/>
        <v>651526.63161094894</v>
      </c>
      <c r="AW52" s="89">
        <f t="shared" si="133"/>
        <v>571907.7494890067</v>
      </c>
      <c r="AX52" s="89">
        <f t="shared" si="134"/>
        <v>511730.76528782677</v>
      </c>
      <c r="AY52" s="89">
        <f t="shared" si="135"/>
        <v>473987.47264326504</v>
      </c>
      <c r="AZ52" s="89">
        <f t="shared" si="136"/>
        <v>627752.55611814419</v>
      </c>
      <c r="BA52" s="89">
        <f t="shared" si="137"/>
        <v>510121.56395389372</v>
      </c>
      <c r="BB52" s="89">
        <f t="shared" si="138"/>
        <v>398499.79211805959</v>
      </c>
      <c r="BC52" s="89">
        <f t="shared" si="139"/>
        <v>268416.9421755959</v>
      </c>
      <c r="BD52" s="89">
        <f t="shared" si="140"/>
        <v>131494.1776187979</v>
      </c>
      <c r="BE52" s="89">
        <f t="shared" si="141"/>
        <v>4762.54852012435</v>
      </c>
      <c r="BF52" s="89">
        <f t="shared" si="142"/>
        <v>-119475.29584370842</v>
      </c>
      <c r="BG52" s="89">
        <f t="shared" si="142"/>
        <v>-240364.88322925085</v>
      </c>
      <c r="BH52" s="89">
        <f t="shared" si="143"/>
        <v>-360946.39459338103</v>
      </c>
      <c r="BI52" s="89">
        <f t="shared" si="144"/>
        <v>-483954.29797850695</v>
      </c>
      <c r="BJ52" s="89">
        <f t="shared" si="145"/>
        <v>-601627.60289860715</v>
      </c>
      <c r="BK52" s="89">
        <f t="shared" si="146"/>
        <v>-665156.97823899309</v>
      </c>
      <c r="BL52" s="89">
        <f t="shared" si="147"/>
        <v>-632176.98636079684</v>
      </c>
      <c r="BM52" s="89">
        <f t="shared" si="148"/>
        <v>-598097.68693194247</v>
      </c>
      <c r="BN52" s="89">
        <f t="shared" si="149"/>
        <v>-558455.10507538449</v>
      </c>
      <c r="BO52" s="89">
        <f t="shared" si="150"/>
        <v>-498427.93356949475</v>
      </c>
      <c r="BP52" s="89">
        <f t="shared" si="151"/>
        <v>-418122.65790747921</v>
      </c>
      <c r="BQ52" s="89">
        <f t="shared" si="152"/>
        <v>-342874.88772678515</v>
      </c>
      <c r="BR52" s="89">
        <f t="shared" si="153"/>
        <v>-283048.53421465342</v>
      </c>
      <c r="BS52" s="89">
        <f t="shared" si="154"/>
        <v>-244925.71144967669</v>
      </c>
      <c r="BT52" s="89">
        <f t="shared" si="155"/>
        <v>-211876.06067745283</v>
      </c>
      <c r="BU52" s="89">
        <f t="shared" si="156"/>
        <v>-170196.96760610805</v>
      </c>
      <c r="BV52" s="89">
        <f t="shared" si="157"/>
        <v>-129020.52473900169</v>
      </c>
      <c r="BW52" s="89">
        <f t="shared" si="158"/>
        <v>-98120.532762704854</v>
      </c>
      <c r="BX52" s="89">
        <f t="shared" si="159"/>
        <v>-88796.413355697558</v>
      </c>
      <c r="BY52" s="89">
        <f t="shared" si="160"/>
        <v>-79417.479375781637</v>
      </c>
      <c r="BZ52" s="89">
        <f t="shared" si="161"/>
        <v>-70223.142035439945</v>
      </c>
      <c r="CA52" s="89">
        <f t="shared" si="162"/>
        <v>-59771.752590802724</v>
      </c>
      <c r="CB52" s="89">
        <f t="shared" si="163"/>
        <v>-48917.678918140591</v>
      </c>
      <c r="CC52" s="89">
        <f t="shared" si="164"/>
        <v>-38163.326331134667</v>
      </c>
      <c r="CD52" s="89">
        <f t="shared" si="165"/>
        <v>-27684.976913743103</v>
      </c>
      <c r="CE52" s="86">
        <f t="shared" si="170"/>
        <v>-18387.681803294981</v>
      </c>
      <c r="CF52" s="85">
        <f t="shared" si="171"/>
        <v>-9337.8298090491608</v>
      </c>
      <c r="CG52" s="89">
        <f t="shared" si="171"/>
        <v>114.64828383124765</v>
      </c>
      <c r="CH52" s="90">
        <f t="shared" si="172"/>
        <v>9959.0299918399651</v>
      </c>
    </row>
    <row r="53" spans="1:86" x14ac:dyDescent="0.3">
      <c r="A53" s="48" t="s">
        <v>7</v>
      </c>
      <c r="B53" s="85">
        <f>B46</f>
        <v>0</v>
      </c>
      <c r="C53" s="89">
        <f t="shared" si="166"/>
        <v>0</v>
      </c>
      <c r="D53" s="89">
        <f t="shared" si="166"/>
        <v>0</v>
      </c>
      <c r="E53" s="89">
        <f t="shared" si="166"/>
        <v>0</v>
      </c>
      <c r="F53" s="89">
        <f t="shared" si="166"/>
        <v>0</v>
      </c>
      <c r="G53" s="89">
        <f t="shared" si="166"/>
        <v>-4867.8</v>
      </c>
      <c r="H53" s="89">
        <f t="shared" si="166"/>
        <v>-14038.900675193001</v>
      </c>
      <c r="I53" s="89">
        <f t="shared" si="166"/>
        <v>-22311.827104478401</v>
      </c>
      <c r="J53" s="89">
        <f t="shared" si="166"/>
        <v>-30642.321583375648</v>
      </c>
      <c r="K53" s="89">
        <f t="shared" si="166"/>
        <v>-38040.172456928456</v>
      </c>
      <c r="L53" s="89">
        <f t="shared" si="107"/>
        <v>-44210.943071779584</v>
      </c>
      <c r="M53" s="89">
        <f t="shared" si="107"/>
        <v>-49016.477565156951</v>
      </c>
      <c r="N53" s="89">
        <f t="shared" si="107"/>
        <v>-51105.097440540201</v>
      </c>
      <c r="O53" s="89">
        <f t="shared" si="167"/>
        <v>1630868.1184676711</v>
      </c>
      <c r="P53" s="89">
        <f t="shared" si="107"/>
        <v>1473518.7229059506</v>
      </c>
      <c r="Q53" s="89">
        <f t="shared" si="107"/>
        <v>1299670.5476030943</v>
      </c>
      <c r="R53" s="89">
        <f t="shared" si="107"/>
        <v>1124802.5391406154</v>
      </c>
      <c r="S53" s="89">
        <f t="shared" si="107"/>
        <v>923293.98829076497</v>
      </c>
      <c r="T53" s="89">
        <f t="shared" si="107"/>
        <v>742604.6726966803</v>
      </c>
      <c r="U53" s="89">
        <f t="shared" ref="U53:W53" si="175">T53+U46+T60</f>
        <v>537425.71188938257</v>
      </c>
      <c r="V53" s="89">
        <f t="shared" si="175"/>
        <v>342002.14089947683</v>
      </c>
      <c r="W53" s="89">
        <f t="shared" si="175"/>
        <v>149144.45368420138</v>
      </c>
      <c r="X53" s="89">
        <f t="shared" si="109"/>
        <v>-34002.408346379329</v>
      </c>
      <c r="Y53" s="89">
        <f t="shared" si="110"/>
        <v>-198350.66029520385</v>
      </c>
      <c r="Z53" s="89">
        <f t="shared" si="111"/>
        <v>-361778.39029082848</v>
      </c>
      <c r="AA53" s="89">
        <f t="shared" si="112"/>
        <v>-442602.15554747637</v>
      </c>
      <c r="AB53" s="89">
        <f t="shared" si="113"/>
        <v>-434970.98506846535</v>
      </c>
      <c r="AC53" s="89">
        <f t="shared" si="114"/>
        <v>-425017.23219782615</v>
      </c>
      <c r="AD53" s="89">
        <f t="shared" si="115"/>
        <v>-408935.22639362671</v>
      </c>
      <c r="AE53" s="89">
        <f t="shared" si="116"/>
        <v>-353940.66652955109</v>
      </c>
      <c r="AF53" s="89">
        <f t="shared" si="117"/>
        <v>-265401.8714449812</v>
      </c>
      <c r="AG53" s="89">
        <f t="shared" si="118"/>
        <v>-200735.25397186464</v>
      </c>
      <c r="AH53" s="89">
        <f t="shared" si="119"/>
        <v>-150858.68750250302</v>
      </c>
      <c r="AI53" s="89">
        <f t="shared" si="120"/>
        <v>-132172.90081238639</v>
      </c>
      <c r="AJ53" s="89">
        <f t="shared" si="121"/>
        <v>-113870.38047532387</v>
      </c>
      <c r="AK53" s="89">
        <f t="shared" si="122"/>
        <v>-87629.710267128394</v>
      </c>
      <c r="AL53" s="89">
        <f t="shared" si="123"/>
        <v>-58083.902923063324</v>
      </c>
      <c r="AM53" s="89">
        <f t="shared" si="124"/>
        <v>-51373.414353198197</v>
      </c>
      <c r="AN53" s="89">
        <f t="shared" si="125"/>
        <v>-51863.328141744838</v>
      </c>
      <c r="AO53" s="89">
        <f t="shared" si="126"/>
        <v>-58102.384114295011</v>
      </c>
      <c r="AP53" s="89">
        <f t="shared" si="127"/>
        <v>-53205.542351602657</v>
      </c>
      <c r="AQ53" s="89">
        <f t="shared" si="128"/>
        <v>65980.568448454986</v>
      </c>
      <c r="AR53" s="89">
        <f t="shared" si="129"/>
        <v>256288.23542621083</v>
      </c>
      <c r="AS53" s="89">
        <f t="shared" si="169"/>
        <v>409797.0911500231</v>
      </c>
      <c r="AT53" s="89">
        <f t="shared" si="130"/>
        <v>479883.08084558829</v>
      </c>
      <c r="AU53" s="89">
        <f t="shared" si="131"/>
        <v>468836.68293672038</v>
      </c>
      <c r="AV53" s="89">
        <f t="shared" si="132"/>
        <v>458709.66126042174</v>
      </c>
      <c r="AW53" s="89">
        <f t="shared" si="133"/>
        <v>453720.16221881838</v>
      </c>
      <c r="AX53" s="89">
        <f t="shared" si="134"/>
        <v>449237.00674168614</v>
      </c>
      <c r="AY53" s="89">
        <f t="shared" si="135"/>
        <v>438279.42484480963</v>
      </c>
      <c r="AZ53" s="89">
        <f t="shared" si="136"/>
        <v>455654.98374555144</v>
      </c>
      <c r="BA53" s="89">
        <f t="shared" si="137"/>
        <v>412232.39304231253</v>
      </c>
      <c r="BB53" s="89">
        <f t="shared" si="138"/>
        <v>367581.21213985188</v>
      </c>
      <c r="BC53" s="89">
        <f t="shared" si="139"/>
        <v>356321.06980086636</v>
      </c>
      <c r="BD53" s="89">
        <f t="shared" si="140"/>
        <v>305954.59651342384</v>
      </c>
      <c r="BE53" s="89">
        <f t="shared" si="141"/>
        <v>254079.19497640201</v>
      </c>
      <c r="BF53" s="89">
        <f t="shared" si="142"/>
        <v>201435.06606288583</v>
      </c>
      <c r="BG53" s="89">
        <f t="shared" si="142"/>
        <v>155060.27066651586</v>
      </c>
      <c r="BH53" s="89">
        <f t="shared" si="143"/>
        <v>109600.58508169481</v>
      </c>
      <c r="BI53" s="89">
        <f t="shared" si="144"/>
        <v>63199.244730452003</v>
      </c>
      <c r="BJ53" s="89">
        <f t="shared" si="145"/>
        <v>20770.02731115865</v>
      </c>
      <c r="BK53" s="89">
        <f t="shared" si="146"/>
        <v>-17072.34553694255</v>
      </c>
      <c r="BL53" s="89">
        <f t="shared" si="147"/>
        <v>-16344.312276046501</v>
      </c>
      <c r="BM53" s="89">
        <f t="shared" si="148"/>
        <v>-17785.022513752669</v>
      </c>
      <c r="BN53" s="89">
        <f t="shared" si="149"/>
        <v>-19237.201595163908</v>
      </c>
      <c r="BO53" s="89">
        <f t="shared" si="150"/>
        <v>-20621.579051121746</v>
      </c>
      <c r="BP53" s="89">
        <f t="shared" si="151"/>
        <v>-22392.304982975977</v>
      </c>
      <c r="BQ53" s="89">
        <f t="shared" si="152"/>
        <v>-24187.64994767759</v>
      </c>
      <c r="BR53" s="89">
        <f t="shared" si="153"/>
        <v>-26124.940121490337</v>
      </c>
      <c r="BS53" s="89">
        <f t="shared" si="154"/>
        <v>-27829.972974858607</v>
      </c>
      <c r="BT53" s="89">
        <f t="shared" si="155"/>
        <v>-29064.544521593223</v>
      </c>
      <c r="BU53" s="89">
        <f t="shared" si="156"/>
        <v>-30917.79287161454</v>
      </c>
      <c r="BV53" s="89">
        <f t="shared" si="157"/>
        <v>-32678.30198929373</v>
      </c>
      <c r="BW53" s="89">
        <f t="shared" si="158"/>
        <v>-33738.87842118444</v>
      </c>
      <c r="BX53" s="89">
        <f t="shared" si="159"/>
        <v>-31654.947692082122</v>
      </c>
      <c r="BY53" s="89">
        <f t="shared" si="160"/>
        <v>-21734.240026930918</v>
      </c>
      <c r="BZ53" s="89">
        <f t="shared" si="161"/>
        <v>-19828.702683702471</v>
      </c>
      <c r="CA53" s="89">
        <f t="shared" si="162"/>
        <v>-17507.777528999624</v>
      </c>
      <c r="CB53" s="89">
        <f t="shared" si="163"/>
        <v>-14850.127042173379</v>
      </c>
      <c r="CC53" s="89">
        <f t="shared" si="164"/>
        <v>-12226.70574357324</v>
      </c>
      <c r="CD53" s="89">
        <f t="shared" si="165"/>
        <v>-9490.7894317969458</v>
      </c>
      <c r="CE53" s="86">
        <f t="shared" si="170"/>
        <v>-7140.2935527203344</v>
      </c>
      <c r="CF53" s="85">
        <f t="shared" si="171"/>
        <v>-4864.8636444202148</v>
      </c>
      <c r="CG53" s="89">
        <f t="shared" si="171"/>
        <v>-2631.6320849197787</v>
      </c>
      <c r="CH53" s="90">
        <f t="shared" si="172"/>
        <v>-272.64829963391571</v>
      </c>
    </row>
    <row r="54" spans="1:86" x14ac:dyDescent="0.3">
      <c r="B54" s="73"/>
      <c r="C54" s="74"/>
      <c r="D54" s="74"/>
      <c r="E54" s="74"/>
      <c r="F54" s="76"/>
      <c r="G54" s="76"/>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3"/>
      <c r="CG54" s="74"/>
      <c r="CH54" s="77"/>
    </row>
    <row r="55" spans="1:86" x14ac:dyDescent="0.3">
      <c r="A55" s="32" t="s">
        <v>65</v>
      </c>
      <c r="B55" s="98">
        <f>'PCR (M2) Final'!B67</f>
        <v>0</v>
      </c>
      <c r="C55" s="99">
        <f>'PCR (M2) Final'!C67</f>
        <v>0</v>
      </c>
      <c r="D55" s="99">
        <f>'PCR (M2) Final'!D67</f>
        <v>6.0997666666666656E-4</v>
      </c>
      <c r="E55" s="99">
        <f>'PCR (M2) Final'!E67</f>
        <v>6.2130750000000004E-4</v>
      </c>
      <c r="F55" s="99">
        <f>'PCR (M2) Final'!F67</f>
        <v>6.2982833333333329E-4</v>
      </c>
      <c r="G55" s="185">
        <f>'PCR (M2) Final'!G67</f>
        <v>5.2193500000000006E-4</v>
      </c>
      <c r="H55" s="99">
        <f>'PCR (M2) Final'!H67</f>
        <v>5.2420250000000004E-4</v>
      </c>
      <c r="I55" s="99">
        <f>'PCR (M2) Final'!I67</f>
        <v>6.3713833333333325E-4</v>
      </c>
      <c r="J55" s="99">
        <f>'PCR (M2) Final'!J67</f>
        <v>6.2954999999999999E-4</v>
      </c>
      <c r="K55" s="100">
        <f>'PCR (M2) Final'!K67</f>
        <v>6.3347499999999999E-4</v>
      </c>
      <c r="L55" s="100">
        <f>'PCR (M2) Final'!L67</f>
        <v>6.3678749999999994E-4</v>
      </c>
      <c r="M55" s="100">
        <f>'PCR (M2) Final'!M67</f>
        <v>8.0183666666666664E-4</v>
      </c>
      <c r="N55" s="100">
        <f>'PCR (M2) Final'!N67</f>
        <v>7.5000000000000012E-4</v>
      </c>
      <c r="O55" s="100">
        <f>'PCR (M2) Final'!O67</f>
        <v>7.5000000000000012E-4</v>
      </c>
      <c r="P55" s="100">
        <f>'PCR (M2) Final'!P67</f>
        <v>9.5833333333333328E-4</v>
      </c>
      <c r="Q55" s="100">
        <f>'PCR (M2) Final'!Q67</f>
        <v>9.5833333333333328E-4</v>
      </c>
      <c r="R55" s="100">
        <f>'PCR (M2) Final'!R67</f>
        <v>9.5833333333333328E-4</v>
      </c>
      <c r="S55" s="100">
        <f>'PCR (M2) Final'!S67</f>
        <v>1.175E-3</v>
      </c>
      <c r="T55" s="100">
        <f>'PCR (M2) Final'!T67</f>
        <v>1.1598750000000001E-3</v>
      </c>
      <c r="U55" s="100">
        <f>'PCR (M2) Final'!U67</f>
        <v>1.22248E-3</v>
      </c>
      <c r="V55" s="100">
        <f>'PCR (M2) Final'!V67</f>
        <v>1.2068966666666666E-3</v>
      </c>
      <c r="W55" s="100">
        <f>'PCR (M2) Final'!W67</f>
        <v>1.2090250000000001E-3</v>
      </c>
      <c r="X55" s="100">
        <f>'PCR (M2) Final'!X67</f>
        <v>1.2023907500000001E-3</v>
      </c>
      <c r="Y55" s="100">
        <f>'PCR (M2) Final'!Y67</f>
        <v>1.4779508333333333E-3</v>
      </c>
      <c r="Z55" s="100">
        <f>'PCR (M2) Final'!Z67</f>
        <v>1.4294883333333334E-3</v>
      </c>
      <c r="AA55" s="100">
        <f>'PCR (M2) Final'!AA67</f>
        <v>1.5229716666666667E-3</v>
      </c>
      <c r="AB55" s="100">
        <f>'PCR (M2) Final'!AB67</f>
        <v>1.7116216666666665E-3</v>
      </c>
      <c r="AC55" s="100">
        <f>'PCR (M2) Final'!AC67</f>
        <v>1.9259966666666664E-3</v>
      </c>
      <c r="AD55" s="100">
        <f>'PCR (M2) Final'!AD67</f>
        <v>1.8323291666666665E-3</v>
      </c>
      <c r="AE55" s="100">
        <f>'PCR (M2) Final'!AE67</f>
        <v>1.8996341666666667E-3</v>
      </c>
      <c r="AF55" s="100">
        <f>'PCR (M2) Final'!AF67</f>
        <v>1.9559741666666667E-3</v>
      </c>
      <c r="AG55" s="100">
        <f>'PCR (M2) Final'!AG67</f>
        <v>1.9378716666666664E-3</v>
      </c>
      <c r="AH55" s="100">
        <f>'PCR (M2) Final'!AH67</f>
        <v>1.9408016666666668E-3</v>
      </c>
      <c r="AI55" s="100">
        <f>'PCR (M2) Final'!AI67</f>
        <v>2.0478441666666666E-3</v>
      </c>
      <c r="AJ55" s="100">
        <f>'PCR (M2) Final'!AJ67</f>
        <v>2.1059300000000002E-3</v>
      </c>
      <c r="AK55" s="100">
        <f>'PCR (M2) Final'!AK67</f>
        <v>2.2954824999999999E-3</v>
      </c>
      <c r="AL55" s="100">
        <f>'PCR (M2) Final'!AL67</f>
        <v>2.3914125E-3</v>
      </c>
      <c r="AM55" s="100">
        <f>'PCR (M2) Final'!AM67</f>
        <v>2.3669924999999998E-3</v>
      </c>
      <c r="AN55" s="100">
        <f>'PCR (M2) Final'!AN67</f>
        <v>2.3231791666666669E-3</v>
      </c>
      <c r="AO55" s="100">
        <f>'PCR (M2) Final'!AO67</f>
        <v>2.2185616666666667E-3</v>
      </c>
      <c r="AP55" s="100">
        <f>'PCR (M2) Final'!AP67</f>
        <v>2.2311341666666666E-3</v>
      </c>
      <c r="AQ55" s="100">
        <f>'PCR (M2) Final'!AQ67</f>
        <v>2.2083808333333331E-3</v>
      </c>
      <c r="AR55" s="100">
        <f>'PCR (M2) Final'!AR67</f>
        <v>2.1623908333333335E-3</v>
      </c>
      <c r="AS55" s="100">
        <f>'PCR (M2) Final'!AS67</f>
        <v>1.959325E-3</v>
      </c>
      <c r="AT55" s="100">
        <f>'PCR (M2) Final'!AT67</f>
        <v>1.8473916666666666E-3</v>
      </c>
      <c r="AU55" s="100">
        <f>'PCR (M2) Final'!AU67</f>
        <v>1.7616100000000003E-3</v>
      </c>
      <c r="AV55" s="100">
        <f>'PCR (M2) Final'!AV67</f>
        <v>1.5133241666666667E-3</v>
      </c>
      <c r="AW55" s="100">
        <f>'PCR (M2) Final'!AW67</f>
        <v>1.5959991666666667E-3</v>
      </c>
      <c r="AX55" s="100">
        <f>'PCR (M2) Final'!AX67</f>
        <v>1.5742316666666667E-3</v>
      </c>
      <c r="AY55" s="100">
        <f>'PCR (M2) Final'!AY67</f>
        <v>1.5029858333333332E-3</v>
      </c>
      <c r="AZ55" s="100">
        <f>'PCR (M2) Final'!AZ67</f>
        <v>1.5738266666666667E-3</v>
      </c>
      <c r="BA55" s="100">
        <f>'PCR (M2) Final'!BA67</f>
        <v>7.8204999999999995E-4</v>
      </c>
      <c r="BB55" s="100">
        <f>'PCR (M2) Final'!BB67</f>
        <v>1.0755583333333334E-4</v>
      </c>
      <c r="BC55" s="100">
        <f>'PCR (M2) Final'!BC67</f>
        <v>1.046925E-4</v>
      </c>
      <c r="BD55" s="100">
        <f>'PCR (M2) Final'!BD67</f>
        <v>1.6138583333333333E-4</v>
      </c>
      <c r="BE55" s="100">
        <f>'PCR (M2) Final'!BE67</f>
        <v>1.1382083333333333E-4</v>
      </c>
      <c r="BF55" s="100">
        <f>'PCR (M2) Final'!BF67</f>
        <v>1.0326333333333334E-4</v>
      </c>
      <c r="BG55" s="268">
        <f>'PCR (M2) Final'!BG67</f>
        <v>1.6666666666666666E-4</v>
      </c>
      <c r="BH55" s="100">
        <f>'PCR (M2) Final'!BH67</f>
        <v>2.1037000000000001E-4</v>
      </c>
      <c r="BI55" s="100">
        <f>'PCR (M2) Final'!BI67</f>
        <v>2.3724916666666669E-4</v>
      </c>
      <c r="BJ55" s="100">
        <f>'PCR (M2) Final'!BJ67</f>
        <v>1.7178250000000002E-4</v>
      </c>
      <c r="BK55" s="100">
        <f>'PCR (M2) Final'!BK67</f>
        <v>1.9351416666666668E-4</v>
      </c>
      <c r="BL55" s="100">
        <f>'PCR (M2) Final'!BL67</f>
        <v>1.7806166666666664E-4</v>
      </c>
      <c r="BM55" s="100">
        <f>'PCR (M2) Final'!BM67</f>
        <v>1.8760249999999999E-4</v>
      </c>
      <c r="BN55" s="100">
        <f>'PCR (M2) Final'!BN67</f>
        <v>1.8689333333333334E-4</v>
      </c>
      <c r="BO55" s="100">
        <f>'PCR (M2) Final'!BO67</f>
        <v>1.6804916666666666E-4</v>
      </c>
      <c r="BP55" s="100">
        <f>'PCR (M2) Final'!BP67</f>
        <v>1.1629083333333334E-4</v>
      </c>
      <c r="BQ55" s="100">
        <f>'PCR (M2) Final'!BQ67</f>
        <v>1.7091583333333333E-4</v>
      </c>
      <c r="BR55" s="100">
        <f>'PCR (M2) Final'!BR67</f>
        <v>1.6102749999999998E-4</v>
      </c>
      <c r="BS55" s="268">
        <f>'PCR (M2) Final'!BS67</f>
        <v>1.25E-4</v>
      </c>
      <c r="BT55" s="268">
        <f>'PCR (M2) Final'!BT67</f>
        <v>1.2767416666666667E-4</v>
      </c>
      <c r="BU55" s="268">
        <f>'PCR (M2) Final'!BU67</f>
        <v>2.1705333333333333E-4</v>
      </c>
      <c r="BV55" s="268">
        <f>'PCR (M2) Final'!BV67</f>
        <v>1.9537499999999999E-4</v>
      </c>
      <c r="BW55" s="268">
        <f>'[2]MEEIA 2 calcs'!BX9/12</f>
        <v>2.4654083333333334E-4</v>
      </c>
      <c r="BX55" s="268">
        <f>'[2]MEEIA 2 calcs'!BY9/12</f>
        <v>5.7357999999999997E-4</v>
      </c>
      <c r="BY55" s="268">
        <f>'[2]MEEIA 2 calcs'!BZ9/12</f>
        <v>5.0034666666666668E-4</v>
      </c>
      <c r="BZ55" s="268">
        <f>'[2]MEEIA 2 calcs'!CA9/12</f>
        <v>7.9142083333333336E-4</v>
      </c>
      <c r="CA55" s="268">
        <f>'[2]MEEIA 2 calcs'!CB9/12</f>
        <v>1.2382216666666666E-3</v>
      </c>
      <c r="CB55" s="268">
        <f>'[2]MEEIA 2 calcs'!CC9/12</f>
        <v>1.7139083333333333E-3</v>
      </c>
      <c r="CC55" s="268">
        <f>'[2]MEEIA 2 calcs'!CD9/12</f>
        <v>2.1367116666666667E-3</v>
      </c>
      <c r="CD55" s="268">
        <f>'[2]MEEIA 2 calcs'!CE9/12</f>
        <v>2.3680800000000003E-3</v>
      </c>
      <c r="CE55" s="353">
        <f>'[2]MEEIA 2 calcs'!CF9/12</f>
        <v>2.8917666666666668E-3</v>
      </c>
      <c r="CF55" s="269">
        <f>CE55</f>
        <v>2.8917666666666668E-3</v>
      </c>
      <c r="CG55" s="270">
        <f>CF55</f>
        <v>2.8917666666666668E-3</v>
      </c>
      <c r="CH55" s="271">
        <f>CF55</f>
        <v>2.8917666666666668E-3</v>
      </c>
    </row>
    <row r="56" spans="1:86" x14ac:dyDescent="0.3">
      <c r="A56" s="48" t="s">
        <v>0</v>
      </c>
      <c r="B56" s="85">
        <f t="shared" ref="B56:K56" si="176">B49*B$55</f>
        <v>0</v>
      </c>
      <c r="C56" s="89">
        <f t="shared" si="176"/>
        <v>0</v>
      </c>
      <c r="D56" s="89">
        <f t="shared" si="176"/>
        <v>0</v>
      </c>
      <c r="E56" s="89">
        <f t="shared" si="176"/>
        <v>0.82558097985000001</v>
      </c>
      <c r="F56" s="89">
        <f t="shared" si="176"/>
        <v>-1.006858953457429</v>
      </c>
      <c r="G56" s="89">
        <f t="shared" si="176"/>
        <v>-38.043425269019167</v>
      </c>
      <c r="H56" s="89">
        <f t="shared" si="176"/>
        <v>-39.195488324576544</v>
      </c>
      <c r="I56" s="89">
        <f t="shared" si="176"/>
        <v>25.316101791241419</v>
      </c>
      <c r="J56" s="89">
        <f t="shared" si="176"/>
        <v>300.5285503690431</v>
      </c>
      <c r="K56" s="89">
        <f t="shared" si="176"/>
        <v>273.3839358823131</v>
      </c>
      <c r="L56" s="89">
        <f t="shared" ref="L56:T56" si="177">L49*L$55</f>
        <v>305.7134356677476</v>
      </c>
      <c r="M56" s="89">
        <f t="shared" si="177"/>
        <v>459.60027924263358</v>
      </c>
      <c r="N56" s="89">
        <f t="shared" si="177"/>
        <v>372.82678834061386</v>
      </c>
      <c r="O56" s="89">
        <f t="shared" si="177"/>
        <v>5294.3096680423769</v>
      </c>
      <c r="P56" s="89">
        <f t="shared" si="177"/>
        <v>6007.5629348121574</v>
      </c>
      <c r="Q56" s="89">
        <f t="shared" si="177"/>
        <v>5263.9353249465921</v>
      </c>
      <c r="R56" s="89">
        <f t="shared" si="177"/>
        <v>4564.9799617829531</v>
      </c>
      <c r="S56" s="89">
        <f>S49*S$55</f>
        <v>5166.8658092439464</v>
      </c>
      <c r="T56" s="89">
        <f t="shared" si="177"/>
        <v>4660.818024727906</v>
      </c>
      <c r="U56" s="89">
        <f t="shared" ref="U56:W56" si="178">U49*U$55</f>
        <v>4581.7731613706037</v>
      </c>
      <c r="V56" s="89">
        <f t="shared" si="178"/>
        <v>4016.0377962852131</v>
      </c>
      <c r="W56" s="89">
        <f t="shared" si="178"/>
        <v>2945.887356077727</v>
      </c>
      <c r="X56" s="89">
        <f t="shared" ref="X56:AH56" si="179">X49*X$55</f>
        <v>2149.1937842311008</v>
      </c>
      <c r="Y56" s="89">
        <f t="shared" si="179"/>
        <v>1519.921142182096</v>
      </c>
      <c r="Z56" s="89">
        <f t="shared" si="179"/>
        <v>-562.54533898485886</v>
      </c>
      <c r="AA56" s="89">
        <f t="shared" si="179"/>
        <v>-1929.6439620232647</v>
      </c>
      <c r="AB56" s="89">
        <f t="shared" si="179"/>
        <v>-3280.2532681201351</v>
      </c>
      <c r="AC56" s="89">
        <f t="shared" si="179"/>
        <v>-5260.7817964672613</v>
      </c>
      <c r="AD56" s="89">
        <f t="shared" si="179"/>
        <v>-5726.7174867070617</v>
      </c>
      <c r="AE56" s="89">
        <f t="shared" si="179"/>
        <v>-4573.2366199521412</v>
      </c>
      <c r="AF56" s="89">
        <f t="shared" si="179"/>
        <v>-2313.7704200420098</v>
      </c>
      <c r="AG56" s="89">
        <f t="shared" si="179"/>
        <v>200.03674355103203</v>
      </c>
      <c r="AH56" s="89">
        <f t="shared" si="179"/>
        <v>726.81213946988782</v>
      </c>
      <c r="AI56" s="89">
        <f t="shared" ref="AI56" si="180">AI49*AI$55</f>
        <v>-182.45621678826942</v>
      </c>
      <c r="AJ56" s="89">
        <f t="shared" ref="AJ56:AU56" si="181">AJ49*AJ$55</f>
        <v>-1107.7539954048091</v>
      </c>
      <c r="AK56" s="89">
        <f t="shared" si="181"/>
        <v>-2627.630485449703</v>
      </c>
      <c r="AL56" s="89">
        <f t="shared" si="181"/>
        <v>-4554.4224975562147</v>
      </c>
      <c r="AM56" s="89">
        <f t="shared" si="181"/>
        <v>-6654.488749736126</v>
      </c>
      <c r="AN56" s="89">
        <f t="shared" si="181"/>
        <v>-8045.1869204119284</v>
      </c>
      <c r="AO56" s="89">
        <f t="shared" si="181"/>
        <v>-8524.2944370853565</v>
      </c>
      <c r="AP56" s="89">
        <f t="shared" si="181"/>
        <v>-9565.9835956857951</v>
      </c>
      <c r="AQ56" s="89">
        <f t="shared" si="181"/>
        <v>-5842.5759782372461</v>
      </c>
      <c r="AR56" s="89">
        <f>AR49*AR$55-9652.32</f>
        <v>-11646.624147464005</v>
      </c>
      <c r="AS56" s="89">
        <f>AS49*AS$55</f>
        <v>1866.427707341868</v>
      </c>
      <c r="AT56" s="89">
        <f t="shared" si="181"/>
        <v>2779.7668664885869</v>
      </c>
      <c r="AU56" s="89">
        <f t="shared" si="181"/>
        <v>1564.7534540636036</v>
      </c>
      <c r="AV56" s="89">
        <f t="shared" ref="AV56:BF56" si="182">AV49*AV$55</f>
        <v>732.06571000245174</v>
      </c>
      <c r="AW56" s="89">
        <f t="shared" si="182"/>
        <v>-163.3889683751309</v>
      </c>
      <c r="AX56" s="89">
        <f t="shared" si="182"/>
        <v>-1296.2716695253155</v>
      </c>
      <c r="AY56" s="89">
        <f t="shared" si="182"/>
        <v>-4176.8365341809149</v>
      </c>
      <c r="AZ56" s="89">
        <f t="shared" si="182"/>
        <v>-3787.8516689091507</v>
      </c>
      <c r="BA56" s="89">
        <f t="shared" si="182"/>
        <v>-1959.0108590597492</v>
      </c>
      <c r="BB56" s="89">
        <f t="shared" si="182"/>
        <v>-278.81755406293934</v>
      </c>
      <c r="BC56" s="89">
        <f t="shared" si="182"/>
        <v>-283.05419616618053</v>
      </c>
      <c r="BD56" s="89">
        <f t="shared" si="182"/>
        <v>-460.41242984295747</v>
      </c>
      <c r="BE56" s="89">
        <f t="shared" si="182"/>
        <v>-340.6592146186498</v>
      </c>
      <c r="BF56" s="89">
        <f t="shared" si="182"/>
        <v>-322.1051763238695</v>
      </c>
      <c r="BG56" s="89">
        <f t="shared" ref="BG56:BR56" si="183">BG49*BG$55</f>
        <v>-534.16931095459483</v>
      </c>
      <c r="BH56" s="89">
        <f t="shared" si="183"/>
        <v>-693.54969942762784</v>
      </c>
      <c r="BI56" s="89">
        <f t="shared" si="183"/>
        <v>-811.00295825422404</v>
      </c>
      <c r="BJ56" s="89">
        <f t="shared" si="183"/>
        <v>-614.34615538151581</v>
      </c>
      <c r="BK56" s="89">
        <f t="shared" si="183"/>
        <v>-669.89179256184821</v>
      </c>
      <c r="BL56" s="89">
        <f t="shared" si="183"/>
        <v>-557.60778186252185</v>
      </c>
      <c r="BM56" s="89">
        <f t="shared" si="183"/>
        <v>-545.59221929487012</v>
      </c>
      <c r="BN56" s="89">
        <f t="shared" si="183"/>
        <v>-504.35112417535504</v>
      </c>
      <c r="BO56" s="89">
        <f t="shared" si="183"/>
        <v>-407.42573177215803</v>
      </c>
      <c r="BP56" s="89">
        <f t="shared" si="183"/>
        <v>-239.82913245765548</v>
      </c>
      <c r="BQ56" s="89">
        <f t="shared" si="183"/>
        <v>-289.32098785879413</v>
      </c>
      <c r="BR56" s="89">
        <f t="shared" si="183"/>
        <v>-214.11384733951868</v>
      </c>
      <c r="BS56" s="89">
        <f t="shared" ref="BS56:CE56" si="184">BS49*BS$55</f>
        <v>-134.72098278766993</v>
      </c>
      <c r="BT56" s="89">
        <f t="shared" si="184"/>
        <v>-107.3268206176018</v>
      </c>
      <c r="BU56" s="89">
        <f t="shared" si="184"/>
        <v>-117.9246371191105</v>
      </c>
      <c r="BV56" s="89">
        <f t="shared" si="184"/>
        <v>-31.140497530449359</v>
      </c>
      <c r="BW56" s="89">
        <f t="shared" si="184"/>
        <v>21.949339127625496</v>
      </c>
      <c r="BX56" s="89">
        <f t="shared" si="184"/>
        <v>59.189837636165791</v>
      </c>
      <c r="BY56" s="89">
        <f t="shared" si="184"/>
        <v>55.719243725890657</v>
      </c>
      <c r="BZ56" s="89">
        <f t="shared" si="184"/>
        <v>94.567138367440577</v>
      </c>
      <c r="CA56" s="89">
        <f t="shared" si="184"/>
        <v>161.10238306239182</v>
      </c>
      <c r="CB56" s="89">
        <f t="shared" si="184"/>
        <v>248.06751545099547</v>
      </c>
      <c r="CC56" s="89">
        <f t="shared" si="184"/>
        <v>338.96903011831358</v>
      </c>
      <c r="CD56" s="89">
        <f t="shared" si="184"/>
        <v>403.58005415772664</v>
      </c>
      <c r="CE56" s="86">
        <f t="shared" si="184"/>
        <v>517.59696622151637</v>
      </c>
      <c r="CF56" s="85">
        <f>CF49*CF$55</f>
        <v>542.42975097775195</v>
      </c>
      <c r="CG56" s="89">
        <f t="shared" ref="CF56:CH60" si="185">CG49*CG$55</f>
        <v>577.43523563351175</v>
      </c>
      <c r="CH56" s="90">
        <f t="shared" si="185"/>
        <v>620.38386827971328</v>
      </c>
    </row>
    <row r="57" spans="1:86" x14ac:dyDescent="0.3">
      <c r="A57" s="48" t="s">
        <v>4</v>
      </c>
      <c r="B57" s="85">
        <f t="shared" ref="B57:K57" si="186">B50*B$55</f>
        <v>0</v>
      </c>
      <c r="C57" s="89">
        <f t="shared" si="186"/>
        <v>0</v>
      </c>
      <c r="D57" s="89">
        <f t="shared" si="186"/>
        <v>0</v>
      </c>
      <c r="E57" s="89">
        <f t="shared" si="186"/>
        <v>0</v>
      </c>
      <c r="F57" s="89">
        <f t="shared" si="186"/>
        <v>-0.5393094052666666</v>
      </c>
      <c r="G57" s="89">
        <f t="shared" si="186"/>
        <v>-4.7538619098044395</v>
      </c>
      <c r="H57" s="89">
        <f t="shared" si="186"/>
        <v>-5.511996191936289</v>
      </c>
      <c r="I57" s="89">
        <f t="shared" si="186"/>
        <v>-6.7446125522088947</v>
      </c>
      <c r="J57" s="89">
        <f t="shared" si="186"/>
        <v>-1.3627169208187435</v>
      </c>
      <c r="K57" s="89">
        <f t="shared" si="186"/>
        <v>5.9873766460293663</v>
      </c>
      <c r="L57" s="89">
        <f t="shared" ref="L57:T57" si="187">L50*L$55</f>
        <v>16.877208558741742</v>
      </c>
      <c r="M57" s="89">
        <f t="shared" si="187"/>
        <v>41.172346218331839</v>
      </c>
      <c r="N57" s="89">
        <f t="shared" si="187"/>
        <v>53.721863922444577</v>
      </c>
      <c r="O57" s="89">
        <f t="shared" si="187"/>
        <v>478.6917266173362</v>
      </c>
      <c r="P57" s="89">
        <f t="shared" si="187"/>
        <v>539.61005177954576</v>
      </c>
      <c r="Q57" s="89">
        <f t="shared" si="187"/>
        <v>452.14780805032035</v>
      </c>
      <c r="R57" s="89">
        <f t="shared" si="187"/>
        <v>387.29156793009196</v>
      </c>
      <c r="S57" s="89">
        <f t="shared" si="187"/>
        <v>418.21538294541756</v>
      </c>
      <c r="T57" s="89">
        <f t="shared" si="187"/>
        <v>387.83625468744924</v>
      </c>
      <c r="U57" s="89">
        <f t="shared" ref="U57:W57" si="188">U50*U$55</f>
        <v>374.14001442243256</v>
      </c>
      <c r="V57" s="89">
        <f t="shared" si="188"/>
        <v>377.3975551628393</v>
      </c>
      <c r="W57" s="89">
        <f t="shared" si="188"/>
        <v>353.09434441434991</v>
      </c>
      <c r="X57" s="89">
        <f t="shared" ref="X57:AH57" si="189">X50*X$55</f>
        <v>310.05310824697534</v>
      </c>
      <c r="Y57" s="89">
        <f t="shared" si="189"/>
        <v>370.24857575853861</v>
      </c>
      <c r="Z57" s="89">
        <f t="shared" si="189"/>
        <v>297.75030832991757</v>
      </c>
      <c r="AA57" s="89">
        <f t="shared" si="189"/>
        <v>3.940604116933061</v>
      </c>
      <c r="AB57" s="89">
        <f t="shared" si="189"/>
        <v>-224.4491508944987</v>
      </c>
      <c r="AC57" s="89">
        <f t="shared" si="189"/>
        <v>-454.30122601345812</v>
      </c>
      <c r="AD57" s="89">
        <f t="shared" si="189"/>
        <v>-440.76126928335816</v>
      </c>
      <c r="AE57" s="89">
        <f t="shared" si="189"/>
        <v>-342.63524389184295</v>
      </c>
      <c r="AF57" s="89">
        <f t="shared" si="189"/>
        <v>-60.758391136045901</v>
      </c>
      <c r="AG57" s="89">
        <f t="shared" si="189"/>
        <v>157.9705812044337</v>
      </c>
      <c r="AH57" s="89">
        <f t="shared" si="189"/>
        <v>463.70864427474027</v>
      </c>
      <c r="AI57" s="89">
        <f t="shared" ref="AI57" si="190">AI50*AI$55</f>
        <v>593.43282034147683</v>
      </c>
      <c r="AJ57" s="89">
        <f t="shared" ref="AJ57:AU57" si="191">AJ50*AJ$55</f>
        <v>712.14832300401213</v>
      </c>
      <c r="AK57" s="89">
        <f t="shared" si="191"/>
        <v>839.4310126137724</v>
      </c>
      <c r="AL57" s="89">
        <f t="shared" si="191"/>
        <v>889.264280894732</v>
      </c>
      <c r="AM57" s="89">
        <f t="shared" si="191"/>
        <v>-30.11638578366437</v>
      </c>
      <c r="AN57" s="89">
        <f t="shared" si="191"/>
        <v>-573.55722027794388</v>
      </c>
      <c r="AO57" s="89">
        <f t="shared" si="191"/>
        <v>-785.16935495477105</v>
      </c>
      <c r="AP57" s="89">
        <f t="shared" si="191"/>
        <v>-971.63899041376499</v>
      </c>
      <c r="AQ57" s="89">
        <f t="shared" si="191"/>
        <v>-699.42527822188003</v>
      </c>
      <c r="AR57" s="89">
        <f>AR50*AR$55</f>
        <v>-187.74387935839329</v>
      </c>
      <c r="AS57" s="89">
        <f t="shared" si="191"/>
        <v>-90.918535694376786</v>
      </c>
      <c r="AT57" s="89">
        <f t="shared" si="191"/>
        <v>89.249612065414908</v>
      </c>
      <c r="AU57" s="89">
        <f t="shared" si="191"/>
        <v>-59.17520025206727</v>
      </c>
      <c r="AV57" s="89">
        <f t="shared" ref="AV57:BF57" si="192">AV50*AV$55</f>
        <v>-195.00103200829025</v>
      </c>
      <c r="AW57" s="89">
        <f t="shared" si="192"/>
        <v>-611.47834151799975</v>
      </c>
      <c r="AX57" s="89">
        <f t="shared" si="192"/>
        <v>-959.06451402161724</v>
      </c>
      <c r="AY57" s="89">
        <f t="shared" si="192"/>
        <v>-1016.6300702169732</v>
      </c>
      <c r="AZ57" s="89">
        <f t="shared" si="192"/>
        <v>-592.06877869133132</v>
      </c>
      <c r="BA57" s="89">
        <f t="shared" si="192"/>
        <v>-345.35131894652801</v>
      </c>
      <c r="BB57" s="89">
        <f t="shared" si="192"/>
        <v>-53.91201691667694</v>
      </c>
      <c r="BC57" s="89">
        <f t="shared" si="192"/>
        <v>-60.212389913122443</v>
      </c>
      <c r="BD57" s="89">
        <f t="shared" si="192"/>
        <v>-107.67895564150275</v>
      </c>
      <c r="BE57" s="89">
        <f t="shared" si="192"/>
        <v>-86.265132991024629</v>
      </c>
      <c r="BF57" s="89">
        <f t="shared" si="192"/>
        <v>-87.157889426213174</v>
      </c>
      <c r="BG57" s="89">
        <f t="shared" ref="BG57:BR57" si="193">BG50*BG$55</f>
        <v>-152.33081372862966</v>
      </c>
      <c r="BH57" s="89">
        <f t="shared" si="193"/>
        <v>-206.97069889011965</v>
      </c>
      <c r="BI57" s="89">
        <f t="shared" si="193"/>
        <v>-252.53014341055513</v>
      </c>
      <c r="BJ57" s="89">
        <f t="shared" si="193"/>
        <v>-199.34035552925431</v>
      </c>
      <c r="BK57" s="89">
        <f t="shared" si="193"/>
        <v>-224.17816168190615</v>
      </c>
      <c r="BL57" s="89">
        <f t="shared" si="193"/>
        <v>-187.98475756790953</v>
      </c>
      <c r="BM57" s="89">
        <f t="shared" si="193"/>
        <v>-182.6543358291743</v>
      </c>
      <c r="BN57" s="89">
        <f t="shared" si="193"/>
        <v>-166.77069905631359</v>
      </c>
      <c r="BO57" s="89">
        <f t="shared" si="193"/>
        <v>-133.60232653001194</v>
      </c>
      <c r="BP57" s="89">
        <f t="shared" si="193"/>
        <v>-79.090359630329971</v>
      </c>
      <c r="BQ57" s="89">
        <f t="shared" si="193"/>
        <v>-96.450452649470819</v>
      </c>
      <c r="BR57" s="89">
        <f t="shared" si="193"/>
        <v>-72.137126589971174</v>
      </c>
      <c r="BS57" s="89">
        <f t="shared" ref="BS57:CE57" si="194">BS50*BS$55</f>
        <v>-43.936506971122235</v>
      </c>
      <c r="BT57" s="89">
        <f t="shared" si="194"/>
        <v>-33.914015560071242</v>
      </c>
      <c r="BU57" s="89">
        <f t="shared" si="194"/>
        <v>-36.465924729008222</v>
      </c>
      <c r="BV57" s="89">
        <f t="shared" si="194"/>
        <v>-10.393196065381487</v>
      </c>
      <c r="BW57" s="89">
        <f t="shared" si="194"/>
        <v>4.3204710030106357</v>
      </c>
      <c r="BX57" s="89">
        <f t="shared" si="194"/>
        <v>12.224040241587433</v>
      </c>
      <c r="BY57" s="89">
        <f t="shared" si="194"/>
        <v>12.382381755882168</v>
      </c>
      <c r="BZ57" s="89">
        <f t="shared" si="194"/>
        <v>22.095719937183617</v>
      </c>
      <c r="CA57" s="89">
        <f t="shared" si="194"/>
        <v>39.032046311613065</v>
      </c>
      <c r="CB57" s="89">
        <f t="shared" si="194"/>
        <v>61.15446213616007</v>
      </c>
      <c r="CC57" s="89">
        <f t="shared" si="194"/>
        <v>85.606324381457895</v>
      </c>
      <c r="CD57" s="89">
        <f t="shared" si="194"/>
        <v>104.3850856931619</v>
      </c>
      <c r="CE57" s="86">
        <f t="shared" si="194"/>
        <v>137.24732340645761</v>
      </c>
      <c r="CF57" s="85">
        <f t="shared" si="185"/>
        <v>146.18179278122147</v>
      </c>
      <c r="CG57" s="89">
        <f t="shared" si="185"/>
        <v>156.92287692830442</v>
      </c>
      <c r="CH57" s="90">
        <f t="shared" si="185"/>
        <v>169.5439615055476</v>
      </c>
    </row>
    <row r="58" spans="1:86" x14ac:dyDescent="0.3">
      <c r="A58" s="48" t="s">
        <v>5</v>
      </c>
      <c r="B58" s="85">
        <f t="shared" ref="B58:K58" si="195">B51*B$55</f>
        <v>0</v>
      </c>
      <c r="C58" s="89">
        <f t="shared" si="195"/>
        <v>0</v>
      </c>
      <c r="D58" s="89">
        <f t="shared" si="195"/>
        <v>0</v>
      </c>
      <c r="E58" s="89">
        <f t="shared" si="195"/>
        <v>0</v>
      </c>
      <c r="F58" s="89">
        <f t="shared" si="195"/>
        <v>-1.5495162622333332</v>
      </c>
      <c r="G58" s="89">
        <f t="shared" si="195"/>
        <v>-18.904391499220331</v>
      </c>
      <c r="H58" s="89">
        <f t="shared" si="195"/>
        <v>-30.340087896858325</v>
      </c>
      <c r="I58" s="89">
        <f t="shared" si="195"/>
        <v>-44.74846603936723</v>
      </c>
      <c r="J58" s="89">
        <f t="shared" si="195"/>
        <v>-37.502724285834617</v>
      </c>
      <c r="K58" s="89">
        <f t="shared" si="195"/>
        <v>-32.872232121634134</v>
      </c>
      <c r="L58" s="89">
        <f t="shared" ref="L58:T58" si="196">L51*L$55</f>
        <v>-20.868676741792427</v>
      </c>
      <c r="M58" s="89">
        <f t="shared" si="196"/>
        <v>3.9257107357343406</v>
      </c>
      <c r="N58" s="89">
        <f t="shared" si="196"/>
        <v>29.666742508001686</v>
      </c>
      <c r="O58" s="89">
        <f t="shared" si="196"/>
        <v>527.53036564446984</v>
      </c>
      <c r="P58" s="89">
        <f t="shared" si="196"/>
        <v>486.75687732384824</v>
      </c>
      <c r="Q58" s="89">
        <f t="shared" si="196"/>
        <v>264.03814497764006</v>
      </c>
      <c r="R58" s="89">
        <f t="shared" si="196"/>
        <v>68.799280933335524</v>
      </c>
      <c r="S58" s="89">
        <f t="shared" si="196"/>
        <v>-59.978298156463779</v>
      </c>
      <c r="T58" s="89">
        <f t="shared" si="196"/>
        <v>-112.16073122727818</v>
      </c>
      <c r="U58" s="89">
        <f t="shared" ref="U58:W58" si="197">U51*U$55</f>
        <v>-189.58896605125369</v>
      </c>
      <c r="V58" s="89">
        <f t="shared" si="197"/>
        <v>-194.85375293252108</v>
      </c>
      <c r="W58" s="89">
        <f t="shared" si="197"/>
        <v>-335.66335928189898</v>
      </c>
      <c r="X58" s="89">
        <f t="shared" ref="X58:AH58" si="198">X51*X$55</f>
        <v>-417.54406703716836</v>
      </c>
      <c r="Y58" s="89">
        <f t="shared" si="198"/>
        <v>-594.6512568027739</v>
      </c>
      <c r="Z58" s="89">
        <f t="shared" si="198"/>
        <v>-676.64973703415956</v>
      </c>
      <c r="AA58" s="89">
        <f t="shared" si="198"/>
        <v>-1145.6212686956546</v>
      </c>
      <c r="AB58" s="89">
        <f t="shared" si="198"/>
        <v>-1622.4923729946941</v>
      </c>
      <c r="AC58" s="89">
        <f t="shared" si="198"/>
        <v>-2177.7528607896384</v>
      </c>
      <c r="AD58" s="89">
        <f t="shared" si="198"/>
        <v>-2196.0555919998678</v>
      </c>
      <c r="AE58" s="89">
        <f t="shared" si="198"/>
        <v>-1780.9075947996073</v>
      </c>
      <c r="AF58" s="89">
        <f t="shared" si="198"/>
        <v>-789.21294171449779</v>
      </c>
      <c r="AG58" s="89">
        <f t="shared" si="198"/>
        <v>-1.4722743079549172</v>
      </c>
      <c r="AH58" s="89">
        <f t="shared" si="198"/>
        <v>766.65112883633026</v>
      </c>
      <c r="AI58" s="89">
        <f t="shared" ref="AI58" si="199">AI51*AI$55</f>
        <v>781.11198391191783</v>
      </c>
      <c r="AJ58" s="89">
        <f t="shared" ref="AJ58:AU58" si="200">AJ51*AJ$55</f>
        <v>808.58692359075155</v>
      </c>
      <c r="AK58" s="89">
        <f t="shared" si="200"/>
        <v>982.30640253520482</v>
      </c>
      <c r="AL58" s="89">
        <f t="shared" si="200"/>
        <v>1190.7923160540515</v>
      </c>
      <c r="AM58" s="89">
        <f t="shared" si="200"/>
        <v>-40.979355027261306</v>
      </c>
      <c r="AN58" s="89">
        <f t="shared" si="200"/>
        <v>-656.86439028278244</v>
      </c>
      <c r="AO58" s="89">
        <f t="shared" si="200"/>
        <v>-1042.8841988232471</v>
      </c>
      <c r="AP58" s="89">
        <f t="shared" si="200"/>
        <v>-1608.2258328045682</v>
      </c>
      <c r="AQ58" s="89">
        <f t="shared" si="200"/>
        <v>-247.95785640291939</v>
      </c>
      <c r="AR58" s="89">
        <f t="shared" si="200"/>
        <v>1843.3420714239908</v>
      </c>
      <c r="AS58" s="89">
        <f t="shared" si="200"/>
        <v>2864.0343603433348</v>
      </c>
      <c r="AT58" s="89">
        <f t="shared" si="200"/>
        <v>3515.5401259447099</v>
      </c>
      <c r="AU58" s="89">
        <f t="shared" si="200"/>
        <v>2887.6094834153323</v>
      </c>
      <c r="AV58" s="89">
        <f t="shared" ref="AV58:BF58" si="201">AV51*AV$55</f>
        <v>2094.2448646987991</v>
      </c>
      <c r="AW58" s="89">
        <f t="shared" si="201"/>
        <v>1772.33134096054</v>
      </c>
      <c r="AX58" s="89">
        <f t="shared" si="201"/>
        <v>1314.5376436277659</v>
      </c>
      <c r="AY58" s="89">
        <f t="shared" si="201"/>
        <v>1104.8156903813724</v>
      </c>
      <c r="AZ58" s="89">
        <f t="shared" si="201"/>
        <v>1786.9649626095161</v>
      </c>
      <c r="BA58" s="89">
        <f t="shared" si="201"/>
        <v>681.40246754794396</v>
      </c>
      <c r="BB58" s="89">
        <f t="shared" si="201"/>
        <v>67.209762480980345</v>
      </c>
      <c r="BC58" s="89">
        <f t="shared" si="201"/>
        <v>35.660484326798787</v>
      </c>
      <c r="BD58" s="89">
        <f t="shared" si="201"/>
        <v>2.7892363645826834</v>
      </c>
      <c r="BE58" s="89">
        <f t="shared" si="201"/>
        <v>-34.914072883233104</v>
      </c>
      <c r="BF58" s="89">
        <f t="shared" si="201"/>
        <v>-65.590520524800311</v>
      </c>
      <c r="BG58" s="89">
        <f t="shared" ref="BG58:BR58" si="202">BG51*BG$55</f>
        <v>-153.59439166507701</v>
      </c>
      <c r="BH58" s="89">
        <f t="shared" si="202"/>
        <v>-252.51224997185025</v>
      </c>
      <c r="BI58" s="89">
        <f t="shared" si="202"/>
        <v>-355.6368241104035</v>
      </c>
      <c r="BJ58" s="89">
        <f t="shared" si="202"/>
        <v>-312.54503254345144</v>
      </c>
      <c r="BK58" s="89">
        <f t="shared" si="202"/>
        <v>-375.41308283375753</v>
      </c>
      <c r="BL58" s="89">
        <f t="shared" si="202"/>
        <v>-322.96312773636151</v>
      </c>
      <c r="BM58" s="89">
        <f t="shared" si="202"/>
        <v>-319.05947393117935</v>
      </c>
      <c r="BN58" s="89">
        <f t="shared" si="202"/>
        <v>-295.89637195749543</v>
      </c>
      <c r="BO58" s="89">
        <f t="shared" si="202"/>
        <v>-240.72065219728665</v>
      </c>
      <c r="BP58" s="89">
        <f t="shared" si="202"/>
        <v>-145.72869002725676</v>
      </c>
      <c r="BQ58" s="89">
        <f t="shared" si="202"/>
        <v>-184.43220602992156</v>
      </c>
      <c r="BR58" s="89">
        <f t="shared" si="202"/>
        <v>-147.580911371784</v>
      </c>
      <c r="BS58" s="89">
        <f t="shared" ref="BS58:CE58" si="203">BS51*BS$55</f>
        <v>-98.004810233828536</v>
      </c>
      <c r="BT58" s="89">
        <f t="shared" si="203"/>
        <v>-84.981251554318533</v>
      </c>
      <c r="BU58" s="89">
        <f t="shared" si="203"/>
        <v>-116.12213593512961</v>
      </c>
      <c r="BV58" s="89">
        <f t="shared" si="203"/>
        <v>-77.48217494397008</v>
      </c>
      <c r="BW58" s="89">
        <f t="shared" si="203"/>
        <v>-73.306735894524223</v>
      </c>
      <c r="BX58" s="89">
        <f t="shared" si="203"/>
        <v>-153.49030959272847</v>
      </c>
      <c r="BY58" s="89">
        <f t="shared" si="203"/>
        <v>-120.12933772798822</v>
      </c>
      <c r="BZ58" s="89">
        <f t="shared" si="203"/>
        <v>-167.6599375090255</v>
      </c>
      <c r="CA58" s="89">
        <f t="shared" si="203"/>
        <v>-223.25406264800398</v>
      </c>
      <c r="CB58" s="89">
        <f t="shared" si="203"/>
        <v>-247.24684019432092</v>
      </c>
      <c r="CC58" s="89">
        <f t="shared" si="203"/>
        <v>-233.16553370299266</v>
      </c>
      <c r="CD58" s="89">
        <f t="shared" si="203"/>
        <v>-178.97707322978295</v>
      </c>
      <c r="CE58" s="86">
        <f t="shared" si="203"/>
        <v>-134.99032653710501</v>
      </c>
      <c r="CF58" s="85">
        <f t="shared" si="185"/>
        <v>-55.383613572691324</v>
      </c>
      <c r="CG58" s="89">
        <f t="shared" si="185"/>
        <v>33.20019395536773</v>
      </c>
      <c r="CH58" s="90">
        <f t="shared" si="185"/>
        <v>130.41234762645038</v>
      </c>
    </row>
    <row r="59" spans="1:86" x14ac:dyDescent="0.3">
      <c r="A59" s="48" t="s">
        <v>6</v>
      </c>
      <c r="B59" s="85">
        <f t="shared" ref="B59:K59" si="204">B52*B$55</f>
        <v>0</v>
      </c>
      <c r="C59" s="89">
        <f t="shared" si="204"/>
        <v>0</v>
      </c>
      <c r="D59" s="89">
        <f t="shared" si="204"/>
        <v>0</v>
      </c>
      <c r="E59" s="89">
        <f t="shared" si="204"/>
        <v>0</v>
      </c>
      <c r="F59" s="89">
        <f t="shared" si="204"/>
        <v>-1.0214870824166666</v>
      </c>
      <c r="G59" s="89">
        <f t="shared" si="204"/>
        <v>-8.6169910456603631</v>
      </c>
      <c r="H59" s="89">
        <f t="shared" si="204"/>
        <v>-17.898704851830932</v>
      </c>
      <c r="I59" s="89">
        <f t="shared" si="204"/>
        <v>-32.360591376266193</v>
      </c>
      <c r="J59" s="89">
        <f>J52*J$55</f>
        <v>-41.863078638494279</v>
      </c>
      <c r="K59" s="89">
        <f t="shared" si="204"/>
        <v>-50.380616419195348</v>
      </c>
      <c r="L59" s="89">
        <f t="shared" ref="L59:T59" si="205">L52*L$55</f>
        <v>-56.544660198561949</v>
      </c>
      <c r="M59" s="89">
        <f t="shared" si="205"/>
        <v>-70.145470626829336</v>
      </c>
      <c r="N59" s="89">
        <f t="shared" si="205"/>
        <v>-68.659673403835995</v>
      </c>
      <c r="O59" s="89">
        <f t="shared" si="205"/>
        <v>1561.3846943055989</v>
      </c>
      <c r="P59" s="89">
        <f t="shared" si="205"/>
        <v>1768.9371438394114</v>
      </c>
      <c r="Q59" s="89">
        <f t="shared" si="205"/>
        <v>1510.952818599636</v>
      </c>
      <c r="R59" s="89">
        <f t="shared" si="205"/>
        <v>1263.8544498380149</v>
      </c>
      <c r="S59" s="89">
        <f t="shared" si="205"/>
        <v>1313.4230762664999</v>
      </c>
      <c r="T59" s="89">
        <f t="shared" si="205"/>
        <v>1126.944595949514</v>
      </c>
      <c r="U59" s="89">
        <f t="shared" ref="U59:W59" si="206">U52*U$55</f>
        <v>1039.3450717383148</v>
      </c>
      <c r="V59" s="89">
        <f t="shared" si="206"/>
        <v>878.63535583829116</v>
      </c>
      <c r="W59" s="89">
        <f t="shared" si="206"/>
        <v>614.94021882858669</v>
      </c>
      <c r="X59" s="89">
        <f t="shared" ref="X59:AH59" si="207">X52*X$55</f>
        <v>382.6423653534834</v>
      </c>
      <c r="Y59" s="89">
        <f t="shared" si="207"/>
        <v>193.03819573473837</v>
      </c>
      <c r="Z59" s="89">
        <f t="shared" si="207"/>
        <v>-99.633063812648629</v>
      </c>
      <c r="AA59" s="89">
        <f t="shared" si="207"/>
        <v>-390.08880974015705</v>
      </c>
      <c r="AB59" s="89">
        <f t="shared" si="207"/>
        <v>-729.83915892060475</v>
      </c>
      <c r="AC59" s="89">
        <f t="shared" si="207"/>
        <v>-1102.653523220418</v>
      </c>
      <c r="AD59" s="89">
        <f t="shared" si="207"/>
        <v>-1311.7265760329258</v>
      </c>
      <c r="AE59" s="89">
        <f t="shared" si="207"/>
        <v>-1223.2703144187776</v>
      </c>
      <c r="AF59" s="89">
        <f t="shared" si="207"/>
        <v>-906.67198912024537</v>
      </c>
      <c r="AG59" s="89">
        <f t="shared" si="207"/>
        <v>-647.66805227409202</v>
      </c>
      <c r="AH59" s="89">
        <f t="shared" si="207"/>
        <v>-518.89467390359505</v>
      </c>
      <c r="AI59" s="89">
        <f t="shared" ref="AI59" si="208">AI52*AI$55</f>
        <v>-789.7067459790386</v>
      </c>
      <c r="AJ59" s="89">
        <f t="shared" ref="AJ59:AU59" si="209">AJ52*AJ$55</f>
        <v>-1046.0064108493598</v>
      </c>
      <c r="AK59" s="89">
        <f t="shared" si="209"/>
        <v>-1371.1353405469611</v>
      </c>
      <c r="AL59" s="89">
        <f t="shared" si="209"/>
        <v>-1539.401704573291</v>
      </c>
      <c r="AM59" s="89">
        <f t="shared" si="209"/>
        <v>-1846.4571991951791</v>
      </c>
      <c r="AN59" s="89">
        <f t="shared" si="209"/>
        <v>-1924.9479885618555</v>
      </c>
      <c r="AO59" s="89">
        <f t="shared" si="209"/>
        <v>-1963.0869157014208</v>
      </c>
      <c r="AP59" s="89">
        <f t="shared" si="209"/>
        <v>-2076.3728889510398</v>
      </c>
      <c r="AQ59" s="89">
        <f t="shared" si="209"/>
        <v>-1180.2169062500589</v>
      </c>
      <c r="AR59" s="89">
        <f t="shared" si="209"/>
        <v>102.46747172526969</v>
      </c>
      <c r="AS59" s="89">
        <f t="shared" si="209"/>
        <v>993.98805329982338</v>
      </c>
      <c r="AT59" s="89">
        <f t="shared" si="209"/>
        <v>1445.4817621835184</v>
      </c>
      <c r="AU59" s="89">
        <f t="shared" si="209"/>
        <v>1273.9836165138838</v>
      </c>
      <c r="AV59" s="89">
        <f t="shared" ref="AV59:BF59" si="210">AV52*AV$55</f>
        <v>985.97099684377963</v>
      </c>
      <c r="AW59" s="89">
        <f t="shared" si="210"/>
        <v>912.7642915946634</v>
      </c>
      <c r="AX59" s="89">
        <f t="shared" si="210"/>
        <v>805.5827755236644</v>
      </c>
      <c r="AY59" s="89">
        <f t="shared" si="210"/>
        <v>712.39645656029813</v>
      </c>
      <c r="AZ59" s="89">
        <f t="shared" si="210"/>
        <v>987.97371288689851</v>
      </c>
      <c r="BA59" s="89">
        <f t="shared" si="210"/>
        <v>398.94056909014256</v>
      </c>
      <c r="BB59" s="89">
        <f t="shared" si="210"/>
        <v>42.860977224418001</v>
      </c>
      <c r="BC59" s="89">
        <f t="shared" si="210"/>
        <v>28.101240718718575</v>
      </c>
      <c r="BD59" s="89">
        <f t="shared" si="210"/>
        <v>21.221297433491046</v>
      </c>
      <c r="BE59" s="89">
        <f t="shared" si="210"/>
        <v>0.542077241350987</v>
      </c>
      <c r="BF59" s="89">
        <f t="shared" si="210"/>
        <v>-12.337417299807477</v>
      </c>
      <c r="BG59" s="89">
        <f t="shared" ref="BG59:BR59" si="211">BG52*BG$55</f>
        <v>-40.060813871541804</v>
      </c>
      <c r="BH59" s="89">
        <f t="shared" si="211"/>
        <v>-75.932293030609571</v>
      </c>
      <c r="BI59" s="89">
        <f t="shared" si="211"/>
        <v>-114.81775390015247</v>
      </c>
      <c r="BJ59" s="89">
        <f t="shared" si="211"/>
        <v>-103.34909369492999</v>
      </c>
      <c r="BK59" s="89">
        <f t="shared" si="211"/>
        <v>-128.71729834643688</v>
      </c>
      <c r="BL59" s="89">
        <f t="shared" si="211"/>
        <v>-112.56648781971407</v>
      </c>
      <c r="BM59" s="89">
        <f t="shared" si="211"/>
        <v>-112.20462131264973</v>
      </c>
      <c r="BN59" s="89">
        <f t="shared" si="211"/>
        <v>-104.37153610455553</v>
      </c>
      <c r="BO59" s="89">
        <f t="shared" si="211"/>
        <v>-83.760398879742283</v>
      </c>
      <c r="BP59" s="89">
        <f t="shared" si="211"/>
        <v>-48.623832323609015</v>
      </c>
      <c r="BQ59" s="89">
        <f t="shared" si="211"/>
        <v>-58.602747164896584</v>
      </c>
      <c r="BR59" s="89">
        <f t="shared" si="211"/>
        <v>-45.578597843250101</v>
      </c>
      <c r="BS59" s="89">
        <f t="shared" ref="BS59:CE59" si="212">BS52*BS$55</f>
        <v>-30.615713931209587</v>
      </c>
      <c r="BT59" s="89">
        <f t="shared" si="212"/>
        <v>-27.051099483609892</v>
      </c>
      <c r="BU59" s="89">
        <f t="shared" si="212"/>
        <v>-36.941819142131109</v>
      </c>
      <c r="BV59" s="89">
        <f t="shared" si="212"/>
        <v>-25.207385020882455</v>
      </c>
      <c r="BW59" s="89">
        <f t="shared" si="212"/>
        <v>-24.190717914427889</v>
      </c>
      <c r="BX59" s="89">
        <f t="shared" si="212"/>
        <v>-50.931846772561002</v>
      </c>
      <c r="BY59" s="89">
        <f t="shared" si="212"/>
        <v>-39.736271080741091</v>
      </c>
      <c r="BZ59" s="89">
        <f t="shared" si="212"/>
        <v>-55.576057588972915</v>
      </c>
      <c r="CA59" s="89">
        <f t="shared" si="212"/>
        <v>-74.010679112571395</v>
      </c>
      <c r="CB59" s="89">
        <f t="shared" si="212"/>
        <v>-83.840417545125476</v>
      </c>
      <c r="CC59" s="89">
        <f t="shared" si="212"/>
        <v>-81.544024610542635</v>
      </c>
      <c r="CD59" s="89">
        <f t="shared" si="212"/>
        <v>-65.560240129896769</v>
      </c>
      <c r="CE59" s="86">
        <f t="shared" si="212"/>
        <v>-53.172885316041651</v>
      </c>
      <c r="CF59" s="85">
        <f t="shared" si="185"/>
        <v>-27.002824980814729</v>
      </c>
      <c r="CG59" s="89">
        <f t="shared" si="185"/>
        <v>0.33153608557374092</v>
      </c>
      <c r="CH59" s="90">
        <f t="shared" si="185"/>
        <v>28.799190962736418</v>
      </c>
    </row>
    <row r="60" spans="1:86" ht="15" thickBot="1" x14ac:dyDescent="0.35">
      <c r="A60" s="48" t="s">
        <v>7</v>
      </c>
      <c r="B60" s="85">
        <f t="shared" ref="B60:K60" si="213">B53*B$55</f>
        <v>0</v>
      </c>
      <c r="C60" s="89">
        <f t="shared" si="213"/>
        <v>0</v>
      </c>
      <c r="D60" s="89">
        <f t="shared" si="213"/>
        <v>0</v>
      </c>
      <c r="E60" s="89">
        <f t="shared" si="213"/>
        <v>0</v>
      </c>
      <c r="F60" s="89">
        <f t="shared" si="213"/>
        <v>0</v>
      </c>
      <c r="G60" s="89">
        <f t="shared" si="213"/>
        <v>-2.5406751930000002</v>
      </c>
      <c r="H60" s="89">
        <f t="shared" si="213"/>
        <v>-7.3592268311878595</v>
      </c>
      <c r="I60" s="89">
        <f t="shared" si="213"/>
        <v>-14.215720334968859</v>
      </c>
      <c r="J60" s="89">
        <f t="shared" si="213"/>
        <v>-19.290873552814137</v>
      </c>
      <c r="K60" s="89">
        <f t="shared" si="213"/>
        <v>-24.097498247152753</v>
      </c>
      <c r="L60" s="89">
        <f t="shared" ref="L60:T60" si="214">L53*L$55</f>
        <v>-28.152975911320841</v>
      </c>
      <c r="M60" s="89">
        <f t="shared" si="214"/>
        <v>-39.303208982586895</v>
      </c>
      <c r="N60" s="89">
        <f t="shared" si="214"/>
        <v>-38.328823080405158</v>
      </c>
      <c r="O60" s="89">
        <f t="shared" si="214"/>
        <v>1223.1510888507535</v>
      </c>
      <c r="P60" s="89">
        <f t="shared" si="214"/>
        <v>1412.1221094515358</v>
      </c>
      <c r="Q60" s="89">
        <f t="shared" si="214"/>
        <v>1245.5176081196319</v>
      </c>
      <c r="R60" s="89">
        <f t="shared" si="214"/>
        <v>1077.9357666764231</v>
      </c>
      <c r="S60" s="89">
        <f t="shared" si="214"/>
        <v>1084.8704362416488</v>
      </c>
      <c r="T60" s="89">
        <f t="shared" si="214"/>
        <v>861.32859474406212</v>
      </c>
      <c r="U60" s="89">
        <f t="shared" ref="U60:W60" si="215">U53*U$55</f>
        <v>656.99218427053233</v>
      </c>
      <c r="V60" s="89">
        <f t="shared" si="215"/>
        <v>412.76124384444222</v>
      </c>
      <c r="W60" s="89">
        <f t="shared" si="215"/>
        <v>180.31937311554159</v>
      </c>
      <c r="X60" s="89">
        <f t="shared" ref="X60:AH60" si="216">X53*X$55</f>
        <v>-40.884181273409304</v>
      </c>
      <c r="Y60" s="89">
        <f t="shared" si="216"/>
        <v>-293.15252367551346</v>
      </c>
      <c r="Z60" s="89">
        <f t="shared" si="216"/>
        <v>-517.15798817285258</v>
      </c>
      <c r="AA60" s="89">
        <f t="shared" si="216"/>
        <v>-674.07054250439933</v>
      </c>
      <c r="AB60" s="89">
        <f t="shared" si="216"/>
        <v>-744.50576241452836</v>
      </c>
      <c r="AC60" s="89">
        <f t="shared" si="216"/>
        <v>-818.5817724889057</v>
      </c>
      <c r="AD60" s="89">
        <f t="shared" si="216"/>
        <v>-749.30394259847867</v>
      </c>
      <c r="AE60" s="89">
        <f t="shared" si="216"/>
        <v>-672.35778311230831</v>
      </c>
      <c r="AF60" s="89">
        <f t="shared" si="216"/>
        <v>-519.11920433137084</v>
      </c>
      <c r="AG60" s="89">
        <f t="shared" si="216"/>
        <v>-388.99916117321391</v>
      </c>
      <c r="AH60" s="89">
        <f t="shared" si="216"/>
        <v>-292.78679213600373</v>
      </c>
      <c r="AI60" s="89">
        <f t="shared" ref="AI60" si="217">AI53*AI$55</f>
        <v>-270.66950392005737</v>
      </c>
      <c r="AJ60" s="89">
        <f t="shared" ref="AJ60:AU60" si="218">AJ53*AJ$55</f>
        <v>-239.80305035439881</v>
      </c>
      <c r="AK60" s="89">
        <f t="shared" si="218"/>
        <v>-201.15246639826356</v>
      </c>
      <c r="AL60" s="89">
        <f t="shared" si="218"/>
        <v>-138.90257149900017</v>
      </c>
      <c r="AM60" s="89">
        <f t="shared" si="218"/>
        <v>-121.60048647341247</v>
      </c>
      <c r="AN60" s="89">
        <f t="shared" si="218"/>
        <v>-120.48780345289866</v>
      </c>
      <c r="AO60" s="89">
        <f t="shared" si="218"/>
        <v>-128.90372213791721</v>
      </c>
      <c r="AP60" s="89">
        <f t="shared" si="218"/>
        <v>-118.70870339669104</v>
      </c>
      <c r="AQ60" s="89">
        <f t="shared" si="218"/>
        <v>145.71022273400604</v>
      </c>
      <c r="AR60" s="89">
        <f t="shared" si="218"/>
        <v>554.19533097681358</v>
      </c>
      <c r="AS60" s="89">
        <f t="shared" si="218"/>
        <v>802.92568561751898</v>
      </c>
      <c r="AT60" s="89">
        <f t="shared" si="218"/>
        <v>886.53200452846613</v>
      </c>
      <c r="AU60" s="89">
        <f t="shared" si="218"/>
        <v>825.9073890281561</v>
      </c>
      <c r="AV60" s="89">
        <f t="shared" ref="AV60:BF60" si="219">AV53*AV$55</f>
        <v>694.17641586887669</v>
      </c>
      <c r="AW60" s="89">
        <f t="shared" si="219"/>
        <v>724.13700080109891</v>
      </c>
      <c r="AX60" s="89">
        <f t="shared" si="219"/>
        <v>707.20312185130911</v>
      </c>
      <c r="AY60" s="89">
        <f t="shared" si="219"/>
        <v>658.72776658323016</v>
      </c>
      <c r="AZ60" s="89">
        <f t="shared" si="219"/>
        <v>717.12196421831538</v>
      </c>
      <c r="BA60" s="89">
        <f t="shared" si="219"/>
        <v>322.38634297874052</v>
      </c>
      <c r="BB60" s="89">
        <f t="shared" si="219"/>
        <v>39.535503589378557</v>
      </c>
      <c r="BC60" s="89">
        <f t="shared" si="219"/>
        <v>37.304143600127205</v>
      </c>
      <c r="BD60" s="89">
        <f t="shared" si="219"/>
        <v>49.376737520482664</v>
      </c>
      <c r="BE60" s="89">
        <f t="shared" si="219"/>
        <v>28.919505704876556</v>
      </c>
      <c r="BF60" s="89">
        <f t="shared" si="219"/>
        <v>20.800856371873802</v>
      </c>
      <c r="BG60" s="89">
        <f t="shared" ref="BG60:BR60" si="220">BG53*BG$55</f>
        <v>25.843378444419308</v>
      </c>
      <c r="BH60" s="89">
        <f t="shared" si="220"/>
        <v>23.056675083636136</v>
      </c>
      <c r="BI60" s="89">
        <f t="shared" si="220"/>
        <v>14.993968146262464</v>
      </c>
      <c r="BJ60" s="89">
        <f t="shared" si="220"/>
        <v>3.5679272165791112</v>
      </c>
      <c r="BK60" s="89">
        <f t="shared" si="220"/>
        <v>-3.3037407196268238</v>
      </c>
      <c r="BL60" s="89">
        <f t="shared" si="220"/>
        <v>-2.9102954843932998</v>
      </c>
      <c r="BM60" s="89">
        <f t="shared" si="220"/>
        <v>-3.3365146861362849</v>
      </c>
      <c r="BN60" s="89">
        <f t="shared" si="220"/>
        <v>-3.5953047301255001</v>
      </c>
      <c r="BO60" s="89">
        <f t="shared" si="220"/>
        <v>-3.4654391748918001</v>
      </c>
      <c r="BP60" s="89">
        <f t="shared" si="220"/>
        <v>-2.6040198067244291</v>
      </c>
      <c r="BQ60" s="89">
        <f t="shared" si="220"/>
        <v>-4.1340523471822719</v>
      </c>
      <c r="BR60" s="89">
        <f t="shared" si="220"/>
        <v>-4.2068337954132851</v>
      </c>
      <c r="BS60" s="89">
        <f t="shared" ref="BS60:CE60" si="221">BS53*BS$55</f>
        <v>-3.4787466218573257</v>
      </c>
      <c r="BT60" s="89">
        <f t="shared" si="221"/>
        <v>-3.7107915013406467</v>
      </c>
      <c r="BU60" s="89">
        <f t="shared" si="221"/>
        <v>-6.710810002093508</v>
      </c>
      <c r="BV60" s="89">
        <f t="shared" si="221"/>
        <v>-6.3845232511582619</v>
      </c>
      <c r="BW60" s="89">
        <f t="shared" si="221"/>
        <v>-8.3180112016908296</v>
      </c>
      <c r="BX60" s="89">
        <f t="shared" si="221"/>
        <v>-18.156644897224464</v>
      </c>
      <c r="BY60" s="89">
        <f t="shared" si="221"/>
        <v>-10.874654550008129</v>
      </c>
      <c r="BZ60" s="89">
        <f t="shared" si="221"/>
        <v>-15.692848401854713</v>
      </c>
      <c r="CA60" s="89">
        <f t="shared" si="221"/>
        <v>-21.67850947158713</v>
      </c>
      <c r="CB60" s="89">
        <f t="shared" si="221"/>
        <v>-25.451756488639639</v>
      </c>
      <c r="CC60" s="89">
        <f t="shared" si="221"/>
        <v>-26.124944807193284</v>
      </c>
      <c r="CD60" s="89">
        <f t="shared" si="221"/>
        <v>-22.474948637649714</v>
      </c>
      <c r="CE60" s="86">
        <f t="shared" si="221"/>
        <v>-20.648062885971573</v>
      </c>
      <c r="CF60" s="85">
        <f t="shared" si="185"/>
        <v>-14.068050524812897</v>
      </c>
      <c r="CG60" s="89">
        <f t="shared" si="185"/>
        <v>-7.6100659421015191</v>
      </c>
      <c r="CH60" s="90">
        <f t="shared" si="185"/>
        <v>-0.78843526460470303</v>
      </c>
    </row>
    <row r="61" spans="1:86" ht="15.6" thickTop="1" thickBot="1" x14ac:dyDescent="0.35">
      <c r="A61" s="101" t="s">
        <v>71</v>
      </c>
      <c r="B61" s="102">
        <f>SUM(B56:B60)+SUM(B49:B53)-B64</f>
        <v>0</v>
      </c>
      <c r="C61" s="103">
        <f>SUM(C56:C60)+SUM(C49:C53)-C64</f>
        <v>0</v>
      </c>
      <c r="D61" s="103">
        <f t="shared" ref="D61:J61" si="222">SUM(D56:D60)+SUM(D49:D53)-D64</f>
        <v>0</v>
      </c>
      <c r="E61" s="103">
        <f t="shared" si="222"/>
        <v>0</v>
      </c>
      <c r="F61" s="103">
        <f>SUM(F56:F60)+SUM(F49:F53)-F64</f>
        <v>0</v>
      </c>
      <c r="G61" s="106">
        <f>SUM(G56:G60)+SUM(G49:G53)-G64</f>
        <v>0</v>
      </c>
      <c r="H61" s="103">
        <f t="shared" si="222"/>
        <v>0</v>
      </c>
      <c r="I61" s="103">
        <f t="shared" si="222"/>
        <v>0</v>
      </c>
      <c r="J61" s="103">
        <f t="shared" si="222"/>
        <v>0</v>
      </c>
      <c r="K61" s="103">
        <f>SUM(K56:K60)+SUM(K49:K53)-K64</f>
        <v>0</v>
      </c>
      <c r="L61" s="103">
        <f t="shared" ref="L61:T61" si="223">SUM(L56:L60)+SUM(L49:L53)-L64</f>
        <v>0</v>
      </c>
      <c r="M61" s="103">
        <f t="shared" si="223"/>
        <v>0</v>
      </c>
      <c r="N61" s="103">
        <f t="shared" si="223"/>
        <v>0</v>
      </c>
      <c r="O61" s="106">
        <f>SUM(O56:O60)+SUM(O49:O53)-O64</f>
        <v>0</v>
      </c>
      <c r="P61" s="106">
        <f t="shared" si="223"/>
        <v>0</v>
      </c>
      <c r="Q61" s="106">
        <f t="shared" si="223"/>
        <v>0</v>
      </c>
      <c r="R61" s="106">
        <f t="shared" si="223"/>
        <v>0</v>
      </c>
      <c r="S61" s="106">
        <f>SUM(S56:S60)+SUM(S49:S53)-S64</f>
        <v>0</v>
      </c>
      <c r="T61" s="106">
        <f t="shared" si="223"/>
        <v>0</v>
      </c>
      <c r="U61" s="106">
        <f t="shared" ref="U61" si="224">SUM(U56:U60)+SUM(U49:U53)-U64</f>
        <v>0</v>
      </c>
      <c r="V61" s="106">
        <f t="shared" ref="V61" si="225">SUM(V56:V60)+SUM(V49:V53)-V64</f>
        <v>0</v>
      </c>
      <c r="W61" s="106">
        <f t="shared" ref="W61:AH61" si="226">SUM(W56:W60)+SUM(W49:W53)-W64</f>
        <v>0</v>
      </c>
      <c r="X61" s="106">
        <f t="shared" si="226"/>
        <v>0</v>
      </c>
      <c r="Y61" s="106">
        <f t="shared" si="226"/>
        <v>0</v>
      </c>
      <c r="Z61" s="106">
        <f t="shared" si="226"/>
        <v>0</v>
      </c>
      <c r="AA61" s="106">
        <f t="shared" si="226"/>
        <v>0</v>
      </c>
      <c r="AB61" s="106">
        <f t="shared" si="226"/>
        <v>0</v>
      </c>
      <c r="AC61" s="106">
        <f t="shared" si="226"/>
        <v>0</v>
      </c>
      <c r="AD61" s="106">
        <f t="shared" si="226"/>
        <v>0</v>
      </c>
      <c r="AE61" s="106">
        <f t="shared" si="226"/>
        <v>0</v>
      </c>
      <c r="AF61" s="106">
        <f t="shared" si="226"/>
        <v>0</v>
      </c>
      <c r="AG61" s="106">
        <f t="shared" si="226"/>
        <v>-8.7311491370201111E-10</v>
      </c>
      <c r="AH61" s="106">
        <f t="shared" si="226"/>
        <v>-1.5133991837501526E-9</v>
      </c>
      <c r="AI61" s="106">
        <f t="shared" ref="AI61" si="227">SUM(AI56:AI60)+SUM(AI49:AI53)-AI64</f>
        <v>-1.178705133497715E-9</v>
      </c>
      <c r="AJ61" s="106">
        <f t="shared" ref="AJ61:CH61" si="228">SUM(AJ56:AJ60)+SUM(AJ49:AJ53)-AJ64</f>
        <v>-1.2223608791828156E-9</v>
      </c>
      <c r="AK61" s="106">
        <f t="shared" si="228"/>
        <v>-1.5133991837501526E-9</v>
      </c>
      <c r="AL61" s="106">
        <f t="shared" si="228"/>
        <v>0</v>
      </c>
      <c r="AM61" s="106">
        <f t="shared" si="228"/>
        <v>0</v>
      </c>
      <c r="AN61" s="106">
        <f t="shared" si="228"/>
        <v>0</v>
      </c>
      <c r="AO61" s="106">
        <f t="shared" si="228"/>
        <v>0</v>
      </c>
      <c r="AP61" s="106">
        <f t="shared" si="228"/>
        <v>0</v>
      </c>
      <c r="AQ61" s="106">
        <f t="shared" si="228"/>
        <v>0</v>
      </c>
      <c r="AR61" s="106">
        <f t="shared" si="228"/>
        <v>-1.3678800314664841E-9</v>
      </c>
      <c r="AS61" s="106">
        <f t="shared" si="228"/>
        <v>0</v>
      </c>
      <c r="AT61" s="106">
        <f t="shared" si="228"/>
        <v>0</v>
      </c>
      <c r="AU61" s="106">
        <f t="shared" si="228"/>
        <v>0</v>
      </c>
      <c r="AV61" s="106">
        <f t="shared" ref="AV61:BF61" si="229">SUM(AV56:AV60)+SUM(AV49:AV53)-AV64</f>
        <v>0</v>
      </c>
      <c r="AW61" s="106">
        <f t="shared" si="229"/>
        <v>-2.0954757928848267E-9</v>
      </c>
      <c r="AX61" s="106">
        <f t="shared" si="229"/>
        <v>-2.1536834537982941E-9</v>
      </c>
      <c r="AY61" s="106">
        <f t="shared" si="229"/>
        <v>-2.0954757928848267E-9</v>
      </c>
      <c r="AZ61" s="106">
        <f t="shared" si="229"/>
        <v>-2.0954757928848267E-9</v>
      </c>
      <c r="BA61" s="106">
        <f t="shared" si="229"/>
        <v>-2.5611370801925659E-9</v>
      </c>
      <c r="BB61" s="106">
        <f t="shared" si="229"/>
        <v>-2.5611370801925659E-9</v>
      </c>
      <c r="BC61" s="106">
        <f t="shared" si="229"/>
        <v>0</v>
      </c>
      <c r="BD61" s="106">
        <f t="shared" si="229"/>
        <v>0</v>
      </c>
      <c r="BE61" s="106">
        <f t="shared" si="229"/>
        <v>0</v>
      </c>
      <c r="BF61" s="106">
        <f t="shared" si="229"/>
        <v>0</v>
      </c>
      <c r="BG61" s="106">
        <f>SUM(BG56:BG60)+SUM(BG49:BG53)-BG64</f>
        <v>0</v>
      </c>
      <c r="BH61" s="106">
        <f t="shared" ref="BH61:BR61" si="230">SUM(BH56:BH60)+SUM(BH49:BH53)-BH64</f>
        <v>0</v>
      </c>
      <c r="BI61" s="106">
        <f t="shared" si="230"/>
        <v>0</v>
      </c>
      <c r="BJ61" s="106">
        <f t="shared" si="230"/>
        <v>0</v>
      </c>
      <c r="BK61" s="106">
        <f t="shared" si="230"/>
        <v>0</v>
      </c>
      <c r="BL61" s="106">
        <f t="shared" si="230"/>
        <v>0</v>
      </c>
      <c r="BM61" s="106">
        <f t="shared" si="230"/>
        <v>0</v>
      </c>
      <c r="BN61" s="106">
        <f t="shared" si="230"/>
        <v>0</v>
      </c>
      <c r="BO61" s="106">
        <f t="shared" si="230"/>
        <v>0</v>
      </c>
      <c r="BP61" s="106">
        <f t="shared" si="230"/>
        <v>0</v>
      </c>
      <c r="BQ61" s="106">
        <f t="shared" si="230"/>
        <v>0</v>
      </c>
      <c r="BR61" s="106">
        <f t="shared" si="230"/>
        <v>-3.7252902984619141E-9</v>
      </c>
      <c r="BS61" s="106">
        <f>SUM(BS56:BS60)+SUM(BS49:BS53)-BS64</f>
        <v>0</v>
      </c>
      <c r="BT61" s="106">
        <f t="shared" ref="BT61:CE61" si="231">SUM(BT56:BT60)+SUM(BT49:BT53)-BT64</f>
        <v>-3.4924596548080444E-9</v>
      </c>
      <c r="BU61" s="106">
        <f t="shared" si="231"/>
        <v>-3.2596290111541748E-9</v>
      </c>
      <c r="BV61" s="106">
        <f t="shared" si="231"/>
        <v>-3.2596290111541748E-9</v>
      </c>
      <c r="BW61" s="106">
        <f t="shared" si="231"/>
        <v>-3.3760443329811096E-9</v>
      </c>
      <c r="BX61" s="106">
        <f t="shared" si="231"/>
        <v>-3.434251993894577E-9</v>
      </c>
      <c r="BY61" s="106">
        <f t="shared" si="231"/>
        <v>-3.4051481634378433E-9</v>
      </c>
      <c r="BZ61" s="106">
        <f t="shared" si="231"/>
        <v>-3.4051481634378433E-9</v>
      </c>
      <c r="CA61" s="106">
        <f t="shared" si="231"/>
        <v>-3.4051481634378433E-9</v>
      </c>
      <c r="CB61" s="106">
        <f t="shared" si="231"/>
        <v>-3.4197000786662102E-9</v>
      </c>
      <c r="CC61" s="106">
        <f t="shared" si="231"/>
        <v>-3.4197000786662102E-9</v>
      </c>
      <c r="CD61" s="106">
        <f t="shared" si="231"/>
        <v>-3.4633558243513107E-9</v>
      </c>
      <c r="CE61" s="128">
        <f t="shared" si="231"/>
        <v>-3.434251993894577E-9</v>
      </c>
      <c r="CF61" s="105">
        <f>SUM(CF56:CF60)+SUM(CF49:CF53)-CF64</f>
        <v>-3.4051481634378433E-9</v>
      </c>
      <c r="CG61" s="106">
        <f t="shared" si="228"/>
        <v>-3.3760443329811096E-9</v>
      </c>
      <c r="CH61" s="107">
        <f t="shared" si="228"/>
        <v>-3.434251993894577E-9</v>
      </c>
    </row>
    <row r="62" spans="1:86" ht="15.6" thickTop="1" thickBot="1" x14ac:dyDescent="0.35">
      <c r="A62" s="101" t="s">
        <v>72</v>
      </c>
      <c r="B62" s="105">
        <f>SUM(B56:B60)-B39</f>
        <v>0</v>
      </c>
      <c r="C62" s="106">
        <f t="shared" ref="C62:I62" si="232">SUM(C56:C60)-C39</f>
        <v>0</v>
      </c>
      <c r="D62" s="106">
        <f t="shared" si="232"/>
        <v>0</v>
      </c>
      <c r="E62" s="106">
        <f t="shared" si="232"/>
        <v>-4.4190201499999526E-3</v>
      </c>
      <c r="F62" s="106">
        <f t="shared" si="232"/>
        <v>2.8282966259043363E-3</v>
      </c>
      <c r="G62" s="106">
        <f>SUM(G56:G60)-G39</f>
        <v>6.5508329569752277E-4</v>
      </c>
      <c r="H62" s="106">
        <f t="shared" si="232"/>
        <v>4.4959036100635785E-3</v>
      </c>
      <c r="I62" s="106">
        <f t="shared" si="232"/>
        <v>-3.2885115697638412E-3</v>
      </c>
      <c r="J62" s="106">
        <f>SUM(J56:J60)-J39</f>
        <v>-8.430289186662776E-4</v>
      </c>
      <c r="K62" s="106">
        <f>SUM(K56:K60)-K39</f>
        <v>9.6574036021479515E-4</v>
      </c>
      <c r="L62" s="106">
        <f>SUM(L56:L60)-L39</f>
        <v>4.3313748141429187E-3</v>
      </c>
      <c r="M62" s="106">
        <f t="shared" ref="M62:T62" si="233">SUM(M56:M60)-M39</f>
        <v>-3.4341271651783245E-4</v>
      </c>
      <c r="N62" s="106">
        <f t="shared" si="233"/>
        <v>-3.1017131810813225E-3</v>
      </c>
      <c r="O62" s="106">
        <f>SUM(O56:O60)-O39</f>
        <v>-2.4565394651290262E-3</v>
      </c>
      <c r="P62" s="106">
        <f t="shared" si="233"/>
        <v>-8.8279349984077271E-4</v>
      </c>
      <c r="Q62" s="106">
        <f t="shared" si="233"/>
        <v>1.7046938210114604E-3</v>
      </c>
      <c r="R62" s="106">
        <f t="shared" si="233"/>
        <v>1.0271608198308968E-3</v>
      </c>
      <c r="S62" s="106">
        <f t="shared" si="233"/>
        <v>-3.5934589504904579E-3</v>
      </c>
      <c r="T62" s="106">
        <f t="shared" si="233"/>
        <v>-3.2611183469271054E-3</v>
      </c>
      <c r="U62" s="106">
        <f t="shared" ref="U62:W62" si="234">SUM(U56:U60)-U39</f>
        <v>1.4657506299045053E-3</v>
      </c>
      <c r="V62" s="106">
        <f t="shared" si="234"/>
        <v>-1.8018017353824689E-3</v>
      </c>
      <c r="W62" s="106">
        <f t="shared" si="234"/>
        <v>-2.0668456936618895E-3</v>
      </c>
      <c r="X62" s="106">
        <f>SUM(X56:X60)-X39</f>
        <v>1.0095209813698602E-3</v>
      </c>
      <c r="Y62" s="106">
        <f t="shared" ref="Y62:AH62" si="235">SUM(Y56:Y60)-Y39</f>
        <v>4.1331970855935651E-3</v>
      </c>
      <c r="Z62" s="106">
        <f t="shared" si="235"/>
        <v>4.1803253977832355E-3</v>
      </c>
      <c r="AA62" s="106">
        <f t="shared" si="235"/>
        <v>-3.9788465428500785E-3</v>
      </c>
      <c r="AB62" s="106">
        <f t="shared" si="235"/>
        <v>2.8665553872997407E-4</v>
      </c>
      <c r="AC62" s="106">
        <f t="shared" si="235"/>
        <v>-1.1789796826633392E-3</v>
      </c>
      <c r="AD62" s="106">
        <f t="shared" si="235"/>
        <v>5.1333783067093464E-3</v>
      </c>
      <c r="AE62" s="106">
        <f t="shared" si="235"/>
        <v>2.4438253240077756E-3</v>
      </c>
      <c r="AF62" s="106">
        <f t="shared" si="235"/>
        <v>-2.9463441705956939E-3</v>
      </c>
      <c r="AG62" s="106">
        <f t="shared" si="235"/>
        <v>-2.1629997951322366E-3</v>
      </c>
      <c r="AH62" s="106">
        <f t="shared" si="235"/>
        <v>4.4654135945165763E-4</v>
      </c>
      <c r="AI62" s="106">
        <f t="shared" ref="AI62" si="236">SUM(AI56:AI60)-AI39</f>
        <v>2.3375660293538658E-3</v>
      </c>
      <c r="AJ62" s="106">
        <f t="shared" ref="AJ62:AU62" si="237">SUM(AJ56:AJ60)-AJ39</f>
        <v>1.789986196058635E-3</v>
      </c>
      <c r="AK62" s="106">
        <f t="shared" si="237"/>
        <v>-8.7724595050531207E-4</v>
      </c>
      <c r="AL62" s="106">
        <f t="shared" si="237"/>
        <v>-1.7667972224444384E-4</v>
      </c>
      <c r="AM62" s="106">
        <f t="shared" si="237"/>
        <v>-2.1762156447948655E-3</v>
      </c>
      <c r="AN62" s="106">
        <f t="shared" si="237"/>
        <v>-4.3229874081589514E-3</v>
      </c>
      <c r="AO62" s="106">
        <f t="shared" si="237"/>
        <v>1.3712972886423813E-3</v>
      </c>
      <c r="AP62" s="106">
        <f t="shared" si="237"/>
        <v>-1.125185917771887E-5</v>
      </c>
      <c r="AQ62" s="106">
        <f t="shared" si="237"/>
        <v>4.2036219010697096E-3</v>
      </c>
      <c r="AR62" s="106">
        <f>SUM(AR56:AR60)-AR39</f>
        <v>-3.1526963230135152E-3</v>
      </c>
      <c r="AS62" s="106">
        <f t="shared" si="237"/>
        <v>-2.7290918314974988E-3</v>
      </c>
      <c r="AT62" s="106">
        <f t="shared" si="237"/>
        <v>3.712106954480987E-4</v>
      </c>
      <c r="AU62" s="106">
        <f t="shared" si="237"/>
        <v>-1.2572310915857088E-3</v>
      </c>
      <c r="AV62" s="106">
        <f t="shared" ref="AV62:BF62" si="238">SUM(AV56:AV60)-AV39</f>
        <v>-3.0445943830272881E-3</v>
      </c>
      <c r="AW62" s="106">
        <f t="shared" si="238"/>
        <v>5.3234631718623859E-3</v>
      </c>
      <c r="AX62" s="106">
        <f t="shared" si="238"/>
        <v>-2.6425441933497495E-3</v>
      </c>
      <c r="AY62" s="106">
        <f t="shared" si="238"/>
        <v>3.3091270133809303E-3</v>
      </c>
      <c r="AZ62" s="106">
        <f t="shared" si="238"/>
        <v>1.9211424842069391E-4</v>
      </c>
      <c r="BA62" s="106">
        <f t="shared" si="238"/>
        <v>-2.7983894500493989E-3</v>
      </c>
      <c r="BB62" s="106">
        <f t="shared" si="238"/>
        <v>-3.3276848393768432E-3</v>
      </c>
      <c r="BC62" s="106">
        <f t="shared" si="238"/>
        <v>-7.1743365839438411E-4</v>
      </c>
      <c r="BD62" s="106">
        <f t="shared" si="238"/>
        <v>-4.1141659038430589E-3</v>
      </c>
      <c r="BE62" s="106">
        <f t="shared" si="238"/>
        <v>3.162453319987435E-3</v>
      </c>
      <c r="BF62" s="106">
        <f t="shared" si="238"/>
        <v>-1.4720281666313895E-4</v>
      </c>
      <c r="BG62" s="106">
        <f>SUM(BG56:BG60)-BG39</f>
        <v>-1.9517754241178409E-3</v>
      </c>
      <c r="BH62" s="106">
        <f t="shared" ref="BH62:BR62" si="239">SUM(BH56:BH60)-BH39</f>
        <v>1.7337634287741821E-3</v>
      </c>
      <c r="BI62" s="106">
        <f t="shared" si="239"/>
        <v>-3.7115290726887906E-3</v>
      </c>
      <c r="BJ62" s="106">
        <f t="shared" si="239"/>
        <v>-2.7099325723156653E-3</v>
      </c>
      <c r="BK62" s="106">
        <f t="shared" si="239"/>
        <v>-4.0761435755030107E-3</v>
      </c>
      <c r="BL62" s="106">
        <f t="shared" si="239"/>
        <v>-2.4504709001575975E-3</v>
      </c>
      <c r="BM62" s="106">
        <f t="shared" si="239"/>
        <v>2.8349459898890927E-3</v>
      </c>
      <c r="BN62" s="106">
        <f t="shared" si="239"/>
        <v>4.9639761548405659E-3</v>
      </c>
      <c r="BO62" s="106">
        <f t="shared" si="239"/>
        <v>-4.5485540906611277E-3</v>
      </c>
      <c r="BP62" s="106">
        <f t="shared" si="239"/>
        <v>3.9657544243709708E-3</v>
      </c>
      <c r="BQ62" s="106">
        <f t="shared" si="239"/>
        <v>-4.4605026539557002E-4</v>
      </c>
      <c r="BR62" s="106">
        <f t="shared" si="239"/>
        <v>2.683060062736331E-3</v>
      </c>
      <c r="BS62" s="106">
        <f>SUM(BS56:BS60)-BS39</f>
        <v>3.2394543123359654E-3</v>
      </c>
      <c r="BT62" s="106">
        <f t="shared" ref="BT62:CE62" si="240">SUM(BT56:BT60)-BT39</f>
        <v>-3.9787169420719692E-3</v>
      </c>
      <c r="BU62" s="106">
        <f t="shared" si="240"/>
        <v>4.6730725270549556E-3</v>
      </c>
      <c r="BV62" s="106">
        <f t="shared" si="240"/>
        <v>2.2231881583820723E-3</v>
      </c>
      <c r="BW62" s="106">
        <f t="shared" si="240"/>
        <v>4.3451199931752171E-3</v>
      </c>
      <c r="BX62" s="106">
        <f t="shared" si="240"/>
        <v>5.0766152392895947E-3</v>
      </c>
      <c r="BY62" s="106">
        <f t="shared" si="240"/>
        <v>1.36212303539196E-3</v>
      </c>
      <c r="BZ62" s="106">
        <f t="shared" si="240"/>
        <v>4.0148047710601986E-3</v>
      </c>
      <c r="CA62" s="106">
        <f t="shared" si="240"/>
        <v>1.1781418423879586E-3</v>
      </c>
      <c r="CB62" s="106">
        <f t="shared" si="240"/>
        <v>2.9633590695112844E-3</v>
      </c>
      <c r="CC62" s="106">
        <f t="shared" si="240"/>
        <v>8.5137904291343602E-4</v>
      </c>
      <c r="CD62" s="106">
        <f t="shared" si="240"/>
        <v>2.8778535591129639E-3</v>
      </c>
      <c r="CE62" s="128">
        <f t="shared" si="240"/>
        <v>3.0148888557164355E-3</v>
      </c>
      <c r="CF62" s="105">
        <f>SUM(CF56:CF60)-CF39</f>
        <v>7.8161241083307686E-4</v>
      </c>
      <c r="CG62" s="106">
        <f>SUM(CG56:CG60)-CG39</f>
        <v>7.838726513682559E-4</v>
      </c>
      <c r="CH62" s="107">
        <f>SUM(CH56:CH60)-CH39</f>
        <v>7.8613942832816974E-4</v>
      </c>
    </row>
    <row r="63" spans="1:86" ht="15" thickTop="1" x14ac:dyDescent="0.3">
      <c r="B63" s="73"/>
      <c r="C63" s="74"/>
      <c r="D63" s="74"/>
      <c r="E63" s="74"/>
      <c r="F63" s="74"/>
      <c r="G63" s="76"/>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3"/>
      <c r="CG63" s="74"/>
      <c r="CH63" s="77"/>
    </row>
    <row r="64" spans="1:86" x14ac:dyDescent="0.3">
      <c r="A64" s="48" t="s">
        <v>73</v>
      </c>
      <c r="B64" s="85">
        <f>(B15-SUM(B22:B26))+SUM(B56:B60)</f>
        <v>0</v>
      </c>
      <c r="C64" s="89">
        <f t="shared" ref="C64:CH64" si="241">(SUM(C15:C19)-SUM(C22:C26))+SUM(C56:C60)+B64</f>
        <v>0</v>
      </c>
      <c r="D64" s="89">
        <f t="shared" si="241"/>
        <v>0</v>
      </c>
      <c r="E64" s="89">
        <f>(SUM(E15:E19)-SUM(E22:E26))+SUM(E56:E60)+D64</f>
        <v>1329.6055809798499</v>
      </c>
      <c r="F64" s="89">
        <f t="shared" si="241"/>
        <v>-6541.091590723524</v>
      </c>
      <c r="G64" s="89">
        <f>(SUM(G15:G19)-SUM(G22:G26))+SUM(G56:G60)+F64</f>
        <v>-139667.53093564021</v>
      </c>
      <c r="H64" s="89">
        <f t="shared" si="241"/>
        <v>-191449.07643973659</v>
      </c>
      <c r="I64" s="89">
        <f t="shared" si="241"/>
        <v>-114260.33972824828</v>
      </c>
      <c r="J64" s="89">
        <f t="shared" si="241"/>
        <v>318696.50942872278</v>
      </c>
      <c r="K64" s="86">
        <f t="shared" si="241"/>
        <v>271723.33039446315</v>
      </c>
      <c r="L64" s="86">
        <f t="shared" ref="L64" si="242">(SUM(L15:L19)-SUM(L22:L26))+SUM(L56:L60)+K64</f>
        <v>341028.25472583779</v>
      </c>
      <c r="M64" s="86">
        <f t="shared" ref="M64" si="243">(SUM(M15:M19)-SUM(M22:M26))+SUM(M56:M60)+L64</f>
        <v>493325.63438242511</v>
      </c>
      <c r="N64" s="86">
        <f t="shared" ref="N64" si="244">(SUM(N15:N19)-SUM(N22:N26))+SUM(N56:N60)+M64</f>
        <v>465985.09128071187</v>
      </c>
      <c r="O64" s="86">
        <f>(SUM(O15:O19)-SUM(O22:O26))+SUM(O56:O60)+N64+N65</f>
        <v>12122508.458824173</v>
      </c>
      <c r="P64" s="86">
        <f t="shared" ref="P64" si="245">(SUM(P15:P19)-SUM(P22:P26))+SUM(P56:P60)+O64</f>
        <v>10669334.067941379</v>
      </c>
      <c r="Q64" s="86">
        <f t="shared" ref="Q64" si="246">(SUM(Q15:Q19)-SUM(Q22:Q26))+SUM(Q56:Q60)+P64</f>
        <v>9125180.1096460726</v>
      </c>
      <c r="R64" s="86">
        <f t="shared" ref="R64" si="247">(SUM(R15:R19)-SUM(R22:R26))+SUM(R56:R60)+Q64</f>
        <v>7690348.2806732329</v>
      </c>
      <c r="S64" s="86">
        <f>(SUM(S15:S19)-SUM(S22:S26))+SUM(S56:S60)+R64</f>
        <v>6751239.487079774</v>
      </c>
      <c r="T64" s="86">
        <f t="shared" ref="T64" si="248">(SUM(T15:T19)-SUM(T22:T26))+SUM(T56:T60)+S64</f>
        <v>5977194.6138186557</v>
      </c>
      <c r="U64" s="86">
        <f t="shared" ref="U64" si="249">(SUM(U15:U19)-SUM(U22:U26))+SUM(U56:U60)+T64</f>
        <v>5292979.7952844063</v>
      </c>
      <c r="V64" s="86">
        <f t="shared" ref="V64" si="250">(SUM(V15:V19)-SUM(V22:V26))+SUM(V56:V60)+U64</f>
        <v>4554328.6234826045</v>
      </c>
      <c r="W64" s="86">
        <f t="shared" ref="W64" si="251">(SUM(W15:W19)-SUM(W22:W26))+SUM(W56:W60)+V64</f>
        <v>3112526.3314157594</v>
      </c>
      <c r="X64" s="86">
        <f t="shared" ref="X64" si="252">(SUM(X15:X19)-SUM(X22:X26))+SUM(X56:X60)+W64</f>
        <v>1984651.7124252794</v>
      </c>
      <c r="Y64" s="86">
        <f t="shared" ref="Y64" si="253">(SUM(Y15:Y19)-SUM(Y22:Y26))+SUM(Y56:Y60)+X64</f>
        <v>810020.77655847743</v>
      </c>
      <c r="Z64" s="86">
        <f t="shared" ref="Z64" si="254">(SUM(Z15:Z19)-SUM(Z22:Z26))+SUM(Z56:Z60)+Y64</f>
        <v>-1091623.669261198</v>
      </c>
      <c r="AA64" s="86">
        <f t="shared" ref="AA64" si="255">(SUM(AA15:AA19)-SUM(AA22:AA26))+SUM(AA56:AA60)+Z64</f>
        <v>-2719539.8932400444</v>
      </c>
      <c r="AB64" s="86">
        <f t="shared" ref="AB64" si="256">(SUM(AB15:AB19)-SUM(AB22:AB26))+SUM(AB56:AB60)+AA64</f>
        <v>-3863493.4229533877</v>
      </c>
      <c r="AC64" s="86">
        <f t="shared" ref="AC64" si="257">(SUM(AC15:AC19)-SUM(AC22:AC26))+SUM(AC56:AC60)+AB64</f>
        <v>-5105394.6341323685</v>
      </c>
      <c r="AD64" s="86">
        <f t="shared" ref="AD64" si="258">(SUM(AD15:AD19)-SUM(AD22:AD26))+SUM(AD56:AD60)+AC64</f>
        <v>-5699667.008998991</v>
      </c>
      <c r="AE64" s="86">
        <f t="shared" ref="AE64" si="259">(SUM(AE15:AE19)-SUM(AE22:AE26))+SUM(AE56:AE60)+AD64</f>
        <v>-4531783.0865551634</v>
      </c>
      <c r="AF64" s="86">
        <f t="shared" ref="AF64" si="260">(SUM(AF15:AF19)-SUM(AF22:AF26))+SUM(AF56:AF60)+AE64</f>
        <v>-2351007.5095015061</v>
      </c>
      <c r="AG64" s="86">
        <f t="shared" ref="AG64" si="261">(SUM(AG15:AG19)-SUM(AG22:AG26))+SUM(AG56:AG60)+AF64</f>
        <v>-351648.76166450279</v>
      </c>
      <c r="AH64" s="86">
        <f t="shared" ref="AH64:AI64" si="262">(SUM(AH15:AH19)-SUM(AH22:AH26))+SUM(AH56:AH60)+AG64</f>
        <v>591360.58878203796</v>
      </c>
      <c r="AI64" s="86">
        <f t="shared" si="262"/>
        <v>64449.271119601442</v>
      </c>
      <c r="AJ64" s="86">
        <f t="shared" ref="AJ64" si="263">(SUM(AJ15:AJ19)-SUM(AJ22:AJ26))+SUM(AJ56:AJ60)+AI64</f>
        <v>-415334.94709041412</v>
      </c>
      <c r="AK64" s="86">
        <f t="shared" ref="AK64" si="264">(SUM(AK15:AK19)-SUM(AK22:AK26))+SUM(AK56:AK60)+AJ64</f>
        <v>-1038404.7579676602</v>
      </c>
      <c r="AL64" s="86">
        <f t="shared" ref="AL64" si="265">(SUM(AL15:AL19)-SUM(AL22:AL26))+SUM(AL56:AL60)+AK64</f>
        <v>-1740645.2981443428</v>
      </c>
      <c r="AM64" s="86">
        <f t="shared" ref="AM64" si="266">(SUM(AM15:AM19)-SUM(AM22:AM26))+SUM(AM56:AM60)+AL64</f>
        <v>-3681557.9103205558</v>
      </c>
      <c r="AN64" s="86">
        <f t="shared" ref="AN64" si="267">(SUM(AN15:AN19)-SUM(AN22:AN26))+SUM(AN56:AN60)+AM64</f>
        <v>-4884403.7946435381</v>
      </c>
      <c r="AO64" s="86">
        <f t="shared" ref="AO64" si="268">(SUM(AO15:AO19)-SUM(AO22:AO26))+SUM(AO56:AO60)+AN64</f>
        <v>-5621636.4632722409</v>
      </c>
      <c r="AP64" s="86">
        <f t="shared" ref="AP64" si="269">(SUM(AP15:AP19)-SUM(AP22:AP26))+SUM(AP56:AP60)+AO64</f>
        <v>-6441982.1832834948</v>
      </c>
      <c r="AQ64" s="86">
        <f t="shared" ref="AQ64" si="270">(SUM(AQ15:AQ19)-SUM(AQ22:AQ26))+SUM(AQ56:AQ60)+AP64</f>
        <v>-3550902.5790798725</v>
      </c>
      <c r="AR64" s="86">
        <f t="shared" ref="AR64" si="271">(SUM(AR15:AR19)-SUM(AR22:AR26))+SUM(AR56:AR60)+AQ64</f>
        <v>137705.12776742876</v>
      </c>
      <c r="AS64" s="86">
        <f t="shared" ref="AS64" si="272">(SUM(AS15:AS19)-SUM(AS22:AS26))+SUM(AS56:AS60)+AR64</f>
        <v>3291474.5550383395</v>
      </c>
      <c r="AT64" s="86">
        <f t="shared" ref="AT64" si="273">(SUM(AT15:AT19)-SUM(AT22:AT26))+SUM(AT56:AT60)+AS64</f>
        <v>4727028.6254095482</v>
      </c>
      <c r="AU64" s="86">
        <f>(SUM(AU15:AU19)-SUM(AU22:AU26))+SUM(AU56:AU60)+AT64</f>
        <v>3692370.6241523158</v>
      </c>
      <c r="AV64" s="86">
        <f t="shared" ref="AV64:BF64" si="274">(SUM(AV15:AV19)-SUM(AV22:AV26))+SUM(AV56:AV60)+AU64</f>
        <v>2853309.0811077235</v>
      </c>
      <c r="AW64" s="86">
        <f t="shared" si="274"/>
        <v>1653240.0664311864</v>
      </c>
      <c r="AX64" s="86">
        <f t="shared" si="274"/>
        <v>363915.81378864194</v>
      </c>
      <c r="AY64" s="86">
        <f t="shared" si="274"/>
        <v>-1810802.892902232</v>
      </c>
      <c r="AZ64" s="86">
        <f t="shared" si="274"/>
        <v>-565028.64271012088</v>
      </c>
      <c r="BA64" s="86">
        <f t="shared" si="274"/>
        <v>-1153811.0355085079</v>
      </c>
      <c r="BB64" s="86">
        <f t="shared" si="274"/>
        <v>-1702771.6488361955</v>
      </c>
      <c r="BC64" s="86">
        <f t="shared" si="274"/>
        <v>-2313690.7995536267</v>
      </c>
      <c r="BD64" s="86">
        <f t="shared" si="274"/>
        <v>-3065845.013667793</v>
      </c>
      <c r="BE64" s="86">
        <f t="shared" si="274"/>
        <v>-3799181.91050534</v>
      </c>
      <c r="BF64" s="86">
        <f t="shared" si="274"/>
        <v>-4516979.0006525414</v>
      </c>
      <c r="BG64" s="86">
        <f>(SUM(BG15:BG19)-SUM(BG22:BG26))+SUM(BG56:BG60)+BF64</f>
        <v>-5126726.0226043165</v>
      </c>
      <c r="BH64" s="86">
        <f t="shared" ref="BH64" si="275">(SUM(BH15:BH19)-SUM(BH22:BH26))+SUM(BH56:BH60)+BG64</f>
        <v>-5733526.4208705546</v>
      </c>
      <c r="BI64" s="86">
        <f t="shared" ref="BI64" si="276">(SUM(BI15:BI19)-SUM(BI22:BI26))+SUM(BI56:BI60)+BH64</f>
        <v>-6404043.954582084</v>
      </c>
      <c r="BJ64" s="86">
        <f t="shared" ref="BJ64" si="277">(SUM(BJ15:BJ19)-SUM(BJ22:BJ26))+SUM(BJ56:BJ60)+BI64</f>
        <v>-7138231.8772920156</v>
      </c>
      <c r="BK64" s="86">
        <f t="shared" ref="BK64" si="278">(SUM(BK15:BK19)-SUM(BK22:BK26))+SUM(BK56:BK60)+BJ64</f>
        <v>-7243786.3913681582</v>
      </c>
      <c r="BL64" s="86">
        <f t="shared" ref="BL64" si="279">(SUM(BL15:BL19)-SUM(BL22:BL26))+SUM(BL56:BL60)+BK64</f>
        <v>-6650748.0438186284</v>
      </c>
      <c r="BM64" s="86">
        <f t="shared" ref="BM64" si="280">(SUM(BM15:BM19)-SUM(BM22:BM26))+SUM(BM56:BM60)+BL64</f>
        <v>-6199625.9009836819</v>
      </c>
      <c r="BN64" s="86">
        <f t="shared" ref="BN64" si="281">(SUM(BN15:BN19)-SUM(BN22:BN26))+SUM(BN56:BN60)+BM64</f>
        <v>-5752938.9860197101</v>
      </c>
      <c r="BO64" s="86">
        <f t="shared" ref="BO64" si="282">(SUM(BO15:BO19)-SUM(BO22:BO26))+SUM(BO56:BO60)+BN64</f>
        <v>-5171823.2005682616</v>
      </c>
      <c r="BP64" s="86">
        <f t="shared" ref="BP64" si="283">(SUM(BP15:BP19)-SUM(BP22:BP26))+SUM(BP56:BP60)+BO64</f>
        <v>-4436600.9866025066</v>
      </c>
      <c r="BQ64" s="86">
        <f t="shared" ref="BQ64" si="284">(SUM(BQ15:BQ19)-SUM(BQ22:BQ26))+SUM(BQ56:BQ60)+BP64</f>
        <v>-3703861.797048558</v>
      </c>
      <c r="BR64" s="86">
        <f t="shared" ref="BR64" si="285">(SUM(BR15:BR19)-SUM(BR22:BR26))+SUM(BR56:BR60)+BQ64</f>
        <v>-3003804.8943654983</v>
      </c>
      <c r="BS64" s="86">
        <f>(SUM(BS15:BS19)-SUM(BS22:BS26))+SUM(BS56:BS60)+BR64</f>
        <v>-2486364.8411260433</v>
      </c>
      <c r="BT64" s="86">
        <f t="shared" ref="BT64:CD64" si="286">(SUM(BT15:BT19)-SUM(BT22:BT26))+SUM(BT56:BT60)+BS64</f>
        <v>-2013068.0751047607</v>
      </c>
      <c r="BU64" s="86">
        <f t="shared" si="286"/>
        <v>-1447724.9104316893</v>
      </c>
      <c r="BV64" s="86">
        <f t="shared" si="286"/>
        <v>-771015.74820849963</v>
      </c>
      <c r="BW64" s="86">
        <f t="shared" si="286"/>
        <v>-322726.52386338223</v>
      </c>
      <c r="BX64" s="86">
        <f t="shared" si="286"/>
        <v>-263697.52878676698</v>
      </c>
      <c r="BY64" s="86">
        <f t="shared" si="286"/>
        <v>-205237.68742464395</v>
      </c>
      <c r="BZ64" s="86">
        <f t="shared" si="286"/>
        <v>-154611.48340983919</v>
      </c>
      <c r="CA64" s="86">
        <f t="shared" si="286"/>
        <v>-96069.98223169733</v>
      </c>
      <c r="CB64" s="86">
        <f t="shared" si="286"/>
        <v>-27654.999268338259</v>
      </c>
      <c r="CC64" s="86">
        <f t="shared" si="286"/>
        <v>39275.201583040791</v>
      </c>
      <c r="CD64" s="86">
        <f t="shared" si="286"/>
        <v>101991.26446089435</v>
      </c>
      <c r="CE64" s="86">
        <f>(SUM(CE15:CE19)-SUM(CE22:CE26))+SUM(CE56:CE60)+CD64</f>
        <v>154688.42747578322</v>
      </c>
      <c r="CF64" s="85">
        <f>(SUM(CF15:CF19)-SUM(CF22:CF26))+SUM(CF56:CF60)+CE64</f>
        <v>205365.61319360297</v>
      </c>
      <c r="CG64" s="89">
        <f>(SUM(CG15:CG19)-SUM(CG22:CG26))+SUM(CG56:CG60)+CF64</f>
        <v>263672.14795205492</v>
      </c>
      <c r="CH64" s="90">
        <f t="shared" si="241"/>
        <v>328896.98663787608</v>
      </c>
    </row>
    <row r="65" spans="1:87" x14ac:dyDescent="0.3">
      <c r="A65" s="139" t="s">
        <v>104</v>
      </c>
      <c r="B65" s="73"/>
      <c r="C65" s="74"/>
      <c r="D65" s="74"/>
      <c r="E65" s="74"/>
      <c r="F65" s="74"/>
      <c r="G65" s="74"/>
      <c r="H65" s="74"/>
      <c r="I65" s="74"/>
      <c r="J65" s="74"/>
      <c r="K65" s="74"/>
      <c r="L65" s="74"/>
      <c r="M65" s="74"/>
      <c r="N65" s="181">
        <v>13541922</v>
      </c>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3"/>
      <c r="CG65" s="74"/>
      <c r="CH65" s="77"/>
    </row>
    <row r="66" spans="1:87" x14ac:dyDescent="0.3">
      <c r="A66" s="173" t="s">
        <v>0</v>
      </c>
      <c r="B66" s="73"/>
      <c r="C66" s="74"/>
      <c r="D66" s="74"/>
      <c r="E66" s="74"/>
      <c r="F66" s="74"/>
      <c r="G66" s="74"/>
      <c r="H66" s="74"/>
      <c r="I66" s="74"/>
      <c r="J66" s="74"/>
      <c r="K66" s="74"/>
      <c r="L66" s="74"/>
      <c r="M66" s="74"/>
      <c r="N66" s="168">
        <v>7611905</v>
      </c>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3"/>
      <c r="CG66" s="74"/>
      <c r="CH66" s="77"/>
    </row>
    <row r="67" spans="1:87" x14ac:dyDescent="0.3">
      <c r="A67" s="173" t="s">
        <v>4</v>
      </c>
      <c r="B67" s="73"/>
      <c r="C67" s="74"/>
      <c r="D67" s="74"/>
      <c r="E67" s="74"/>
      <c r="F67" s="74"/>
      <c r="G67" s="74"/>
      <c r="H67" s="74"/>
      <c r="I67" s="74"/>
      <c r="J67" s="74"/>
      <c r="K67" s="74"/>
      <c r="L67" s="74"/>
      <c r="M67" s="74"/>
      <c r="N67" s="168">
        <v>668388</v>
      </c>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3"/>
      <c r="CG67" s="74"/>
      <c r="CH67" s="77"/>
    </row>
    <row r="68" spans="1:87" x14ac:dyDescent="0.3">
      <c r="A68" s="173" t="s">
        <v>5</v>
      </c>
      <c r="B68" s="73"/>
      <c r="C68" s="74"/>
      <c r="D68" s="74"/>
      <c r="E68" s="183"/>
      <c r="F68" s="183"/>
      <c r="G68" s="183"/>
      <c r="H68" s="183"/>
      <c r="I68" s="183"/>
      <c r="J68" s="183"/>
      <c r="K68" s="183"/>
      <c r="L68" s="183"/>
      <c r="M68" s="183"/>
      <c r="N68" s="168">
        <v>905881</v>
      </c>
      <c r="O68" s="74"/>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73"/>
      <c r="CG68" s="74"/>
      <c r="CH68" s="77"/>
    </row>
    <row r="69" spans="1:87" x14ac:dyDescent="0.3">
      <c r="A69" s="173" t="s">
        <v>6</v>
      </c>
      <c r="B69" s="73"/>
      <c r="C69" s="74"/>
      <c r="D69" s="74"/>
      <c r="E69" s="74"/>
      <c r="F69" s="74"/>
      <c r="G69" s="74"/>
      <c r="H69" s="74"/>
      <c r="I69" s="74"/>
      <c r="J69" s="74"/>
      <c r="K69" s="74"/>
      <c r="L69" s="74"/>
      <c r="M69" s="74"/>
      <c r="N69" s="168">
        <v>2477462</v>
      </c>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3"/>
      <c r="CG69" s="74"/>
      <c r="CH69" s="77"/>
    </row>
    <row r="70" spans="1:87" ht="15" thickBot="1" x14ac:dyDescent="0.35">
      <c r="A70" s="173" t="s">
        <v>7</v>
      </c>
      <c r="B70" s="108"/>
      <c r="C70" s="109"/>
      <c r="D70" s="109"/>
      <c r="E70" s="184"/>
      <c r="F70" s="184"/>
      <c r="G70" s="184"/>
      <c r="H70" s="184"/>
      <c r="I70" s="184"/>
      <c r="J70" s="184"/>
      <c r="K70" s="184"/>
      <c r="L70" s="184"/>
      <c r="M70" s="184"/>
      <c r="N70" s="182">
        <v>1878286</v>
      </c>
      <c r="O70" s="109"/>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4"/>
      <c r="BR70" s="184"/>
      <c r="BS70" s="184"/>
      <c r="BT70" s="184"/>
      <c r="BU70" s="184"/>
      <c r="BV70" s="184"/>
      <c r="BW70" s="184"/>
      <c r="BX70" s="184"/>
      <c r="BY70" s="184"/>
      <c r="BZ70" s="184"/>
      <c r="CA70" s="184"/>
      <c r="CB70" s="184"/>
      <c r="CC70" s="184"/>
      <c r="CD70" s="184"/>
      <c r="CE70" s="184"/>
      <c r="CF70" s="108"/>
      <c r="CG70" s="109"/>
      <c r="CH70" s="110"/>
    </row>
    <row r="71" spans="1:87" x14ac:dyDescent="0.3">
      <c r="B71" s="37"/>
      <c r="C71" s="37"/>
      <c r="D71" s="37"/>
      <c r="E71" s="37"/>
      <c r="F71" s="37"/>
      <c r="G71" s="37"/>
      <c r="H71" s="37"/>
    </row>
    <row r="72" spans="1:87" x14ac:dyDescent="0.3">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36"/>
      <c r="BG72" s="31"/>
      <c r="BH72" s="31"/>
      <c r="BI72" s="31"/>
      <c r="BJ72" s="31"/>
      <c r="BK72" s="31"/>
      <c r="BL72" s="31"/>
      <c r="BM72" s="31"/>
      <c r="BN72" s="31"/>
      <c r="BO72" s="31"/>
      <c r="BP72" s="31"/>
      <c r="BQ72" s="31"/>
      <c r="BR72" s="236"/>
      <c r="BS72" s="412"/>
      <c r="BT72" s="236"/>
      <c r="BU72" s="236"/>
      <c r="BV72" s="236"/>
      <c r="BW72" s="236"/>
      <c r="BX72" s="236"/>
      <c r="BY72" s="236"/>
      <c r="BZ72" s="236"/>
      <c r="CA72" s="236"/>
      <c r="CB72" s="236"/>
      <c r="CC72" s="236"/>
      <c r="CD72" s="236"/>
      <c r="CE72" s="236"/>
      <c r="CF72" s="236"/>
      <c r="CG72" s="236"/>
      <c r="CH72" s="236"/>
      <c r="CI72" s="32"/>
    </row>
    <row r="73" spans="1:87" x14ac:dyDescent="0.3">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row>
    <row r="75" spans="1:87" x14ac:dyDescent="0.3">
      <c r="C75" s="37"/>
      <c r="D75" s="37"/>
      <c r="E75" s="37"/>
      <c r="F75" s="37"/>
      <c r="G75" s="37"/>
      <c r="H75" s="37"/>
    </row>
  </sheetData>
  <mergeCells count="1">
    <mergeCell ref="CF13:CH1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79998168889431442"/>
  </sheetPr>
  <dimension ref="A1:BI75"/>
  <sheetViews>
    <sheetView zoomScale="80" zoomScaleNormal="80" workbookViewId="0">
      <pane xSplit="1" ySplit="14" topLeftCell="B15" activePane="bottomRight" state="frozen"/>
      <selection activeCell="AC68" sqref="AC68"/>
      <selection pane="topRight" activeCell="AC68" sqref="AC68"/>
      <selection pane="bottomLeft" activeCell="AC68" sqref="AC68"/>
      <selection pane="bottomRight" activeCell="AM74" sqref="AM74"/>
    </sheetView>
  </sheetViews>
  <sheetFormatPr defaultColWidth="9.109375" defaultRowHeight="14.4" x14ac:dyDescent="0.3"/>
  <cols>
    <col min="1" max="1" width="17.5546875" style="139" customWidth="1"/>
    <col min="2" max="2" width="16" style="139" customWidth="1"/>
    <col min="3" max="3" width="14.5546875" style="139" customWidth="1"/>
    <col min="4" max="4" width="15.109375" style="139" customWidth="1"/>
    <col min="5" max="5" width="16.109375" style="139" customWidth="1"/>
    <col min="6" max="6" width="14.33203125" style="139" bestFit="1" customWidth="1"/>
    <col min="7" max="7" width="16" style="139" customWidth="1"/>
    <col min="8" max="9" width="14.33203125" style="139" bestFit="1" customWidth="1"/>
    <col min="10" max="10" width="15.5546875" style="139" customWidth="1"/>
    <col min="11" max="47" width="14" style="139" customWidth="1"/>
    <col min="48" max="48" width="19.109375" style="139" bestFit="1" customWidth="1"/>
    <col min="49" max="50" width="15.5546875" style="139" customWidth="1"/>
    <col min="51" max="51" width="17.33203125" style="139" customWidth="1"/>
    <col min="52" max="16384" width="9.109375" style="139"/>
  </cols>
  <sheetData>
    <row r="1" spans="1:61" x14ac:dyDescent="0.3">
      <c r="A1" s="32" t="s">
        <v>161</v>
      </c>
    </row>
    <row r="2" spans="1:61" x14ac:dyDescent="0.3">
      <c r="B2" s="158" t="s">
        <v>100</v>
      </c>
      <c r="H2" s="2" t="s">
        <v>26</v>
      </c>
      <c r="I2" s="2"/>
    </row>
    <row r="3" spans="1:61" x14ac:dyDescent="0.3">
      <c r="B3" s="193" t="s">
        <v>64</v>
      </c>
      <c r="C3" s="193" t="s">
        <v>76</v>
      </c>
      <c r="D3" s="193" t="s">
        <v>91</v>
      </c>
      <c r="E3" s="193" t="s">
        <v>65</v>
      </c>
      <c r="F3" s="193" t="s">
        <v>66</v>
      </c>
      <c r="H3" s="39" t="s">
        <v>90</v>
      </c>
      <c r="I3" s="32"/>
      <c r="AI3" s="136"/>
    </row>
    <row r="4" spans="1:61" x14ac:dyDescent="0.3">
      <c r="A4" s="142" t="s">
        <v>0</v>
      </c>
      <c r="B4" s="21">
        <f>SUM(B29:AX29)</f>
        <v>36866197.637952074</v>
      </c>
      <c r="C4" s="21">
        <f>SUM(B15:AX15)</f>
        <v>40219498.26178652</v>
      </c>
      <c r="D4" s="21">
        <f>-B4+C4</f>
        <v>3353300.6238344461</v>
      </c>
      <c r="E4" s="21">
        <f>SUM(B56:AX56)</f>
        <v>67849.640937284334</v>
      </c>
      <c r="F4" s="26">
        <f>D4+E4</f>
        <v>3421150.2647717306</v>
      </c>
      <c r="H4" s="2" t="s">
        <v>98</v>
      </c>
      <c r="I4" s="32"/>
      <c r="AI4" s="136"/>
    </row>
    <row r="5" spans="1:61" x14ac:dyDescent="0.3">
      <c r="A5" s="142" t="s">
        <v>4</v>
      </c>
      <c r="B5" s="21">
        <f>SUM(B30:AX30)</f>
        <v>8128343.3864108799</v>
      </c>
      <c r="C5" s="21">
        <f>SUM(B16:AX16)</f>
        <v>7681347.6647980362</v>
      </c>
      <c r="D5" s="21">
        <f t="shared" ref="D5:D8" si="0">-B5+C5</f>
        <v>-446995.72161284368</v>
      </c>
      <c r="E5" s="21">
        <f>SUM(B57:AX57)</f>
        <v>-10442.681012055167</v>
      </c>
      <c r="F5" s="26">
        <f>D5+E5</f>
        <v>-457438.40262489882</v>
      </c>
      <c r="H5" s="39" t="s">
        <v>99</v>
      </c>
      <c r="I5" s="32"/>
      <c r="AI5" s="136"/>
    </row>
    <row r="6" spans="1:61" x14ac:dyDescent="0.3">
      <c r="A6" s="142" t="s">
        <v>5</v>
      </c>
      <c r="B6" s="21">
        <f>SUM(B31:AX31)</f>
        <v>12678893.031390125</v>
      </c>
      <c r="C6" s="21">
        <f>SUM(B17:AX17)</f>
        <v>15517398.711952657</v>
      </c>
      <c r="D6" s="21">
        <f t="shared" si="0"/>
        <v>2838505.6805625316</v>
      </c>
      <c r="E6" s="21">
        <f>SUM(B58:AX58)</f>
        <v>37196.754610970485</v>
      </c>
      <c r="F6" s="26">
        <f>D6+E6</f>
        <v>2875702.4351735022</v>
      </c>
      <c r="H6" s="39" t="s">
        <v>117</v>
      </c>
      <c r="I6" s="32"/>
      <c r="AI6" s="136"/>
    </row>
    <row r="7" spans="1:61" x14ac:dyDescent="0.3">
      <c r="A7" s="142" t="s">
        <v>6</v>
      </c>
      <c r="B7" s="21">
        <f>SUM(B32:AX32)</f>
        <v>4339951.0578164514</v>
      </c>
      <c r="C7" s="21">
        <f>SUM(B18:AX18)</f>
        <v>4352136.5437819716</v>
      </c>
      <c r="D7" s="21">
        <f t="shared" si="0"/>
        <v>12185.485965520144</v>
      </c>
      <c r="E7" s="21">
        <f>SUM(B59:AX59)</f>
        <v>-5497.197555129228</v>
      </c>
      <c r="F7" s="26">
        <f>D7+E7</f>
        <v>6688.2884103909155</v>
      </c>
      <c r="H7" s="39" t="s">
        <v>82</v>
      </c>
      <c r="I7" s="32"/>
      <c r="O7" s="31"/>
      <c r="AA7" s="31"/>
      <c r="AI7" s="136"/>
    </row>
    <row r="8" spans="1:61" ht="15" thickBot="1" x14ac:dyDescent="0.35">
      <c r="A8" s="142" t="s">
        <v>7</v>
      </c>
      <c r="B8" s="21">
        <f>SUM(B33:AX33)</f>
        <v>857233.58868737018</v>
      </c>
      <c r="C8" s="21">
        <f>SUM(B19:AX19)</f>
        <v>808183.66742439673</v>
      </c>
      <c r="D8" s="21">
        <f t="shared" si="0"/>
        <v>-49049.921262973454</v>
      </c>
      <c r="E8" s="21">
        <f>SUM(B60:AX60)</f>
        <v>-2744.5049091931314</v>
      </c>
      <c r="F8" s="26">
        <f>D8+E8</f>
        <v>-51794.426172166583</v>
      </c>
      <c r="H8" s="39" t="s">
        <v>96</v>
      </c>
      <c r="N8" s="31"/>
      <c r="Z8" s="31"/>
    </row>
    <row r="9" spans="1:61" ht="15.6" thickTop="1" thickBot="1" x14ac:dyDescent="0.35">
      <c r="B9" s="62">
        <f t="shared" ref="B9:F9" si="1">SUM(B4:B8)</f>
        <v>62870618.702256896</v>
      </c>
      <c r="C9" s="62">
        <f t="shared" si="1"/>
        <v>68578564.849743575</v>
      </c>
      <c r="D9" s="62">
        <f t="shared" si="1"/>
        <v>5707946.1474866811</v>
      </c>
      <c r="E9" s="62">
        <f t="shared" si="1"/>
        <v>86362.012071877296</v>
      </c>
      <c r="F9" s="62">
        <f t="shared" si="1"/>
        <v>5794308.1595585588</v>
      </c>
      <c r="H9" s="39" t="s">
        <v>116</v>
      </c>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row>
    <row r="10" spans="1:61" ht="15.6" thickTop="1" thickBot="1" x14ac:dyDescent="0.35">
      <c r="D10" s="290" t="s">
        <v>25</v>
      </c>
      <c r="E10" s="293">
        <f>E9-SUM(B39:AX39)</f>
        <v>1.207187729596626E-2</v>
      </c>
      <c r="F10" s="32"/>
      <c r="I10" s="32"/>
      <c r="M10" s="31"/>
      <c r="Y10" s="31"/>
    </row>
    <row r="11" spans="1:61" ht="15" thickTop="1" x14ac:dyDescent="0.3">
      <c r="B11" s="31"/>
      <c r="E11" s="3"/>
      <c r="F11" s="31"/>
    </row>
    <row r="12" spans="1:61" ht="15" thickBot="1" x14ac:dyDescent="0.35">
      <c r="B12" s="136"/>
      <c r="C12" s="136"/>
      <c r="D12" s="136"/>
      <c r="E12" s="136"/>
      <c r="F12" s="136"/>
      <c r="G12" s="136"/>
      <c r="H12" s="136"/>
      <c r="I12" s="136"/>
      <c r="J12" s="136"/>
      <c r="K12" s="136"/>
      <c r="L12" s="136"/>
      <c r="M12" s="136"/>
      <c r="N12" s="136"/>
      <c r="O12" s="136"/>
      <c r="P12" s="136"/>
      <c r="Q12" s="136"/>
      <c r="R12" s="136"/>
      <c r="S12" s="136"/>
      <c r="T12" s="136"/>
      <c r="U12" s="136"/>
      <c r="V12" s="136"/>
      <c r="W12" s="136"/>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32"/>
    </row>
    <row r="13" spans="1:61" ht="15" thickBot="1" x14ac:dyDescent="0.35">
      <c r="B13" s="63"/>
      <c r="C13" s="64"/>
      <c r="D13" s="65" t="s">
        <v>135</v>
      </c>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418" t="s">
        <v>67</v>
      </c>
      <c r="AW13" s="419"/>
      <c r="AX13" s="420"/>
    </row>
    <row r="14" spans="1:61" x14ac:dyDescent="0.3">
      <c r="A14" s="139" t="s">
        <v>75</v>
      </c>
      <c r="B14" s="66">
        <v>43466</v>
      </c>
      <c r="C14" s="67">
        <f>EDATE(B14,1)</f>
        <v>43497</v>
      </c>
      <c r="D14" s="67">
        <f t="shared" ref="D14:AX14" si="2">EDATE(C14,1)</f>
        <v>43525</v>
      </c>
      <c r="E14" s="67">
        <f t="shared" si="2"/>
        <v>43556</v>
      </c>
      <c r="F14" s="67">
        <f t="shared" si="2"/>
        <v>43586</v>
      </c>
      <c r="G14" s="67">
        <f t="shared" si="2"/>
        <v>43617</v>
      </c>
      <c r="H14" s="67">
        <f t="shared" si="2"/>
        <v>43647</v>
      </c>
      <c r="I14" s="67">
        <f t="shared" si="2"/>
        <v>43678</v>
      </c>
      <c r="J14" s="67">
        <f t="shared" si="2"/>
        <v>43709</v>
      </c>
      <c r="K14" s="67">
        <f t="shared" si="2"/>
        <v>43739</v>
      </c>
      <c r="L14" s="67">
        <f t="shared" ref="L14" si="3">EDATE(K14,1)</f>
        <v>43770</v>
      </c>
      <c r="M14" s="67">
        <f t="shared" ref="M14" si="4">EDATE(L14,1)</f>
        <v>43800</v>
      </c>
      <c r="N14" s="67">
        <f t="shared" ref="N14" si="5">EDATE(M14,1)</f>
        <v>43831</v>
      </c>
      <c r="O14" s="267">
        <f t="shared" ref="O14" si="6">EDATE(N14,1)</f>
        <v>43862</v>
      </c>
      <c r="P14" s="267">
        <f t="shared" ref="P14" si="7">EDATE(O14,1)</f>
        <v>43891</v>
      </c>
      <c r="Q14" s="267">
        <f t="shared" ref="Q14" si="8">EDATE(P14,1)</f>
        <v>43922</v>
      </c>
      <c r="R14" s="267">
        <f t="shared" ref="R14" si="9">EDATE(Q14,1)</f>
        <v>43952</v>
      </c>
      <c r="S14" s="267">
        <f t="shared" ref="S14" si="10">EDATE(R14,1)</f>
        <v>43983</v>
      </c>
      <c r="T14" s="267">
        <f t="shared" ref="T14" si="11">EDATE(S14,1)</f>
        <v>44013</v>
      </c>
      <c r="U14" s="267">
        <f t="shared" ref="U14" si="12">EDATE(T14,1)</f>
        <v>44044</v>
      </c>
      <c r="V14" s="267">
        <f t="shared" ref="V14" si="13">EDATE(U14,1)</f>
        <v>44075</v>
      </c>
      <c r="W14" s="267">
        <f t="shared" ref="W14" si="14">EDATE(V14,1)</f>
        <v>44105</v>
      </c>
      <c r="X14" s="67">
        <f t="shared" ref="X14" si="15">EDATE(W14,1)</f>
        <v>44136</v>
      </c>
      <c r="Y14" s="67">
        <f t="shared" ref="Y14" si="16">EDATE(X14,1)</f>
        <v>44166</v>
      </c>
      <c r="Z14" s="67">
        <f t="shared" ref="Z14" si="17">EDATE(Y14,1)</f>
        <v>44197</v>
      </c>
      <c r="AA14" s="267">
        <f t="shared" ref="AA14" si="18">EDATE(Z14,1)</f>
        <v>44228</v>
      </c>
      <c r="AB14" s="267">
        <f t="shared" ref="AB14" si="19">EDATE(AA14,1)</f>
        <v>44256</v>
      </c>
      <c r="AC14" s="267">
        <f t="shared" ref="AC14" si="20">EDATE(AB14,1)</f>
        <v>44287</v>
      </c>
      <c r="AD14" s="267">
        <f t="shared" ref="AD14" si="21">EDATE(AC14,1)</f>
        <v>44317</v>
      </c>
      <c r="AE14" s="267">
        <f t="shared" ref="AE14" si="22">EDATE(AD14,1)</f>
        <v>44348</v>
      </c>
      <c r="AF14" s="267">
        <f t="shared" ref="AF14" si="23">EDATE(AE14,1)</f>
        <v>44378</v>
      </c>
      <c r="AG14" s="267">
        <f t="shared" ref="AG14" si="24">EDATE(AF14,1)</f>
        <v>44409</v>
      </c>
      <c r="AH14" s="267">
        <f t="shared" ref="AH14" si="25">EDATE(AG14,1)</f>
        <v>44440</v>
      </c>
      <c r="AI14" s="267">
        <f t="shared" ref="AI14" si="26">EDATE(AH14,1)</f>
        <v>44470</v>
      </c>
      <c r="AJ14" s="267">
        <f t="shared" ref="AJ14" si="27">EDATE(AI14,1)</f>
        <v>44501</v>
      </c>
      <c r="AK14" s="267">
        <f t="shared" ref="AK14" si="28">EDATE(AJ14,1)</f>
        <v>44531</v>
      </c>
      <c r="AL14" s="267">
        <f t="shared" ref="AL14" si="29">EDATE(AK14,1)</f>
        <v>44562</v>
      </c>
      <c r="AM14" s="267">
        <f t="shared" ref="AM14" si="30">EDATE(AL14,1)</f>
        <v>44593</v>
      </c>
      <c r="AN14" s="267">
        <f t="shared" ref="AN14" si="31">EDATE(AM14,1)</f>
        <v>44621</v>
      </c>
      <c r="AO14" s="267">
        <f t="shared" ref="AO14" si="32">EDATE(AN14,1)</f>
        <v>44652</v>
      </c>
      <c r="AP14" s="267">
        <f t="shared" ref="AP14" si="33">EDATE(AO14,1)</f>
        <v>44682</v>
      </c>
      <c r="AQ14" s="267">
        <f t="shared" ref="AQ14" si="34">EDATE(AP14,1)</f>
        <v>44713</v>
      </c>
      <c r="AR14" s="267">
        <f t="shared" ref="AR14" si="35">EDATE(AQ14,1)</f>
        <v>44743</v>
      </c>
      <c r="AS14" s="267">
        <f t="shared" ref="AS14" si="36">EDATE(AR14,1)</f>
        <v>44774</v>
      </c>
      <c r="AT14" s="267">
        <f t="shared" ref="AT14" si="37">EDATE(AS14,1)</f>
        <v>44805</v>
      </c>
      <c r="AU14" s="267">
        <f t="shared" ref="AU14" si="38">EDATE(AT14,1)</f>
        <v>44835</v>
      </c>
      <c r="AV14" s="66">
        <f>EDATE(AU14,1)</f>
        <v>44866</v>
      </c>
      <c r="AW14" s="67">
        <f t="shared" si="2"/>
        <v>44896</v>
      </c>
      <c r="AX14" s="68">
        <f t="shared" si="2"/>
        <v>44927</v>
      </c>
      <c r="AZ14" s="1"/>
      <c r="BA14" s="1"/>
      <c r="BB14" s="1"/>
      <c r="BC14" s="1"/>
      <c r="BD14" s="1"/>
      <c r="BE14" s="1"/>
      <c r="BF14" s="1"/>
      <c r="BG14" s="1"/>
      <c r="BH14" s="1"/>
      <c r="BI14" s="1"/>
    </row>
    <row r="15" spans="1:61" x14ac:dyDescent="0.3">
      <c r="A15" s="139" t="s">
        <v>0</v>
      </c>
      <c r="B15" s="69">
        <v>0</v>
      </c>
      <c r="C15" s="70">
        <v>0</v>
      </c>
      <c r="D15" s="70">
        <v>0</v>
      </c>
      <c r="E15" s="70">
        <v>3542.7066619947968</v>
      </c>
      <c r="F15" s="70">
        <v>26593.748856903429</v>
      </c>
      <c r="G15" s="70">
        <v>243363.92907678595</v>
      </c>
      <c r="H15" s="70">
        <v>441129.8099540461</v>
      </c>
      <c r="I15" s="70">
        <v>538055.00088770315</v>
      </c>
      <c r="J15" s="70">
        <v>375001.00963366695</v>
      </c>
      <c r="K15" s="70">
        <v>137834.38057719183</v>
      </c>
      <c r="L15" s="70">
        <v>274809.55657286098</v>
      </c>
      <c r="M15" s="70">
        <v>467843.25553902646</v>
      </c>
      <c r="N15" s="70">
        <v>544296.07292371744</v>
      </c>
      <c r="O15" s="70">
        <v>676189.22029010952</v>
      </c>
      <c r="P15" s="70">
        <v>463090.51540533279</v>
      </c>
      <c r="Q15" s="70">
        <v>212999.83668866704</v>
      </c>
      <c r="R15" s="70">
        <v>239315.41925638349</v>
      </c>
      <c r="S15" s="70">
        <v>745964.63979628112</v>
      </c>
      <c r="T15" s="70">
        <v>1021961.1417325244</v>
      </c>
      <c r="U15" s="70">
        <v>1221140.287913003</v>
      </c>
      <c r="V15" s="70">
        <v>1038934.5439936385</v>
      </c>
      <c r="W15" s="70">
        <v>456853.18990942289</v>
      </c>
      <c r="X15" s="70">
        <v>609473.30327174987</v>
      </c>
      <c r="Y15" s="70">
        <v>767580.56672561402</v>
      </c>
      <c r="Z15" s="70">
        <v>793063.84804214339</v>
      </c>
      <c r="AA15" s="70">
        <v>764854.30430963449</v>
      </c>
      <c r="AB15" s="70">
        <v>819560.20806617534</v>
      </c>
      <c r="AC15" s="70">
        <v>733166.25858200283</v>
      </c>
      <c r="AD15" s="70">
        <v>808585.44290839287</v>
      </c>
      <c r="AE15" s="70">
        <v>2229150.475396621</v>
      </c>
      <c r="AF15" s="70">
        <v>2728598.0253418689</v>
      </c>
      <c r="AG15" s="70">
        <v>2843181.2454154654</v>
      </c>
      <c r="AH15" s="70">
        <v>2152415.8892408246</v>
      </c>
      <c r="AI15" s="79">
        <v>886771.1903804827</v>
      </c>
      <c r="AJ15" s="79">
        <f>'[2]MEEIA 3 calcs'!AL27</f>
        <v>1017970.7346454827</v>
      </c>
      <c r="AK15" s="79">
        <f>'[2]MEEIA 3 calcs'!AM27</f>
        <v>1252923.0225376603</v>
      </c>
      <c r="AL15" s="79">
        <f>'[2]MEEIA 3 calcs'!AN27</f>
        <v>1434652.1574546397</v>
      </c>
      <c r="AM15" s="79">
        <f>'[2]MEEIA 3 calcs'!AO27</f>
        <v>1242256.6900827016</v>
      </c>
      <c r="AN15" s="79">
        <f>'[2]MEEIA 3 calcs'!AP27</f>
        <v>466704.19082447694</v>
      </c>
      <c r="AO15" s="79">
        <f>'[2]MEEIA 3 calcs'!AQ27</f>
        <v>411086.64598257263</v>
      </c>
      <c r="AP15" s="79">
        <f>'[2]MEEIA 3 calcs'!AR27</f>
        <v>460606.66199414816</v>
      </c>
      <c r="AQ15" s="79">
        <f>'[2]MEEIA 3 calcs'!AS27</f>
        <v>1458035.3553365585</v>
      </c>
      <c r="AR15" s="79">
        <f>'[2]MEEIA 3 calcs'!AT27</f>
        <v>1865399.5827007205</v>
      </c>
      <c r="AS15" s="79">
        <f>'[2]MEEIA 3 calcs'!AU27</f>
        <v>1789207.583547906</v>
      </c>
      <c r="AT15" s="79">
        <f>'[2]MEEIA 3 calcs'!AV27</f>
        <v>1230661.6176145528</v>
      </c>
      <c r="AU15" s="79">
        <f>'[2]MEEIA 3 calcs'!AW27</f>
        <v>448108.96181830607</v>
      </c>
      <c r="AV15" s="114">
        <f>'[2]M3 Allocations - TD'!AV31</f>
        <v>513287.7753165249</v>
      </c>
      <c r="AW15" s="115">
        <f>'[2]M3 Allocations - TD'!AW31</f>
        <v>667158.91637326952</v>
      </c>
      <c r="AX15" s="116">
        <f>'[2]M3 Allocations - TD'!AX31</f>
        <v>696119.34220677242</v>
      </c>
      <c r="AY15" s="32"/>
    </row>
    <row r="16" spans="1:61" x14ac:dyDescent="0.3">
      <c r="A16" s="139" t="s">
        <v>4</v>
      </c>
      <c r="B16" s="69">
        <v>0</v>
      </c>
      <c r="C16" s="70">
        <v>0</v>
      </c>
      <c r="D16" s="70">
        <v>0.34412602678174997</v>
      </c>
      <c r="E16" s="70">
        <v>593.85341007321881</v>
      </c>
      <c r="F16" s="70">
        <v>8368.5225960071712</v>
      </c>
      <c r="G16" s="70">
        <v>23641.814181406706</v>
      </c>
      <c r="H16" s="70">
        <v>47663.861231335664</v>
      </c>
      <c r="I16" s="70">
        <v>53414.007632337976</v>
      </c>
      <c r="J16" s="70">
        <v>71963.570102025027</v>
      </c>
      <c r="K16" s="70">
        <v>61965.410188273323</v>
      </c>
      <c r="L16" s="70">
        <v>64700.998849587129</v>
      </c>
      <c r="M16" s="70">
        <v>81956.189294724609</v>
      </c>
      <c r="N16" s="70">
        <v>113990.99327753842</v>
      </c>
      <c r="O16" s="70">
        <v>88043.147483850829</v>
      </c>
      <c r="P16" s="70">
        <v>103641.60510926238</v>
      </c>
      <c r="Q16" s="70">
        <v>44495.668454394727</v>
      </c>
      <c r="R16" s="70">
        <v>72447.479306892477</v>
      </c>
      <c r="S16" s="70">
        <v>100242.14080653639</v>
      </c>
      <c r="T16" s="70">
        <v>144814.88878280437</v>
      </c>
      <c r="U16" s="70">
        <v>113846.66455304027</v>
      </c>
      <c r="V16" s="70">
        <v>127713.0610159208</v>
      </c>
      <c r="W16" s="70">
        <v>102944.20736329375</v>
      </c>
      <c r="X16" s="70">
        <v>98619.753088261379</v>
      </c>
      <c r="Y16" s="70">
        <v>116491.49867964754</v>
      </c>
      <c r="Z16" s="70">
        <v>196559.66519683803</v>
      </c>
      <c r="AA16" s="70">
        <v>143190.44336244816</v>
      </c>
      <c r="AB16" s="70">
        <v>165885.95699877734</v>
      </c>
      <c r="AC16" s="70">
        <v>168014.93999895826</v>
      </c>
      <c r="AD16" s="70">
        <v>224708.57117023846</v>
      </c>
      <c r="AE16" s="70">
        <v>334985.01191056194</v>
      </c>
      <c r="AF16" s="70">
        <v>449867.18718954525</v>
      </c>
      <c r="AG16" s="70">
        <v>392143.15877642907</v>
      </c>
      <c r="AH16" s="70">
        <v>337751.81199888035</v>
      </c>
      <c r="AI16" s="79">
        <v>247793.76914859904</v>
      </c>
      <c r="AJ16" s="79">
        <f>'[2]MEEIA 3 calcs'!AL37</f>
        <v>222262.13845546212</v>
      </c>
      <c r="AK16" s="79">
        <f>'[2]MEEIA 3 calcs'!AM37</f>
        <v>249509.48642011534</v>
      </c>
      <c r="AL16" s="79">
        <f>'[2]MEEIA 3 calcs'!AN37</f>
        <v>321944.69044732186</v>
      </c>
      <c r="AM16" s="79">
        <f>'[2]MEEIA 3 calcs'!AO37</f>
        <v>246962.75301226831</v>
      </c>
      <c r="AN16" s="79">
        <f>'[2]MEEIA 3 calcs'!AP37</f>
        <v>100845.58616926862</v>
      </c>
      <c r="AO16" s="79">
        <f>'[2]MEEIA 3 calcs'!AQ37</f>
        <v>127422.49440160212</v>
      </c>
      <c r="AP16" s="79">
        <f>'[2]MEEIA 3 calcs'!AR37</f>
        <v>191471.00601967305</v>
      </c>
      <c r="AQ16" s="79">
        <f>'[2]MEEIA 3 calcs'!AS37</f>
        <v>262682.7688338983</v>
      </c>
      <c r="AR16" s="79">
        <f>'[2]MEEIA 3 calcs'!AT37</f>
        <v>354188.78297288192</v>
      </c>
      <c r="AS16" s="79">
        <f>'[2]MEEIA 3 calcs'!AU37</f>
        <v>291793.54141646903</v>
      </c>
      <c r="AT16" s="79">
        <f>'[2]MEEIA 3 calcs'!AV37</f>
        <v>288002.90399346605</v>
      </c>
      <c r="AU16" s="79">
        <f>'[2]MEEIA 3 calcs'!AW37</f>
        <v>176158.92806469859</v>
      </c>
      <c r="AV16" s="114">
        <f>'[2]M3 Allocations - TD'!AV32</f>
        <v>154363.61309340104</v>
      </c>
      <c r="AW16" s="115">
        <f>'[2]M3 Allocations - TD'!AW32</f>
        <v>184031.96632591443</v>
      </c>
      <c r="AX16" s="116">
        <f>'[2]M3 Allocations - TD'!AX32</f>
        <v>207246.80988707975</v>
      </c>
      <c r="AY16" s="32"/>
    </row>
    <row r="17" spans="1:52" x14ac:dyDescent="0.3">
      <c r="A17" s="139" t="s">
        <v>5</v>
      </c>
      <c r="B17" s="69">
        <v>0</v>
      </c>
      <c r="C17" s="70">
        <v>0</v>
      </c>
      <c r="D17" s="70">
        <v>0.36790548240712501</v>
      </c>
      <c r="E17" s="70">
        <v>549.3842450882164</v>
      </c>
      <c r="F17" s="70">
        <v>3822.5375931394819</v>
      </c>
      <c r="G17" s="70">
        <v>16781.332362054229</v>
      </c>
      <c r="H17" s="70">
        <v>40077.718380542559</v>
      </c>
      <c r="I17" s="70">
        <v>54061.137994792116</v>
      </c>
      <c r="J17" s="70">
        <v>79608.348605740233</v>
      </c>
      <c r="K17" s="70">
        <v>56432.915123633284</v>
      </c>
      <c r="L17" s="70">
        <v>84805.665004540322</v>
      </c>
      <c r="M17" s="70">
        <v>101585.96799703788</v>
      </c>
      <c r="N17" s="70">
        <v>154209.2659634623</v>
      </c>
      <c r="O17" s="70">
        <v>122696.92137199735</v>
      </c>
      <c r="P17" s="70">
        <v>123411.87388052933</v>
      </c>
      <c r="Q17" s="70">
        <v>47446.211556775474</v>
      </c>
      <c r="R17" s="70">
        <v>83556.534245541465</v>
      </c>
      <c r="S17" s="70">
        <v>189049.36683437167</v>
      </c>
      <c r="T17" s="70">
        <v>265484.4397628404</v>
      </c>
      <c r="U17" s="70">
        <v>248590.59560852987</v>
      </c>
      <c r="V17" s="70">
        <v>229992.78825383674</v>
      </c>
      <c r="W17" s="70">
        <v>142655.78999924072</v>
      </c>
      <c r="X17" s="70">
        <v>140592.80164431839</v>
      </c>
      <c r="Y17" s="70">
        <v>171784.13279113677</v>
      </c>
      <c r="Z17" s="70">
        <v>283797.45031291858</v>
      </c>
      <c r="AA17" s="70">
        <v>210481.86723637651</v>
      </c>
      <c r="AB17" s="70">
        <v>232927.56555946911</v>
      </c>
      <c r="AC17" s="70">
        <v>221111.27962203597</v>
      </c>
      <c r="AD17" s="70">
        <v>314679.79966629087</v>
      </c>
      <c r="AE17" s="70">
        <v>715299.40366319334</v>
      </c>
      <c r="AF17" s="70">
        <v>953627.42461110547</v>
      </c>
      <c r="AG17" s="70">
        <v>939310.43288894033</v>
      </c>
      <c r="AH17" s="70">
        <v>659615.18241367524</v>
      </c>
      <c r="AI17" s="79">
        <v>353569.18814987835</v>
      </c>
      <c r="AJ17" s="79">
        <f>'[2]MEEIA 3 calcs'!AL47</f>
        <v>343727.65210763505</v>
      </c>
      <c r="AK17" s="79">
        <f>'[2]MEEIA 3 calcs'!AM47</f>
        <v>418850.04670264991</v>
      </c>
      <c r="AL17" s="79">
        <f>'[2]MEEIA 3 calcs'!AN47</f>
        <v>627056.98298263596</v>
      </c>
      <c r="AM17" s="79">
        <f>'[2]MEEIA 3 calcs'!AO47</f>
        <v>475288.11809378932</v>
      </c>
      <c r="AN17" s="79">
        <f>'[2]MEEIA 3 calcs'!AP47</f>
        <v>288997.35659879085</v>
      </c>
      <c r="AO17" s="79">
        <f>'[2]MEEIA 3 calcs'!AQ47</f>
        <v>253245.26358346242</v>
      </c>
      <c r="AP17" s="79">
        <f>'[2]MEEIA 3 calcs'!AR47</f>
        <v>337719.24594805558</v>
      </c>
      <c r="AQ17" s="79">
        <f>'[2]MEEIA 3 calcs'!AS47</f>
        <v>917413.81462190335</v>
      </c>
      <c r="AR17" s="79">
        <f>'[2]MEEIA 3 calcs'!AT47</f>
        <v>1145597.0197120309</v>
      </c>
      <c r="AS17" s="79">
        <f>'[2]MEEIA 3 calcs'!AU47</f>
        <v>988866.58881189337</v>
      </c>
      <c r="AT17" s="79">
        <f>'[2]MEEIA 3 calcs'!AV47</f>
        <v>672365.26793086936</v>
      </c>
      <c r="AU17" s="79">
        <f>'[2]MEEIA 3 calcs'!AW47</f>
        <v>344986.1375718661</v>
      </c>
      <c r="AV17" s="114">
        <f>'[2]M3 Allocations - TD'!AV33</f>
        <v>371780.0356207178</v>
      </c>
      <c r="AW17" s="115">
        <f>'[2]M3 Allocations - TD'!AW33</f>
        <v>509918.55718081078</v>
      </c>
      <c r="AX17" s="116">
        <f>'[2]M3 Allocations - TD'!AX33</f>
        <v>579970.9332370339</v>
      </c>
      <c r="AY17" s="32"/>
    </row>
    <row r="18" spans="1:52" x14ac:dyDescent="0.3">
      <c r="A18" s="139" t="s">
        <v>6</v>
      </c>
      <c r="B18" s="69">
        <v>0</v>
      </c>
      <c r="C18" s="70">
        <v>0</v>
      </c>
      <c r="D18" s="70">
        <v>0</v>
      </c>
      <c r="E18" s="70">
        <v>9.4764517045030008</v>
      </c>
      <c r="F18" s="70">
        <v>992.38480063141662</v>
      </c>
      <c r="G18" s="70">
        <v>7292.1248374502911</v>
      </c>
      <c r="H18" s="70">
        <v>15994.94501268368</v>
      </c>
      <c r="I18" s="70">
        <v>17286.492613957165</v>
      </c>
      <c r="J18" s="70">
        <v>20593.63561343183</v>
      </c>
      <c r="K18" s="70">
        <v>13281.46306563299</v>
      </c>
      <c r="L18" s="70">
        <v>20634.15638219006</v>
      </c>
      <c r="M18" s="70">
        <v>18530.128304448888</v>
      </c>
      <c r="N18" s="70">
        <v>41320.38859087076</v>
      </c>
      <c r="O18" s="70">
        <v>29425.974245256413</v>
      </c>
      <c r="P18" s="70">
        <v>32165.147795809222</v>
      </c>
      <c r="Q18" s="70">
        <v>21213.003373036219</v>
      </c>
      <c r="R18" s="70">
        <v>41395.000804902586</v>
      </c>
      <c r="S18" s="70">
        <v>92952.761963081415</v>
      </c>
      <c r="T18" s="70">
        <v>123951.10916307675</v>
      </c>
      <c r="U18" s="70">
        <v>122809.27801030048</v>
      </c>
      <c r="V18" s="70">
        <v>96049.861338882605</v>
      </c>
      <c r="W18" s="70">
        <v>51830.00376307463</v>
      </c>
      <c r="X18" s="70">
        <v>49578.466987818043</v>
      </c>
      <c r="Y18" s="70">
        <v>51735.412802116007</v>
      </c>
      <c r="Z18" s="70">
        <v>90838.744276912417</v>
      </c>
      <c r="AA18" s="70">
        <v>65459.948883100595</v>
      </c>
      <c r="AB18" s="70">
        <v>71534.944524128558</v>
      </c>
      <c r="AC18" s="70">
        <v>71343.757771636898</v>
      </c>
      <c r="AD18" s="70">
        <v>103296.3103477702</v>
      </c>
      <c r="AE18" s="70">
        <v>256562.81120160531</v>
      </c>
      <c r="AF18" s="70">
        <v>319479.07850425603</v>
      </c>
      <c r="AG18" s="70">
        <v>309875.12991512951</v>
      </c>
      <c r="AH18" s="70">
        <v>200668.49634980995</v>
      </c>
      <c r="AI18" s="79">
        <v>111417.50190042912</v>
      </c>
      <c r="AJ18" s="79">
        <f>'[2]MEEIA 3 calcs'!AL57</f>
        <v>93253.892629017733</v>
      </c>
      <c r="AK18" s="79">
        <f>'[2]MEEIA 3 calcs'!AM57</f>
        <v>103488.5984224446</v>
      </c>
      <c r="AL18" s="79">
        <f>'[2]MEEIA 3 calcs'!AN57</f>
        <v>144414.82989089785</v>
      </c>
      <c r="AM18" s="79">
        <f>'[2]MEEIA 3 calcs'!AO57</f>
        <v>110066.63506595949</v>
      </c>
      <c r="AN18" s="79">
        <f>'[2]MEEIA 3 calcs'!AP57</f>
        <v>50328.1679847302</v>
      </c>
      <c r="AO18" s="79">
        <f>'[2]MEEIA 3 calcs'!AQ57</f>
        <v>48818.637830727937</v>
      </c>
      <c r="AP18" s="79">
        <f>'[2]MEEIA 3 calcs'!AR57</f>
        <v>69139.5977047872</v>
      </c>
      <c r="AQ18" s="79">
        <f>'[2]MEEIA 3 calcs'!AS57</f>
        <v>204404.00741586328</v>
      </c>
      <c r="AR18" s="79">
        <f>'[2]MEEIA 3 calcs'!AT57</f>
        <v>281050.68735267245</v>
      </c>
      <c r="AS18" s="79">
        <f>'[2]MEEIA 3 calcs'!AU57</f>
        <v>243115.17544525067</v>
      </c>
      <c r="AT18" s="79">
        <f>'[2]MEEIA 3 calcs'!AV57</f>
        <v>160177.67633933009</v>
      </c>
      <c r="AU18" s="79">
        <f>'[2]MEEIA 3 calcs'!AW57</f>
        <v>71401.608823197399</v>
      </c>
      <c r="AV18" s="114">
        <f>'[2]M3 Allocations - TD'!AV34</f>
        <v>70082.744170847945</v>
      </c>
      <c r="AW18" s="115">
        <f>'[2]M3 Allocations - TD'!AW34</f>
        <v>100472.44441939586</v>
      </c>
      <c r="AX18" s="116">
        <f>'[2]M3 Allocations - TD'!AX34</f>
        <v>132403.90069171612</v>
      </c>
      <c r="AY18" s="32"/>
    </row>
    <row r="19" spans="1:52" x14ac:dyDescent="0.3">
      <c r="A19" s="139" t="s">
        <v>7</v>
      </c>
      <c r="B19" s="69">
        <v>0</v>
      </c>
      <c r="C19" s="70">
        <v>0</v>
      </c>
      <c r="D19" s="70">
        <v>0</v>
      </c>
      <c r="E19" s="70">
        <v>0</v>
      </c>
      <c r="F19" s="70">
        <v>158.37627524588399</v>
      </c>
      <c r="G19" s="70">
        <v>597.17310476301054</v>
      </c>
      <c r="H19" s="70">
        <v>0</v>
      </c>
      <c r="I19" s="70">
        <v>224.30843760020062</v>
      </c>
      <c r="J19" s="70">
        <v>578.11242788452876</v>
      </c>
      <c r="K19" s="70">
        <v>553.72176658848127</v>
      </c>
      <c r="L19" s="70">
        <v>4498.45610981133</v>
      </c>
      <c r="M19" s="70">
        <v>2468.5744882877784</v>
      </c>
      <c r="N19" s="70">
        <v>6482.3323978120161</v>
      </c>
      <c r="O19" s="70">
        <v>4714.4220035550234</v>
      </c>
      <c r="P19" s="70">
        <v>4933.2233077077817</v>
      </c>
      <c r="Q19" s="70">
        <v>4340.5509347173938</v>
      </c>
      <c r="R19" s="70">
        <v>11799.946486826884</v>
      </c>
      <c r="S19" s="70">
        <v>38257.943252341713</v>
      </c>
      <c r="T19" s="70">
        <v>40690.592006909494</v>
      </c>
      <c r="U19" s="70">
        <v>41885.585703975645</v>
      </c>
      <c r="V19" s="70">
        <v>26780.761635291285</v>
      </c>
      <c r="W19" s="70">
        <v>10597.262650374174</v>
      </c>
      <c r="X19" s="70">
        <v>10543.327297722915</v>
      </c>
      <c r="Y19" s="70">
        <v>12471.245557264963</v>
      </c>
      <c r="Z19" s="70">
        <v>12960.956487818141</v>
      </c>
      <c r="AA19" s="70">
        <v>11180.008563256184</v>
      </c>
      <c r="AB19" s="70">
        <v>10723.724250200386</v>
      </c>
      <c r="AC19" s="70">
        <v>12186.584798764601</v>
      </c>
      <c r="AD19" s="70">
        <v>21281.154475581399</v>
      </c>
      <c r="AE19" s="70">
        <v>66612.208134140514</v>
      </c>
      <c r="AF19" s="70">
        <v>73408.187300820806</v>
      </c>
      <c r="AG19" s="70">
        <v>73181.995355948209</v>
      </c>
      <c r="AH19" s="70">
        <v>44682.245754003154</v>
      </c>
      <c r="AI19" s="79">
        <v>19447.902145822471</v>
      </c>
      <c r="AJ19" s="79">
        <f>'[2]MEEIA 3 calcs'!AL67</f>
        <v>16125.741463642871</v>
      </c>
      <c r="AK19" s="79">
        <f>'[2]MEEIA 3 calcs'!AM67</f>
        <v>19063.36096942682</v>
      </c>
      <c r="AL19" s="79">
        <f>'[2]MEEIA 3 calcs'!AN67</f>
        <v>18825.407725594807</v>
      </c>
      <c r="AM19" s="79">
        <f>'[2]MEEIA 3 calcs'!AO67</f>
        <v>15042.280346882986</v>
      </c>
      <c r="AN19" s="79">
        <f>'[2]MEEIA 3 calcs'!AP67</f>
        <v>5372.5491881501548</v>
      </c>
      <c r="AO19" s="79">
        <f>'[2]MEEIA 3 calcs'!AQ67</f>
        <v>5761.1753207721658</v>
      </c>
      <c r="AP19" s="79">
        <f>'[2]MEEIA 3 calcs'!AR67</f>
        <v>7701.1665386990999</v>
      </c>
      <c r="AQ19" s="79">
        <f>'[2]MEEIA 3 calcs'!AS67</f>
        <v>20816.695916117322</v>
      </c>
      <c r="AR19" s="79">
        <f>'[2]MEEIA 3 calcs'!AT67</f>
        <v>29321.450972661642</v>
      </c>
      <c r="AS19" s="79">
        <f>'[2]MEEIA 3 calcs'!AU67</f>
        <v>29057.042020850196</v>
      </c>
      <c r="AT19" s="79">
        <f>'[2]MEEIA 3 calcs'!AV67</f>
        <v>22639.119300577775</v>
      </c>
      <c r="AU19" s="79">
        <f>'[2]MEEIA 3 calcs'!AW67</f>
        <v>10522.674846079888</v>
      </c>
      <c r="AV19" s="114">
        <f>'[2]M3 Allocations - TD'!AV35</f>
        <v>9984.2342642800941</v>
      </c>
      <c r="AW19" s="115">
        <f>'[2]M3 Allocations - TD'!AW35</f>
        <v>13628.440153965161</v>
      </c>
      <c r="AX19" s="116">
        <f>'[2]M3 Allocations - TD'!AX35</f>
        <v>16081.445285659314</v>
      </c>
      <c r="AY19" s="32"/>
    </row>
    <row r="20" spans="1:52" x14ac:dyDescent="0.3">
      <c r="B20" s="73"/>
      <c r="C20" s="74"/>
      <c r="D20" s="74"/>
      <c r="E20" s="74"/>
      <c r="F20" s="74"/>
      <c r="G20" s="83"/>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5"/>
      <c r="AW20" s="76"/>
      <c r="AX20" s="77"/>
    </row>
    <row r="21" spans="1:52" x14ac:dyDescent="0.3">
      <c r="A21" s="32" t="s">
        <v>118</v>
      </c>
      <c r="B21" s="177"/>
      <c r="C21" s="74"/>
      <c r="D21" s="78" t="s">
        <v>68</v>
      </c>
      <c r="E21" s="176"/>
      <c r="F21" s="176"/>
      <c r="G21" s="83"/>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5"/>
      <c r="AW21" s="76"/>
      <c r="AX21" s="77"/>
      <c r="AY21" s="91" t="s">
        <v>106</v>
      </c>
    </row>
    <row r="22" spans="1:52" x14ac:dyDescent="0.3">
      <c r="A22" s="139" t="s">
        <v>0</v>
      </c>
      <c r="B22" s="69">
        <v>0</v>
      </c>
      <c r="C22" s="70">
        <v>0</v>
      </c>
      <c r="D22" s="70">
        <v>0</v>
      </c>
      <c r="E22" s="70">
        <v>0</v>
      </c>
      <c r="F22" s="70">
        <v>28084.31</v>
      </c>
      <c r="G22" s="70">
        <v>338961.47</v>
      </c>
      <c r="H22" s="70">
        <v>431295.26</v>
      </c>
      <c r="I22" s="70">
        <v>454282.99</v>
      </c>
      <c r="J22" s="70">
        <v>419095.06</v>
      </c>
      <c r="K22" s="70">
        <v>344369.99</v>
      </c>
      <c r="L22" s="263">
        <v>308922.04000000004</v>
      </c>
      <c r="M22" s="263">
        <v>415727.27</v>
      </c>
      <c r="N22" s="263">
        <v>459121.81</v>
      </c>
      <c r="O22" s="263">
        <v>465524.23000000004</v>
      </c>
      <c r="P22" s="263">
        <v>420640.45999999996</v>
      </c>
      <c r="Q22" s="263">
        <v>333131.02</v>
      </c>
      <c r="R22" s="263">
        <v>297680.28000000003</v>
      </c>
      <c r="S22" s="263">
        <v>393958.54999999993</v>
      </c>
      <c r="T22" s="263">
        <v>529326.34</v>
      </c>
      <c r="U22" s="263">
        <v>496875.44000000006</v>
      </c>
      <c r="V22" s="263">
        <v>447785.36000000004</v>
      </c>
      <c r="W22" s="263">
        <v>302563.73</v>
      </c>
      <c r="X22" s="263">
        <v>322763.35000000003</v>
      </c>
      <c r="Y22" s="263">
        <v>427989.89000000013</v>
      </c>
      <c r="Z22" s="263">
        <v>556980.74999999988</v>
      </c>
      <c r="AA22" s="263">
        <v>1353651.1500000001</v>
      </c>
      <c r="AB22" s="263">
        <v>1757169.11</v>
      </c>
      <c r="AC22" s="263">
        <v>1185680.5900000001</v>
      </c>
      <c r="AD22" s="263">
        <v>1113985.45</v>
      </c>
      <c r="AE22" s="263">
        <v>1461163.7500000002</v>
      </c>
      <c r="AF22" s="263">
        <v>1930056.9700000002</v>
      </c>
      <c r="AG22" s="263">
        <v>1969181.3399999996</v>
      </c>
      <c r="AH22" s="263">
        <v>1934282.8</v>
      </c>
      <c r="AI22" s="304">
        <v>1339485.0199999998</v>
      </c>
      <c r="AJ22" s="304">
        <f>-'[1]TDR.2 (M3)'!AF6</f>
        <v>1255194.55</v>
      </c>
      <c r="AK22" s="304">
        <f>-'[1]TDR.2 (M3)'!AG6</f>
        <v>1570523.0000000002</v>
      </c>
      <c r="AL22" s="304">
        <f>-'[1]TDR.2 (M3)'!AH6</f>
        <v>2029992.9200000002</v>
      </c>
      <c r="AM22" s="304">
        <f>-'[1]TDR.2 (M3)'!AI6</f>
        <v>1633369.1100000003</v>
      </c>
      <c r="AN22" s="304">
        <f>-'[1]TDR.2 (M3)'!AJ6</f>
        <v>714783.1</v>
      </c>
      <c r="AO22" s="304">
        <f>-'[1]TDR.2 (M3)'!AK6</f>
        <v>547759.59000000008</v>
      </c>
      <c r="AP22" s="304">
        <f>-'[1]TDR.2 (M3)'!AL6</f>
        <v>512195.46999999991</v>
      </c>
      <c r="AQ22" s="304">
        <f>-'[1]TDR.2 (M3)'!AM6</f>
        <v>651024.83000000007</v>
      </c>
      <c r="AR22" s="304">
        <f>-'[1]TDR.2 (M3)'!AN6</f>
        <v>895488.57999999984</v>
      </c>
      <c r="AS22" s="304">
        <f>-'[1]TDR.2 (M3)'!AO6</f>
        <v>853007.9</v>
      </c>
      <c r="AT22" s="304">
        <f>-'[1]TDR.2 (M3)'!AP6</f>
        <v>710408.71999999974</v>
      </c>
      <c r="AU22" s="304">
        <f>-'[1]TDR.2 (M3)'!AQ6</f>
        <v>511382.35999999987</v>
      </c>
      <c r="AV22" s="306">
        <f>+'PCR (M3)'!AW28*'TDR (M3)'!$AY$22+AV36</f>
        <v>496744.51458413625</v>
      </c>
      <c r="AW22" s="89">
        <f>+'PCR (M3)'!AX28*'TDR (M3)'!$AY$22+AW36</f>
        <v>713946.21934838651</v>
      </c>
      <c r="AX22" s="371">
        <f>+'PCR (M3)'!AY28*'TDR (M3)'!$AY$22+AX36</f>
        <v>882597.64268176735</v>
      </c>
      <c r="AY22" s="80">
        <v>6.3199999999999997E-4</v>
      </c>
      <c r="AZ22" s="81"/>
    </row>
    <row r="23" spans="1:52" x14ac:dyDescent="0.3">
      <c r="A23" s="139" t="s">
        <v>4</v>
      </c>
      <c r="B23" s="69">
        <v>0</v>
      </c>
      <c r="C23" s="70">
        <v>0</v>
      </c>
      <c r="D23" s="70">
        <v>0</v>
      </c>
      <c r="E23" s="70">
        <v>0</v>
      </c>
      <c r="F23" s="70">
        <v>4774.55</v>
      </c>
      <c r="G23" s="70">
        <v>61751.54</v>
      </c>
      <c r="H23" s="70">
        <v>70665.5</v>
      </c>
      <c r="I23" s="70">
        <v>72630.98</v>
      </c>
      <c r="J23" s="70">
        <v>70137.22</v>
      </c>
      <c r="K23" s="70">
        <v>63135.64</v>
      </c>
      <c r="L23" s="263">
        <v>56628.270000000019</v>
      </c>
      <c r="M23" s="263">
        <v>66553.34</v>
      </c>
      <c r="N23" s="263">
        <v>70974.640000000029</v>
      </c>
      <c r="O23" s="263">
        <v>74514.040000000008</v>
      </c>
      <c r="P23" s="263">
        <v>73821.709999999977</v>
      </c>
      <c r="Q23" s="263">
        <v>56719.110000000008</v>
      </c>
      <c r="R23" s="263">
        <v>51424.729999999989</v>
      </c>
      <c r="S23" s="263">
        <v>64574.180000000022</v>
      </c>
      <c r="T23" s="263">
        <v>80406.710000000021</v>
      </c>
      <c r="U23" s="263">
        <v>78372.460000000021</v>
      </c>
      <c r="V23" s="263">
        <v>75020.860000000015</v>
      </c>
      <c r="W23" s="263">
        <v>60809.53</v>
      </c>
      <c r="X23" s="263">
        <v>60774.799999999996</v>
      </c>
      <c r="Y23" s="263">
        <v>70212.570000000007</v>
      </c>
      <c r="Z23" s="263">
        <v>83755.55</v>
      </c>
      <c r="AA23" s="263">
        <v>247981.22999999998</v>
      </c>
      <c r="AB23" s="263">
        <v>383476.25999999995</v>
      </c>
      <c r="AC23" s="263">
        <v>305019.12000000005</v>
      </c>
      <c r="AD23" s="263">
        <v>298211.62</v>
      </c>
      <c r="AE23" s="263">
        <v>355738.7099999999</v>
      </c>
      <c r="AF23" s="263">
        <v>421100.94999999995</v>
      </c>
      <c r="AG23" s="263">
        <v>421260.25</v>
      </c>
      <c r="AH23" s="263">
        <v>425647.35000000009</v>
      </c>
      <c r="AI23" s="304">
        <v>355043.17</v>
      </c>
      <c r="AJ23" s="304">
        <f>-'[1]TDR.2 (M3)'!AF7</f>
        <v>317440.44000000006</v>
      </c>
      <c r="AK23" s="304">
        <f>-'[1]TDR.2 (M3)'!AG7</f>
        <v>361675.88999999996</v>
      </c>
      <c r="AL23" s="304">
        <f>-'[1]TDR.2 (M3)'!AH7</f>
        <v>427108.58</v>
      </c>
      <c r="AM23" s="304">
        <f>-'[1]TDR.2 (M3)'!AI7</f>
        <v>352548.03000000009</v>
      </c>
      <c r="AN23" s="304">
        <f>-'[1]TDR.2 (M3)'!AJ7</f>
        <v>202576.29999999996</v>
      </c>
      <c r="AO23" s="304">
        <f>-'[1]TDR.2 (M3)'!AK7</f>
        <v>179190.8</v>
      </c>
      <c r="AP23" s="304">
        <f>-'[1]TDR.2 (M3)'!AL7</f>
        <v>173555.15</v>
      </c>
      <c r="AQ23" s="304">
        <f>-'[1]TDR.2 (M3)'!AM7</f>
        <v>201857.14</v>
      </c>
      <c r="AR23" s="304">
        <f>-'[1]TDR.2 (M3)'!AN7</f>
        <v>241561.14999999997</v>
      </c>
      <c r="AS23" s="304">
        <f>-'[1]TDR.2 (M3)'!AO7</f>
        <v>236616.93999999997</v>
      </c>
      <c r="AT23" s="304">
        <f>-'[1]TDR.2 (M3)'!AP7</f>
        <v>216950.84000000003</v>
      </c>
      <c r="AU23" s="304">
        <f>-'[1]TDR.2 (M3)'!AQ7</f>
        <v>178443.24999999994</v>
      </c>
      <c r="AV23" s="306">
        <f>+'PCR (M3)'!AW29*'TDR (M3)'!$AY$23</f>
        <v>165855.10787324235</v>
      </c>
      <c r="AW23" s="89">
        <f>+'PCR (M3)'!AX29*'TDR (M3)'!$AY$23</f>
        <v>200886.50944242743</v>
      </c>
      <c r="AX23" s="371">
        <f>+'PCR (M3)'!AY29*'TDR (M3)'!$AY$23</f>
        <v>237113.91150646424</v>
      </c>
      <c r="AY23" s="80">
        <v>7.7499999999999997E-4</v>
      </c>
      <c r="AZ23" s="81"/>
    </row>
    <row r="24" spans="1:52" x14ac:dyDescent="0.3">
      <c r="A24" s="139" t="s">
        <v>5</v>
      </c>
      <c r="B24" s="69">
        <v>0</v>
      </c>
      <c r="C24" s="70">
        <v>0</v>
      </c>
      <c r="D24" s="70">
        <v>0</v>
      </c>
      <c r="E24" s="70">
        <v>0</v>
      </c>
      <c r="F24" s="70">
        <v>7030.01</v>
      </c>
      <c r="G24" s="70">
        <v>109921.60000000001</v>
      </c>
      <c r="H24" s="70">
        <v>118808.51</v>
      </c>
      <c r="I24" s="70">
        <v>121642.28</v>
      </c>
      <c r="J24" s="70">
        <v>122769.41</v>
      </c>
      <c r="K24" s="70">
        <v>112787.98</v>
      </c>
      <c r="L24" s="263">
        <v>99578.229999999981</v>
      </c>
      <c r="M24" s="263">
        <v>107954.60999999999</v>
      </c>
      <c r="N24" s="263">
        <v>111669.28</v>
      </c>
      <c r="O24" s="263">
        <v>108510.19999999998</v>
      </c>
      <c r="P24" s="263">
        <v>102469.35000000002</v>
      </c>
      <c r="Q24" s="263">
        <v>87569.04</v>
      </c>
      <c r="R24" s="263">
        <v>81676.990000000005</v>
      </c>
      <c r="S24" s="263">
        <v>96788.800000000003</v>
      </c>
      <c r="T24" s="263">
        <v>113009.34999999999</v>
      </c>
      <c r="U24" s="263">
        <v>112596.33999999998</v>
      </c>
      <c r="V24" s="263">
        <v>112065.74</v>
      </c>
      <c r="W24" s="263">
        <v>95621.750000000015</v>
      </c>
      <c r="X24" s="263">
        <v>93151.01</v>
      </c>
      <c r="Y24" s="263">
        <v>100114.88000000002</v>
      </c>
      <c r="Z24" s="263">
        <v>107296.64000000003</v>
      </c>
      <c r="AA24" s="263">
        <v>327311.55000000005</v>
      </c>
      <c r="AB24" s="263">
        <v>570755.54999999993</v>
      </c>
      <c r="AC24" s="263">
        <v>508275.99999999983</v>
      </c>
      <c r="AD24" s="263">
        <v>517711.44000000018</v>
      </c>
      <c r="AE24" s="263">
        <v>575315.39</v>
      </c>
      <c r="AF24" s="263">
        <v>673826.0199999999</v>
      </c>
      <c r="AG24" s="263">
        <v>667802.69000000006</v>
      </c>
      <c r="AH24" s="263">
        <v>680633.38000000012</v>
      </c>
      <c r="AI24" s="304">
        <v>598281.08999999985</v>
      </c>
      <c r="AJ24" s="304">
        <f>-'[1]TDR.2 (M3)'!AF8</f>
        <v>531580.7699999999</v>
      </c>
      <c r="AK24" s="304">
        <f>-'[1]TDR.2 (M3)'!AG8</f>
        <v>580996.62999999989</v>
      </c>
      <c r="AL24" s="304">
        <f>-'[1]TDR.2 (M3)'!AH8</f>
        <v>621109.79</v>
      </c>
      <c r="AM24" s="304">
        <f>-'[1]TDR.2 (M3)'!AI8</f>
        <v>504253.87000000011</v>
      </c>
      <c r="AN24" s="304">
        <f>-'[1]TDR.2 (M3)'!AJ8</f>
        <v>301892.69</v>
      </c>
      <c r="AO24" s="304">
        <f>-'[1]TDR.2 (M3)'!AK8</f>
        <v>280545.47000000009</v>
      </c>
      <c r="AP24" s="304">
        <f>-'[1]TDR.2 (M3)'!AL8</f>
        <v>290164.87</v>
      </c>
      <c r="AQ24" s="304">
        <f>-'[1]TDR.2 (M3)'!AM8</f>
        <v>325613.77</v>
      </c>
      <c r="AR24" s="304">
        <f>-'[1]TDR.2 (M3)'!AN8</f>
        <v>365143.97000000003</v>
      </c>
      <c r="AS24" s="304">
        <f>-'[1]TDR.2 (M3)'!AO8</f>
        <v>362549.21000000008</v>
      </c>
      <c r="AT24" s="304">
        <f>-'[1]TDR.2 (M3)'!AP8</f>
        <v>346741.86</v>
      </c>
      <c r="AU24" s="304">
        <f>-'[1]TDR.2 (M3)'!AQ8</f>
        <v>297961.13</v>
      </c>
      <c r="AV24" s="306">
        <f>+'PCR (M3)'!AW30*'TDR (M3)'!$AY$24</f>
        <v>283726.8901320083</v>
      </c>
      <c r="AW24" s="89">
        <f>+'PCR (M3)'!AX30*'TDR (M3)'!$AY$24</f>
        <v>314922.16547289555</v>
      </c>
      <c r="AX24" s="371">
        <f>+'PCR (M3)'!AY30*'TDR (M3)'!$AY$24</f>
        <v>344716.49477980705</v>
      </c>
      <c r="AY24" s="80">
        <v>5.62E-4</v>
      </c>
      <c r="AZ24" s="81"/>
    </row>
    <row r="25" spans="1:52" x14ac:dyDescent="0.3">
      <c r="A25" s="139" t="s">
        <v>6</v>
      </c>
      <c r="B25" s="69">
        <v>0</v>
      </c>
      <c r="C25" s="70">
        <v>0</v>
      </c>
      <c r="D25" s="70">
        <v>0</v>
      </c>
      <c r="E25" s="70">
        <v>0</v>
      </c>
      <c r="F25" s="70">
        <v>2496.56</v>
      </c>
      <c r="G25" s="70">
        <v>42291.09</v>
      </c>
      <c r="H25" s="70">
        <v>47913.74</v>
      </c>
      <c r="I25" s="70">
        <v>50299.83</v>
      </c>
      <c r="J25" s="70">
        <v>49993.73</v>
      </c>
      <c r="K25" s="70">
        <v>46326.65</v>
      </c>
      <c r="L25" s="263">
        <v>42840.76999999999</v>
      </c>
      <c r="M25" s="263">
        <v>43135.039999999994</v>
      </c>
      <c r="N25" s="263">
        <v>44374.039999999994</v>
      </c>
      <c r="O25" s="263">
        <v>45259.54</v>
      </c>
      <c r="P25" s="263">
        <v>39182.19</v>
      </c>
      <c r="Q25" s="263">
        <v>38273.289999999994</v>
      </c>
      <c r="R25" s="263">
        <v>36030.869999999995</v>
      </c>
      <c r="S25" s="263">
        <v>41962.670000000006</v>
      </c>
      <c r="T25" s="263">
        <v>44167.05000000001</v>
      </c>
      <c r="U25" s="263">
        <v>46294.410000000018</v>
      </c>
      <c r="V25" s="263">
        <v>46306.19</v>
      </c>
      <c r="W25" s="263">
        <v>41160.139999999992</v>
      </c>
      <c r="X25" s="263">
        <v>40868.619999999988</v>
      </c>
      <c r="Y25" s="263">
        <v>42762.14</v>
      </c>
      <c r="Z25" s="263">
        <v>41986.66</v>
      </c>
      <c r="AA25" s="263">
        <v>113037.43</v>
      </c>
      <c r="AB25" s="263">
        <v>187949.41</v>
      </c>
      <c r="AC25" s="263">
        <v>188602.40000000008</v>
      </c>
      <c r="AD25" s="263">
        <v>195382.66999999995</v>
      </c>
      <c r="AE25" s="263">
        <v>188207.84000000005</v>
      </c>
      <c r="AF25" s="263">
        <v>251615.09000000005</v>
      </c>
      <c r="AG25" s="263">
        <v>231015.31</v>
      </c>
      <c r="AH25" s="263">
        <v>233947.54999999996</v>
      </c>
      <c r="AI25" s="304">
        <v>202010.25</v>
      </c>
      <c r="AJ25" s="304">
        <f>-'[1]TDR.2 (M3)'!AF9</f>
        <v>176212.47999999998</v>
      </c>
      <c r="AK25" s="304">
        <f>-'[1]TDR.2 (M3)'!AG9</f>
        <v>231619.08</v>
      </c>
      <c r="AL25" s="304">
        <f>-'[1]TDR.2 (M3)'!AH9</f>
        <v>223678.56999999998</v>
      </c>
      <c r="AM25" s="304">
        <f>-'[1]TDR.2 (M3)'!AI9</f>
        <v>167453.83999999997</v>
      </c>
      <c r="AN25" s="304">
        <f>-'[1]TDR.2 (M3)'!AJ9</f>
        <v>87280.08</v>
      </c>
      <c r="AO25" s="304">
        <f>-'[1]TDR.2 (M3)'!AK9</f>
        <v>74518.28</v>
      </c>
      <c r="AP25" s="304">
        <f>-'[1]TDR.2 (M3)'!AL9</f>
        <v>87009.310000000012</v>
      </c>
      <c r="AQ25" s="304">
        <f>-'[1]TDR.2 (M3)'!AM9</f>
        <v>99059.549999999988</v>
      </c>
      <c r="AR25" s="304">
        <f>-'[1]TDR.2 (M3)'!AN9</f>
        <v>102989.08</v>
      </c>
      <c r="AS25" s="304">
        <f>-'[1]TDR.2 (M3)'!AO9</f>
        <v>102162.93000000001</v>
      </c>
      <c r="AT25" s="304">
        <f>-'[1]TDR.2 (M3)'!AP9</f>
        <v>99521.61</v>
      </c>
      <c r="AU25" s="304">
        <f>-'[1]TDR.2 (M3)'!AQ9</f>
        <v>88233.749999999971</v>
      </c>
      <c r="AV25" s="306">
        <f>+'PCR (M3)'!AW31*'TDR (M3)'!$AY$25</f>
        <v>85907.644962659659</v>
      </c>
      <c r="AW25" s="89">
        <f>+'PCR (M3)'!AX31*'TDR (M3)'!$AY$25</f>
        <v>89526.242105336627</v>
      </c>
      <c r="AX25" s="371">
        <f>+'PCR (M3)'!AY31*'TDR (M3)'!$AY$25</f>
        <v>92999.865321237914</v>
      </c>
      <c r="AY25" s="80">
        <v>3.8499999999999998E-4</v>
      </c>
      <c r="AZ25" s="81"/>
    </row>
    <row r="26" spans="1:52" x14ac:dyDescent="0.3">
      <c r="A26" s="139" t="s">
        <v>7</v>
      </c>
      <c r="B26" s="69">
        <v>0</v>
      </c>
      <c r="C26" s="70">
        <v>0</v>
      </c>
      <c r="D26" s="70">
        <v>0</v>
      </c>
      <c r="E26" s="70">
        <v>0</v>
      </c>
      <c r="F26" s="70">
        <v>0</v>
      </c>
      <c r="G26" s="70">
        <v>4678.1400000000003</v>
      </c>
      <c r="H26" s="70">
        <v>7353.04</v>
      </c>
      <c r="I26" s="70">
        <v>8142.09</v>
      </c>
      <c r="J26" s="70">
        <v>8251.43</v>
      </c>
      <c r="K26" s="70">
        <v>7783.91</v>
      </c>
      <c r="L26" s="263">
        <v>6912.6799999999994</v>
      </c>
      <c r="M26" s="263">
        <v>6504.34</v>
      </c>
      <c r="N26" s="263">
        <v>6883.48</v>
      </c>
      <c r="O26" s="263">
        <v>11571.119999999999</v>
      </c>
      <c r="P26" s="263">
        <v>19931.79</v>
      </c>
      <c r="Q26" s="263">
        <v>21827.09</v>
      </c>
      <c r="R26" s="263">
        <v>22161.010000000002</v>
      </c>
      <c r="S26" s="263">
        <v>17306.599999999999</v>
      </c>
      <c r="T26" s="263">
        <v>24911.24</v>
      </c>
      <c r="U26" s="263">
        <v>25659.019999999997</v>
      </c>
      <c r="V26" s="263">
        <v>26024.15</v>
      </c>
      <c r="W26" s="263">
        <v>22923.1</v>
      </c>
      <c r="X26" s="263">
        <v>22483.33</v>
      </c>
      <c r="Y26" s="263">
        <v>22959.239999999998</v>
      </c>
      <c r="Z26" s="263">
        <v>20997.32</v>
      </c>
      <c r="AA26" s="263">
        <v>34921.4</v>
      </c>
      <c r="AB26" s="263">
        <v>24946.880000000001</v>
      </c>
      <c r="AC26" s="263">
        <v>42288.49</v>
      </c>
      <c r="AD26" s="263">
        <v>42963.199999999997</v>
      </c>
      <c r="AE26" s="263">
        <v>41464.469999999994</v>
      </c>
      <c r="AF26" s="263">
        <v>52916.49</v>
      </c>
      <c r="AG26" s="263">
        <v>50374.329999999994</v>
      </c>
      <c r="AH26" s="263">
        <v>54469.920000000006</v>
      </c>
      <c r="AI26" s="304">
        <v>49925.55</v>
      </c>
      <c r="AJ26" s="304">
        <f>-'[1]TDR.2 (M3)'!AF10</f>
        <v>33144.800000000003</v>
      </c>
      <c r="AK26" s="304">
        <f>-'[1]TDR.2 (M3)'!AG10</f>
        <v>46471.669999999991</v>
      </c>
      <c r="AL26" s="304">
        <f>-'[1]TDR.2 (M3)'!AH10</f>
        <v>43301.109999999993</v>
      </c>
      <c r="AM26" s="304">
        <f>-'[1]TDR.2 (M3)'!AI10</f>
        <v>35959.279999999999</v>
      </c>
      <c r="AN26" s="304">
        <f>-'[1]TDR.2 (M3)'!AJ10</f>
        <v>6497.26</v>
      </c>
      <c r="AO26" s="304">
        <f>-'[1]TDR.2 (M3)'!AK10</f>
        <v>-22925.25</v>
      </c>
      <c r="AP26" s="304">
        <f>-'[1]TDR.2 (M3)'!AL10</f>
        <v>5065.8700000000008</v>
      </c>
      <c r="AQ26" s="304">
        <f>-'[1]TDR.2 (M3)'!AM10</f>
        <v>6175.3700000000008</v>
      </c>
      <c r="AR26" s="304">
        <f>-'[1]TDR.2 (M3)'!AN10</f>
        <v>7084.6299999999992</v>
      </c>
      <c r="AS26" s="304">
        <f>-'[1]TDR.2 (M3)'!AO10</f>
        <v>7005.1099999999988</v>
      </c>
      <c r="AT26" s="304">
        <f>-'[1]TDR.2 (M3)'!AP10</f>
        <v>7302.95</v>
      </c>
      <c r="AU26" s="304">
        <f>-'[1]TDR.2 (M3)'!AQ10</f>
        <v>6273.92</v>
      </c>
      <c r="AV26" s="306">
        <f>+'PCR (M3)'!AW32*'TDR (M3)'!$AY$26</f>
        <v>6083.8638128528473</v>
      </c>
      <c r="AW26" s="89">
        <f>+'PCR (M3)'!AX32*'TDR (M3)'!$AY$26</f>
        <v>5961.2958858114662</v>
      </c>
      <c r="AX26" s="371">
        <f>+'PCR (M3)'!AY32*'TDR (M3)'!$AY$26</f>
        <v>6280.8843478745448</v>
      </c>
      <c r="AY26" s="80">
        <v>7.1000000000000005E-5</v>
      </c>
      <c r="AZ26" s="81"/>
    </row>
    <row r="27" spans="1:52" x14ac:dyDescent="0.3">
      <c r="B27" s="82"/>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2"/>
      <c r="AW27" s="83"/>
      <c r="AX27" s="77"/>
      <c r="AZ27" s="3"/>
    </row>
    <row r="28" spans="1:52" x14ac:dyDescent="0.3">
      <c r="A28" s="32" t="s">
        <v>101</v>
      </c>
      <c r="B28" s="179"/>
      <c r="C28" s="176"/>
      <c r="D28" s="78"/>
      <c r="E28" s="74"/>
      <c r="F28" s="74"/>
      <c r="G28" s="74"/>
      <c r="H28" s="74"/>
      <c r="I28" s="74"/>
      <c r="J28" s="74"/>
      <c r="AV28" s="82"/>
      <c r="AW28" s="83"/>
      <c r="AX28" s="77"/>
    </row>
    <row r="29" spans="1:52" x14ac:dyDescent="0.3">
      <c r="A29" s="139" t="s">
        <v>0</v>
      </c>
      <c r="B29" s="85">
        <v>0</v>
      </c>
      <c r="C29" s="89">
        <v>0</v>
      </c>
      <c r="D29" s="89">
        <v>0</v>
      </c>
      <c r="E29" s="89">
        <v>0</v>
      </c>
      <c r="F29" s="302">
        <f>+(F22-F36)+(F36*'PCR (M3)'!G28/SUM('PCR (M3)'!G28:G32))</f>
        <v>28636.335868779192</v>
      </c>
      <c r="G29" s="302">
        <f>+(G22-G36)+(G36*'PCR (M3)'!H28/SUM('PCR (M3)'!H28:H32))</f>
        <v>344669.92129031231</v>
      </c>
      <c r="H29" s="302">
        <f>+(H22-H36)+(H36*'PCR (M3)'!I28/SUM('PCR (M3)'!I28:I32))</f>
        <v>437739.69493695599</v>
      </c>
      <c r="I29" s="302">
        <f>+(I22-I36)+(I36*'PCR (M3)'!J28/SUM('PCR (M3)'!J28:J32))</f>
        <v>461093.89388914994</v>
      </c>
      <c r="J29" s="302">
        <f>+(J22-J36)+(J36*'PCR (M3)'!K28/SUM('PCR (M3)'!K28:K32))</f>
        <v>425531.99443758972</v>
      </c>
      <c r="K29" s="302">
        <f>+(K22-K36)+(K36*'PCR (M3)'!L28/SUM('PCR (M3)'!L28:L32))</f>
        <v>350101.97926152864</v>
      </c>
      <c r="L29" s="302">
        <f>+(L22-L36)+(L36*'PCR (M3)'!M28/SUM('PCR (M3)'!M28:M32))</f>
        <v>315194.78964232607</v>
      </c>
      <c r="M29" s="302">
        <f>+(M22-M36)+(M36*'PCR (M3)'!N28/SUM('PCR (M3)'!N28:N32))</f>
        <v>423499.84124645527</v>
      </c>
      <c r="N29" s="302">
        <f>+(N22-N36)+(N36*'PCR (M3)'!O28/SUM('PCR (M3)'!O28:O32))</f>
        <v>467459.76087976695</v>
      </c>
      <c r="O29" s="302">
        <f>+(O22-O36)+(O36*'PCR (M3)'!P28/SUM('PCR (M3)'!P28:P32))</f>
        <v>474323.05163473403</v>
      </c>
      <c r="P29" s="302">
        <f>+(P22-P36)+(P36*'PCR (M3)'!Q28/SUM('PCR (M3)'!Q28:Q32))</f>
        <v>428810.25716296647</v>
      </c>
      <c r="Q29" s="302">
        <f>+(Q22-Q36)+(Q36*'PCR (M3)'!R28/SUM('PCR (M3)'!R28:R32))</f>
        <v>339346.33491655142</v>
      </c>
      <c r="R29" s="302">
        <f>+(R22-R36)+(R36*'PCR (M3)'!S28/SUM('PCR (M3)'!S28:S32))</f>
        <v>302925.05162387801</v>
      </c>
      <c r="S29" s="302">
        <f>+(S22-S36)+(S36*'PCR (M3)'!T28/SUM('PCR (M3)'!T28:T32))</f>
        <v>399589.74786578165</v>
      </c>
      <c r="T29" s="302">
        <f>+(T22-T36)+(T36*'PCR (M3)'!U28/SUM('PCR (M3)'!U28:U32))</f>
        <v>536049.73122413771</v>
      </c>
      <c r="U29" s="302">
        <f>+(U22-U36)+(U36*'PCR (M3)'!V28/SUM('PCR (M3)'!V28:V32))</f>
        <v>503311.04413038638</v>
      </c>
      <c r="V29" s="302">
        <f>+(V22-V36)+(V36*'PCR (M3)'!W28/SUM('PCR (M3)'!W28:W32))</f>
        <v>453730.11803544639</v>
      </c>
      <c r="W29" s="302">
        <f>+(W22-W36)+(W36*'PCR (M3)'!X28/SUM('PCR (M3)'!X28:X32))</f>
        <v>307694.93026905361</v>
      </c>
      <c r="X29" s="302">
        <f>+(X22-X36)+(X36*'PCR (M3)'!Y28/SUM('PCR (M3)'!Y28:Y32))</f>
        <v>328619.27667869354</v>
      </c>
      <c r="Y29" s="302">
        <f>+(Y22-Y36)+(Y36*'PCR (M3)'!Z28/SUM('PCR (M3)'!Z28:Z32))</f>
        <v>435339.54516653373</v>
      </c>
      <c r="Z29" s="302">
        <f>+(Z22-Z36)+(Z36*'PCR (M3)'!AA28/SUM('PCR (M3)'!AA28:AA32))</f>
        <v>565868.6449616137</v>
      </c>
      <c r="AA29" s="302">
        <f>+(AA22-AA36)+(AA36*'PCR (M3)'!AB28/SUM('PCR (M3)'!AB28:AB32))</f>
        <v>1375644.4768897498</v>
      </c>
      <c r="AB29" s="302">
        <f>+(AB22-AB36)+(AB36*'PCR (M3)'!AC28/SUM('PCR (M3)'!AC28:AC32))</f>
        <v>1787809.7846895901</v>
      </c>
      <c r="AC29" s="302">
        <f>+(AC22-AC36)+(AC36*'PCR (M3)'!AD28/SUM('PCR (M3)'!AD28:AD32))</f>
        <v>1208966.210998087</v>
      </c>
      <c r="AD29" s="302">
        <f>+(AD22-AD36)+(AD36*'PCR (M3)'!AE28/SUM('PCR (M3)'!AE28:AE32))</f>
        <v>1135096.7258818494</v>
      </c>
      <c r="AE29" s="302">
        <f>+(AE22-AE36)+(AE36*'PCR (M3)'!AF28/SUM('PCR (M3)'!AF28:AF32))</f>
        <v>1483131.5421443435</v>
      </c>
      <c r="AF29" s="302">
        <f>+(AF22-AF36)+(AF36*'PCR (M3)'!AG28/SUM('PCR (M3)'!AG28:AG32))</f>
        <v>1957827.6512690855</v>
      </c>
      <c r="AG29" s="302">
        <f>+(AG22-AG36)+(AG36*'PCR (M3)'!AH28/SUM('PCR (M3)'!AH28:AH32))</f>
        <v>1996815.8330496505</v>
      </c>
      <c r="AH29" s="302">
        <f>+(AH22-AH36)+(AH36*'PCR (M3)'!AI28/SUM('PCR (M3)'!AI28:AI32))</f>
        <v>1962236.8311878431</v>
      </c>
      <c r="AI29" s="302">
        <f>+(AI22-AI36)+(AI36*'PCR (M3)'!AJ28/SUM('PCR (M3)'!AJ28:AJ32))</f>
        <v>1361448.9893388001</v>
      </c>
      <c r="AJ29" s="302">
        <f>+(AJ22-AJ36)+(AJ36*'PCR (M3)'!AK28/SUM('PCR (M3)'!AK28:AK32))</f>
        <v>1281352.7100728622</v>
      </c>
      <c r="AK29" s="302">
        <f>+(AK22-AK36)+(AK36*'PCR (M3)'!AL28/SUM('PCR (M3)'!AL28:AL32))</f>
        <v>1606180.5544486167</v>
      </c>
      <c r="AL29" s="302">
        <f>+(AL22-AL36)+(AL36*'PCR (M3)'!AM28/SUM('PCR (M3)'!AM28:AM32))</f>
        <v>2073689.0595104089</v>
      </c>
      <c r="AM29" s="302">
        <f>+(AM22-AM36)+(AM36*'PCR (M3)'!AN28/SUM('PCR (M3)'!AN28:AN32))</f>
        <v>1671524.4079852235</v>
      </c>
      <c r="AN29" s="302">
        <f>+(AN22-AN36)+(AN36*'PCR (M3)'!AO28/SUM('PCR (M3)'!AO28:AO32))</f>
        <v>731304.04769213265</v>
      </c>
      <c r="AO29" s="302">
        <f>+(AO22-AO36)+(AO36*'PCR (M3)'!AP28/SUM('PCR (M3)'!AP28:AP32))</f>
        <v>560620.84130505694</v>
      </c>
      <c r="AP29" s="302">
        <f>+(AP22-AP36)+(AP36*'PCR (M3)'!AQ28/SUM('PCR (M3)'!AQ28:AQ32))</f>
        <v>521764.12904962641</v>
      </c>
      <c r="AQ29" s="302">
        <f>+(AQ22-AQ36)+(AQ36*'PCR (M3)'!AR28/SUM('PCR (M3)'!AR28:AR32))</f>
        <v>661161.70778883004</v>
      </c>
      <c r="AR29" s="302">
        <f>+(AR22-AR36)+(AR36*'PCR (M3)'!AS28/SUM('PCR (M3)'!AS28:AS32))</f>
        <v>907955.14836252958</v>
      </c>
      <c r="AS29" s="302">
        <f>+(AS22-AS36)+(AS36*'PCR (M3)'!AT28/SUM('PCR (M3)'!AT28:AT32))</f>
        <v>865613.78677226591</v>
      </c>
      <c r="AT29" s="302">
        <f>+(AT22-AT36)+(AT36*'PCR (M3)'!AU28/SUM('PCR (M3)'!AU28:AU32))</f>
        <v>722180.00996221555</v>
      </c>
      <c r="AU29" s="297">
        <f>+(AU22-AU36)+(AU36*'PCR (M3)'!AV28/SUM('PCR (M3)'!AV28:AV32))</f>
        <v>521401.47348380263</v>
      </c>
      <c r="AV29" s="339">
        <f>+(AV22-AV36)+(AV36*'PCR (M3)'!AW28/SUM('PCR (M3)'!AW28:AW32))</f>
        <v>510012.15674883407</v>
      </c>
      <c r="AW29" s="302">
        <f>+(AW22-AW36)+(AW36*'PCR (M3)'!AX28/SUM('PCR (M3)'!AX28:AX32))</f>
        <v>730768.62713599822</v>
      </c>
      <c r="AX29" s="305">
        <f>+(AX22-AX36)+(AX36*'PCR (M3)'!AY28/SUM('PCR (M3)'!AY28:AY32))</f>
        <v>902154.9870620399</v>
      </c>
      <c r="AY29" s="400"/>
    </row>
    <row r="30" spans="1:52" x14ac:dyDescent="0.3">
      <c r="A30" s="139" t="s">
        <v>4</v>
      </c>
      <c r="B30" s="85">
        <v>0</v>
      </c>
      <c r="C30" s="89">
        <v>0</v>
      </c>
      <c r="D30" s="89">
        <v>0</v>
      </c>
      <c r="E30" s="89">
        <v>0</v>
      </c>
      <c r="F30" s="302">
        <f>+F23+(F36*'PCR (M3)'!G29/SUM('PCR (M3)'!G28:G32))</f>
        <v>4662.874879564878</v>
      </c>
      <c r="G30" s="302">
        <f>+G23+(G36*'PCR (M3)'!H29/SUM('PCR (M3)'!H28:H32))</f>
        <v>60575.806014450071</v>
      </c>
      <c r="H30" s="302">
        <f>+H23+(H36*'PCR (M3)'!I29/SUM('PCR (M3)'!I28:I32))</f>
        <v>69235.226705339766</v>
      </c>
      <c r="I30" s="302">
        <f>+I23+(I36*'PCR (M3)'!J29/SUM('PCR (M3)'!J28:J32))</f>
        <v>71132.268141530934</v>
      </c>
      <c r="J30" s="302">
        <f>+J23+(J36*'PCR (M3)'!K29/SUM('PCR (M3)'!K28:K32))</f>
        <v>68766.003213137257</v>
      </c>
      <c r="K30" s="302">
        <f>+K23+(K36*'PCR (M3)'!L29/SUM('PCR (M3)'!L28:L32))</f>
        <v>61936.863591354115</v>
      </c>
      <c r="L30" s="302">
        <f>+L23+(L36*'PCR (M3)'!M29/SUM('PCR (M3)'!M28:M32))</f>
        <v>55314.675500358848</v>
      </c>
      <c r="M30" s="302">
        <f>+M23+(M36*'PCR (M3)'!N29/SUM('PCR (M3)'!N28:N32))</f>
        <v>64772.869833744619</v>
      </c>
      <c r="N30" s="302">
        <f>+N23+(N36*'PCR (M3)'!O29/SUM('PCR (M3)'!O28:O32))</f>
        <v>69020.979330338494</v>
      </c>
      <c r="O30" s="302">
        <f>+O23+(O36*'PCR (M3)'!P29/SUM('PCR (M3)'!P28:P32))</f>
        <v>72477.677451482828</v>
      </c>
      <c r="P30" s="302">
        <f>+P23+(P36*'PCR (M3)'!Q29/SUM('PCR (M3)'!Q28:Q32))</f>
        <v>71928.028717536537</v>
      </c>
      <c r="Q30" s="302">
        <f>+Q23+(Q36*'PCR (M3)'!R29/SUM('PCR (M3)'!R28:R32))</f>
        <v>55453.451619799715</v>
      </c>
      <c r="R30" s="302">
        <f>+R23+(R36*'PCR (M3)'!S29/SUM('PCR (M3)'!S28:S32))</f>
        <v>50391.746026202454</v>
      </c>
      <c r="S30" s="302">
        <f>+S23+(S36*'PCR (M3)'!T29/SUM('PCR (M3)'!T28:T32))</f>
        <v>63389.498728401421</v>
      </c>
      <c r="T30" s="302">
        <f>+T23+(T36*'PCR (M3)'!U29/SUM('PCR (M3)'!U28:U32))</f>
        <v>78881.85589058495</v>
      </c>
      <c r="U30" s="302">
        <f>+U23+(U36*'PCR (M3)'!V29/SUM('PCR (M3)'!V28:V32))</f>
        <v>76955.027031945225</v>
      </c>
      <c r="V30" s="302">
        <f>+V23+(V36*'PCR (M3)'!W29/SUM('PCR (M3)'!W28:W32))</f>
        <v>73755.388306573848</v>
      </c>
      <c r="W30" s="302">
        <f>+W23+(W36*'PCR (M3)'!X29/SUM('PCR (M3)'!X28:X32))</f>
        <v>59772.834718849517</v>
      </c>
      <c r="X30" s="302">
        <f>+X23+(X36*'PCR (M3)'!Y29/SUM('PCR (M3)'!Y28:Y32))</f>
        <v>59572.876185864698</v>
      </c>
      <c r="Y30" s="302">
        <f>+Y23+(Y36*'PCR (M3)'!Z29/SUM('PCR (M3)'!Z28:Z32))</f>
        <v>68599.470346323797</v>
      </c>
      <c r="Z30" s="302">
        <f>+Z23+(Z36*'PCR (M3)'!AA29/SUM('PCR (M3)'!AA28:AA32))</f>
        <v>81564.73791205966</v>
      </c>
      <c r="AA30" s="302">
        <f>+AA23+(AA36*'PCR (M3)'!AB29/SUM('PCR (M3)'!AB28:AB32))</f>
        <v>242664.75286538462</v>
      </c>
      <c r="AB30" s="302">
        <f>+AB23+(AB36*'PCR (M3)'!AC29/SUM('PCR (M3)'!AC28:AC32))</f>
        <v>375919.83719992836</v>
      </c>
      <c r="AC30" s="302">
        <f>+AC23+(AC36*'PCR (M3)'!AD29/SUM('PCR (M3)'!AD28:AD32))</f>
        <v>300075.62636462267</v>
      </c>
      <c r="AD30" s="302">
        <f>+AD23+(AD36*'PCR (M3)'!AE29/SUM('PCR (M3)'!AE28:AE32))</f>
        <v>293923.98139317043</v>
      </c>
      <c r="AE30" s="302">
        <f>+AE23+(AE36*'PCR (M3)'!AF29/SUM('PCR (M3)'!AF28:AF32))</f>
        <v>350815.31218641653</v>
      </c>
      <c r="AF30" s="302">
        <f>+AF23+(AF36*'PCR (M3)'!AG29/SUM('PCR (M3)'!AG28:AG32))</f>
        <v>415012.49945076345</v>
      </c>
      <c r="AG30" s="302">
        <f>+AG23+(AG36*'PCR (M3)'!AH29/SUM('PCR (M3)'!AH28:AH32))</f>
        <v>415043.37829811877</v>
      </c>
      <c r="AH30" s="302">
        <f>+AH23+(AH36*'PCR (M3)'!AI29/SUM('PCR (M3)'!AI28:AI32))</f>
        <v>419425.17682734365</v>
      </c>
      <c r="AI30" s="302">
        <f>+AI23+(AI36*'PCR (M3)'!AJ29/SUM('PCR (M3)'!AJ28:AJ32))</f>
        <v>350351.57477839955</v>
      </c>
      <c r="AJ30" s="302">
        <f>+AJ23+(AJ36*'PCR (M3)'!AK29/SUM('PCR (M3)'!AK28:AK32))</f>
        <v>311669.30222826096</v>
      </c>
      <c r="AK30" s="302">
        <f>+AK23+(AK36*'PCR (M3)'!AL29/SUM('PCR (M3)'!AL28:AL32))</f>
        <v>354085.59169796278</v>
      </c>
      <c r="AL30" s="302">
        <f>+AL23+(AL36*'PCR (M3)'!AM29/SUM('PCR (M3)'!AM28:AM32))</f>
        <v>416632.60304568737</v>
      </c>
      <c r="AM30" s="302">
        <f>+AM23+(AM36*'PCR (M3)'!AN29/SUM('PCR (M3)'!AN28:AN32))</f>
        <v>343013.74640381185</v>
      </c>
      <c r="AN30" s="302">
        <f>+AN23+(AN36*'PCR (M3)'!AO29/SUM('PCR (M3)'!AO28:AO32))</f>
        <v>198643.80240817313</v>
      </c>
      <c r="AO30" s="302">
        <f>+AO23+(AO36*'PCR (M3)'!AP29/SUM('PCR (M3)'!AP28:AP32))</f>
        <v>176362.35535747116</v>
      </c>
      <c r="AP30" s="302">
        <f>+AP23+(AP36*'PCR (M3)'!AQ29/SUM('PCR (M3)'!AQ28:AQ32))</f>
        <v>171488.95640428353</v>
      </c>
      <c r="AQ30" s="302">
        <f>+AQ23+(AQ36*'PCR (M3)'!AR29/SUM('PCR (M3)'!AR28:AR32))</f>
        <v>199615.15184616181</v>
      </c>
      <c r="AR30" s="302">
        <f>+AR23+(AR36*'PCR (M3)'!AS29/SUM('PCR (M3)'!AS28:AS32))</f>
        <v>238634.4266269854</v>
      </c>
      <c r="AS30" s="302">
        <f>+AS23+(AS36*'PCR (M3)'!AT29/SUM('PCR (M3)'!AT28:AT32))</f>
        <v>233703.41244781745</v>
      </c>
      <c r="AT30" s="302">
        <f>+AT23+(AT36*'PCR (M3)'!AU29/SUM('PCR (M3)'!AU28:AU32))</f>
        <v>214332.64423371095</v>
      </c>
      <c r="AU30" s="297">
        <f>+AU23+(AU36*'PCR (M3)'!AV29/SUM('PCR (M3)'!AV28:AV32))</f>
        <v>176304.09895000394</v>
      </c>
      <c r="AV30" s="339">
        <f>+AV23+(AV36*'PCR (M3)'!AW29/SUM('PCR (M3)'!AW28:AW32))</f>
        <v>163092.23156527209</v>
      </c>
      <c r="AW30" s="302">
        <f>+AW23+(AW36*'PCR (M3)'!AX29/SUM('PCR (M3)'!AX28:AX32))</f>
        <v>197048.25495423991</v>
      </c>
      <c r="AX30" s="305">
        <f>+AX23+(AX36*'PCR (M3)'!AY29/SUM('PCR (M3)'!AY28:AY32))</f>
        <v>232324.50873144556</v>
      </c>
      <c r="AY30" s="400"/>
    </row>
    <row r="31" spans="1:52" x14ac:dyDescent="0.3">
      <c r="A31" s="139" t="s">
        <v>5</v>
      </c>
      <c r="B31" s="85">
        <v>0</v>
      </c>
      <c r="C31" s="89">
        <v>0</v>
      </c>
      <c r="D31" s="89">
        <v>0</v>
      </c>
      <c r="E31" s="89">
        <v>0</v>
      </c>
      <c r="F31" s="302">
        <f>+F24+(F36*'PCR (M3)'!G30/SUM('PCR (M3)'!G28:G32))</f>
        <v>6753.6701978728988</v>
      </c>
      <c r="G31" s="302">
        <f>+G24+(G36*'PCR (M3)'!H30/SUM('PCR (M3)'!H28:H32))</f>
        <v>107151.44580605239</v>
      </c>
      <c r="H31" s="302">
        <f>+H24+(H36*'PCR (M3)'!I30/SUM('PCR (M3)'!I28:I32))</f>
        <v>115634.5208649429</v>
      </c>
      <c r="I31" s="302">
        <f>+I24+(I36*'PCR (M3)'!J30/SUM('PCR (M3)'!J28:J32))</f>
        <v>118331.81312804784</v>
      </c>
      <c r="J31" s="302">
        <f>+J24+(J36*'PCR (M3)'!K30/SUM('PCR (M3)'!K28:K32))</f>
        <v>119601.33814288217</v>
      </c>
      <c r="K31" s="302">
        <f>+K24+(K36*'PCR (M3)'!L30/SUM('PCR (M3)'!L28:L32))</f>
        <v>109968.9574924099</v>
      </c>
      <c r="L31" s="302">
        <f>+L24+(L36*'PCR (M3)'!M30/SUM('PCR (M3)'!M28:M32))</f>
        <v>96533.881711475115</v>
      </c>
      <c r="M31" s="302">
        <f>+M24+(M36*'PCR (M3)'!N30/SUM('PCR (M3)'!N28:N32))</f>
        <v>104142.56971532077</v>
      </c>
      <c r="N31" s="302">
        <f>+N24+(N36*'PCR (M3)'!O30/SUM('PCR (M3)'!O28:O32))</f>
        <v>107611.86637282498</v>
      </c>
      <c r="O31" s="302">
        <f>+O24+(O36*'PCR (M3)'!P30/SUM('PCR (M3)'!P28:P32))</f>
        <v>104313.87773241717</v>
      </c>
      <c r="P31" s="302">
        <f>+P24+(P36*'PCR (M3)'!Q30/SUM('PCR (M3)'!Q28:Q32))</f>
        <v>98420.974410363589</v>
      </c>
      <c r="Q31" s="302">
        <f>+Q24+(Q36*'PCR (M3)'!R30/SUM('PCR (M3)'!R28:R32))</f>
        <v>84560.155028366615</v>
      </c>
      <c r="R31" s="302">
        <f>+R24+(R36*'PCR (M3)'!S30/SUM('PCR (M3)'!S28:S32))</f>
        <v>79147.524446379844</v>
      </c>
      <c r="S31" s="302">
        <f>+S24+(S36*'PCR (M3)'!T30/SUM('PCR (M3)'!T28:T32))</f>
        <v>94049.927973792379</v>
      </c>
      <c r="T31" s="302">
        <f>+T24+(T36*'PCR (M3)'!U30/SUM('PCR (M3)'!U28:U32))</f>
        <v>109708.4867735197</v>
      </c>
      <c r="U31" s="302">
        <f>+U24+(U36*'PCR (M3)'!V30/SUM('PCR (M3)'!V28:V32))</f>
        <v>109463.73998502945</v>
      </c>
      <c r="V31" s="302">
        <f>+V24+(V36*'PCR (M3)'!W30/SUM('PCR (M3)'!W28:W32))</f>
        <v>109154.24836711264</v>
      </c>
      <c r="W31" s="302">
        <f>+W24+(W36*'PCR (M3)'!X30/SUM('PCR (M3)'!X28:X32))</f>
        <v>93111.170115006898</v>
      </c>
      <c r="X31" s="302">
        <f>+X24+(X36*'PCR (M3)'!Y30/SUM('PCR (M3)'!Y28:Y32))</f>
        <v>90314.439841834988</v>
      </c>
      <c r="Y31" s="302">
        <f>+Y24+(Y36*'PCR (M3)'!Z30/SUM('PCR (M3)'!Z28:Z32))</f>
        <v>96572.606390330693</v>
      </c>
      <c r="Z31" s="302">
        <f>+Z24+(Z36*'PCR (M3)'!AA30/SUM('PCR (M3)'!AA28:AA32))</f>
        <v>102973.56100695566</v>
      </c>
      <c r="AA31" s="302">
        <f>+AA24+(AA36*'PCR (M3)'!AB30/SUM('PCR (M3)'!AB28:AB32))</f>
        <v>317054.12799449288</v>
      </c>
      <c r="AB31" s="302">
        <f>+AB24+(AB36*'PCR (M3)'!AC30/SUM('PCR (M3)'!AC28:AC32))</f>
        <v>555274.69988765672</v>
      </c>
      <c r="AC31" s="302">
        <f>+AC24+(AC36*'PCR (M3)'!AD30/SUM('PCR (M3)'!AD28:AD32))</f>
        <v>496959.09444564441</v>
      </c>
      <c r="AD31" s="302">
        <f>+AD24+(AD36*'PCR (M3)'!AE30/SUM('PCR (M3)'!AE28:AE32))</f>
        <v>507462.60422851151</v>
      </c>
      <c r="AE31" s="302">
        <f>+AE24+(AE36*'PCR (M3)'!AF30/SUM('PCR (M3)'!AF28:AF32))</f>
        <v>564396.00989380945</v>
      </c>
      <c r="AF31" s="302">
        <f>+AF24+(AF36*'PCR (M3)'!AG30/SUM('PCR (M3)'!AG28:AG32))</f>
        <v>660447.26760719228</v>
      </c>
      <c r="AG31" s="302">
        <f>+AG24+(AG36*'PCR (M3)'!AH30/SUM('PCR (M3)'!AH28:AH32))</f>
        <v>654260.67532357108</v>
      </c>
      <c r="AH31" s="302">
        <f>+AH24+(AH36*'PCR (M3)'!AI30/SUM('PCR (M3)'!AI28:AI32))</f>
        <v>666957.41235823929</v>
      </c>
      <c r="AI31" s="302">
        <f>+AI24+(AI36*'PCR (M3)'!AJ30/SUM('PCR (M3)'!AJ28:AJ32))</f>
        <v>587413.62430156581</v>
      </c>
      <c r="AJ31" s="302">
        <f>+AJ24+(AJ36*'PCR (M3)'!AK30/SUM('PCR (M3)'!AK28:AK32))</f>
        <v>518301.68729724281</v>
      </c>
      <c r="AK31" s="302">
        <f>+AK24+(AK36*'PCR (M3)'!AL30/SUM('PCR (M3)'!AL28:AL32))</f>
        <v>564263.98623198003</v>
      </c>
      <c r="AL31" s="302">
        <f>+AL24+(AL36*'PCR (M3)'!AM30/SUM('PCR (M3)'!AM28:AM32))</f>
        <v>600156.67821640242</v>
      </c>
      <c r="AM31" s="302">
        <f>+AM24+(AM36*'PCR (M3)'!AN30/SUM('PCR (M3)'!AN28:AN32))</f>
        <v>485815.15413385624</v>
      </c>
      <c r="AN31" s="302">
        <f>+AN24+(AN36*'PCR (M3)'!AO30/SUM('PCR (M3)'!AO28:AO32))</f>
        <v>293847.62845519924</v>
      </c>
      <c r="AO31" s="302">
        <f>+AO24+(AO36*'PCR (M3)'!AP30/SUM('PCR (M3)'!AP28:AP32))</f>
        <v>274342.84538315737</v>
      </c>
      <c r="AP31" s="302">
        <f>+AP24+(AP36*'PCR (M3)'!AQ30/SUM('PCR (M3)'!AQ28:AQ32))</f>
        <v>285405.182845061</v>
      </c>
      <c r="AQ31" s="302">
        <f>+AQ24+(AQ36*'PCR (M3)'!AR30/SUM('PCR (M3)'!AR28:AR32))</f>
        <v>320626.18147462484</v>
      </c>
      <c r="AR31" s="302">
        <f>+AR24+(AR36*'PCR (M3)'!AS30/SUM('PCR (M3)'!AS28:AS32))</f>
        <v>359045.84672877856</v>
      </c>
      <c r="AS31" s="302">
        <f>+AS24+(AS36*'PCR (M3)'!AT30/SUM('PCR (M3)'!AT28:AT32))</f>
        <v>356393.75583709532</v>
      </c>
      <c r="AT31" s="302">
        <f>+AT24+(AT36*'PCR (M3)'!AU30/SUM('PCR (M3)'!AU28:AU32))</f>
        <v>340966.67570072628</v>
      </c>
      <c r="AU31" s="297">
        <f>+AU24+(AU36*'PCR (M3)'!AV30/SUM('PCR (M3)'!AV28:AV32))</f>
        <v>293032.69252515415</v>
      </c>
      <c r="AV31" s="339">
        <f>+AV24+(AV36*'PCR (M3)'!AW30/SUM('PCR (M3)'!AW28:AW32))</f>
        <v>277209.1284607214</v>
      </c>
      <c r="AW31" s="302">
        <f>+AW24+(AW36*'PCR (M3)'!AX30/SUM('PCR (M3)'!AX28:AX32))</f>
        <v>306624.58238682727</v>
      </c>
      <c r="AX31" s="305">
        <f>+AX24+(AX36*'PCR (M3)'!AY30/SUM('PCR (M3)'!AY28:AY32))</f>
        <v>335114.71416967508</v>
      </c>
      <c r="AY31" s="400"/>
    </row>
    <row r="32" spans="1:52" x14ac:dyDescent="0.3">
      <c r="A32" s="139" t="s">
        <v>6</v>
      </c>
      <c r="B32" s="85">
        <v>0</v>
      </c>
      <c r="C32" s="89">
        <v>0</v>
      </c>
      <c r="D32" s="89">
        <v>0</v>
      </c>
      <c r="E32" s="89">
        <v>0</v>
      </c>
      <c r="F32" s="302">
        <f>+F25+(F36*'PCR (M3)'!G31/SUM('PCR (M3)'!G28:G32))</f>
        <v>2381.1324731369587</v>
      </c>
      <c r="G32" s="302">
        <f>+G25+(G36*'PCR (M3)'!H31/SUM('PCR (M3)'!H28:H32))</f>
        <v>41080.759711289073</v>
      </c>
      <c r="H32" s="302">
        <f>+H25+(H36*'PCR (M3)'!I31/SUM('PCR (M3)'!I28:I32))</f>
        <v>46620.227707662583</v>
      </c>
      <c r="I32" s="302">
        <f>+I25+(I36*'PCR (M3)'!J31/SUM('PCR (M3)'!J28:J32))</f>
        <v>48915.290383093015</v>
      </c>
      <c r="J32" s="302">
        <f>+J25+(J36*'PCR (M3)'!K31/SUM('PCR (M3)'!K28:K32))</f>
        <v>48689.064699160743</v>
      </c>
      <c r="K32" s="302">
        <f>+K25+(K36*'PCR (M3)'!L31/SUM('PCR (M3)'!L28:L32))</f>
        <v>45154.720570269681</v>
      </c>
      <c r="L32" s="302">
        <f>+L25+(L36*'PCR (M3)'!M31/SUM('PCR (M3)'!M28:M32))</f>
        <v>41515.049238101783</v>
      </c>
      <c r="M32" s="302">
        <f>+M25+(M36*'PCR (M3)'!N31/SUM('PCR (M3)'!N28:N32))</f>
        <v>41594.54847805787</v>
      </c>
      <c r="N32" s="302">
        <f>+N25+(N36*'PCR (M3)'!O31/SUM('PCR (M3)'!O28:O32))</f>
        <v>42743.649469302014</v>
      </c>
      <c r="O32" s="302">
        <f>+O25+(O36*'PCR (M3)'!P31/SUM('PCR (M3)'!P28:P32))</f>
        <v>43471.756585125317</v>
      </c>
      <c r="P32" s="302">
        <f>+P25+(P36*'PCR (M3)'!Q31/SUM('PCR (M3)'!Q28:Q32))</f>
        <v>37573.855689531287</v>
      </c>
      <c r="Q32" s="302">
        <f>+Q25+(Q36*'PCR (M3)'!R31/SUM('PCR (M3)'!R28:R32))</f>
        <v>36905.295455925538</v>
      </c>
      <c r="R32" s="302">
        <f>+R25+(R36*'PCR (M3)'!S31/SUM('PCR (M3)'!S28:S32))</f>
        <v>34871.89448832265</v>
      </c>
      <c r="S32" s="302">
        <f>+S25+(S36*'PCR (M3)'!T31/SUM('PCR (M3)'!T28:T32))</f>
        <v>40727.091457001276</v>
      </c>
      <c r="T32" s="302">
        <f>+T25+(T36*'PCR (M3)'!U31/SUM('PCR (M3)'!U28:U32))</f>
        <v>42825.077518324986</v>
      </c>
      <c r="U32" s="302">
        <f>+U25+(U36*'PCR (M3)'!V31/SUM('PCR (M3)'!V28:V32))</f>
        <v>44954.20255614764</v>
      </c>
      <c r="V32" s="302">
        <f>+V25+(V36*'PCR (M3)'!W31/SUM('PCR (M3)'!W28:W32))</f>
        <v>45054.75137109276</v>
      </c>
      <c r="W32" s="302">
        <f>+W25+(W36*'PCR (M3)'!X31/SUM('PCR (M3)'!X28:X32))</f>
        <v>40035.738044047081</v>
      </c>
      <c r="X32" s="302">
        <f>+X25+(X36*'PCR (M3)'!Y31/SUM('PCR (M3)'!Y28:Y32))</f>
        <v>39574.059026383919</v>
      </c>
      <c r="Y32" s="302">
        <f>+Y25+(Y36*'PCR (M3)'!Z31/SUM('PCR (M3)'!Z28:Z32))</f>
        <v>41188.257144152223</v>
      </c>
      <c r="Z32" s="302">
        <f>+Z25+(Z36*'PCR (M3)'!AA31/SUM('PCR (M3)'!AA28:AA32))</f>
        <v>40226.995717895465</v>
      </c>
      <c r="AA32" s="302">
        <f>+AA25+(AA36*'PCR (M3)'!AB31/SUM('PCR (M3)'!AB28:AB32))</f>
        <v>108585.49808616596</v>
      </c>
      <c r="AB32" s="302">
        <f>+AB25+(AB36*'PCR (M3)'!AC31/SUM('PCR (M3)'!AC28:AC32))</f>
        <v>181792.64072508441</v>
      </c>
      <c r="AC32" s="302">
        <f>+AC25+(AC36*'PCR (M3)'!AD31/SUM('PCR (M3)'!AD28:AD32))</f>
        <v>183572.05910467505</v>
      </c>
      <c r="AD32" s="302">
        <f>+AD25+(AD36*'PCR (M3)'!AE31/SUM('PCR (M3)'!AE28:AE32))</f>
        <v>190770.53370651655</v>
      </c>
      <c r="AE32" s="302">
        <f>+AE25+(AE36*'PCR (M3)'!AF31/SUM('PCR (M3)'!AF28:AF32))</f>
        <v>183881.99525765551</v>
      </c>
      <c r="AF32" s="302">
        <f>+AF25+(AF36*'PCR (M3)'!AG31/SUM('PCR (M3)'!AG28:AG32))</f>
        <v>245635.9292156513</v>
      </c>
      <c r="AG32" s="302">
        <f>+AG25+(AG36*'PCR (M3)'!AH31/SUM('PCR (M3)'!AH28:AH32))</f>
        <v>225402.14448890529</v>
      </c>
      <c r="AH32" s="302">
        <f>+AH25+(AH36*'PCR (M3)'!AI31/SUM('PCR (M3)'!AI28:AI32))</f>
        <v>228315.50645633537</v>
      </c>
      <c r="AI32" s="302">
        <f>+AI25+(AI36*'PCR (M3)'!AJ31/SUM('PCR (M3)'!AJ28:AJ32))</f>
        <v>197613.76683715408</v>
      </c>
      <c r="AJ32" s="302">
        <f>+AJ25+(AJ36*'PCR (M3)'!AK31/SUM('PCR (M3)'!AK28:AK32))</f>
        <v>170938.27536408583</v>
      </c>
      <c r="AK32" s="302">
        <f>+AK25+(AK36*'PCR (M3)'!AL31/SUM('PCR (M3)'!AL28:AL32))</f>
        <v>223626.59508106788</v>
      </c>
      <c r="AL32" s="302">
        <f>+AL25+(AL36*'PCR (M3)'!AM31/SUM('PCR (M3)'!AM28:AM32))</f>
        <v>214644.25749630778</v>
      </c>
      <c r="AM32" s="302">
        <f>+AM25+(AM36*'PCR (M3)'!AN31/SUM('PCR (M3)'!AN28:AN32))</f>
        <v>159960.98877011711</v>
      </c>
      <c r="AN32" s="302">
        <f>+AN25+(AN36*'PCR (M3)'!AO31/SUM('PCR (M3)'!AO28:AO32))</f>
        <v>83957.029881736671</v>
      </c>
      <c r="AO32" s="302">
        <f>+AO25+(AO36*'PCR (M3)'!AP31/SUM('PCR (M3)'!AP28:AP32))</f>
        <v>71737.991738818018</v>
      </c>
      <c r="AP32" s="302">
        <f>+AP25+(AP36*'PCR (M3)'!AQ31/SUM('PCR (M3)'!AQ28:AQ32))</f>
        <v>84924.677214678959</v>
      </c>
      <c r="AQ32" s="302">
        <f>+AQ25+(AQ36*'PCR (M3)'!AR31/SUM('PCR (M3)'!AR28:AR32))</f>
        <v>96900.261492081991</v>
      </c>
      <c r="AR32" s="302">
        <f>+AR25+(AR36*'PCR (M3)'!AS31/SUM('PCR (M3)'!AS28:AS32))</f>
        <v>100482.39287136923</v>
      </c>
      <c r="AS32" s="302">
        <f>+AS25+(AS36*'PCR (M3)'!AT31/SUM('PCR (M3)'!AT28:AT32))</f>
        <v>99567.44000719738</v>
      </c>
      <c r="AT32" s="302">
        <f>+AT25+(AT36*'PCR (M3)'!AU31/SUM('PCR (M3)'!AU28:AU32))</f>
        <v>97105.740111514999</v>
      </c>
      <c r="AU32" s="297">
        <f>+AU25+(AU36*'PCR (M3)'!AV31/SUM('PCR (M3)'!AV28:AV32))</f>
        <v>86103.564631792935</v>
      </c>
      <c r="AV32" s="339">
        <f>+AV25+(AV36*'PCR (M3)'!AW31/SUM('PCR (M3)'!AW28:AW32))</f>
        <v>83026.896241245355</v>
      </c>
      <c r="AW32" s="302">
        <f>+AW25+(AW36*'PCR (M3)'!AX31/SUM('PCR (M3)'!AX28:AX32))</f>
        <v>86082.946391183374</v>
      </c>
      <c r="AX32" s="305">
        <f>+AX25+(AX36*'PCR (M3)'!AY31/SUM('PCR (M3)'!AY28:AY32))</f>
        <v>89218.50886108783</v>
      </c>
      <c r="AY32" s="400"/>
    </row>
    <row r="33" spans="1:52" x14ac:dyDescent="0.3">
      <c r="A33" s="139" t="s">
        <v>7</v>
      </c>
      <c r="B33" s="85">
        <v>0</v>
      </c>
      <c r="C33" s="89">
        <v>0</v>
      </c>
      <c r="D33" s="89">
        <v>0</v>
      </c>
      <c r="E33" s="89">
        <v>0</v>
      </c>
      <c r="F33" s="302">
        <f>+F26+(F36*'PCR (M3)'!G32/SUM('PCR (M3)'!G28:G32))</f>
        <v>-48.583419353926594</v>
      </c>
      <c r="G33" s="302">
        <f>+G26+(G36*'PCR (M3)'!H32/SUM('PCR (M3)'!H28:H32))</f>
        <v>4125.9071778961579</v>
      </c>
      <c r="H33" s="302">
        <f>+H26+(H36*'PCR (M3)'!I32/SUM('PCR (M3)'!I28:I32))</f>
        <v>6806.3797850987785</v>
      </c>
      <c r="I33" s="302">
        <f>+I26+(I36*'PCR (M3)'!J32/SUM('PCR (M3)'!J28:J32))</f>
        <v>7524.9044581782691</v>
      </c>
      <c r="J33" s="302">
        <f>+J26+(J36*'PCR (M3)'!K32/SUM('PCR (M3)'!K28:K32))</f>
        <v>7658.4495072300715</v>
      </c>
      <c r="K33" s="302">
        <f>+K26+(K36*'PCR (M3)'!L32/SUM('PCR (M3)'!L28:L32))</f>
        <v>7241.6490844376849</v>
      </c>
      <c r="L33" s="302">
        <f>+L26+(L36*'PCR (M3)'!M32/SUM('PCR (M3)'!M28:M32))</f>
        <v>6323.5939077382554</v>
      </c>
      <c r="M33" s="302">
        <f>+M26+(M36*'PCR (M3)'!N32/SUM('PCR (M3)'!N28:N32))</f>
        <v>5864.7707264215042</v>
      </c>
      <c r="N33" s="302">
        <f>+N26+(N36*'PCR (M3)'!O32/SUM('PCR (M3)'!O28:O32))</f>
        <v>6186.9939477675571</v>
      </c>
      <c r="O33" s="302">
        <f>+O26+(O36*'PCR (M3)'!P32/SUM('PCR (M3)'!P28:P32))</f>
        <v>10792.766596240666</v>
      </c>
      <c r="P33" s="302">
        <f>+P26+(P36*'PCR (M3)'!Q32/SUM('PCR (M3)'!Q28:Q32))</f>
        <v>19312.38401960209</v>
      </c>
      <c r="Q33" s="302">
        <f>+Q26+(Q36*'PCR (M3)'!R32/SUM('PCR (M3)'!R28:R32))</f>
        <v>21254.31297935671</v>
      </c>
      <c r="R33" s="302">
        <f>+R26+(R36*'PCR (M3)'!S32/SUM('PCR (M3)'!S28:S32))</f>
        <v>21637.66341521703</v>
      </c>
      <c r="S33" s="302">
        <f>+S26+(S36*'PCR (M3)'!T32/SUM('PCR (M3)'!T28:T32))</f>
        <v>16834.533975023267</v>
      </c>
      <c r="T33" s="302">
        <f>+T26+(T36*'PCR (M3)'!U32/SUM('PCR (M3)'!U28:U32))</f>
        <v>24355.538593432568</v>
      </c>
      <c r="U33" s="302">
        <f>+U26+(U36*'PCR (M3)'!V32/SUM('PCR (M3)'!V28:V32))</f>
        <v>25113.656296491376</v>
      </c>
      <c r="V33" s="302">
        <f>+V26+(V36*'PCR (M3)'!W32/SUM('PCR (M3)'!W28:W32))</f>
        <v>25507.793919774442</v>
      </c>
      <c r="W33" s="302">
        <f>+W26+(W36*'PCR (M3)'!X32/SUM('PCR (M3)'!X28:X32))</f>
        <v>22463.576853042847</v>
      </c>
      <c r="X33" s="302">
        <f>+X26+(X36*'PCR (M3)'!Y32/SUM('PCR (M3)'!Y28:Y32))</f>
        <v>21960.458267222853</v>
      </c>
      <c r="Y33" s="302">
        <f>+Y26+(Y36*'PCR (M3)'!Z32/SUM('PCR (M3)'!Z28:Z32))</f>
        <v>22338.840952659713</v>
      </c>
      <c r="Z33" s="302">
        <f>+Z26+(Z36*'PCR (M3)'!AA32/SUM('PCR (M3)'!AA28:AA32))</f>
        <v>20382.980401475455</v>
      </c>
      <c r="AA33" s="302">
        <f>+AA26+(AA36*'PCR (M3)'!AB32/SUM('PCR (M3)'!AB28:AB32))</f>
        <v>32953.904164207008</v>
      </c>
      <c r="AB33" s="302">
        <f>+AB26+(AB36*'PCR (M3)'!AC32/SUM('PCR (M3)'!AC28:AC32))</f>
        <v>23500.247497740351</v>
      </c>
      <c r="AC33" s="302">
        <f>+AC26+(AC36*'PCR (M3)'!AD32/SUM('PCR (M3)'!AD28:AD32))</f>
        <v>40293.609086971141</v>
      </c>
      <c r="AD33" s="302">
        <f>+AD26+(AD36*'PCR (M3)'!AE32/SUM('PCR (M3)'!AE28:AE32))</f>
        <v>41000.534789952151</v>
      </c>
      <c r="AE33" s="302">
        <f>+AE26+(AE36*'PCR (M3)'!AF32/SUM('PCR (M3)'!AF28:AF32))</f>
        <v>39665.300517775308</v>
      </c>
      <c r="AF33" s="302">
        <f>+AF26+(AF36*'PCR (M3)'!AG32/SUM('PCR (M3)'!AG28:AG32))</f>
        <v>50592.172457307752</v>
      </c>
      <c r="AG33" s="302">
        <f>+AG26+(AG36*'PCR (M3)'!AH32/SUM('PCR (M3)'!AH28:AH32))</f>
        <v>48111.888839753796</v>
      </c>
      <c r="AH33" s="302">
        <f>+AH26+(AH36*'PCR (M3)'!AI32/SUM('PCR (M3)'!AI28:AI32))</f>
        <v>52046.073170238749</v>
      </c>
      <c r="AI33" s="302">
        <f>+AI26+(AI36*'PCR (M3)'!AJ32/SUM('PCR (M3)'!AJ28:AJ32))</f>
        <v>47917.124744080225</v>
      </c>
      <c r="AJ33" s="302">
        <f>+AJ26+(AJ36*'PCR (M3)'!AK32/SUM('PCR (M3)'!AK28:AK32))</f>
        <v>31311.065037548167</v>
      </c>
      <c r="AK33" s="302">
        <f>+AK26+(AK36*'PCR (M3)'!AL32/SUM('PCR (M3)'!AL28:AL32))</f>
        <v>43129.542540372684</v>
      </c>
      <c r="AL33" s="302">
        <f>+AL26+(AL36*'PCR (M3)'!AM32/SUM('PCR (M3)'!AM28:AM32))</f>
        <v>40068.371731193824</v>
      </c>
      <c r="AM33" s="302">
        <f>+AM26+(AM36*'PCR (M3)'!AN32/SUM('PCR (M3)'!AN28:AN32))</f>
        <v>33269.832706991961</v>
      </c>
      <c r="AN33" s="302">
        <f>+AN26+(AN36*'PCR (M3)'!AO32/SUM('PCR (M3)'!AO28:AO32))</f>
        <v>5276.9215627583089</v>
      </c>
      <c r="AO33" s="302">
        <f>+AO26+(AO36*'PCR (M3)'!AP32/SUM('PCR (M3)'!AP28:AP32))</f>
        <v>-23975.143784503343</v>
      </c>
      <c r="AP33" s="302">
        <f>+AP26+(AP36*'PCR (M3)'!AQ32/SUM('PCR (M3)'!AQ28:AQ32))</f>
        <v>4407.7244863500373</v>
      </c>
      <c r="AQ33" s="302">
        <f>+AQ26+(AQ36*'PCR (M3)'!AR32/SUM('PCR (M3)'!AR28:AR32))</f>
        <v>5427.3573983012957</v>
      </c>
      <c r="AR33" s="302">
        <f>+AR26+(AR36*'PCR (M3)'!AS32/SUM('PCR (M3)'!AS28:AS32))</f>
        <v>6149.5954103370377</v>
      </c>
      <c r="AS33" s="302">
        <f>+AS26+(AS36*'PCR (M3)'!AT32/SUM('PCR (M3)'!AT28:AT32))</f>
        <v>6063.6949356240721</v>
      </c>
      <c r="AT33" s="302">
        <f>+AT26+(AT36*'PCR (M3)'!AU32/SUM('PCR (M3)'!AU28:AU32))</f>
        <v>6340.9099918320171</v>
      </c>
      <c r="AU33" s="297">
        <f>+AU26+(AU36*'PCR (M3)'!AV32/SUM('PCR (M3)'!AV28:AV32))</f>
        <v>5452.5804092461303</v>
      </c>
      <c r="AV33" s="339">
        <f>+AV26+(AV36*'PCR (M3)'!AW32/SUM('PCR (M3)'!AW28:AW32))</f>
        <v>4977.6083488265322</v>
      </c>
      <c r="AW33" s="302">
        <f>+AW26+(AW36*'PCR (M3)'!AX32/SUM('PCR (M3)'!AX28:AX32))</f>
        <v>4718.0213866088397</v>
      </c>
      <c r="AX33" s="305">
        <f>+AX26+(AX36*'PCR (M3)'!AY32/SUM('PCR (M3)'!AY28:AY32))</f>
        <v>4896.0798129027144</v>
      </c>
      <c r="AY33" s="400"/>
    </row>
    <row r="34" spans="1:52" s="32" customFormat="1" x14ac:dyDescent="0.3">
      <c r="B34" s="180"/>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73"/>
      <c r="AW34" s="74"/>
      <c r="AX34" s="77"/>
    </row>
    <row r="35" spans="1:52" x14ac:dyDescent="0.3">
      <c r="A35" s="32" t="s">
        <v>105</v>
      </c>
      <c r="B35" s="179"/>
      <c r="C35" s="176"/>
      <c r="D35" s="78" t="s">
        <v>86</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3"/>
      <c r="AW35" s="74"/>
      <c r="AX35" s="77"/>
    </row>
    <row r="36" spans="1:52" x14ac:dyDescent="0.3">
      <c r="A36" s="32" t="str">
        <f>A22</f>
        <v>RES</v>
      </c>
      <c r="B36" s="69">
        <v>0</v>
      </c>
      <c r="C36" s="70">
        <v>0</v>
      </c>
      <c r="D36" s="70">
        <v>0</v>
      </c>
      <c r="E36" s="70">
        <v>0</v>
      </c>
      <c r="F36" s="70">
        <v>-923.75</v>
      </c>
      <c r="G36" s="70">
        <v>-10157.06</v>
      </c>
      <c r="H36" s="70">
        <v>-12455.51</v>
      </c>
      <c r="I36" s="70">
        <v>-13265.51</v>
      </c>
      <c r="J36" s="70">
        <v>-12079.85</v>
      </c>
      <c r="K36" s="79">
        <v>-10230.950000000001</v>
      </c>
      <c r="L36" s="70">
        <v>-11242.279999999999</v>
      </c>
      <c r="M36" s="70">
        <v>-15494.33</v>
      </c>
      <c r="N36" s="70">
        <v>-17112.689999999999</v>
      </c>
      <c r="O36" s="70">
        <v>-17916.879999999997</v>
      </c>
      <c r="P36" s="70">
        <v>-16196.53</v>
      </c>
      <c r="Q36" s="70">
        <v>-11729.169999999998</v>
      </c>
      <c r="R36" s="70">
        <v>-9666.880000000001</v>
      </c>
      <c r="S36" s="70">
        <v>-10964.7</v>
      </c>
      <c r="T36" s="70">
        <v>-14109.349999999999</v>
      </c>
      <c r="U36" s="70">
        <v>-13038.06</v>
      </c>
      <c r="V36" s="70">
        <v>-11941.109999999999</v>
      </c>
      <c r="W36" s="70">
        <v>-8935.6699999999983</v>
      </c>
      <c r="X36" s="70">
        <v>-10579.18</v>
      </c>
      <c r="Y36" s="70">
        <v>-14636.740000000002</v>
      </c>
      <c r="Z36" s="70">
        <v>-19698.789999999997</v>
      </c>
      <c r="AA36" s="70">
        <v>-48385.84</v>
      </c>
      <c r="AB36" s="70">
        <v>-64618.5</v>
      </c>
      <c r="AC36" s="70">
        <v>-42103.360000000001</v>
      </c>
      <c r="AD36" s="70">
        <v>-36788.399999999994</v>
      </c>
      <c r="AE36" s="70">
        <v>-41724.590000000004</v>
      </c>
      <c r="AF36" s="70">
        <v>-54881.069999999992</v>
      </c>
      <c r="AG36" s="70">
        <v>-55914.9</v>
      </c>
      <c r="AH36" s="70">
        <v>-55481.14</v>
      </c>
      <c r="AI36" s="79">
        <v>-39206.850000000013</v>
      </c>
      <c r="AJ36" s="79">
        <f>'[1]TDR.3 (M3)'!AF5</f>
        <v>-42360.3</v>
      </c>
      <c r="AK36" s="79">
        <f>'[1]TDR.3 (M3)'!AG5</f>
        <v>-54472.2</v>
      </c>
      <c r="AL36" s="79">
        <f>'[1]TDR.3 (M3)'!AH5</f>
        <v>-66993.759999999995</v>
      </c>
      <c r="AM36" s="79">
        <f>'[1]TDR.3 (M3)'!AI5</f>
        <v>-58621.54</v>
      </c>
      <c r="AN36" s="79">
        <f>'[1]TDR.3 (M3)'!AJ5</f>
        <v>-25799.879999999997</v>
      </c>
      <c r="AO36" s="79">
        <f>'[1]TDR.3 (M3)'!AK5</f>
        <v>-19928.739999999994</v>
      </c>
      <c r="AP36" s="79">
        <f>'[1]TDR.3 (M3)'!AL5</f>
        <v>-16836.810000000001</v>
      </c>
      <c r="AQ36" s="79">
        <f>'[1]TDR.3 (M3)'!AM5</f>
        <v>-19254.710000000003</v>
      </c>
      <c r="AR36" s="79">
        <f>'[1]TDR.3 (M3)'!AN5</f>
        <v>-26122.889999999996</v>
      </c>
      <c r="AS36" s="79">
        <f>'[1]TDR.3 (M3)'!AO5</f>
        <v>-25874.140000000003</v>
      </c>
      <c r="AT36" s="79">
        <f>'[1]TDR.3 (M3)'!AP5</f>
        <v>-22617.429999999997</v>
      </c>
      <c r="AU36" s="79">
        <f>'[1]TDR.3 (M3)'!AQ5</f>
        <v>-17799.38</v>
      </c>
      <c r="AV36" s="85">
        <f>-('PCR (M3)'!AW28*'TDR (M3)'!$AY$22*PPC!$B$14)</f>
        <v>-23903.222704377586</v>
      </c>
      <c r="AW36" s="302">
        <f>-('PCR (M3)'!AX28*'TDR (M3)'!$AY$22*PPC!$B$14)</f>
        <v>-34354.914808309171</v>
      </c>
      <c r="AX36" s="305">
        <f>-('PCR (M3)'!AY28*'TDR (M3)'!$AY$22*PPC!$B$14)</f>
        <v>-42470.37942440663</v>
      </c>
    </row>
    <row r="37" spans="1:52" x14ac:dyDescent="0.3">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2"/>
      <c r="AW37" s="83"/>
      <c r="AX37" s="77"/>
      <c r="AZ37" s="3"/>
    </row>
    <row r="38" spans="1:52" x14ac:dyDescent="0.3">
      <c r="B38" s="82"/>
      <c r="C38" s="83"/>
      <c r="D38" s="78" t="s">
        <v>68</v>
      </c>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2"/>
      <c r="AW38" s="83"/>
      <c r="AX38" s="87"/>
      <c r="AY38" s="3"/>
    </row>
    <row r="39" spans="1:52" ht="15" thickBot="1" x14ac:dyDescent="0.35">
      <c r="A39" s="91" t="s">
        <v>88</v>
      </c>
      <c r="B39" s="92">
        <v>0</v>
      </c>
      <c r="C39" s="93">
        <v>0</v>
      </c>
      <c r="D39" s="93">
        <v>0</v>
      </c>
      <c r="E39" s="93">
        <v>10.42</v>
      </c>
      <c r="F39" s="93">
        <v>5.03</v>
      </c>
      <c r="G39" s="93">
        <v>-582.27</v>
      </c>
      <c r="H39" s="93">
        <v>-855.05</v>
      </c>
      <c r="I39" s="93">
        <v>-862.55</v>
      </c>
      <c r="J39" s="93">
        <v>-1041.18</v>
      </c>
      <c r="K39" s="93">
        <v>-1530.79</v>
      </c>
      <c r="L39" s="93">
        <v>-1258.5899999999999</v>
      </c>
      <c r="M39" s="93">
        <v>-1443.88</v>
      </c>
      <c r="N39" s="93">
        <v>-1163.1300000000001</v>
      </c>
      <c r="O39" s="93">
        <v>-1083.47</v>
      </c>
      <c r="P39" s="93">
        <v>-1000.15</v>
      </c>
      <c r="Q39" s="93">
        <v>-634.92999999999995</v>
      </c>
      <c r="R39" s="93">
        <v>-90.31</v>
      </c>
      <c r="S39" s="93">
        <v>-33.79</v>
      </c>
      <c r="T39" s="93">
        <v>70.48</v>
      </c>
      <c r="U39" s="93">
        <v>163.1</v>
      </c>
      <c r="V39" s="93">
        <v>233.22</v>
      </c>
      <c r="W39" s="93">
        <v>424.84</v>
      </c>
      <c r="X39" s="93">
        <v>1480.53</v>
      </c>
      <c r="Y39" s="93">
        <v>835.87</v>
      </c>
      <c r="Z39" s="93">
        <v>702.63</v>
      </c>
      <c r="AA39" s="93">
        <v>621.02</v>
      </c>
      <c r="AB39" s="93">
        <v>282.43</v>
      </c>
      <c r="AC39" s="93">
        <v>105.51</v>
      </c>
      <c r="AD39" s="93">
        <v>-24.9</v>
      </c>
      <c r="AE39" s="93">
        <v>142.43</v>
      </c>
      <c r="AF39" s="93">
        <v>237.6</v>
      </c>
      <c r="AG39" s="93">
        <v>557.42999999999995</v>
      </c>
      <c r="AH39" s="93">
        <v>535.91999999999996</v>
      </c>
      <c r="AI39" s="94">
        <v>300.35000000000002</v>
      </c>
      <c r="AJ39" s="94">
        <f>-'[1]TDR.4 (M3)'!$W$51</f>
        <v>227.64</v>
      </c>
      <c r="AK39" s="94">
        <f>-'[1]TDR.4 (M3)'!$W$52</f>
        <v>224.83</v>
      </c>
      <c r="AL39" s="94">
        <f>-'[1]TDR.4 (M3)'!$W$53</f>
        <v>46.44</v>
      </c>
      <c r="AM39" s="94">
        <f>-'[1]TDR.4 (M3)'!$W$54</f>
        <v>-90.29</v>
      </c>
      <c r="AN39" s="94">
        <f>-'[1]TDR.4 (M3)'!$W$55</f>
        <v>-440</v>
      </c>
      <c r="AO39" s="94">
        <f>-'[1]TDR.4 (M3)'!$W$56</f>
        <v>-490.49</v>
      </c>
      <c r="AP39" s="94">
        <f>-'[1]TDR.4 (M3)'!$W$57</f>
        <v>-777.29</v>
      </c>
      <c r="AQ39" s="94">
        <f>-'[1]TDR.4 (M3)'!$W$58</f>
        <v>738.84</v>
      </c>
      <c r="AR39" s="94">
        <f>-'[1]TDR.4 (M3)'!$W$59</f>
        <v>4560.24</v>
      </c>
      <c r="AS39" s="94">
        <f>-'[1]TDR.4 (M3)'!$W$60</f>
        <v>9499.7900000000009</v>
      </c>
      <c r="AT39" s="94">
        <f>-'[1]TDR.4 (M3)'!$W$61</f>
        <v>12902.26</v>
      </c>
      <c r="AU39" s="94">
        <f>-'[1]TDR.4 (M3)'!$W$62</f>
        <v>15702.85</v>
      </c>
      <c r="AV39" s="196">
        <f>'[2]MEEIA 3 calcs'!AX21</f>
        <v>15983</v>
      </c>
      <c r="AW39" s="197">
        <f>'[2]MEEIA 3 calcs'!AY21</f>
        <v>16462.89</v>
      </c>
      <c r="AX39" s="126">
        <f>'[2]MEEIA 3 calcs'!AZ21</f>
        <v>16707.47</v>
      </c>
      <c r="AY39" s="32"/>
    </row>
    <row r="40" spans="1:52" x14ac:dyDescent="0.3">
      <c r="B40" s="141"/>
      <c r="C40" s="95"/>
      <c r="D40" s="95"/>
      <c r="E40" s="95"/>
      <c r="F40" s="95"/>
      <c r="G40" s="164"/>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141"/>
      <c r="AW40" s="95"/>
      <c r="AX40" s="96"/>
    </row>
    <row r="41" spans="1:52" x14ac:dyDescent="0.3">
      <c r="A41" s="139" t="s">
        <v>69</v>
      </c>
      <c r="B41" s="97"/>
      <c r="C41" s="33"/>
      <c r="D41" s="33"/>
      <c r="E41" s="33"/>
      <c r="F41" s="33"/>
      <c r="G41" s="165"/>
      <c r="H41" s="33"/>
      <c r="I41" s="33"/>
      <c r="J41" s="3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73"/>
      <c r="AW41" s="74"/>
      <c r="AX41" s="77"/>
    </row>
    <row r="42" spans="1:52" x14ac:dyDescent="0.3">
      <c r="A42" s="139" t="s">
        <v>0</v>
      </c>
      <c r="B42" s="85">
        <f>B15-B29</f>
        <v>0</v>
      </c>
      <c r="C42" s="89">
        <f t="shared" ref="C42:AX46" si="39">C15-C29</f>
        <v>0</v>
      </c>
      <c r="D42" s="89">
        <f t="shared" si="39"/>
        <v>0</v>
      </c>
      <c r="E42" s="89">
        <f t="shared" si="39"/>
        <v>3542.7066619947968</v>
      </c>
      <c r="F42" s="89">
        <f>F15-F29</f>
        <v>-2042.587011875763</v>
      </c>
      <c r="G42" s="89">
        <f t="shared" si="39"/>
        <v>-101305.99221352636</v>
      </c>
      <c r="H42" s="89">
        <f t="shared" si="39"/>
        <v>3390.1150170901092</v>
      </c>
      <c r="I42" s="89">
        <f t="shared" si="39"/>
        <v>76961.106998553209</v>
      </c>
      <c r="J42" s="89">
        <f t="shared" si="39"/>
        <v>-50530.984803922765</v>
      </c>
      <c r="K42" s="89">
        <f t="shared" si="39"/>
        <v>-212267.59868433682</v>
      </c>
      <c r="L42" s="89">
        <f>L15-L29</f>
        <v>-40385.233069465088</v>
      </c>
      <c r="M42" s="89">
        <f t="shared" ref="M42:N42" si="40">M15-M29</f>
        <v>44343.414292571193</v>
      </c>
      <c r="N42" s="89">
        <f t="shared" si="40"/>
        <v>76836.312043950486</v>
      </c>
      <c r="O42" s="89">
        <f t="shared" ref="O42:V42" si="41">O15-O29</f>
        <v>201866.16865537548</v>
      </c>
      <c r="P42" s="89">
        <f t="shared" si="41"/>
        <v>34280.258242366312</v>
      </c>
      <c r="Q42" s="89">
        <f t="shared" si="41"/>
        <v>-126346.49822788438</v>
      </c>
      <c r="R42" s="89">
        <f t="shared" si="41"/>
        <v>-63609.632367494516</v>
      </c>
      <c r="S42" s="89">
        <f t="shared" si="41"/>
        <v>346374.89193049946</v>
      </c>
      <c r="T42" s="89">
        <f t="shared" si="41"/>
        <v>485911.41050838667</v>
      </c>
      <c r="U42" s="89">
        <f t="shared" si="41"/>
        <v>717829.24378261669</v>
      </c>
      <c r="V42" s="89">
        <f t="shared" si="41"/>
        <v>585204.42595819209</v>
      </c>
      <c r="W42" s="89">
        <f>W15-W29</f>
        <v>149158.25964036927</v>
      </c>
      <c r="X42" s="89">
        <f>X15-X29</f>
        <v>280854.02659305633</v>
      </c>
      <c r="Y42" s="89">
        <f t="shared" ref="Y42:AH42" si="42">Y15-Y29</f>
        <v>332241.02155908028</v>
      </c>
      <c r="Z42" s="89">
        <f t="shared" si="42"/>
        <v>227195.2030805297</v>
      </c>
      <c r="AA42" s="89">
        <f t="shared" si="42"/>
        <v>-610790.17258011526</v>
      </c>
      <c r="AB42" s="89">
        <f t="shared" si="42"/>
        <v>-968249.57662341476</v>
      </c>
      <c r="AC42" s="89">
        <f t="shared" si="42"/>
        <v>-475799.95241608412</v>
      </c>
      <c r="AD42" s="89">
        <f t="shared" si="42"/>
        <v>-326511.28297345655</v>
      </c>
      <c r="AE42" s="89">
        <f t="shared" si="42"/>
        <v>746018.93325227755</v>
      </c>
      <c r="AF42" s="89">
        <f t="shared" si="42"/>
        <v>770770.37407278339</v>
      </c>
      <c r="AG42" s="89">
        <f t="shared" si="42"/>
        <v>846365.4123658149</v>
      </c>
      <c r="AH42" s="89">
        <f t="shared" si="42"/>
        <v>190179.05805298151</v>
      </c>
      <c r="AI42" s="86">
        <f>AI15-AI29</f>
        <v>-474677.79895831738</v>
      </c>
      <c r="AJ42" s="86">
        <f t="shared" ref="AJ42:AU42" si="43">AJ15-AJ29</f>
        <v>-263381.97542737948</v>
      </c>
      <c r="AK42" s="86">
        <f t="shared" si="43"/>
        <v>-353257.53191095637</v>
      </c>
      <c r="AL42" s="86">
        <f t="shared" si="43"/>
        <v>-639036.90205576923</v>
      </c>
      <c r="AM42" s="86">
        <f t="shared" si="43"/>
        <v>-429267.71790252184</v>
      </c>
      <c r="AN42" s="86">
        <f t="shared" si="43"/>
        <v>-264599.8568676557</v>
      </c>
      <c r="AO42" s="86">
        <f t="shared" si="43"/>
        <v>-149534.1953224843</v>
      </c>
      <c r="AP42" s="86">
        <f t="shared" si="43"/>
        <v>-61157.46705547825</v>
      </c>
      <c r="AQ42" s="86">
        <f t="shared" si="43"/>
        <v>796873.6475477285</v>
      </c>
      <c r="AR42" s="86">
        <f t="shared" si="43"/>
        <v>957444.43433819094</v>
      </c>
      <c r="AS42" s="86">
        <f t="shared" si="43"/>
        <v>923593.7967756401</v>
      </c>
      <c r="AT42" s="86">
        <f t="shared" si="43"/>
        <v>508481.60765233729</v>
      </c>
      <c r="AU42" s="86">
        <f t="shared" si="43"/>
        <v>-73292.511665496568</v>
      </c>
      <c r="AV42" s="85">
        <f>AV15-AV29</f>
        <v>3275.6185676908353</v>
      </c>
      <c r="AW42" s="89">
        <f t="shared" si="39"/>
        <v>-63609.710762728704</v>
      </c>
      <c r="AX42" s="90">
        <f t="shared" si="39"/>
        <v>-206035.64485526748</v>
      </c>
    </row>
    <row r="43" spans="1:52" x14ac:dyDescent="0.3">
      <c r="A43" s="139" t="s">
        <v>4</v>
      </c>
      <c r="B43" s="85">
        <f t="shared" ref="B43:J46" si="44">B16-B30</f>
        <v>0</v>
      </c>
      <c r="C43" s="89">
        <f t="shared" si="44"/>
        <v>0</v>
      </c>
      <c r="D43" s="89">
        <f t="shared" si="44"/>
        <v>0.34412602678174997</v>
      </c>
      <c r="E43" s="89">
        <f t="shared" si="44"/>
        <v>593.85341007321881</v>
      </c>
      <c r="F43" s="89">
        <f t="shared" si="44"/>
        <v>3705.6477164422931</v>
      </c>
      <c r="G43" s="89">
        <f t="shared" si="44"/>
        <v>-36933.991833043365</v>
      </c>
      <c r="H43" s="89">
        <f t="shared" si="44"/>
        <v>-21571.365474004102</v>
      </c>
      <c r="I43" s="89">
        <f t="shared" si="44"/>
        <v>-17718.260509192958</v>
      </c>
      <c r="J43" s="89">
        <f t="shared" si="44"/>
        <v>3197.5668888877699</v>
      </c>
      <c r="K43" s="89">
        <f t="shared" si="39"/>
        <v>28.546596919208241</v>
      </c>
      <c r="L43" s="89">
        <f t="shared" ref="L43:N43" si="45">L16-L30</f>
        <v>9386.3233492282816</v>
      </c>
      <c r="M43" s="89">
        <f t="shared" si="45"/>
        <v>17183.31946097999</v>
      </c>
      <c r="N43" s="89">
        <f t="shared" si="45"/>
        <v>44970.013947199928</v>
      </c>
      <c r="O43" s="89">
        <f t="shared" ref="O43:Z43" si="46">O16-O30</f>
        <v>15565.470032368001</v>
      </c>
      <c r="P43" s="89">
        <f t="shared" si="46"/>
        <v>31713.576391725845</v>
      </c>
      <c r="Q43" s="89">
        <f t="shared" si="46"/>
        <v>-10957.783165404988</v>
      </c>
      <c r="R43" s="89">
        <f t="shared" si="46"/>
        <v>22055.733280690023</v>
      </c>
      <c r="S43" s="89">
        <f t="shared" si="46"/>
        <v>36852.642078134973</v>
      </c>
      <c r="T43" s="89">
        <f t="shared" si="46"/>
        <v>65933.032892219417</v>
      </c>
      <c r="U43" s="89">
        <f t="shared" si="46"/>
        <v>36891.63752109505</v>
      </c>
      <c r="V43" s="89">
        <f t="shared" si="46"/>
        <v>53957.672709346953</v>
      </c>
      <c r="W43" s="89">
        <f t="shared" si="46"/>
        <v>43171.372644444236</v>
      </c>
      <c r="X43" s="89">
        <f t="shared" si="46"/>
        <v>39046.876902396682</v>
      </c>
      <c r="Y43" s="89">
        <f t="shared" si="46"/>
        <v>47892.028333323746</v>
      </c>
      <c r="Z43" s="89">
        <f t="shared" si="46"/>
        <v>114994.92728477837</v>
      </c>
      <c r="AA43" s="89">
        <f t="shared" ref="AA43:AI43" si="47">AA16-AA30</f>
        <v>-99474.309502936463</v>
      </c>
      <c r="AB43" s="89">
        <f t="shared" si="47"/>
        <v>-210033.88020115101</v>
      </c>
      <c r="AC43" s="89">
        <f t="shared" si="47"/>
        <v>-132060.68636566441</v>
      </c>
      <c r="AD43" s="89">
        <f t="shared" si="47"/>
        <v>-69215.410222931969</v>
      </c>
      <c r="AE43" s="89">
        <f t="shared" si="47"/>
        <v>-15830.300275854592</v>
      </c>
      <c r="AF43" s="89">
        <f t="shared" si="47"/>
        <v>34854.687738781795</v>
      </c>
      <c r="AG43" s="89">
        <f t="shared" si="47"/>
        <v>-22900.219521689694</v>
      </c>
      <c r="AH43" s="89">
        <f t="shared" si="47"/>
        <v>-81673.364828463295</v>
      </c>
      <c r="AI43" s="86">
        <f t="shared" si="47"/>
        <v>-102557.80562980051</v>
      </c>
      <c r="AJ43" s="86">
        <f t="shared" ref="AJ43:AU43" si="48">AJ16-AJ30</f>
        <v>-89407.163772798842</v>
      </c>
      <c r="AK43" s="86">
        <f t="shared" si="48"/>
        <v>-104576.10527784744</v>
      </c>
      <c r="AL43" s="86">
        <f t="shared" si="48"/>
        <v>-94687.91259836551</v>
      </c>
      <c r="AM43" s="86">
        <f t="shared" si="48"/>
        <v>-96050.993391543539</v>
      </c>
      <c r="AN43" s="86">
        <f t="shared" si="48"/>
        <v>-97798.216238904512</v>
      </c>
      <c r="AO43" s="86">
        <f t="shared" si="48"/>
        <v>-48939.860955869037</v>
      </c>
      <c r="AP43" s="86">
        <f t="shared" si="48"/>
        <v>19982.049615389522</v>
      </c>
      <c r="AQ43" s="86">
        <f t="shared" si="48"/>
        <v>63067.616987736488</v>
      </c>
      <c r="AR43" s="86">
        <f t="shared" si="48"/>
        <v>115554.35634589652</v>
      </c>
      <c r="AS43" s="86">
        <f t="shared" si="48"/>
        <v>58090.128968651581</v>
      </c>
      <c r="AT43" s="86">
        <f t="shared" si="48"/>
        <v>73670.259759755107</v>
      </c>
      <c r="AU43" s="86">
        <f t="shared" si="48"/>
        <v>-145.17088530535693</v>
      </c>
      <c r="AV43" s="85">
        <f t="shared" si="39"/>
        <v>-8728.6184718710429</v>
      </c>
      <c r="AW43" s="89">
        <f t="shared" si="39"/>
        <v>-13016.288628325477</v>
      </c>
      <c r="AX43" s="90">
        <f t="shared" si="39"/>
        <v>-25077.698844365805</v>
      </c>
    </row>
    <row r="44" spans="1:52" x14ac:dyDescent="0.3">
      <c r="A44" s="139" t="s">
        <v>5</v>
      </c>
      <c r="B44" s="85">
        <f t="shared" si="44"/>
        <v>0</v>
      </c>
      <c r="C44" s="89">
        <f t="shared" si="39"/>
        <v>0</v>
      </c>
      <c r="D44" s="89">
        <f t="shared" si="39"/>
        <v>0.36790548240712501</v>
      </c>
      <c r="E44" s="89">
        <f t="shared" si="39"/>
        <v>549.3842450882164</v>
      </c>
      <c r="F44" s="89">
        <f t="shared" si="39"/>
        <v>-2931.1326047334169</v>
      </c>
      <c r="G44" s="89">
        <f t="shared" si="39"/>
        <v>-90370.113443998154</v>
      </c>
      <c r="H44" s="89">
        <f t="shared" si="39"/>
        <v>-75556.802484400338</v>
      </c>
      <c r="I44" s="89">
        <f t="shared" si="39"/>
        <v>-64270.675133255725</v>
      </c>
      <c r="J44" s="89">
        <f t="shared" si="39"/>
        <v>-39992.989537141941</v>
      </c>
      <c r="K44" s="89">
        <f t="shared" si="39"/>
        <v>-53536.042368776616</v>
      </c>
      <c r="L44" s="89">
        <f t="shared" ref="L44:N44" si="49">L17-L31</f>
        <v>-11728.216706934792</v>
      </c>
      <c r="M44" s="89">
        <f t="shared" si="49"/>
        <v>-2556.6017182828946</v>
      </c>
      <c r="N44" s="89">
        <f t="shared" si="49"/>
        <v>46597.399590637317</v>
      </c>
      <c r="O44" s="89">
        <f t="shared" ref="O44:Z44" si="50">O17-O31</f>
        <v>18383.043639580181</v>
      </c>
      <c r="P44" s="89">
        <f t="shared" si="50"/>
        <v>24990.899470165736</v>
      </c>
      <c r="Q44" s="89">
        <f t="shared" si="50"/>
        <v>-37113.943471591141</v>
      </c>
      <c r="R44" s="89">
        <f t="shared" si="50"/>
        <v>4409.0097991616203</v>
      </c>
      <c r="S44" s="89">
        <f t="shared" si="50"/>
        <v>94999.438860579292</v>
      </c>
      <c r="T44" s="89">
        <f t="shared" si="50"/>
        <v>155775.95298932068</v>
      </c>
      <c r="U44" s="89">
        <f t="shared" si="50"/>
        <v>139126.85562350042</v>
      </c>
      <c r="V44" s="89">
        <f t="shared" si="50"/>
        <v>120838.5398867241</v>
      </c>
      <c r="W44" s="89">
        <f t="shared" si="50"/>
        <v>49544.61988423382</v>
      </c>
      <c r="X44" s="89">
        <f t="shared" si="50"/>
        <v>50278.3618024834</v>
      </c>
      <c r="Y44" s="89">
        <f t="shared" si="50"/>
        <v>75211.526400806077</v>
      </c>
      <c r="Z44" s="89">
        <f t="shared" si="50"/>
        <v>180823.88930596292</v>
      </c>
      <c r="AA44" s="89">
        <f t="shared" ref="AA44:AI44" si="51">AA17-AA31</f>
        <v>-106572.26075811638</v>
      </c>
      <c r="AB44" s="89">
        <f t="shared" si="51"/>
        <v>-322347.13432818762</v>
      </c>
      <c r="AC44" s="89">
        <f t="shared" si="51"/>
        <v>-275847.81482360844</v>
      </c>
      <c r="AD44" s="89">
        <f t="shared" si="51"/>
        <v>-192782.80456222064</v>
      </c>
      <c r="AE44" s="89">
        <f t="shared" si="51"/>
        <v>150903.3937693839</v>
      </c>
      <c r="AF44" s="89">
        <f t="shared" si="51"/>
        <v>293180.15700391319</v>
      </c>
      <c r="AG44" s="89">
        <f t="shared" si="51"/>
        <v>285049.75756536925</v>
      </c>
      <c r="AH44" s="89">
        <f t="shared" si="51"/>
        <v>-7342.2299445640529</v>
      </c>
      <c r="AI44" s="86">
        <f t="shared" si="51"/>
        <v>-233844.43615168746</v>
      </c>
      <c r="AJ44" s="86">
        <f t="shared" ref="AJ44:AU44" si="52">AJ17-AJ31</f>
        <v>-174574.03518960776</v>
      </c>
      <c r="AK44" s="86">
        <f t="shared" si="52"/>
        <v>-145413.93952933012</v>
      </c>
      <c r="AL44" s="86">
        <f t="shared" si="52"/>
        <v>26900.304766233545</v>
      </c>
      <c r="AM44" s="86">
        <f t="shared" si="52"/>
        <v>-10527.036040066916</v>
      </c>
      <c r="AN44" s="86">
        <f t="shared" si="52"/>
        <v>-4850.2718564083916</v>
      </c>
      <c r="AO44" s="86">
        <f t="shared" si="52"/>
        <v>-21097.581799694948</v>
      </c>
      <c r="AP44" s="86">
        <f t="shared" si="52"/>
        <v>52314.06310299458</v>
      </c>
      <c r="AQ44" s="86">
        <f t="shared" si="52"/>
        <v>596787.63314727857</v>
      </c>
      <c r="AR44" s="86">
        <f t="shared" si="52"/>
        <v>786551.17298325233</v>
      </c>
      <c r="AS44" s="86">
        <f t="shared" si="52"/>
        <v>632472.83297479805</v>
      </c>
      <c r="AT44" s="86">
        <f t="shared" si="52"/>
        <v>331398.59223014308</v>
      </c>
      <c r="AU44" s="86">
        <f t="shared" si="52"/>
        <v>51953.445046711946</v>
      </c>
      <c r="AV44" s="85">
        <f t="shared" si="39"/>
        <v>94570.907159996394</v>
      </c>
      <c r="AW44" s="89">
        <f t="shared" si="39"/>
        <v>203293.97479398351</v>
      </c>
      <c r="AX44" s="90">
        <f t="shared" si="39"/>
        <v>244856.21906735882</v>
      </c>
    </row>
    <row r="45" spans="1:52" x14ac:dyDescent="0.3">
      <c r="A45" s="139" t="s">
        <v>6</v>
      </c>
      <c r="B45" s="85">
        <f t="shared" si="44"/>
        <v>0</v>
      </c>
      <c r="C45" s="89">
        <f t="shared" si="39"/>
        <v>0</v>
      </c>
      <c r="D45" s="89">
        <f t="shared" si="39"/>
        <v>0</v>
      </c>
      <c r="E45" s="89">
        <f t="shared" si="39"/>
        <v>9.4764517045030008</v>
      </c>
      <c r="F45" s="89">
        <f t="shared" si="39"/>
        <v>-1388.7476725055421</v>
      </c>
      <c r="G45" s="89">
        <f t="shared" si="39"/>
        <v>-33788.634873838782</v>
      </c>
      <c r="H45" s="89">
        <f t="shared" si="39"/>
        <v>-30625.282694978901</v>
      </c>
      <c r="I45" s="89">
        <f t="shared" si="39"/>
        <v>-31628.79776913585</v>
      </c>
      <c r="J45" s="89">
        <f t="shared" si="39"/>
        <v>-28095.429085728912</v>
      </c>
      <c r="K45" s="89">
        <f t="shared" si="39"/>
        <v>-31873.257504636691</v>
      </c>
      <c r="L45" s="89">
        <f>L18-L32</f>
        <v>-20880.892855911723</v>
      </c>
      <c r="M45" s="89">
        <f t="shared" ref="M45:N45" si="53">M18-M32</f>
        <v>-23064.420173608982</v>
      </c>
      <c r="N45" s="89">
        <f t="shared" si="53"/>
        <v>-1423.2608784312542</v>
      </c>
      <c r="O45" s="89">
        <f t="shared" ref="O45:W45" si="54">O18-O32</f>
        <v>-14045.782339868903</v>
      </c>
      <c r="P45" s="89">
        <f t="shared" si="54"/>
        <v>-5408.7078937220649</v>
      </c>
      <c r="Q45" s="89">
        <f t="shared" si="54"/>
        <v>-15692.292082889318</v>
      </c>
      <c r="R45" s="89">
        <f t="shared" si="54"/>
        <v>6523.1063165799351</v>
      </c>
      <c r="S45" s="89">
        <f t="shared" si="54"/>
        <v>52225.67050608014</v>
      </c>
      <c r="T45" s="89">
        <f t="shared" si="54"/>
        <v>81126.031644751754</v>
      </c>
      <c r="U45" s="89">
        <f t="shared" si="54"/>
        <v>77855.075454152829</v>
      </c>
      <c r="V45" s="89">
        <f t="shared" si="54"/>
        <v>50995.109967789846</v>
      </c>
      <c r="W45" s="89">
        <f t="shared" si="54"/>
        <v>11794.265719027549</v>
      </c>
      <c r="X45" s="89">
        <f>X18-X32</f>
        <v>10004.407961434124</v>
      </c>
      <c r="Y45" s="89">
        <f t="shared" ref="Y45:AI46" si="55">Y18-Y32</f>
        <v>10547.155657963784</v>
      </c>
      <c r="Z45" s="89">
        <f t="shared" si="55"/>
        <v>50611.748559016953</v>
      </c>
      <c r="AA45" s="89">
        <f t="shared" si="55"/>
        <v>-43125.549203065362</v>
      </c>
      <c r="AB45" s="89">
        <f t="shared" si="55"/>
        <v>-110257.69620095585</v>
      </c>
      <c r="AC45" s="89">
        <f t="shared" si="55"/>
        <v>-112228.30133303815</v>
      </c>
      <c r="AD45" s="89">
        <f t="shared" si="55"/>
        <v>-87474.223358746356</v>
      </c>
      <c r="AE45" s="89">
        <f t="shared" si="55"/>
        <v>72680.815943949798</v>
      </c>
      <c r="AF45" s="89">
        <f t="shared" si="55"/>
        <v>73843.149288604734</v>
      </c>
      <c r="AG45" s="89">
        <f t="shared" si="55"/>
        <v>84472.985426224215</v>
      </c>
      <c r="AH45" s="89">
        <f t="shared" si="55"/>
        <v>-27647.010106525413</v>
      </c>
      <c r="AI45" s="86">
        <f t="shared" si="55"/>
        <v>-86196.264936724954</v>
      </c>
      <c r="AJ45" s="86">
        <f t="shared" ref="AJ45:AU45" si="56">AJ18-AJ32</f>
        <v>-77684.382735068095</v>
      </c>
      <c r="AK45" s="86">
        <f t="shared" si="56"/>
        <v>-120137.99665862328</v>
      </c>
      <c r="AL45" s="86">
        <f t="shared" si="56"/>
        <v>-70229.427605409932</v>
      </c>
      <c r="AM45" s="86">
        <f t="shared" si="56"/>
        <v>-49894.35370415762</v>
      </c>
      <c r="AN45" s="86">
        <f t="shared" si="56"/>
        <v>-33628.861897006471</v>
      </c>
      <c r="AO45" s="86">
        <f t="shared" si="56"/>
        <v>-22919.353908090081</v>
      </c>
      <c r="AP45" s="86">
        <f t="shared" si="56"/>
        <v>-15785.079509891759</v>
      </c>
      <c r="AQ45" s="86">
        <f t="shared" si="56"/>
        <v>107503.74592378129</v>
      </c>
      <c r="AR45" s="86">
        <f t="shared" si="56"/>
        <v>180568.29448130322</v>
      </c>
      <c r="AS45" s="86">
        <f t="shared" si="56"/>
        <v>143547.73543805329</v>
      </c>
      <c r="AT45" s="86">
        <f t="shared" si="56"/>
        <v>63071.936227815095</v>
      </c>
      <c r="AU45" s="86">
        <f t="shared" si="56"/>
        <v>-14701.955808595536</v>
      </c>
      <c r="AV45" s="85">
        <f t="shared" si="39"/>
        <v>-12944.152070397409</v>
      </c>
      <c r="AW45" s="89">
        <f t="shared" si="39"/>
        <v>14389.498028212489</v>
      </c>
      <c r="AX45" s="90">
        <f t="shared" si="39"/>
        <v>43185.391830628287</v>
      </c>
    </row>
    <row r="46" spans="1:52" x14ac:dyDescent="0.3">
      <c r="A46" s="139" t="s">
        <v>7</v>
      </c>
      <c r="B46" s="85">
        <f t="shared" si="44"/>
        <v>0</v>
      </c>
      <c r="C46" s="89">
        <f t="shared" si="39"/>
        <v>0</v>
      </c>
      <c r="D46" s="89">
        <f t="shared" si="39"/>
        <v>0</v>
      </c>
      <c r="E46" s="89">
        <f t="shared" si="39"/>
        <v>0</v>
      </c>
      <c r="F46" s="89">
        <f t="shared" si="39"/>
        <v>206.95969459981058</v>
      </c>
      <c r="G46" s="89">
        <f t="shared" si="39"/>
        <v>-3528.7340731331474</v>
      </c>
      <c r="H46" s="89">
        <f t="shared" si="39"/>
        <v>-6806.3797850987785</v>
      </c>
      <c r="I46" s="89">
        <f t="shared" si="39"/>
        <v>-7300.5960205780684</v>
      </c>
      <c r="J46" s="89">
        <f t="shared" si="39"/>
        <v>-7080.3370793455424</v>
      </c>
      <c r="K46" s="89">
        <f t="shared" si="39"/>
        <v>-6687.927317849204</v>
      </c>
      <c r="L46" s="89">
        <f>L19-L33</f>
        <v>-1825.1377979269255</v>
      </c>
      <c r="M46" s="89">
        <f t="shared" ref="M46" si="57">M19-M33</f>
        <v>-3396.1962381337257</v>
      </c>
      <c r="N46" s="89">
        <f>N19-N33</f>
        <v>295.33845004445902</v>
      </c>
      <c r="O46" s="89">
        <f t="shared" ref="O46:W46" si="58">O19-O33</f>
        <v>-6078.344592685643</v>
      </c>
      <c r="P46" s="89">
        <f t="shared" si="58"/>
        <v>-14379.160711894308</v>
      </c>
      <c r="Q46" s="89">
        <f t="shared" si="58"/>
        <v>-16913.762044639316</v>
      </c>
      <c r="R46" s="89">
        <f t="shared" si="58"/>
        <v>-9837.7169283901458</v>
      </c>
      <c r="S46" s="89">
        <f t="shared" si="58"/>
        <v>21423.409277318446</v>
      </c>
      <c r="T46" s="89">
        <f t="shared" si="58"/>
        <v>16335.053413476926</v>
      </c>
      <c r="U46" s="89">
        <f t="shared" si="58"/>
        <v>16771.929407484269</v>
      </c>
      <c r="V46" s="89">
        <f t="shared" si="58"/>
        <v>1272.9677155168429</v>
      </c>
      <c r="W46" s="89">
        <f t="shared" si="58"/>
        <v>-11866.314202668673</v>
      </c>
      <c r="X46" s="89">
        <f>X19-X33</f>
        <v>-11417.130969499938</v>
      </c>
      <c r="Y46" s="89">
        <f t="shared" si="55"/>
        <v>-9867.5953953947501</v>
      </c>
      <c r="Z46" s="89">
        <f>Z19-Z33</f>
        <v>-7422.0239136573146</v>
      </c>
      <c r="AA46" s="89">
        <f t="shared" ref="AA46:AI46" si="59">AA19-AA33</f>
        <v>-21773.895600950826</v>
      </c>
      <c r="AB46" s="89">
        <f t="shared" si="59"/>
        <v>-12776.523247539964</v>
      </c>
      <c r="AC46" s="89">
        <f t="shared" si="59"/>
        <v>-28107.024288206539</v>
      </c>
      <c r="AD46" s="89">
        <f t="shared" si="59"/>
        <v>-19719.380314370752</v>
      </c>
      <c r="AE46" s="89">
        <f t="shared" si="59"/>
        <v>26946.907616365206</v>
      </c>
      <c r="AF46" s="89">
        <f t="shared" si="59"/>
        <v>22816.014843513054</v>
      </c>
      <c r="AG46" s="89">
        <f t="shared" si="59"/>
        <v>25070.106516194413</v>
      </c>
      <c r="AH46" s="89">
        <f t="shared" si="59"/>
        <v>-7363.8274162355956</v>
      </c>
      <c r="AI46" s="86">
        <f t="shared" si="59"/>
        <v>-28469.222598257755</v>
      </c>
      <c r="AJ46" s="86">
        <f t="shared" ref="AJ46:AU46" si="60">AJ19-AJ33</f>
        <v>-15185.323573905296</v>
      </c>
      <c r="AK46" s="86">
        <f t="shared" si="60"/>
        <v>-24066.181570945864</v>
      </c>
      <c r="AL46" s="86">
        <f t="shared" si="60"/>
        <v>-21242.964005599017</v>
      </c>
      <c r="AM46" s="86">
        <f t="shared" si="60"/>
        <v>-18227.552360108974</v>
      </c>
      <c r="AN46" s="86">
        <f t="shared" si="60"/>
        <v>95.627625391845868</v>
      </c>
      <c r="AO46" s="86">
        <f t="shared" si="60"/>
        <v>29736.31910527551</v>
      </c>
      <c r="AP46" s="86">
        <f t="shared" si="60"/>
        <v>3293.4420523490626</v>
      </c>
      <c r="AQ46" s="86">
        <f t="shared" si="60"/>
        <v>15389.338517816026</v>
      </c>
      <c r="AR46" s="86">
        <f t="shared" si="60"/>
        <v>23171.855562324603</v>
      </c>
      <c r="AS46" s="86">
        <f t="shared" si="60"/>
        <v>22993.347085226123</v>
      </c>
      <c r="AT46" s="86">
        <f t="shared" si="60"/>
        <v>16298.209308745758</v>
      </c>
      <c r="AU46" s="86">
        <f t="shared" si="60"/>
        <v>5070.0944368337578</v>
      </c>
      <c r="AV46" s="85">
        <f t="shared" si="39"/>
        <v>5006.6259154535619</v>
      </c>
      <c r="AW46" s="89">
        <f t="shared" si="39"/>
        <v>8910.418767356321</v>
      </c>
      <c r="AX46" s="90">
        <f t="shared" si="39"/>
        <v>11185.365472756599</v>
      </c>
    </row>
    <row r="47" spans="1:52" x14ac:dyDescent="0.3">
      <c r="B47" s="73"/>
      <c r="C47" s="74"/>
      <c r="D47" s="74"/>
      <c r="E47" s="74"/>
      <c r="F47" s="76"/>
      <c r="G47" s="76"/>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3"/>
      <c r="AW47" s="74"/>
      <c r="AX47" s="77"/>
    </row>
    <row r="48" spans="1:52" x14ac:dyDescent="0.3">
      <c r="A48" s="139" t="s">
        <v>70</v>
      </c>
      <c r="B48" s="73"/>
      <c r="C48" s="74"/>
      <c r="D48" s="74"/>
      <c r="E48" s="74"/>
      <c r="F48" s="76"/>
      <c r="G48" s="76"/>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3"/>
      <c r="AW48" s="74"/>
      <c r="AX48" s="77"/>
    </row>
    <row r="49" spans="1:55" x14ac:dyDescent="0.3">
      <c r="A49" s="139" t="s">
        <v>0</v>
      </c>
      <c r="B49" s="85">
        <f>B42</f>
        <v>0</v>
      </c>
      <c r="C49" s="89">
        <f>B49+C42+B56</f>
        <v>0</v>
      </c>
      <c r="D49" s="89">
        <f t="shared" ref="D49:I49" si="61">C49+D42+C56</f>
        <v>0</v>
      </c>
      <c r="E49" s="89">
        <f t="shared" si="61"/>
        <v>3542.7066619947968</v>
      </c>
      <c r="F49" s="89">
        <f>E49+F42+E56</f>
        <v>1507.97936331558</v>
      </c>
      <c r="G49" s="89">
        <f t="shared" si="61"/>
        <v>-99794.648345930662</v>
      </c>
      <c r="H49" s="89">
        <f t="shared" si="61"/>
        <v>-96624.917917516941</v>
      </c>
      <c r="I49" s="89">
        <f t="shared" si="61"/>
        <v>-19872.751755740155</v>
      </c>
      <c r="J49" s="89">
        <f t="shared" ref="J49:O49" si="62">I49+J42+I56</f>
        <v>-70442.673738996746</v>
      </c>
      <c r="K49" s="89">
        <f t="shared" si="62"/>
        <v>-282840.4076317767</v>
      </c>
      <c r="L49" s="89">
        <f t="shared" si="62"/>
        <v>-323723.89519173</v>
      </c>
      <c r="M49" s="89">
        <f t="shared" si="62"/>
        <v>-279870.29009307991</v>
      </c>
      <c r="N49" s="89">
        <f t="shared" si="62"/>
        <v>-203480.65079889275</v>
      </c>
      <c r="O49" s="89">
        <f t="shared" si="62"/>
        <v>-1934.8078275588223</v>
      </c>
      <c r="P49" s="89">
        <f t="shared" ref="P49:P53" si="63">O49+P42+O56</f>
        <v>32342.542426052445</v>
      </c>
      <c r="Q49" s="89">
        <f t="shared" ref="Q49:Q53" si="64">P49+Q42+P56</f>
        <v>-93953.05424609402</v>
      </c>
      <c r="R49" s="89">
        <f t="shared" ref="R49:R53" si="65">Q49+R42+Q56</f>
        <v>-157636.16259966171</v>
      </c>
      <c r="S49" s="89">
        <f t="shared" ref="S49:S53" si="66">R49+S42+R56</f>
        <v>188721.77464200588</v>
      </c>
      <c r="T49" s="89">
        <f t="shared" ref="T49:T53" si="67">S49+T42+S56</f>
        <v>674652.94290478434</v>
      </c>
      <c r="U49" s="89">
        <f t="shared" ref="U49:U53" si="68">T49+U42+T56</f>
        <v>1392591.0661148026</v>
      </c>
      <c r="V49" s="89">
        <f t="shared" ref="V49:V53" si="69">U49+V42+U56</f>
        <v>1977953.9979486326</v>
      </c>
      <c r="W49" s="89">
        <f>V49+W42+V56</f>
        <v>2127316.5077120098</v>
      </c>
      <c r="X49" s="89">
        <f t="shared" ref="X49:X53" si="70">W49+X42+W56</f>
        <v>2408525.0870563518</v>
      </c>
      <c r="Y49" s="89">
        <f t="shared" ref="Y49:Y53" si="71">X49+Y42+X56</f>
        <v>2741272.7900379961</v>
      </c>
      <c r="Z49" s="89">
        <f t="shared" ref="Z49:Z53" si="72">Y49+Z42+Y56</f>
        <v>2969118.3578035682</v>
      </c>
      <c r="AA49" s="89">
        <f t="shared" ref="AA49" si="73">Z49+AA42+Z56</f>
        <v>2358838.2277977522</v>
      </c>
      <c r="AB49" s="89">
        <f t="shared" ref="AB49:AB53" si="74">AA49+AB42+AA56</f>
        <v>1391045.1197882914</v>
      </c>
      <c r="AC49" s="89">
        <f t="shared" ref="AC49:AC53" si="75">AB49+AC42+AB56</f>
        <v>915492.85918464535</v>
      </c>
      <c r="AD49" s="89">
        <f t="shared" ref="AD49:AD53" si="76">AC49+AD42+AC56</f>
        <v>589153.32496030396</v>
      </c>
      <c r="AE49" s="89">
        <f t="shared" ref="AE49:AE53" si="77">AD49+AE42+AD56</f>
        <v>1335282.3670413278</v>
      </c>
      <c r="AF49" s="89">
        <f t="shared" ref="AF49:AF53" si="78">AE49+AF42+AE56</f>
        <v>2106277.1342031569</v>
      </c>
      <c r="AG49" s="89">
        <f t="shared" ref="AG49:AG53" si="79">AF49+AG42+AF56</f>
        <v>2952887.4872921393</v>
      </c>
      <c r="AH49" s="89">
        <f t="shared" ref="AH49:AH53" si="80">AG49+AH42+AG56</f>
        <v>3143571.240570751</v>
      </c>
      <c r="AI49" s="86">
        <f>AH49+AI42+AH56</f>
        <v>2669399.6430303748</v>
      </c>
      <c r="AJ49" s="86">
        <f t="shared" ref="AJ49:AU53" si="81">AI49+AJ42+AI56</f>
        <v>2406351.3425583742</v>
      </c>
      <c r="AK49" s="86">
        <f t="shared" si="81"/>
        <v>2053401.0395497861</v>
      </c>
      <c r="AL49" s="86">
        <f t="shared" si="81"/>
        <v>1414809.8350343213</v>
      </c>
      <c r="AM49" s="86">
        <f t="shared" si="81"/>
        <v>985818.53560331929</v>
      </c>
      <c r="AN49" s="86">
        <f t="shared" si="81"/>
        <v>721461.72325894679</v>
      </c>
      <c r="AO49" s="86">
        <f t="shared" si="81"/>
        <v>572341.34395168943</v>
      </c>
      <c r="AP49" s="86">
        <f t="shared" si="81"/>
        <v>511470.24597985292</v>
      </c>
      <c r="AQ49" s="86">
        <f t="shared" si="81"/>
        <v>1308748.68173588</v>
      </c>
      <c r="AR49" s="86">
        <f t="shared" si="81"/>
        <v>2267813.6370480177</v>
      </c>
      <c r="AS49" s="86">
        <f t="shared" si="81"/>
        <v>3195294.2585146413</v>
      </c>
      <c r="AT49" s="86">
        <f t="shared" si="81"/>
        <v>3710603.2886875798</v>
      </c>
      <c r="AU49" s="86">
        <f t="shared" si="81"/>
        <v>3646097.7824579584</v>
      </c>
      <c r="AV49" s="306">
        <f>AU49+AV42+AU56</f>
        <v>3659917.0650563682</v>
      </c>
      <c r="AW49" s="89">
        <f t="shared" ref="AW49:AX49" si="82">AV49+AW42+AV56</f>
        <v>3606890.9804651341</v>
      </c>
      <c r="AX49" s="371">
        <f t="shared" si="82"/>
        <v>3411285.6227174764</v>
      </c>
    </row>
    <row r="50" spans="1:55" x14ac:dyDescent="0.3">
      <c r="A50" s="139" t="s">
        <v>4</v>
      </c>
      <c r="B50" s="85">
        <f>B43</f>
        <v>0</v>
      </c>
      <c r="C50" s="89">
        <f t="shared" ref="C50:K53" si="83">B50+C43+B57</f>
        <v>0</v>
      </c>
      <c r="D50" s="89">
        <f t="shared" si="83"/>
        <v>0.34412602678174997</v>
      </c>
      <c r="E50" s="89">
        <f t="shared" si="83"/>
        <v>594.19753610000055</v>
      </c>
      <c r="F50" s="89">
        <f t="shared" si="83"/>
        <v>4301.1635164183126</v>
      </c>
      <c r="G50" s="89">
        <f t="shared" si="83"/>
        <v>-32623.231843747151</v>
      </c>
      <c r="H50" s="89">
        <f t="shared" si="83"/>
        <v>-54266.641837676369</v>
      </c>
      <c r="I50" s="89">
        <f t="shared" si="83"/>
        <v>-72102.248035734898</v>
      </c>
      <c r="J50" s="89">
        <f t="shared" si="83"/>
        <v>-69045.952883979742</v>
      </c>
      <c r="K50" s="89">
        <f t="shared" si="83"/>
        <v>-69144.961205035448</v>
      </c>
      <c r="L50" s="89">
        <f t="shared" ref="L50:N53" si="84">K50+L43+K57</f>
        <v>-59880.444310915569</v>
      </c>
      <c r="M50" s="89">
        <f t="shared" si="84"/>
        <v>-42787.723373422028</v>
      </c>
      <c r="N50" s="89">
        <f t="shared" si="84"/>
        <v>2114.0014029303547</v>
      </c>
      <c r="O50" s="89">
        <f>N50+O43+N57</f>
        <v>17682.799363250229</v>
      </c>
      <c r="P50" s="89">
        <f t="shared" si="63"/>
        <v>49422.952751912715</v>
      </c>
      <c r="Q50" s="89">
        <f t="shared" si="64"/>
        <v>38542.952747494091</v>
      </c>
      <c r="R50" s="89">
        <f t="shared" si="65"/>
        <v>60628.828544380289</v>
      </c>
      <c r="S50" s="89">
        <f t="shared" si="66"/>
        <v>97487.99160669338</v>
      </c>
      <c r="T50" s="89">
        <f t="shared" si="67"/>
        <v>163431.23076047408</v>
      </c>
      <c r="U50" s="89">
        <f t="shared" si="68"/>
        <v>200349.2437669381</v>
      </c>
      <c r="V50" s="89">
        <f t="shared" si="69"/>
        <v>254329.72039416831</v>
      </c>
      <c r="W50" s="89">
        <f t="shared" ref="W50:W53" si="85">V50+W43+V57</f>
        <v>297527.35597330623</v>
      </c>
      <c r="X50" s="89">
        <f t="shared" si="70"/>
        <v>336623.82076836511</v>
      </c>
      <c r="Y50" s="89">
        <f t="shared" si="71"/>
        <v>384586.66465486388</v>
      </c>
      <c r="Z50" s="89">
        <f t="shared" si="72"/>
        <v>499672.83480534278</v>
      </c>
      <c r="AA50" s="89">
        <f>Z50+AA43+Z57</f>
        <v>400284.3603511512</v>
      </c>
      <c r="AB50" s="89">
        <f t="shared" si="74"/>
        <v>190327.94084442325</v>
      </c>
      <c r="AC50" s="89">
        <f t="shared" si="75"/>
        <v>58301.144589118834</v>
      </c>
      <c r="AD50" s="89">
        <f t="shared" si="76"/>
        <v>-10903.328193335354</v>
      </c>
      <c r="AE50" s="89">
        <f t="shared" si="77"/>
        <v>-26735.666228540424</v>
      </c>
      <c r="AF50" s="89">
        <f t="shared" si="78"/>
        <v>8114.5286038113873</v>
      </c>
      <c r="AG50" s="89">
        <f t="shared" si="79"/>
        <v>-14784.747272584862</v>
      </c>
      <c r="AH50" s="89">
        <f t="shared" si="80"/>
        <v>-96460.63904844888</v>
      </c>
      <c r="AI50" s="86">
        <f t="shared" ref="AI50:AI53" si="86">AH50+AI43+AH57</f>
        <v>-199033.97749380377</v>
      </c>
      <c r="AJ50" s="86">
        <f t="shared" si="81"/>
        <v>-288466.02051378932</v>
      </c>
      <c r="AK50" s="86">
        <f t="shared" si="81"/>
        <v>-393078.95545041753</v>
      </c>
      <c r="AL50" s="86">
        <f t="shared" si="81"/>
        <v>-487852.18714632676</v>
      </c>
      <c r="AM50" s="86">
        <f t="shared" si="81"/>
        <v>-583998.49465893395</v>
      </c>
      <c r="AN50" s="86">
        <f t="shared" si="81"/>
        <v>-681940.69037337706</v>
      </c>
      <c r="AO50" s="86">
        <f t="shared" si="81"/>
        <v>-731271.69887043047</v>
      </c>
      <c r="AP50" s="86">
        <f t="shared" si="81"/>
        <v>-711655.53861199843</v>
      </c>
      <c r="AQ50" s="86">
        <f t="shared" si="81"/>
        <v>-649151.14064367651</v>
      </c>
      <c r="AR50" s="86">
        <f t="shared" si="81"/>
        <v>-534400.5773050664</v>
      </c>
      <c r="AS50" s="86">
        <f t="shared" si="81"/>
        <v>-477226.36193919613</v>
      </c>
      <c r="AT50" s="86">
        <f t="shared" si="81"/>
        <v>-404575.7973146374</v>
      </c>
      <c r="AU50" s="86">
        <f t="shared" si="81"/>
        <v>-405679.03605404758</v>
      </c>
      <c r="AV50" s="306">
        <f t="shared" ref="AV50:AX53" si="87">AU50+AV43+AU57</f>
        <v>-415580.7836397452</v>
      </c>
      <c r="AW50" s="89">
        <f t="shared" si="87"/>
        <v>-429798.83492550725</v>
      </c>
      <c r="AX50" s="371">
        <f t="shared" si="87"/>
        <v>-456119.41171408282</v>
      </c>
    </row>
    <row r="51" spans="1:55" x14ac:dyDescent="0.3">
      <c r="A51" s="139" t="s">
        <v>5</v>
      </c>
      <c r="B51" s="85">
        <f>B44</f>
        <v>0</v>
      </c>
      <c r="C51" s="89">
        <f t="shared" si="83"/>
        <v>0</v>
      </c>
      <c r="D51" s="89">
        <f t="shared" si="83"/>
        <v>0.36790548240712501</v>
      </c>
      <c r="E51" s="89">
        <f t="shared" si="83"/>
        <v>549.75215057062348</v>
      </c>
      <c r="F51" s="89">
        <f t="shared" si="83"/>
        <v>-2380.1607951153696</v>
      </c>
      <c r="G51" s="89">
        <f t="shared" si="83"/>
        <v>-92755.584697185666</v>
      </c>
      <c r="H51" s="89">
        <f t="shared" si="83"/>
        <v>-168517.22683701589</v>
      </c>
      <c r="I51" s="89">
        <f t="shared" si="83"/>
        <v>-233152.30207684272</v>
      </c>
      <c r="J51" s="89">
        <f t="shared" si="83"/>
        <v>-273602.11274825141</v>
      </c>
      <c r="K51" s="89">
        <f t="shared" si="83"/>
        <v>-327643.60538010154</v>
      </c>
      <c r="L51" s="89">
        <f t="shared" si="84"/>
        <v>-339949.00233870995</v>
      </c>
      <c r="M51" s="89">
        <f t="shared" si="84"/>
        <v>-342924.63709766627</v>
      </c>
      <c r="N51" s="89">
        <f t="shared" si="84"/>
        <v>-296874.54494206631</v>
      </c>
      <c r="O51" s="89">
        <f>N51+O44+N58</f>
        <v>-278958.85061216116</v>
      </c>
      <c r="P51" s="89">
        <f t="shared" si="63"/>
        <v>-254387.22234254846</v>
      </c>
      <c r="Q51" s="89">
        <f t="shared" si="64"/>
        <v>-291901.52720832155</v>
      </c>
      <c r="R51" s="89">
        <f t="shared" si="65"/>
        <v>-287720.7989985132</v>
      </c>
      <c r="S51" s="89">
        <f t="shared" si="66"/>
        <v>-192752.30618823753</v>
      </c>
      <c r="T51" s="89">
        <f t="shared" si="67"/>
        <v>-36996.532919732468</v>
      </c>
      <c r="U51" s="89">
        <f t="shared" si="68"/>
        <v>102124.35198747226</v>
      </c>
      <c r="V51" s="89">
        <f t="shared" si="69"/>
        <v>222974.5157530432</v>
      </c>
      <c r="W51" s="89">
        <f t="shared" si="85"/>
        <v>272542.16072902206</v>
      </c>
      <c r="X51" s="89">
        <f t="shared" si="70"/>
        <v>322865.94622496027</v>
      </c>
      <c r="Y51" s="89">
        <f t="shared" si="71"/>
        <v>398145.39393487369</v>
      </c>
      <c r="Z51" s="89">
        <f t="shared" si="72"/>
        <v>579063.74290375982</v>
      </c>
      <c r="AA51" s="89">
        <f>Z51+AA44+Z58</f>
        <v>472590.95516305882</v>
      </c>
      <c r="AB51" s="89">
        <f t="shared" si="74"/>
        <v>150335.27387973378</v>
      </c>
      <c r="AC51" s="89">
        <f t="shared" si="75"/>
        <v>-125485.77199444885</v>
      </c>
      <c r="AD51" s="89">
        <f t="shared" si="76"/>
        <v>-318292.1180012101</v>
      </c>
      <c r="AE51" s="89">
        <f t="shared" si="77"/>
        <v>-167448.21090673318</v>
      </c>
      <c r="AF51" s="89">
        <f t="shared" si="78"/>
        <v>125703.80656487732</v>
      </c>
      <c r="AG51" s="89">
        <f t="shared" si="79"/>
        <v>410768.18233066518</v>
      </c>
      <c r="AH51" s="89">
        <f t="shared" si="80"/>
        <v>403496.15917229099</v>
      </c>
      <c r="AI51" s="86">
        <f t="shared" si="86"/>
        <v>169716.69699837465</v>
      </c>
      <c r="AJ51" s="86">
        <f t="shared" si="81"/>
        <v>-4836.123604108313</v>
      </c>
      <c r="AK51" s="86">
        <f t="shared" si="81"/>
        <v>-150250.68058148949</v>
      </c>
      <c r="AL51" s="86">
        <f t="shared" si="81"/>
        <v>-123382.98822631176</v>
      </c>
      <c r="AM51" s="86">
        <f t="shared" si="81"/>
        <v>-133934.13021770338</v>
      </c>
      <c r="AN51" s="86">
        <f t="shared" si="81"/>
        <v>-138817.42230618742</v>
      </c>
      <c r="AO51" s="86">
        <f t="shared" si="81"/>
        <v>-159994.62700296874</v>
      </c>
      <c r="AP51" s="86">
        <f t="shared" si="81"/>
        <v>-107760.61667827968</v>
      </c>
      <c r="AQ51" s="86">
        <f t="shared" si="81"/>
        <v>488941.7324719468</v>
      </c>
      <c r="AR51" s="86">
        <f t="shared" si="81"/>
        <v>1276098.3237020834</v>
      </c>
      <c r="AS51" s="86">
        <f t="shared" si="81"/>
        <v>1910758.2722280272</v>
      </c>
      <c r="AT51" s="86">
        <f t="shared" si="81"/>
        <v>2246239.6039506197</v>
      </c>
      <c r="AU51" s="86">
        <f t="shared" si="81"/>
        <v>2303512.3240786549</v>
      </c>
      <c r="AV51" s="306">
        <f t="shared" si="87"/>
        <v>2404744.4513936774</v>
      </c>
      <c r="AW51" s="89">
        <f t="shared" si="87"/>
        <v>2614992.3860340528</v>
      </c>
      <c r="AX51" s="371">
        <f t="shared" si="87"/>
        <v>2867410.5529169319</v>
      </c>
    </row>
    <row r="52" spans="1:55" x14ac:dyDescent="0.3">
      <c r="A52" s="139" t="s">
        <v>6</v>
      </c>
      <c r="B52" s="85">
        <f>B45</f>
        <v>0</v>
      </c>
      <c r="C52" s="89">
        <f t="shared" si="83"/>
        <v>0</v>
      </c>
      <c r="D52" s="89">
        <f t="shared" si="83"/>
        <v>0</v>
      </c>
      <c r="E52" s="89">
        <f t="shared" si="83"/>
        <v>9.4764517045030008</v>
      </c>
      <c r="F52" s="89">
        <f t="shared" si="83"/>
        <v>-1379.2501967085516</v>
      </c>
      <c r="G52" s="89">
        <f t="shared" si="83"/>
        <v>-35170.962362785591</v>
      </c>
      <c r="H52" s="89">
        <f t="shared" si="83"/>
        <v>-65873.915936936362</v>
      </c>
      <c r="I52" s="89">
        <f t="shared" si="83"/>
        <v>-97645.158858050025</v>
      </c>
      <c r="J52" s="89">
        <f t="shared" si="83"/>
        <v>-125931.90654465849</v>
      </c>
      <c r="K52" s="89">
        <f t="shared" si="83"/>
        <v>-158037.80960401322</v>
      </c>
      <c r="L52" s="89">
        <f t="shared" si="84"/>
        <v>-179197.10344570148</v>
      </c>
      <c r="M52" s="89">
        <f t="shared" si="84"/>
        <v>-202486.13692655152</v>
      </c>
      <c r="N52" s="89">
        <f t="shared" si="84"/>
        <v>-204232.56551077912</v>
      </c>
      <c r="O52" s="89">
        <f>N52+O45+N59</f>
        <v>-218599.85722263966</v>
      </c>
      <c r="P52" s="89">
        <f t="shared" si="63"/>
        <v>-224337.11760493604</v>
      </c>
      <c r="Q52" s="89">
        <f t="shared" si="64"/>
        <v>-240382.47742583515</v>
      </c>
      <c r="R52" s="89">
        <f t="shared" si="65"/>
        <v>-234047.36222572607</v>
      </c>
      <c r="S52" s="89">
        <f t="shared" si="66"/>
        <v>-181846.86487872957</v>
      </c>
      <c r="T52" s="89">
        <f t="shared" si="67"/>
        <v>-100739.87123687913</v>
      </c>
      <c r="U52" s="89">
        <f t="shared" si="68"/>
        <v>-22901.053770795759</v>
      </c>
      <c r="V52" s="89">
        <f t="shared" si="69"/>
        <v>28091.449579969682</v>
      </c>
      <c r="W52" s="89">
        <f t="shared" si="85"/>
        <v>39888.616115719022</v>
      </c>
      <c r="X52" s="89">
        <f t="shared" si="70"/>
        <v>49899.672179839101</v>
      </c>
      <c r="Y52" s="89">
        <f t="shared" si="71"/>
        <v>60457.325231839357</v>
      </c>
      <c r="Z52" s="89">
        <f t="shared" si="72"/>
        <v>111083.41724088647</v>
      </c>
      <c r="AA52" s="89">
        <f>Z52+AA45+Z59</f>
        <v>67976.950224943299</v>
      </c>
      <c r="AB52" s="89">
        <f t="shared" si="74"/>
        <v>-42267.591473137225</v>
      </c>
      <c r="AC52" s="89">
        <f t="shared" si="75"/>
        <v>-154503.41904395906</v>
      </c>
      <c r="AD52" s="89">
        <f t="shared" si="76"/>
        <v>-242006.62763037661</v>
      </c>
      <c r="AE52" s="89">
        <f t="shared" si="77"/>
        <v>-169371.04111175341</v>
      </c>
      <c r="AF52" s="89">
        <f t="shared" si="78"/>
        <v>-95556.354485464966</v>
      </c>
      <c r="AG52" s="89">
        <f t="shared" si="79"/>
        <v>-11094.481387334161</v>
      </c>
      <c r="AH52" s="89">
        <f t="shared" si="80"/>
        <v>-38743.387716391291</v>
      </c>
      <c r="AI52" s="86">
        <f t="shared" si="86"/>
        <v>-124945.89140398175</v>
      </c>
      <c r="AJ52" s="86">
        <f t="shared" si="81"/>
        <v>-202645.89237547535</v>
      </c>
      <c r="AK52" s="86">
        <f t="shared" si="81"/>
        <v>-322809.76167953608</v>
      </c>
      <c r="AL52" s="86">
        <f t="shared" si="81"/>
        <v>-393109.25621975109</v>
      </c>
      <c r="AM52" s="86">
        <f t="shared" si="81"/>
        <v>-443080.41364484263</v>
      </c>
      <c r="AN52" s="86">
        <f t="shared" si="81"/>
        <v>-476818.51295626274</v>
      </c>
      <c r="AO52" s="86">
        <f t="shared" si="81"/>
        <v>-500011.3604270143</v>
      </c>
      <c r="AP52" s="86">
        <f t="shared" si="81"/>
        <v>-516046.61895439116</v>
      </c>
      <c r="AQ52" s="86">
        <f t="shared" si="81"/>
        <v>-408951.28307582159</v>
      </c>
      <c r="AR52" s="86">
        <f t="shared" si="81"/>
        <v>-228889.36093383399</v>
      </c>
      <c r="AS52" s="86">
        <f t="shared" si="81"/>
        <v>-85733.920878896533</v>
      </c>
      <c r="AT52" s="86">
        <f t="shared" si="81"/>
        <v>-22845.173320052454</v>
      </c>
      <c r="AU52" s="86">
        <f t="shared" si="81"/>
        <v>-37601.22832668374</v>
      </c>
      <c r="AV52" s="306">
        <f t="shared" si="87"/>
        <v>-50654.114375781974</v>
      </c>
      <c r="AW52" s="89">
        <f t="shared" si="87"/>
        <v>-36411.09622705089</v>
      </c>
      <c r="AX52" s="371">
        <f t="shared" si="87"/>
        <v>6669.0032092112187</v>
      </c>
    </row>
    <row r="53" spans="1:55" x14ac:dyDescent="0.3">
      <c r="A53" s="139" t="s">
        <v>7</v>
      </c>
      <c r="B53" s="85">
        <f>B46</f>
        <v>0</v>
      </c>
      <c r="C53" s="89">
        <f t="shared" si="83"/>
        <v>0</v>
      </c>
      <c r="D53" s="89">
        <f t="shared" si="83"/>
        <v>0</v>
      </c>
      <c r="E53" s="89">
        <f t="shared" si="83"/>
        <v>0</v>
      </c>
      <c r="F53" s="89">
        <f t="shared" si="83"/>
        <v>206.95969459981058</v>
      </c>
      <c r="G53" s="89">
        <f t="shared" si="83"/>
        <v>-3321.3126236875923</v>
      </c>
      <c r="H53" s="89">
        <f t="shared" si="83"/>
        <v>-10135.02713192603</v>
      </c>
      <c r="I53" s="89">
        <f t="shared" si="83"/>
        <v>-17457.53904226976</v>
      </c>
      <c r="J53" s="89">
        <f t="shared" si="83"/>
        <v>-24572.081114299297</v>
      </c>
      <c r="K53" s="89">
        <f t="shared" si="83"/>
        <v>-31305.402690031715</v>
      </c>
      <c r="L53" s="89">
        <f t="shared" si="84"/>
        <v>-33185.68839839143</v>
      </c>
      <c r="M53" s="89">
        <f t="shared" si="84"/>
        <v>-36616.425340765913</v>
      </c>
      <c r="N53" s="89">
        <f t="shared" si="84"/>
        <v>-36379.526675051631</v>
      </c>
      <c r="O53" s="89">
        <f>N53+O46+N60</f>
        <v>-42515.141070647485</v>
      </c>
      <c r="P53" s="89">
        <f t="shared" si="63"/>
        <v>-56958.201437273143</v>
      </c>
      <c r="Q53" s="89">
        <f t="shared" si="64"/>
        <v>-73961.605818219818</v>
      </c>
      <c r="R53" s="89">
        <f t="shared" si="65"/>
        <v>-83857.164420440109</v>
      </c>
      <c r="S53" s="89">
        <f t="shared" si="66"/>
        <v>-62442.774470321878</v>
      </c>
      <c r="T53" s="89">
        <f t="shared" si="67"/>
        <v>-46114.258347011186</v>
      </c>
      <c r="U53" s="89">
        <f t="shared" si="68"/>
        <v>-29349.771127538799</v>
      </c>
      <c r="V53" s="89">
        <f t="shared" si="69"/>
        <v>-28080.144027429837</v>
      </c>
      <c r="W53" s="89">
        <f t="shared" si="85"/>
        <v>-39949.357879371259</v>
      </c>
      <c r="X53" s="89">
        <f t="shared" si="70"/>
        <v>-51373.147075184424</v>
      </c>
      <c r="Y53" s="89">
        <f t="shared" si="71"/>
        <v>-61251.549839529383</v>
      </c>
      <c r="Z53" s="89">
        <f t="shared" si="72"/>
        <v>-68688.105632343169</v>
      </c>
      <c r="AA53" s="89">
        <f>Z53+AA46+Z60</f>
        <v>-90473.800647799784</v>
      </c>
      <c r="AB53" s="89">
        <f t="shared" si="74"/>
        <v>-103267.83185747727</v>
      </c>
      <c r="AC53" s="89">
        <f t="shared" si="75"/>
        <v>-131393.24418793741</v>
      </c>
      <c r="AD53" s="89">
        <f t="shared" si="76"/>
        <v>-151137.27420340094</v>
      </c>
      <c r="AE53" s="89">
        <f t="shared" si="77"/>
        <v>-124218.61313600252</v>
      </c>
      <c r="AF53" s="89">
        <f t="shared" si="78"/>
        <v>-101423.47312691146</v>
      </c>
      <c r="AG53" s="89">
        <f t="shared" si="79"/>
        <v>-76365.161230926533</v>
      </c>
      <c r="AH53" s="89">
        <f t="shared" si="80"/>
        <v>-83742.04066233155</v>
      </c>
      <c r="AI53" s="86">
        <f t="shared" si="86"/>
        <v>-112224.74803204206</v>
      </c>
      <c r="AJ53" s="86">
        <f t="shared" si="81"/>
        <v>-127424.09969945136</v>
      </c>
      <c r="AK53" s="86">
        <f t="shared" si="81"/>
        <v>-151506.55003613958</v>
      </c>
      <c r="AL53" s="86">
        <f t="shared" si="81"/>
        <v>-172782.39904344577</v>
      </c>
      <c r="AM53" s="86">
        <f t="shared" si="81"/>
        <v>-191043.70876476786</v>
      </c>
      <c r="AN53" s="86">
        <f t="shared" si="81"/>
        <v>-190995.18121453797</v>
      </c>
      <c r="AO53" s="86">
        <f t="shared" si="81"/>
        <v>-161368.41312530352</v>
      </c>
      <c r="AP53" s="86">
        <f t="shared" si="81"/>
        <v>-158155.71122056697</v>
      </c>
      <c r="AQ53" s="86">
        <f t="shared" si="81"/>
        <v>-142891.54042752154</v>
      </c>
      <c r="AR53" s="86">
        <f t="shared" si="81"/>
        <v>-119896.61626653766</v>
      </c>
      <c r="AS53" s="86">
        <f t="shared" si="81"/>
        <v>-97108.760991069226</v>
      </c>
      <c r="AT53" s="86">
        <f t="shared" si="81"/>
        <v>-81018.045104868623</v>
      </c>
      <c r="AU53" s="86">
        <f t="shared" si="81"/>
        <v>-76139.807880286811</v>
      </c>
      <c r="AV53" s="306">
        <f t="shared" si="87"/>
        <v>-71353.360523267867</v>
      </c>
      <c r="AW53" s="89">
        <f t="shared" si="87"/>
        <v>-62649.279025427379</v>
      </c>
      <c r="AX53" s="371">
        <f t="shared" si="87"/>
        <v>-51645.080649447213</v>
      </c>
    </row>
    <row r="54" spans="1:55" x14ac:dyDescent="0.3">
      <c r="B54" s="73"/>
      <c r="C54" s="74"/>
      <c r="D54" s="74"/>
      <c r="E54" s="74"/>
      <c r="F54" s="76"/>
      <c r="G54" s="76"/>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3"/>
      <c r="AW54" s="74"/>
      <c r="AX54" s="77"/>
    </row>
    <row r="55" spans="1:55" x14ac:dyDescent="0.3">
      <c r="A55" s="139" t="s">
        <v>65</v>
      </c>
      <c r="B55" s="98">
        <v>0</v>
      </c>
      <c r="C55" s="99">
        <v>0</v>
      </c>
      <c r="D55" s="99">
        <v>0</v>
      </c>
      <c r="E55" s="99">
        <f>'PCR (M3)'!F67</f>
        <v>2.2185616666666667E-3</v>
      </c>
      <c r="F55" s="99">
        <f>'PCR (M3)'!G67</f>
        <v>2.2311341666666666E-3</v>
      </c>
      <c r="G55" s="99">
        <f>'PCR (M3)'!H67</f>
        <v>2.2083808333333336E-3</v>
      </c>
      <c r="H55" s="99">
        <f>'PCR (M3)'!I67</f>
        <v>2.1623908333333335E-3</v>
      </c>
      <c r="I55" s="99">
        <f>'PCR (M3)'!J67</f>
        <v>1.959325E-3</v>
      </c>
      <c r="J55" s="99">
        <f>'PCR (M3)'!K67</f>
        <v>1.8473916666666666E-3</v>
      </c>
      <c r="K55" s="99">
        <f>'PCR (M3)'!L67</f>
        <v>1.76161E-3</v>
      </c>
      <c r="L55" s="99">
        <f>'PCR (M3)'!M67</f>
        <v>1.5133241666666667E-3</v>
      </c>
      <c r="M55" s="99">
        <f>'PCR (M3)'!N67</f>
        <v>1.5959991666666667E-3</v>
      </c>
      <c r="N55" s="99">
        <f>'PCR (M3)'!O67</f>
        <v>1.5742316666666667E-3</v>
      </c>
      <c r="O55" s="99">
        <f>'PCR (M3)'!P67</f>
        <v>1.5029858333333332E-3</v>
      </c>
      <c r="P55" s="99">
        <f>'PCR (M3)'!Q67</f>
        <v>1.5738266666666667E-3</v>
      </c>
      <c r="Q55" s="99">
        <f>'PCR (M3)'!R67</f>
        <v>7.8204999999999995E-4</v>
      </c>
      <c r="R55" s="99">
        <f>'PCR (M3)'!S67</f>
        <v>1.0755583333333334E-4</v>
      </c>
      <c r="S55" s="99">
        <f>'PCR (M3)'!T67</f>
        <v>1.046925E-4</v>
      </c>
      <c r="T55" s="99">
        <f>'PCR (M3)'!U67</f>
        <v>1.6138583333333333E-4</v>
      </c>
      <c r="U55" s="99">
        <f>'PCR (M3)'!V67</f>
        <v>1.1382083333333333E-4</v>
      </c>
      <c r="V55" s="99">
        <f>'PCR (M3)'!W67</f>
        <v>1.0326333333333334E-4</v>
      </c>
      <c r="W55" s="99">
        <f>'PCR (M3)'!X67</f>
        <v>1.6666666666666666E-4</v>
      </c>
      <c r="X55" s="99">
        <f>'PCR (M3)'!Y67</f>
        <v>2.1037000000000001E-4</v>
      </c>
      <c r="Y55" s="99">
        <f>'PCR (M3)'!Z67</f>
        <v>2.3724916666666669E-4</v>
      </c>
      <c r="Z55" s="99">
        <f>'PCR (M3)'!AA67</f>
        <v>1.7178250000000002E-4</v>
      </c>
      <c r="AA55" s="99">
        <f>'PCR (M3)'!AB67</f>
        <v>1.9351416666666668E-4</v>
      </c>
      <c r="AB55" s="99">
        <f>'PCR (M3)'!AC67</f>
        <v>1.7806166666666664E-4</v>
      </c>
      <c r="AC55" s="99">
        <f>'PCR (M3)'!AD67</f>
        <v>1.8760249999999999E-4</v>
      </c>
      <c r="AD55" s="99">
        <f>'PCR (M3)'!AE67</f>
        <v>1.8689333333333334E-4</v>
      </c>
      <c r="AE55" s="99">
        <f>'PCR (M3)'!AF67</f>
        <v>1.6804916666666666E-4</v>
      </c>
      <c r="AF55" s="99">
        <f>'PCR (M3)'!AG67</f>
        <v>1.1629083333333334E-4</v>
      </c>
      <c r="AG55" s="99">
        <f>'PCR (M3)'!AH67</f>
        <v>1.7091583333333333E-4</v>
      </c>
      <c r="AH55" s="99">
        <f>'PCR (M3)'!AI67</f>
        <v>1.6102749999999998E-4</v>
      </c>
      <c r="AI55" s="99">
        <f>'PCR (M3)'!AJ67</f>
        <v>1.25E-4</v>
      </c>
      <c r="AJ55" s="99">
        <f>'PCR (M3)'!AK67</f>
        <v>1.2767416666666667E-4</v>
      </c>
      <c r="AK55" s="99">
        <f>'PCR (M3)'!AL67</f>
        <v>2.1705333333333333E-4</v>
      </c>
      <c r="AL55" s="99">
        <f>'PCR (M3)'!AM67</f>
        <v>1.9537499999999999E-4</v>
      </c>
      <c r="AM55" s="99">
        <f>'PCR (M3)'!AN67</f>
        <v>2.4654083333333334E-4</v>
      </c>
      <c r="AN55" s="99">
        <f>'PCR (M3)'!AO67</f>
        <v>5.7357999999999997E-4</v>
      </c>
      <c r="AO55" s="99">
        <f>'PCR (M3)'!AP67</f>
        <v>5.0034666666666668E-4</v>
      </c>
      <c r="AP55" s="99">
        <f>'PCR (M3)'!AQ67</f>
        <v>7.9142083333333336E-4</v>
      </c>
      <c r="AQ55" s="99">
        <f>'PCR (M3)'!AR67</f>
        <v>1.2382216666666666E-3</v>
      </c>
      <c r="AR55" s="99">
        <f>'PCR (M3)'!AS67</f>
        <v>1.7139083333333333E-3</v>
      </c>
      <c r="AS55" s="99">
        <f>'PCR (M3)'!AT67</f>
        <v>2.1367116666666667E-3</v>
      </c>
      <c r="AT55" s="99">
        <f>'PCR (M3)'!AU67</f>
        <v>2.3680800000000003E-3</v>
      </c>
      <c r="AU55" s="99">
        <f>'PCR (M3)'!AV67</f>
        <v>2.8917666666666668E-3</v>
      </c>
      <c r="AV55" s="161">
        <f>AU55</f>
        <v>2.8917666666666668E-3</v>
      </c>
      <c r="AW55" s="162">
        <f>AV55</f>
        <v>2.8917666666666668E-3</v>
      </c>
      <c r="AX55" s="163">
        <f>AV55</f>
        <v>2.8917666666666668E-3</v>
      </c>
    </row>
    <row r="56" spans="1:55" x14ac:dyDescent="0.3">
      <c r="A56" s="139" t="s">
        <v>0</v>
      </c>
      <c r="B56" s="85">
        <f t="shared" ref="B56:K60" si="88">B49*B$55</f>
        <v>0</v>
      </c>
      <c r="C56" s="89">
        <f t="shared" si="88"/>
        <v>0</v>
      </c>
      <c r="D56" s="89">
        <f>D49*D$55</f>
        <v>0</v>
      </c>
      <c r="E56" s="89">
        <f t="shared" si="88"/>
        <v>7.8597131965462799</v>
      </c>
      <c r="F56" s="89">
        <f t="shared" si="88"/>
        <v>3.3645042801216372</v>
      </c>
      <c r="G56" s="89">
        <f t="shared" si="88"/>
        <v>-220.38458867639332</v>
      </c>
      <c r="H56" s="89">
        <f t="shared" si="88"/>
        <v>-208.94083677642439</v>
      </c>
      <c r="I56" s="89">
        <f t="shared" si="88"/>
        <v>-38.937179333815578</v>
      </c>
      <c r="J56" s="89">
        <f t="shared" si="88"/>
        <v>-130.13520844314144</v>
      </c>
      <c r="K56" s="89">
        <f>K49*K$55</f>
        <v>-498.25449048821417</v>
      </c>
      <c r="L56" s="337">
        <f>L49*L$55+0.09</f>
        <v>-489.80919392111218</v>
      </c>
      <c r="M56" s="89">
        <f t="shared" ref="M56:W56" si="89">M49*M$55</f>
        <v>-446.67274976331379</v>
      </c>
      <c r="N56" s="89">
        <f>N49*N$55</f>
        <v>-320.32568404155893</v>
      </c>
      <c r="O56" s="89">
        <f>O49*O$55</f>
        <v>-2.9079887550433527</v>
      </c>
      <c r="P56" s="89">
        <f t="shared" si="89"/>
        <v>50.901555737919367</v>
      </c>
      <c r="Q56" s="89">
        <f t="shared" si="89"/>
        <v>-73.475986073157827</v>
      </c>
      <c r="R56" s="89">
        <f t="shared" si="89"/>
        <v>-16.954688831875448</v>
      </c>
      <c r="S56" s="89">
        <f t="shared" si="89"/>
        <v>19.7577543917082</v>
      </c>
      <c r="T56" s="89">
        <f t="shared" si="89"/>
        <v>108.87942740147437</v>
      </c>
      <c r="U56" s="89">
        <f t="shared" si="89"/>
        <v>158.50587563774192</v>
      </c>
      <c r="V56" s="89">
        <f t="shared" si="89"/>
        <v>204.25012300816897</v>
      </c>
      <c r="W56" s="89">
        <f t="shared" si="89"/>
        <v>354.55275128533498</v>
      </c>
      <c r="X56" s="89">
        <f>X49*X$55</f>
        <v>506.68142256404474</v>
      </c>
      <c r="Y56" s="89">
        <f t="shared" ref="Y56" si="90">Y49*Y$55</f>
        <v>650.36468504252298</v>
      </c>
      <c r="Z56" s="89">
        <f>Z49*Z$55</f>
        <v>510.04257429939156</v>
      </c>
      <c r="AA56" s="89">
        <f>AA49*AA$55</f>
        <v>456.4686139537589</v>
      </c>
      <c r="AB56" s="89">
        <f t="shared" ref="AB56:AI56" si="91">AB49*AB$55</f>
        <v>247.69181243803612</v>
      </c>
      <c r="AC56" s="89">
        <f t="shared" si="91"/>
        <v>171.74874911518742</v>
      </c>
      <c r="AD56" s="89">
        <f t="shared" si="91"/>
        <v>110.10882874624774</v>
      </c>
      <c r="AE56" s="89">
        <f t="shared" si="91"/>
        <v>224.39308904598926</v>
      </c>
      <c r="AF56" s="89">
        <f t="shared" si="91"/>
        <v>244.94072316743029</v>
      </c>
      <c r="AG56" s="89">
        <f t="shared" si="91"/>
        <v>504.69522563010872</v>
      </c>
      <c r="AH56" s="89">
        <f t="shared" si="91"/>
        <v>506.20141794100658</v>
      </c>
      <c r="AI56" s="86">
        <f t="shared" si="91"/>
        <v>333.67495537879688</v>
      </c>
      <c r="AJ56" s="86">
        <f t="shared" ref="AJ56:AU56" si="92">AJ49*AJ$55</f>
        <v>307.22890236835497</v>
      </c>
      <c r="AK56" s="86">
        <f t="shared" si="92"/>
        <v>445.69754030441288</v>
      </c>
      <c r="AL56" s="86">
        <f t="shared" si="92"/>
        <v>276.41847151983052</v>
      </c>
      <c r="AM56" s="86">
        <f t="shared" si="92"/>
        <v>243.04452328308867</v>
      </c>
      <c r="AN56" s="86">
        <f t="shared" si="92"/>
        <v>413.81601522686668</v>
      </c>
      <c r="AO56" s="86">
        <f t="shared" si="92"/>
        <v>286.36908364174798</v>
      </c>
      <c r="AP56" s="86">
        <f t="shared" si="92"/>
        <v>404.78820829858017</v>
      </c>
      <c r="AQ56" s="86">
        <f t="shared" si="92"/>
        <v>1620.5209739468041</v>
      </c>
      <c r="AR56" s="86">
        <f t="shared" si="92"/>
        <v>3886.824690983573</v>
      </c>
      <c r="AS56" s="86">
        <f t="shared" si="92"/>
        <v>6827.4225206012497</v>
      </c>
      <c r="AT56" s="86">
        <f t="shared" si="92"/>
        <v>8787.0054358752841</v>
      </c>
      <c r="AU56" s="86">
        <f t="shared" si="92"/>
        <v>10543.664030719176</v>
      </c>
      <c r="AV56" s="85">
        <f>((AV49+AV66)*AV$55)-AV66</f>
        <v>10583.626171494505</v>
      </c>
      <c r="AW56" s="89">
        <f t="shared" ref="AW56:AX60" si="93">AW49*AW$55</f>
        <v>10430.287107609727</v>
      </c>
      <c r="AX56" s="90">
        <f t="shared" si="93"/>
        <v>9864.6420542536416</v>
      </c>
    </row>
    <row r="57" spans="1:55" x14ac:dyDescent="0.3">
      <c r="A57" s="139" t="s">
        <v>4</v>
      </c>
      <c r="B57" s="85">
        <f t="shared" si="88"/>
        <v>0</v>
      </c>
      <c r="C57" s="89">
        <f t="shared" si="88"/>
        <v>0</v>
      </c>
      <c r="D57" s="89">
        <f t="shared" si="88"/>
        <v>0</v>
      </c>
      <c r="E57" s="89">
        <f t="shared" si="88"/>
        <v>1.318263876019244</v>
      </c>
      <c r="F57" s="89">
        <f t="shared" si="88"/>
        <v>9.5964728779010411</v>
      </c>
      <c r="G57" s="89">
        <f t="shared" si="88"/>
        <v>-72.044519925120881</v>
      </c>
      <c r="H57" s="89">
        <f t="shared" si="88"/>
        <v>-117.34568886557454</v>
      </c>
      <c r="I57" s="89">
        <f t="shared" si="88"/>
        <v>-141.27173713261629</v>
      </c>
      <c r="J57" s="89">
        <f t="shared" si="88"/>
        <v>-127.55491797492347</v>
      </c>
      <c r="K57" s="89">
        <f t="shared" si="88"/>
        <v>-121.8064551084025</v>
      </c>
      <c r="L57" s="337">
        <f>L50*L$55+0.02</f>
        <v>-90.598523486446055</v>
      </c>
      <c r="M57" s="89">
        <f t="shared" ref="M57:W57" si="94">M50*M$55</f>
        <v>-68.289170847545407</v>
      </c>
      <c r="N57" s="89">
        <f t="shared" si="94"/>
        <v>3.3279279518707239</v>
      </c>
      <c r="O57" s="89">
        <f t="shared" si="94"/>
        <v>26.576996936640779</v>
      </c>
      <c r="P57" s="89">
        <f t="shared" si="94"/>
        <v>77.783160986366951</v>
      </c>
      <c r="Q57" s="89">
        <f t="shared" si="94"/>
        <v>30.142516196177752</v>
      </c>
      <c r="R57" s="89">
        <f t="shared" si="94"/>
        <v>6.5209841781146096</v>
      </c>
      <c r="S57" s="89">
        <f t="shared" si="94"/>
        <v>10.206261561283746</v>
      </c>
      <c r="T57" s="89">
        <f t="shared" si="94"/>
        <v>26.375485368971407</v>
      </c>
      <c r="U57" s="89">
        <f t="shared" si="94"/>
        <v>22.803917883256034</v>
      </c>
      <c r="V57" s="89">
        <f t="shared" si="94"/>
        <v>26.262934693636467</v>
      </c>
      <c r="W57" s="89">
        <f t="shared" si="94"/>
        <v>49.587892662217705</v>
      </c>
      <c r="X57" s="89">
        <f>X50*X$55</f>
        <v>70.815553175040975</v>
      </c>
      <c r="Y57" s="89">
        <f t="shared" ref="Y57:AI57" si="95">Y50*Y$55</f>
        <v>91.242865700479257</v>
      </c>
      <c r="Z57" s="89">
        <f t="shared" si="95"/>
        <v>85.835048744948807</v>
      </c>
      <c r="AA57" s="89">
        <f t="shared" si="95"/>
        <v>77.460694423052743</v>
      </c>
      <c r="AB57" s="89">
        <f t="shared" si="95"/>
        <v>33.89011035999274</v>
      </c>
      <c r="AC57" s="89">
        <f t="shared" si="95"/>
        <v>10.937440477780166</v>
      </c>
      <c r="AD57" s="89">
        <f t="shared" si="95"/>
        <v>-2.0377593504797553</v>
      </c>
      <c r="AE57" s="89">
        <f t="shared" si="95"/>
        <v>-4.4929064299843606</v>
      </c>
      <c r="AF57" s="89">
        <f t="shared" si="95"/>
        <v>0.94364529344439618</v>
      </c>
      <c r="AG57" s="89">
        <f t="shared" si="95"/>
        <v>-2.5269474007165686</v>
      </c>
      <c r="AH57" s="89">
        <f t="shared" si="95"/>
        <v>-15.5328155543741</v>
      </c>
      <c r="AI57" s="86">
        <f t="shared" si="95"/>
        <v>-24.879247186725472</v>
      </c>
      <c r="AJ57" s="86">
        <f t="shared" ref="AJ57:AU57" si="96">AJ50*AJ$55</f>
        <v>-36.829658780747621</v>
      </c>
      <c r="AK57" s="86">
        <f t="shared" si="96"/>
        <v>-85.319097543697964</v>
      </c>
      <c r="AL57" s="86">
        <f t="shared" si="96"/>
        <v>-95.314121063713586</v>
      </c>
      <c r="AM57" s="86">
        <f t="shared" si="96"/>
        <v>-143.97947553862579</v>
      </c>
      <c r="AN57" s="86">
        <f t="shared" si="96"/>
        <v>-391.14754118436161</v>
      </c>
      <c r="AO57" s="86">
        <f t="shared" si="96"/>
        <v>-365.88935695749035</v>
      </c>
      <c r="AP57" s="86">
        <f t="shared" si="96"/>
        <v>-563.21901941458998</v>
      </c>
      <c r="AQ57" s="86">
        <f t="shared" si="96"/>
        <v>-803.79300728638077</v>
      </c>
      <c r="AR57" s="86">
        <f t="shared" si="96"/>
        <v>-915.91360278129741</v>
      </c>
      <c r="AS57" s="86">
        <f t="shared" si="96"/>
        <v>-1019.6951351963696</v>
      </c>
      <c r="AT57" s="86">
        <f t="shared" si="96"/>
        <v>-958.06785410484667</v>
      </c>
      <c r="AU57" s="86">
        <f t="shared" si="96"/>
        <v>-1173.1291138265597</v>
      </c>
      <c r="AV57" s="85">
        <f>((AV50+AV67)*AV$55)-AV67</f>
        <v>-1201.7626574366273</v>
      </c>
      <c r="AW57" s="89">
        <f t="shared" si="93"/>
        <v>-1242.8779442097511</v>
      </c>
      <c r="AX57" s="90">
        <f t="shared" si="93"/>
        <v>-1318.9909108143943</v>
      </c>
    </row>
    <row r="58" spans="1:55" x14ac:dyDescent="0.3">
      <c r="A58" s="139" t="s">
        <v>5</v>
      </c>
      <c r="B58" s="85">
        <f t="shared" si="88"/>
        <v>0</v>
      </c>
      <c r="C58" s="89">
        <f t="shared" si="88"/>
        <v>0</v>
      </c>
      <c r="D58" s="89">
        <f t="shared" si="88"/>
        <v>0</v>
      </c>
      <c r="E58" s="89">
        <f t="shared" si="88"/>
        <v>1.2196590474235467</v>
      </c>
      <c r="F58" s="89">
        <f t="shared" si="88"/>
        <v>-5.3104580721424011</v>
      </c>
      <c r="G58" s="89">
        <f t="shared" si="88"/>
        <v>-204.83965542989148</v>
      </c>
      <c r="H58" s="89">
        <f t="shared" si="88"/>
        <v>-364.40010657111719</v>
      </c>
      <c r="I58" s="89">
        <f t="shared" si="88"/>
        <v>-456.82113426670986</v>
      </c>
      <c r="J58" s="89">
        <f t="shared" si="88"/>
        <v>-505.45026307351344</v>
      </c>
      <c r="K58" s="89">
        <f t="shared" si="88"/>
        <v>-577.18025167364067</v>
      </c>
      <c r="L58" s="337">
        <f>L51*L$55+95.42</f>
        <v>-419.03304067339292</v>
      </c>
      <c r="M58" s="89">
        <f t="shared" ref="M58:W58" si="97">M51*M$55</f>
        <v>-547.30743503734448</v>
      </c>
      <c r="N58" s="89">
        <f t="shared" si="97"/>
        <v>-467.34930967505727</v>
      </c>
      <c r="O58" s="89">
        <f t="shared" si="97"/>
        <v>-419.27120055302782</v>
      </c>
      <c r="P58" s="89">
        <f t="shared" si="97"/>
        <v>-400.36139418196524</v>
      </c>
      <c r="Q58" s="89">
        <f t="shared" si="97"/>
        <v>-228.28158935326786</v>
      </c>
      <c r="R58" s="89">
        <f t="shared" si="97"/>
        <v>-30.946050303617586</v>
      </c>
      <c r="S58" s="89">
        <f t="shared" si="97"/>
        <v>-20.179720815612058</v>
      </c>
      <c r="T58" s="89">
        <f t="shared" si="97"/>
        <v>-5.9707162956951239</v>
      </c>
      <c r="U58" s="89">
        <f t="shared" si="97"/>
        <v>11.623878846840748</v>
      </c>
      <c r="V58" s="89">
        <f t="shared" si="97"/>
        <v>23.025091745045085</v>
      </c>
      <c r="W58" s="89">
        <f t="shared" si="97"/>
        <v>45.423693454837007</v>
      </c>
      <c r="X58" s="89">
        <f>X51*X$55</f>
        <v>67.921309107344896</v>
      </c>
      <c r="Y58" s="89">
        <f t="shared" ref="Y58:AI58" si="98">Y51*Y$55</f>
        <v>94.45966292322052</v>
      </c>
      <c r="Z58" s="89">
        <f t="shared" si="98"/>
        <v>99.473017415365135</v>
      </c>
      <c r="AA58" s="89">
        <f t="shared" si="98"/>
        <v>91.453044862583369</v>
      </c>
      <c r="AB58" s="89">
        <f t="shared" si="98"/>
        <v>26.768949425815194</v>
      </c>
      <c r="AC58" s="89">
        <f t="shared" si="98"/>
        <v>-23.541444540588589</v>
      </c>
      <c r="AD58" s="89">
        <f t="shared" si="98"/>
        <v>-59.486674906972823</v>
      </c>
      <c r="AE58" s="89">
        <f t="shared" si="98"/>
        <v>-28.139532302700754</v>
      </c>
      <c r="AF58" s="89">
        <f t="shared" si="98"/>
        <v>14.618200418601722</v>
      </c>
      <c r="AG58" s="89">
        <f t="shared" si="98"/>
        <v>70.206786189864246</v>
      </c>
      <c r="AH58" s="89">
        <f t="shared" si="98"/>
        <v>64.973977771116083</v>
      </c>
      <c r="AI58" s="86">
        <f t="shared" si="98"/>
        <v>21.214587124796832</v>
      </c>
      <c r="AJ58" s="86">
        <f t="shared" ref="AJ58:AU58" si="99">AJ51*AJ$55</f>
        <v>-0.61744805105152545</v>
      </c>
      <c r="AK58" s="86">
        <f t="shared" si="99"/>
        <v>-32.612411055814235</v>
      </c>
      <c r="AL58" s="86">
        <f t="shared" si="99"/>
        <v>-24.105951324715658</v>
      </c>
      <c r="AM58" s="86">
        <f t="shared" si="99"/>
        <v>-33.020232075647776</v>
      </c>
      <c r="AN58" s="86">
        <f t="shared" si="99"/>
        <v>-79.622897086382977</v>
      </c>
      <c r="AO58" s="86">
        <f t="shared" si="99"/>
        <v>-80.052778305512064</v>
      </c>
      <c r="AP58" s="86">
        <f t="shared" si="99"/>
        <v>-85.283997052038004</v>
      </c>
      <c r="AQ58" s="86">
        <f t="shared" si="99"/>
        <v>605.41824688430142</v>
      </c>
      <c r="AR58" s="86">
        <f t="shared" si="99"/>
        <v>2187.1155511456982</v>
      </c>
      <c r="AS58" s="86">
        <f t="shared" si="99"/>
        <v>4082.7394924494683</v>
      </c>
      <c r="AT58" s="86">
        <f t="shared" si="99"/>
        <v>5319.2750813233843</v>
      </c>
      <c r="AU58" s="86">
        <f t="shared" si="99"/>
        <v>6661.2201550265181</v>
      </c>
      <c r="AV58" s="85">
        <f t="shared" ref="AV58:AV60" si="100">((AV51+AV68)*AV$55)-AV68</f>
        <v>6953.9598463918564</v>
      </c>
      <c r="AW58" s="89">
        <f t="shared" si="93"/>
        <v>7561.947815520406</v>
      </c>
      <c r="AX58" s="90">
        <f t="shared" si="93"/>
        <v>8291.8822565734208</v>
      </c>
    </row>
    <row r="59" spans="1:55" x14ac:dyDescent="0.3">
      <c r="A59" s="139" t="s">
        <v>6</v>
      </c>
      <c r="B59" s="85">
        <f t="shared" si="88"/>
        <v>0</v>
      </c>
      <c r="C59" s="89">
        <f t="shared" si="88"/>
        <v>0</v>
      </c>
      <c r="D59" s="89">
        <f t="shared" si="88"/>
        <v>0</v>
      </c>
      <c r="E59" s="89">
        <f t="shared" si="88"/>
        <v>2.1024092487628352E-2</v>
      </c>
      <c r="F59" s="89">
        <f t="shared" si="88"/>
        <v>-3.0772922382581704</v>
      </c>
      <c r="G59" s="89">
        <f t="shared" si="88"/>
        <v>-77.67087917186376</v>
      </c>
      <c r="H59" s="89">
        <f t="shared" si="88"/>
        <v>-142.44515197780177</v>
      </c>
      <c r="I59" s="89">
        <f t="shared" si="88"/>
        <v>-191.31860087954888</v>
      </c>
      <c r="J59" s="89">
        <f>J52*J$55</f>
        <v>-232.64555471804755</v>
      </c>
      <c r="K59" s="89">
        <f t="shared" si="88"/>
        <v>-278.40098577652572</v>
      </c>
      <c r="L59" s="337">
        <f>L52*L$55+46.57</f>
        <v>-224.61330724104664</v>
      </c>
      <c r="M59" s="89">
        <f t="shared" ref="M59:W59" si="101">M52*M$55</f>
        <v>-323.16770579632879</v>
      </c>
      <c r="N59" s="89">
        <f t="shared" si="101"/>
        <v>-321.50937199164304</v>
      </c>
      <c r="O59" s="89">
        <f t="shared" si="101"/>
        <v>-328.55248857431673</v>
      </c>
      <c r="P59" s="89">
        <f t="shared" si="101"/>
        <v>-353.06773800978448</v>
      </c>
      <c r="Q59" s="89">
        <f t="shared" si="101"/>
        <v>-187.99111647087437</v>
      </c>
      <c r="R59" s="89">
        <f t="shared" si="101"/>
        <v>-25.17315908365649</v>
      </c>
      <c r="S59" s="89">
        <f t="shared" si="101"/>
        <v>-19.038002901316396</v>
      </c>
      <c r="T59" s="89">
        <f t="shared" si="101"/>
        <v>-16.257988069456434</v>
      </c>
      <c r="U59" s="89">
        <f t="shared" si="101"/>
        <v>-2.606617024403449</v>
      </c>
      <c r="V59" s="89">
        <f t="shared" si="101"/>
        <v>2.9008167217929359</v>
      </c>
      <c r="W59" s="89">
        <f t="shared" si="101"/>
        <v>6.6481026859531704</v>
      </c>
      <c r="X59" s="89">
        <f>X52*X$55</f>
        <v>10.497394036472752</v>
      </c>
      <c r="Y59" s="89">
        <f t="shared" ref="Y59:AI59" si="102">Y52*Y$55</f>
        <v>14.34345003014953</v>
      </c>
      <c r="Z59" s="89">
        <f t="shared" si="102"/>
        <v>19.082187122182582</v>
      </c>
      <c r="AA59" s="89">
        <f t="shared" si="102"/>
        <v>13.154502875321382</v>
      </c>
      <c r="AB59" s="89">
        <f t="shared" si="102"/>
        <v>-7.5262377836926015</v>
      </c>
      <c r="AC59" s="89">
        <f t="shared" si="102"/>
        <v>-28.985227671194327</v>
      </c>
      <c r="AD59" s="89">
        <f t="shared" si="102"/>
        <v>-45.229425326599852</v>
      </c>
      <c r="AE59" s="89">
        <f t="shared" si="102"/>
        <v>-28.462662316295901</v>
      </c>
      <c r="AF59" s="89">
        <f t="shared" si="102"/>
        <v>-11.112328093410126</v>
      </c>
      <c r="AG59" s="89">
        <f t="shared" si="102"/>
        <v>-1.8962225317173742</v>
      </c>
      <c r="AH59" s="89">
        <f t="shared" si="102"/>
        <v>-6.2387508655011983</v>
      </c>
      <c r="AI59" s="86">
        <f t="shared" si="102"/>
        <v>-15.618236425497718</v>
      </c>
      <c r="AJ59" s="86">
        <f t="shared" ref="AJ59:AU59" si="103">AJ52*AJ$55</f>
        <v>-25.872645437461838</v>
      </c>
      <c r="AK59" s="86">
        <f t="shared" si="103"/>
        <v>-70.066934805082241</v>
      </c>
      <c r="AL59" s="86">
        <f t="shared" si="103"/>
        <v>-76.80372093393386</v>
      </c>
      <c r="AM59" s="86">
        <f t="shared" si="103"/>
        <v>-109.23741441367754</v>
      </c>
      <c r="AN59" s="86">
        <f t="shared" si="103"/>
        <v>-273.49356266145315</v>
      </c>
      <c r="AO59" s="86">
        <f t="shared" si="103"/>
        <v>-250.17901748512185</v>
      </c>
      <c r="AP59" s="86">
        <f t="shared" si="103"/>
        <v>-408.4100452117334</v>
      </c>
      <c r="AQ59" s="86">
        <f t="shared" si="103"/>
        <v>-506.37233931561559</v>
      </c>
      <c r="AR59" s="86">
        <f t="shared" si="103"/>
        <v>-392.29538311583917</v>
      </c>
      <c r="AS59" s="86">
        <f t="shared" si="103"/>
        <v>-183.18866897101515</v>
      </c>
      <c r="AT59" s="86">
        <f t="shared" si="103"/>
        <v>-54.099198035749822</v>
      </c>
      <c r="AU59" s="86">
        <f t="shared" si="103"/>
        <v>-108.73397870082648</v>
      </c>
      <c r="AV59" s="85">
        <f t="shared" si="100"/>
        <v>-146.47987948140712</v>
      </c>
      <c r="AW59" s="89">
        <f t="shared" si="93"/>
        <v>-105.2923943661782</v>
      </c>
      <c r="AX59" s="90">
        <f t="shared" si="93"/>
        <v>19.285201180290031</v>
      </c>
    </row>
    <row r="60" spans="1:55" ht="15" thickBot="1" x14ac:dyDescent="0.35">
      <c r="A60" s="139" t="s">
        <v>7</v>
      </c>
      <c r="B60" s="85">
        <f t="shared" si="88"/>
        <v>0</v>
      </c>
      <c r="C60" s="89">
        <f t="shared" si="88"/>
        <v>0</v>
      </c>
      <c r="D60" s="89">
        <f t="shared" si="88"/>
        <v>0</v>
      </c>
      <c r="E60" s="89">
        <f t="shared" si="88"/>
        <v>0</v>
      </c>
      <c r="F60" s="89">
        <f t="shared" si="88"/>
        <v>0.46175484574453618</v>
      </c>
      <c r="G60" s="89">
        <f t="shared" si="88"/>
        <v>-7.3347231396597259</v>
      </c>
      <c r="H60" s="89">
        <f t="shared" si="88"/>
        <v>-21.915889765661472</v>
      </c>
      <c r="I60" s="89">
        <f t="shared" si="88"/>
        <v>-34.204992683995201</v>
      </c>
      <c r="J60" s="89">
        <f t="shared" si="88"/>
        <v>-45.394257883213903</v>
      </c>
      <c r="K60" s="89">
        <f t="shared" si="88"/>
        <v>-55.147910432786773</v>
      </c>
      <c r="L60" s="337">
        <f>L53*L$55+15.68</f>
        <v>-34.540704240755382</v>
      </c>
      <c r="M60" s="89">
        <f t="shared" ref="M60:W60" si="104">M53*M$55</f>
        <v>-58.439784330174611</v>
      </c>
      <c r="N60" s="89">
        <f t="shared" si="104"/>
        <v>-57.269802910210991</v>
      </c>
      <c r="O60" s="89">
        <f>O53*O$55</f>
        <v>-63.899654731351333</v>
      </c>
      <c r="P60" s="89">
        <f t="shared" si="104"/>
        <v>-89.642336307352139</v>
      </c>
      <c r="Q60" s="89">
        <f t="shared" si="104"/>
        <v>-57.841673830138802</v>
      </c>
      <c r="R60" s="89">
        <f t="shared" si="104"/>
        <v>-9.0193272002107872</v>
      </c>
      <c r="S60" s="89">
        <f t="shared" si="104"/>
        <v>-6.5372901662341736</v>
      </c>
      <c r="T60" s="89">
        <f t="shared" si="104"/>
        <v>-7.4421880118810222</v>
      </c>
      <c r="U60" s="89">
        <f t="shared" si="104"/>
        <v>-3.3406154078790724</v>
      </c>
      <c r="V60" s="89">
        <f t="shared" si="104"/>
        <v>-2.8996492727524963</v>
      </c>
      <c r="W60" s="89">
        <f t="shared" si="104"/>
        <v>-6.6582263132285426</v>
      </c>
      <c r="X60" s="89">
        <f>X53*X$55</f>
        <v>-10.807368950206548</v>
      </c>
      <c r="Y60" s="89">
        <f t="shared" ref="Y60:Z60" si="105">Y53*Y$55</f>
        <v>-14.531879156470149</v>
      </c>
      <c r="Z60" s="89">
        <f t="shared" si="105"/>
        <v>-11.799414505787992</v>
      </c>
      <c r="AA60" s="89">
        <f>AA53*AA$55</f>
        <v>-17.507962137525102</v>
      </c>
      <c r="AB60" s="89">
        <f t="shared" ref="AB60:AI60" si="106">AB53*AB$55</f>
        <v>-18.388042253595497</v>
      </c>
      <c r="AC60" s="89">
        <f t="shared" si="106"/>
        <v>-24.649701092767526</v>
      </c>
      <c r="AD60" s="89">
        <f t="shared" si="106"/>
        <v>-28.246548966787614</v>
      </c>
      <c r="AE60" s="89">
        <f t="shared" si="106"/>
        <v>-20.874834421994276</v>
      </c>
      <c r="AF60" s="89">
        <f t="shared" si="106"/>
        <v>-11.794620209489473</v>
      </c>
      <c r="AG60" s="89">
        <f t="shared" si="106"/>
        <v>-13.052015169418167</v>
      </c>
      <c r="AH60" s="89">
        <f t="shared" si="106"/>
        <v>-13.484771452753593</v>
      </c>
      <c r="AI60" s="86">
        <f t="shared" si="106"/>
        <v>-14.028093504005257</v>
      </c>
      <c r="AJ60" s="86">
        <f t="shared" ref="AJ60:AU60" si="107">AJ53*AJ$55</f>
        <v>-16.268765742377703</v>
      </c>
      <c r="AK60" s="86">
        <f t="shared" si="107"/>
        <v>-32.885001707177551</v>
      </c>
      <c r="AL60" s="86">
        <f t="shared" si="107"/>
        <v>-33.757361213113214</v>
      </c>
      <c r="AM60" s="86">
        <f t="shared" si="107"/>
        <v>-47.100075161956504</v>
      </c>
      <c r="AN60" s="86">
        <f t="shared" si="107"/>
        <v>-109.55101604103469</v>
      </c>
      <c r="AO60" s="86">
        <f t="shared" si="107"/>
        <v>-80.740147612535196</v>
      </c>
      <c r="AP60" s="86">
        <f t="shared" si="107"/>
        <v>-125.16772477060714</v>
      </c>
      <c r="AQ60" s="86">
        <f t="shared" si="107"/>
        <v>-176.93140134073309</v>
      </c>
      <c r="AR60" s="86">
        <f t="shared" si="107"/>
        <v>-205.49180975768778</v>
      </c>
      <c r="AS60" s="86">
        <f t="shared" si="107"/>
        <v>-207.4934225451625</v>
      </c>
      <c r="AT60" s="86">
        <f t="shared" si="107"/>
        <v>-191.85721225193731</v>
      </c>
      <c r="AU60" s="86">
        <f t="shared" si="107"/>
        <v>-220.1785584346174</v>
      </c>
      <c r="AV60" s="377">
        <f t="shared" si="100"/>
        <v>-206.33726951583526</v>
      </c>
      <c r="AW60" s="378">
        <f t="shared" si="93"/>
        <v>-181.16709677643004</v>
      </c>
      <c r="AX60" s="379">
        <f t="shared" si="93"/>
        <v>-149.34552271938315</v>
      </c>
    </row>
    <row r="61" spans="1:55" ht="15.6" thickTop="1" thickBot="1" x14ac:dyDescent="0.35">
      <c r="A61" s="101" t="s">
        <v>71</v>
      </c>
      <c r="B61" s="102">
        <f>SUM(B56:B60)+SUM(B49:B53)-B64</f>
        <v>0</v>
      </c>
      <c r="C61" s="103">
        <f>SUM(C56:C60)+SUM(C49:C53)-C64</f>
        <v>0</v>
      </c>
      <c r="D61" s="103">
        <f t="shared" ref="D61:J61" si="108">SUM(D56:D60)+SUM(D49:D53)-D64</f>
        <v>0</v>
      </c>
      <c r="E61" s="103">
        <f t="shared" si="108"/>
        <v>0</v>
      </c>
      <c r="F61" s="103">
        <f>SUM(F56:F60)+SUM(F49:F53)-F64</f>
        <v>0</v>
      </c>
      <c r="G61" s="106">
        <f>SUM(G56:G60)+SUM(G49:G53)-G64</f>
        <v>0</v>
      </c>
      <c r="H61" s="103">
        <f t="shared" si="108"/>
        <v>0</v>
      </c>
      <c r="I61" s="103">
        <f t="shared" si="108"/>
        <v>0</v>
      </c>
      <c r="J61" s="103">
        <f t="shared" si="108"/>
        <v>0</v>
      </c>
      <c r="K61" s="103">
        <f>SUM(K56:K60)+SUM(K49:K53)-K64</f>
        <v>0</v>
      </c>
      <c r="L61" s="103">
        <f t="shared" ref="L61:W61" si="109">SUM(L56:L60)+SUM(L49:L53)-L64</f>
        <v>0</v>
      </c>
      <c r="M61" s="103">
        <f t="shared" si="109"/>
        <v>0</v>
      </c>
      <c r="N61" s="103">
        <f t="shared" si="109"/>
        <v>0</v>
      </c>
      <c r="O61" s="103">
        <f>SUM(O56:O60)+SUM(O49:O53)-O64</f>
        <v>0</v>
      </c>
      <c r="P61" s="103">
        <f t="shared" si="109"/>
        <v>0</v>
      </c>
      <c r="Q61" s="103">
        <f t="shared" si="109"/>
        <v>0</v>
      </c>
      <c r="R61" s="103">
        <f t="shared" si="109"/>
        <v>0</v>
      </c>
      <c r="S61" s="103">
        <f t="shared" si="109"/>
        <v>3.4924596548080444E-10</v>
      </c>
      <c r="T61" s="103">
        <f t="shared" si="109"/>
        <v>0</v>
      </c>
      <c r="U61" s="103">
        <f t="shared" si="109"/>
        <v>0</v>
      </c>
      <c r="V61" s="103">
        <f t="shared" si="109"/>
        <v>0</v>
      </c>
      <c r="W61" s="103">
        <f t="shared" si="109"/>
        <v>0</v>
      </c>
      <c r="X61" s="103">
        <f>SUM(X56:X60)+SUM(X49:X53)-X64</f>
        <v>0</v>
      </c>
      <c r="Y61" s="103">
        <f t="shared" ref="Y61:Z61" si="110">SUM(Y56:Y60)+SUM(Y49:Y53)-Y64</f>
        <v>0</v>
      </c>
      <c r="Z61" s="103">
        <f t="shared" si="110"/>
        <v>0</v>
      </c>
      <c r="AA61" s="103">
        <f>SUM(AA56:AA60)+SUM(AA49:AA53)-AA64</f>
        <v>0</v>
      </c>
      <c r="AB61" s="103">
        <f t="shared" ref="AB61:AH61" si="111">SUM(AB56:AB60)+SUM(AB49:AB53)-AB64</f>
        <v>0</v>
      </c>
      <c r="AC61" s="103">
        <f t="shared" si="111"/>
        <v>9.3132257461547852E-10</v>
      </c>
      <c r="AD61" s="103">
        <f t="shared" si="111"/>
        <v>1.2223608791828156E-9</v>
      </c>
      <c r="AE61" s="103">
        <f t="shared" si="111"/>
        <v>0</v>
      </c>
      <c r="AF61" s="103">
        <f t="shared" si="111"/>
        <v>0</v>
      </c>
      <c r="AG61" s="103">
        <f t="shared" si="111"/>
        <v>0</v>
      </c>
      <c r="AH61" s="103">
        <f t="shared" si="111"/>
        <v>0</v>
      </c>
      <c r="AI61" s="230">
        <f>SUM(AI56:AI60)+SUM(AI49:AI53)-AI64</f>
        <v>0</v>
      </c>
      <c r="AJ61" s="230">
        <f t="shared" ref="AJ61:AU61" si="112">SUM(AJ56:AJ60)+SUM(AJ49:AJ53)-AJ64</f>
        <v>0</v>
      </c>
      <c r="AK61" s="230">
        <f t="shared" si="112"/>
        <v>0</v>
      </c>
      <c r="AL61" s="230">
        <f t="shared" si="112"/>
        <v>0</v>
      </c>
      <c r="AM61" s="230">
        <f t="shared" si="112"/>
        <v>0</v>
      </c>
      <c r="AN61" s="230">
        <f t="shared" si="112"/>
        <v>0</v>
      </c>
      <c r="AO61" s="230">
        <f t="shared" si="112"/>
        <v>0</v>
      </c>
      <c r="AP61" s="230">
        <f t="shared" si="112"/>
        <v>0</v>
      </c>
      <c r="AQ61" s="230">
        <f t="shared" si="112"/>
        <v>0</v>
      </c>
      <c r="AR61" s="230">
        <f t="shared" si="112"/>
        <v>0</v>
      </c>
      <c r="AS61" s="230">
        <f>SUM(AS56:AS60)+SUM(AS49:AS53)-AS64</f>
        <v>0</v>
      </c>
      <c r="AT61" s="230">
        <f t="shared" si="112"/>
        <v>0</v>
      </c>
      <c r="AU61" s="230">
        <f t="shared" si="112"/>
        <v>0</v>
      </c>
      <c r="AV61" s="374">
        <f>SUM(AV56:AV60)+SUM(AV49:AV53)-AV64</f>
        <v>0</v>
      </c>
      <c r="AW61" s="375">
        <f>SUM(AW56:AW60)+SUM(AW49:AW53)-AW64</f>
        <v>0</v>
      </c>
      <c r="AX61" s="376">
        <f>SUM(AX56:AX60)+SUM(AX49:AX53)-AX64</f>
        <v>0</v>
      </c>
    </row>
    <row r="62" spans="1:55" ht="15.6" thickTop="1" thickBot="1" x14ac:dyDescent="0.35">
      <c r="A62" s="101" t="s">
        <v>72</v>
      </c>
      <c r="B62" s="105">
        <f>SUM(B56:B60)-B39</f>
        <v>0</v>
      </c>
      <c r="C62" s="106">
        <f t="shared" ref="C62:I62" si="113">SUM(C56:C60)-C39</f>
        <v>0</v>
      </c>
      <c r="D62" s="106">
        <f>SUM(D56:D60)-D39</f>
        <v>0</v>
      </c>
      <c r="E62" s="106">
        <f>SUM(E56:E60)-E39</f>
        <v>-1.3397875233014389E-3</v>
      </c>
      <c r="F62" s="106">
        <f>SUM(F56:F60)-F39</f>
        <v>4.9816933666440022E-3</v>
      </c>
      <c r="G62" s="106">
        <f>SUM(G56:G60)-G39</f>
        <v>-4.3663429291882494E-3</v>
      </c>
      <c r="H62" s="106">
        <f t="shared" si="113"/>
        <v>2.326043420566748E-3</v>
      </c>
      <c r="I62" s="106">
        <f t="shared" si="113"/>
        <v>-3.6442966858203363E-3</v>
      </c>
      <c r="J62" s="106">
        <f>SUM(J56:J60)-J39</f>
        <v>-2.0209283979966131E-4</v>
      </c>
      <c r="K62" s="106">
        <f t="shared" ref="K62:W62" si="114">SUM(K56:K60)-K39</f>
        <v>-9.3479569841292687E-5</v>
      </c>
      <c r="L62" s="106">
        <f t="shared" si="114"/>
        <v>-4.7695627531538776E-3</v>
      </c>
      <c r="M62" s="106">
        <f t="shared" si="114"/>
        <v>3.1542252929739334E-3</v>
      </c>
      <c r="N62" s="106">
        <f>SUM(N56:N60)-N39</f>
        <v>3.7593334006942314E-3</v>
      </c>
      <c r="O62" s="106">
        <f>SUM(O56:O60)-O39</f>
        <v>295.41566432290153</v>
      </c>
      <c r="P62" s="106">
        <f t="shared" si="114"/>
        <v>285.7632482251845</v>
      </c>
      <c r="Q62" s="106">
        <f t="shared" si="114"/>
        <v>117.48215046873884</v>
      </c>
      <c r="R62" s="106">
        <f t="shared" si="114"/>
        <v>14.73775875875431</v>
      </c>
      <c r="S62" s="106">
        <f t="shared" si="114"/>
        <v>17.999002069829316</v>
      </c>
      <c r="T62" s="106">
        <f t="shared" si="114"/>
        <v>35.104020393413194</v>
      </c>
      <c r="U62" s="106">
        <f t="shared" si="114"/>
        <v>23.886439935556183</v>
      </c>
      <c r="V62" s="106">
        <f t="shared" si="114"/>
        <v>20.31931689589095</v>
      </c>
      <c r="W62" s="106">
        <f t="shared" si="114"/>
        <v>24.714213775114331</v>
      </c>
      <c r="X62" s="106">
        <f>SUM(X56:X60)-X39</f>
        <v>-835.42169006730319</v>
      </c>
      <c r="Y62" s="106">
        <f t="shared" ref="Y62" si="115">SUM(Y56:Y60)-Y39</f>
        <v>8.7845399020807236E-3</v>
      </c>
      <c r="Z62" s="106">
        <f>SUM(Z56:Z60)-Z39</f>
        <v>3.4130761000596976E-3</v>
      </c>
      <c r="AA62" s="106">
        <f>SUM(AA56:AA60)-AA39</f>
        <v>8.8939771912919241E-3</v>
      </c>
      <c r="AB62" s="106">
        <f t="shared" ref="AB62:AI62" si="116">SUM(AB56:AB60)-AB39</f>
        <v>6.5921865560198967E-3</v>
      </c>
      <c r="AC62" s="106">
        <f t="shared" si="116"/>
        <v>-1.8371158287777689E-4</v>
      </c>
      <c r="AD62" s="106">
        <f t="shared" si="116"/>
        <v>8.4201954076874586E-3</v>
      </c>
      <c r="AE62" s="106">
        <f t="shared" si="116"/>
        <v>-6.8464249860653581E-3</v>
      </c>
      <c r="AF62" s="106">
        <f t="shared" si="116"/>
        <v>-4.3794234231597784E-3</v>
      </c>
      <c r="AG62" s="106">
        <f t="shared" si="116"/>
        <v>-3.17328187907151E-3</v>
      </c>
      <c r="AH62" s="106">
        <f t="shared" si="116"/>
        <v>-9.4216050626982906E-4</v>
      </c>
      <c r="AI62" s="128">
        <f t="shared" si="116"/>
        <v>1.3965387365203696E-2</v>
      </c>
      <c r="AJ62" s="128">
        <f t="shared" ref="AJ62:AT62" si="117">SUM(AJ56:AJ60)-AJ39</f>
        <v>3.8435671623915368E-4</v>
      </c>
      <c r="AK62" s="128">
        <f t="shared" si="117"/>
        <v>-1.590480735913502E-2</v>
      </c>
      <c r="AL62" s="128">
        <f t="shared" si="117"/>
        <v>-2.6830156457720022E-3</v>
      </c>
      <c r="AM62" s="128">
        <f t="shared" si="117"/>
        <v>-2.6739068189414184E-3</v>
      </c>
      <c r="AN62" s="128">
        <f t="shared" si="117"/>
        <v>9.9825363423633462E-4</v>
      </c>
      <c r="AO62" s="128">
        <f t="shared" si="117"/>
        <v>-2.2167189114270514E-3</v>
      </c>
      <c r="AP62" s="128">
        <f t="shared" si="117"/>
        <v>-2.5781503883308687E-3</v>
      </c>
      <c r="AQ62" s="128">
        <f>SUM(AQ56:AQ60)-AQ39</f>
        <v>2.4728883760190001E-3</v>
      </c>
      <c r="AR62" s="128">
        <f t="shared" si="117"/>
        <v>-5.5352555227727862E-4</v>
      </c>
      <c r="AS62" s="128">
        <f t="shared" si="117"/>
        <v>-5.2136618287477177E-3</v>
      </c>
      <c r="AT62" s="128">
        <f t="shared" si="117"/>
        <v>-3.7471938667295035E-3</v>
      </c>
      <c r="AU62" s="128">
        <f>SUM(AU56:AU60)-AU39</f>
        <v>-7.4652163111750269E-3</v>
      </c>
      <c r="AV62" s="102">
        <f>SUM(AV56:AV60)-AV39</f>
        <v>6.2114524898788659E-3</v>
      </c>
      <c r="AW62" s="103">
        <f>SUM(AW56:AW60)-AW39</f>
        <v>7.487777776987059E-3</v>
      </c>
      <c r="AX62" s="104">
        <f>SUM(AX56:AX60)-AX39</f>
        <v>3.0784735718043521E-3</v>
      </c>
    </row>
    <row r="63" spans="1:55" ht="15" thickTop="1" x14ac:dyDescent="0.3">
      <c r="B63" s="73"/>
      <c r="C63" s="74"/>
      <c r="D63" s="74"/>
      <c r="E63" s="74"/>
      <c r="F63" s="74"/>
      <c r="G63" s="76"/>
      <c r="H63" s="74"/>
      <c r="I63" s="74"/>
      <c r="J63" s="74"/>
      <c r="K63" s="74"/>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73"/>
      <c r="AW63" s="176"/>
      <c r="AX63" s="276"/>
      <c r="AY63" s="32"/>
      <c r="AZ63" s="32"/>
      <c r="BA63" s="32"/>
      <c r="BB63" s="32"/>
      <c r="BC63" s="32"/>
    </row>
    <row r="64" spans="1:55" x14ac:dyDescent="0.3">
      <c r="A64" s="139" t="s">
        <v>73</v>
      </c>
      <c r="B64" s="85">
        <f>(B15-SUM(B22:B26))+SUM(B56:B60)</f>
        <v>0</v>
      </c>
      <c r="C64" s="89">
        <f t="shared" ref="C64:AX64" si="118">(SUM(C15:C19)-SUM(C22:C26))+SUM(C56:C60)+B64</f>
        <v>0</v>
      </c>
      <c r="D64" s="89">
        <f t="shared" si="118"/>
        <v>0.71203150918887492</v>
      </c>
      <c r="E64" s="89">
        <f>(SUM(E15:E19)-SUM(E22:E26))+SUM(E56:E60)+D64</f>
        <v>4706.551460582401</v>
      </c>
      <c r="F64" s="89">
        <f t="shared" si="118"/>
        <v>2261.7265642031507</v>
      </c>
      <c r="G64" s="89">
        <f>(SUM(G15:G19)-SUM(G22:G26))+SUM(G56:G60)+F64</f>
        <v>-264248.01423967956</v>
      </c>
      <c r="H64" s="89">
        <f t="shared" si="118"/>
        <v>-396272.77733502828</v>
      </c>
      <c r="I64" s="89">
        <f t="shared" si="118"/>
        <v>-441092.55341293442</v>
      </c>
      <c r="J64" s="89">
        <f t="shared" si="118"/>
        <v>-564635.90723227884</v>
      </c>
      <c r="K64" s="89">
        <f t="shared" si="118"/>
        <v>-870502.97660443862</v>
      </c>
      <c r="L64" s="89">
        <f t="shared" ref="L64" si="119">(SUM(L15:L19)-SUM(L22:L26))+SUM(L56:L60)+K64</f>
        <v>-937194.72845501162</v>
      </c>
      <c r="M64" s="89">
        <f t="shared" ref="M64" si="120">(SUM(M15:M19)-SUM(M22:M26))+SUM(M56:M60)+L64</f>
        <v>-906129.08967726061</v>
      </c>
      <c r="N64" s="89">
        <f>(SUM(N15:N19)-SUM(N22:N26))+SUM(N56:N60)+M64</f>
        <v>-740016.41276452632</v>
      </c>
      <c r="O64" s="89">
        <f>(SUM(O15:O19)-SUM(O22:O26))+SUM(O56:O60)+N64</f>
        <v>-525113.91170543432</v>
      </c>
      <c r="P64" s="89">
        <f t="shared" ref="P64" si="121">(SUM(P15:P19)-SUM(P22:P26))+SUM(P56:P60)+O64</f>
        <v>-454631.43295856763</v>
      </c>
      <c r="Q64" s="89">
        <f t="shared" ref="Q64" si="122">(SUM(Q15:Q19)-SUM(Q22:Q26))+SUM(Q56:Q60)+P64</f>
        <v>-662173.15980050794</v>
      </c>
      <c r="R64" s="89">
        <f t="shared" ref="R64" si="123">(SUM(R15:R19)-SUM(R22:R26))+SUM(R56:R60)+Q64</f>
        <v>-702708.23194120231</v>
      </c>
      <c r="S64" s="89">
        <f t="shared" ref="S64" si="124">(SUM(S15:S19)-SUM(S22:S26))+SUM(S56:S60)+R64</f>
        <v>-150847.9702865202</v>
      </c>
      <c r="T64" s="89">
        <f t="shared" ref="T64" si="125">(SUM(T15:T19)-SUM(T22:T26))+SUM(T56:T60)+S64</f>
        <v>654339.09518202848</v>
      </c>
      <c r="U64" s="89">
        <f t="shared" ref="U64" si="126">(SUM(U15:U19)-SUM(U22:U26))+SUM(U56:U60)+T64</f>
        <v>1643000.8234108132</v>
      </c>
      <c r="V64" s="89">
        <f t="shared" ref="V64" si="127">(SUM(V15:V19)-SUM(V22:V26))+SUM(V56:V60)+U64</f>
        <v>2455523.0789652793</v>
      </c>
      <c r="W64" s="302">
        <f>(SUM(W15:W19)-SUM(W22:W26))+SUM(W56:W60)+V64</f>
        <v>2697774.8368644607</v>
      </c>
      <c r="X64" s="89">
        <f t="shared" ref="X64" si="128">(SUM(X15:X19)-SUM(X22:X26))+SUM(X56:X60)+W64</f>
        <v>3067186.487464264</v>
      </c>
      <c r="Y64" s="89">
        <f t="shared" ref="Y64" si="129">(SUM(Y15:Y19)-SUM(Y22:Y26))+SUM(Y56:Y60)+X64</f>
        <v>3524046.5028045829</v>
      </c>
      <c r="Z64" s="89">
        <f>(SUM(Z15:Z19)-SUM(Z22:Z26))+SUM(Z56:Z60)+Y64</f>
        <v>4090952.8805342894</v>
      </c>
      <c r="AA64" s="89">
        <f>(SUM(AA15:AA19)-SUM(AA22:AA26))+SUM(AA56:AA60)+Z64</f>
        <v>3209837.7217830825</v>
      </c>
      <c r="AB64" s="89">
        <f t="shared" ref="AB64" si="130">(SUM(AB15:AB19)-SUM(AB22:AB26))+SUM(AB56:AB60)+AA64</f>
        <v>1586455.3477740197</v>
      </c>
      <c r="AC64" s="89">
        <f t="shared" ref="AC64" si="131">(SUM(AC15:AC19)-SUM(AC22:AC26))+SUM(AC56:AC60)+AB64</f>
        <v>562517.07836370647</v>
      </c>
      <c r="AD64" s="89">
        <f t="shared" ref="AD64" si="132">(SUM(AD15:AD19)-SUM(AD22:AD26))+SUM(AD56:AD60)+AC64</f>
        <v>-133210.91464782483</v>
      </c>
      <c r="AE64" s="89">
        <f t="shared" ref="AE64" si="133">(SUM(AE15:AE19)-SUM(AE22:AE26))+SUM(AE56:AE60)+AD64</f>
        <v>847651.25881187222</v>
      </c>
      <c r="AF64" s="89">
        <f t="shared" ref="AF64" si="134">(SUM(AF15:AF19)-SUM(AF22:AF26))+SUM(AF56:AF60)+AE64</f>
        <v>2043353.237380045</v>
      </c>
      <c r="AG64" s="89">
        <f t="shared" ref="AG64" si="135">(SUM(AG15:AG19)-SUM(AG22:AG26))+SUM(AG56:AG60)+AF64</f>
        <v>3261968.7065586755</v>
      </c>
      <c r="AH64" s="89">
        <f t="shared" ref="AH64" si="136">(SUM(AH15:AH19)-SUM(AH22:AH26))+SUM(AH56:AH60)+AG64</f>
        <v>3328657.2513737087</v>
      </c>
      <c r="AI64" s="86">
        <f>(SUM(AI15:AI19)-SUM(AI22:AI26))+SUM(AI56:AI60)+AH64</f>
        <v>2403212.0870643086</v>
      </c>
      <c r="AJ64" s="86">
        <f t="shared" ref="AJ64:AT64" si="137">(SUM(AJ15:AJ19)-SUM(AJ22:AJ26))+SUM(AJ56:AJ60)+AI64</f>
        <v>1783206.8467499057</v>
      </c>
      <c r="AK64" s="86">
        <f t="shared" si="137"/>
        <v>1035979.9058973955</v>
      </c>
      <c r="AL64" s="86">
        <f t="shared" si="137"/>
        <v>237729.44171547028</v>
      </c>
      <c r="AM64" s="86">
        <f t="shared" si="137"/>
        <v>-366328.50435683504</v>
      </c>
      <c r="AN64" s="86">
        <f t="shared" si="137"/>
        <v>-767550.08259316441</v>
      </c>
      <c r="AO64" s="86">
        <f t="shared" si="137"/>
        <v>-980795.2476907461</v>
      </c>
      <c r="AP64" s="86">
        <f t="shared" si="137"/>
        <v>-982925.5320635332</v>
      </c>
      <c r="AQ64" s="86">
        <f t="shared" si="137"/>
        <v>597435.29253369512</v>
      </c>
      <c r="AR64" s="86">
        <f t="shared" si="137"/>
        <v>2665285.6456911373</v>
      </c>
      <c r="AS64" s="86">
        <f t="shared" si="137"/>
        <v>4455483.271719845</v>
      </c>
      <c r="AT64" s="86">
        <f t="shared" si="137"/>
        <v>5461306.1331514474</v>
      </c>
      <c r="AU64" s="86">
        <f>(SUM(AU15:AU19)-SUM(AU22:AU26))+SUM(AU56:AU60)+AT64</f>
        <v>5445892.8768103793</v>
      </c>
      <c r="AV64" s="306">
        <f>(SUM(AV15:AV19)-SUM(AV22:AV26))+SUM(AV56:AV60)+AU64</f>
        <v>5543056.264122704</v>
      </c>
      <c r="AW64" s="302">
        <f>(SUM(AW15:AW19)-SUM(AW22:AW26))+SUM(AW56:AW60)+AV64</f>
        <v>5709487.0538089797</v>
      </c>
      <c r="AX64" s="305">
        <f t="shared" si="118"/>
        <v>5794308.1595585644</v>
      </c>
      <c r="AY64" s="32"/>
      <c r="AZ64" s="32"/>
      <c r="BA64" s="32"/>
      <c r="BB64" s="32"/>
      <c r="BC64" s="32"/>
    </row>
    <row r="65" spans="1:55" x14ac:dyDescent="0.3">
      <c r="A65" s="139" t="s">
        <v>162</v>
      </c>
      <c r="B65" s="73"/>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3"/>
      <c r="AW65" s="176"/>
      <c r="AX65" s="276"/>
      <c r="AY65" s="32"/>
      <c r="AZ65" s="32"/>
      <c r="BA65" s="32"/>
      <c r="BB65" s="32"/>
      <c r="BC65" s="32"/>
    </row>
    <row r="66" spans="1:55" x14ac:dyDescent="0.3">
      <c r="A66" s="173" t="s">
        <v>0</v>
      </c>
      <c r="B66" s="73"/>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310"/>
      <c r="AW66" s="176"/>
      <c r="AX66" s="276"/>
      <c r="AY66" s="32"/>
      <c r="AZ66" s="32"/>
      <c r="BA66" s="32"/>
      <c r="BB66" s="32"/>
      <c r="BC66" s="32"/>
    </row>
    <row r="67" spans="1:55" x14ac:dyDescent="0.3">
      <c r="A67" s="173" t="s">
        <v>4</v>
      </c>
      <c r="B67" s="73"/>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310"/>
      <c r="AW67" s="176"/>
      <c r="AX67" s="276"/>
      <c r="AY67" s="32"/>
      <c r="AZ67" s="32"/>
      <c r="BA67" s="32"/>
      <c r="BB67" s="32"/>
      <c r="BC67" s="32"/>
    </row>
    <row r="68" spans="1:55" x14ac:dyDescent="0.3">
      <c r="A68" s="173" t="s">
        <v>5</v>
      </c>
      <c r="B68" s="73"/>
      <c r="C68" s="74"/>
      <c r="D68" s="74"/>
      <c r="E68" s="183"/>
      <c r="F68" s="183"/>
      <c r="G68" s="183"/>
      <c r="H68" s="183"/>
      <c r="I68" s="183"/>
      <c r="J68" s="183"/>
      <c r="K68" s="183"/>
      <c r="L68" s="183"/>
      <c r="M68" s="183"/>
      <c r="N68" s="183"/>
      <c r="O68" s="183"/>
      <c r="P68" s="183"/>
      <c r="Q68" s="183"/>
      <c r="R68" s="183"/>
      <c r="S68" s="183"/>
      <c r="T68" s="183"/>
      <c r="U68" s="183"/>
      <c r="V68" s="183"/>
      <c r="W68" s="76"/>
      <c r="X68" s="183"/>
      <c r="Y68" s="183"/>
      <c r="Z68" s="183"/>
      <c r="AA68" s="183"/>
      <c r="AB68" s="183"/>
      <c r="AC68" s="183"/>
      <c r="AD68" s="183"/>
      <c r="AE68" s="183"/>
      <c r="AF68" s="183"/>
      <c r="AG68" s="183"/>
      <c r="AH68" s="183"/>
      <c r="AI68" s="76"/>
      <c r="AJ68" s="76"/>
      <c r="AK68" s="76"/>
      <c r="AL68" s="76"/>
      <c r="AM68" s="76"/>
      <c r="AN68" s="76"/>
      <c r="AO68" s="76"/>
      <c r="AP68" s="76"/>
      <c r="AQ68" s="76"/>
      <c r="AR68" s="76"/>
      <c r="AS68" s="76"/>
      <c r="AT68" s="76"/>
      <c r="AU68" s="76"/>
      <c r="AV68" s="310"/>
      <c r="AW68" s="176"/>
      <c r="AX68" s="276"/>
      <c r="AY68" s="32"/>
      <c r="AZ68" s="32"/>
      <c r="BA68" s="32"/>
      <c r="BB68" s="32"/>
      <c r="BC68" s="32"/>
    </row>
    <row r="69" spans="1:55" x14ac:dyDescent="0.3">
      <c r="A69" s="173" t="s">
        <v>6</v>
      </c>
      <c r="B69" s="73"/>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310"/>
      <c r="AW69" s="176"/>
      <c r="AX69" s="276"/>
      <c r="AY69" s="32"/>
      <c r="AZ69" s="32"/>
      <c r="BA69" s="32"/>
      <c r="BB69" s="32"/>
      <c r="BC69" s="32"/>
    </row>
    <row r="70" spans="1:55" ht="15" thickBot="1" x14ac:dyDescent="0.35">
      <c r="A70" s="173" t="s">
        <v>7</v>
      </c>
      <c r="B70" s="108"/>
      <c r="C70" s="109"/>
      <c r="D70" s="109"/>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c r="AU70" s="184"/>
      <c r="AV70" s="311"/>
      <c r="AW70" s="278"/>
      <c r="AX70" s="279"/>
      <c r="AY70" s="32"/>
      <c r="AZ70" s="32"/>
      <c r="BA70" s="32"/>
      <c r="BB70" s="32"/>
      <c r="BC70" s="32"/>
    </row>
    <row r="71" spans="1:55" x14ac:dyDescent="0.3">
      <c r="B71" s="37"/>
      <c r="C71" s="37"/>
      <c r="D71" s="37"/>
      <c r="E71" s="37"/>
      <c r="F71" s="37"/>
      <c r="G71" s="37"/>
      <c r="H71" s="37"/>
      <c r="AW71" s="32"/>
      <c r="AX71" s="32"/>
      <c r="AY71" s="32"/>
      <c r="AZ71" s="32"/>
      <c r="BA71" s="32"/>
      <c r="BB71" s="32"/>
      <c r="BC71" s="32"/>
    </row>
    <row r="72" spans="1:55" x14ac:dyDescent="0.3">
      <c r="J72" s="32"/>
      <c r="K72" s="236"/>
      <c r="L72" s="236"/>
      <c r="N72" s="31"/>
      <c r="O72" s="31"/>
      <c r="P72" s="31"/>
      <c r="Q72" s="31"/>
      <c r="R72" s="31"/>
      <c r="S72" s="31"/>
      <c r="T72" s="31"/>
      <c r="U72" s="31"/>
      <c r="V72" s="336"/>
      <c r="W72" s="236"/>
      <c r="X72" s="31"/>
      <c r="Y72" s="31"/>
      <c r="Z72" s="31"/>
      <c r="AA72" s="31"/>
      <c r="AB72" s="31"/>
      <c r="AC72" s="31"/>
      <c r="AD72" s="31"/>
      <c r="AE72" s="31"/>
      <c r="AF72" s="31"/>
      <c r="AG72" s="236"/>
      <c r="AH72" s="236"/>
      <c r="AI72" s="412"/>
      <c r="AJ72" s="236"/>
      <c r="AK72" s="236"/>
      <c r="AL72" s="236"/>
      <c r="AM72" s="236"/>
      <c r="AN72" s="236"/>
      <c r="AO72" s="236"/>
      <c r="AP72" s="236"/>
      <c r="AQ72" s="236"/>
      <c r="AR72" s="236"/>
      <c r="AS72" s="236"/>
      <c r="AT72" s="236"/>
      <c r="AU72" s="236"/>
      <c r="AV72" s="236"/>
      <c r="AW72" s="236"/>
      <c r="AX72" s="236"/>
      <c r="AY72" s="32"/>
      <c r="AZ72" s="32"/>
      <c r="BA72" s="32"/>
      <c r="BB72" s="32"/>
      <c r="BC72" s="32"/>
    </row>
    <row r="73" spans="1:55" x14ac:dyDescent="0.3">
      <c r="J73" s="32"/>
      <c r="K73" s="32"/>
      <c r="L73" s="32"/>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W73" s="32"/>
      <c r="AX73" s="32"/>
      <c r="AY73" s="32"/>
      <c r="AZ73" s="32"/>
      <c r="BA73" s="32"/>
      <c r="BB73" s="32"/>
      <c r="BC73" s="32"/>
    </row>
    <row r="75" spans="1:55" x14ac:dyDescent="0.3">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row>
  </sheetData>
  <mergeCells count="1">
    <mergeCell ref="AV13:AX1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79998168889431442"/>
  </sheetPr>
  <dimension ref="A1:L34"/>
  <sheetViews>
    <sheetView workbookViewId="0">
      <selection activeCell="F19" sqref="F19"/>
    </sheetView>
  </sheetViews>
  <sheetFormatPr defaultColWidth="9.109375" defaultRowHeight="14.4" x14ac:dyDescent="0.3"/>
  <cols>
    <col min="1" max="1" width="24.33203125" style="48" customWidth="1"/>
    <col min="2" max="2" width="25" style="48" customWidth="1"/>
    <col min="3" max="3" width="17.33203125" style="48" customWidth="1"/>
    <col min="4" max="4" width="17.33203125" style="139" customWidth="1"/>
    <col min="5" max="5" width="9.33203125" style="48" customWidth="1"/>
    <col min="6" max="6" width="25.5546875" style="48" bestFit="1" customWidth="1"/>
    <col min="7" max="7" width="12" style="48" customWidth="1"/>
    <col min="8" max="8" width="17.5546875" style="48" customWidth="1"/>
    <col min="9" max="9" width="16.88671875" style="48" bestFit="1" customWidth="1"/>
    <col min="10" max="10" width="14" style="48" customWidth="1"/>
    <col min="11" max="11" width="9.109375" style="48" customWidth="1"/>
    <col min="12" max="16384" width="9.109375" style="48"/>
  </cols>
  <sheetData>
    <row r="1" spans="1:12" x14ac:dyDescent="0.3">
      <c r="A1" s="6" t="s">
        <v>171</v>
      </c>
      <c r="E1" s="32"/>
    </row>
    <row r="2" spans="1:12" x14ac:dyDescent="0.3">
      <c r="A2" s="139"/>
      <c r="B2" s="139"/>
      <c r="C2" s="139"/>
      <c r="E2" s="215"/>
      <c r="F2" s="251"/>
      <c r="G2" s="251"/>
      <c r="H2" s="251"/>
      <c r="I2" s="176"/>
    </row>
    <row r="3" spans="1:12" ht="15" thickBot="1" x14ac:dyDescent="0.35">
      <c r="A3" s="32"/>
      <c r="B3" s="231" t="s">
        <v>163</v>
      </c>
      <c r="C3" s="231"/>
      <c r="D3" s="210"/>
      <c r="E3" s="139"/>
      <c r="F3" s="261"/>
      <c r="G3" s="139"/>
      <c r="H3" s="139"/>
      <c r="I3" s="176"/>
    </row>
    <row r="4" spans="1:12" ht="15" thickBot="1" x14ac:dyDescent="0.35">
      <c r="A4" s="139"/>
      <c r="B4" s="139"/>
      <c r="C4" s="139"/>
      <c r="E4" s="422" t="s">
        <v>8</v>
      </c>
      <c r="F4" s="423"/>
      <c r="G4" s="423"/>
      <c r="H4" s="424"/>
      <c r="I4" s="176"/>
      <c r="L4" s="39" t="s">
        <v>26</v>
      </c>
    </row>
    <row r="5" spans="1:12" x14ac:dyDescent="0.3">
      <c r="A5" s="142" t="s">
        <v>172</v>
      </c>
      <c r="B5" s="29">
        <f>[1]EO.1!$H$36</f>
        <v>11747489.112003122</v>
      </c>
      <c r="C5" s="139" t="s">
        <v>9</v>
      </c>
      <c r="E5" s="254"/>
      <c r="F5" s="274" t="s">
        <v>152</v>
      </c>
      <c r="G5" s="274" t="s">
        <v>153</v>
      </c>
      <c r="H5" s="275" t="s">
        <v>154</v>
      </c>
      <c r="I5" s="176"/>
      <c r="L5" s="287" t="s">
        <v>173</v>
      </c>
    </row>
    <row r="6" spans="1:12" x14ac:dyDescent="0.3">
      <c r="A6" s="41"/>
      <c r="B6" s="236"/>
      <c r="C6" s="3"/>
      <c r="D6" s="3"/>
      <c r="E6" s="244" t="s">
        <v>0</v>
      </c>
      <c r="F6" s="131">
        <f>[1]EO.2!B5</f>
        <v>12868207884.380999</v>
      </c>
      <c r="G6" s="145">
        <f>+F6/$F$11</f>
        <v>0.47875670190820946</v>
      </c>
      <c r="H6" s="22">
        <f>+$B$5*G6</f>
        <v>5624189.1429652143</v>
      </c>
      <c r="I6" s="176"/>
      <c r="L6" s="39" t="s">
        <v>174</v>
      </c>
    </row>
    <row r="7" spans="1:12" x14ac:dyDescent="0.3">
      <c r="A7" s="41"/>
      <c r="B7" s="34"/>
      <c r="C7" s="176"/>
      <c r="E7" s="143" t="s">
        <v>4</v>
      </c>
      <c r="F7" s="131">
        <f>[1]EO.2!B6</f>
        <v>3144236450</v>
      </c>
      <c r="G7" s="145">
        <f t="shared" ref="G7:G10" si="0">+F7/$F$11</f>
        <v>0.1169801021514961</v>
      </c>
      <c r="H7" s="22">
        <f t="shared" ref="H7:H10" si="1">+$B$5*G7</f>
        <v>1374222.4763457133</v>
      </c>
      <c r="L7" s="39" t="s">
        <v>155</v>
      </c>
    </row>
    <row r="8" spans="1:12" x14ac:dyDescent="0.3">
      <c r="A8" s="41"/>
      <c r="B8" s="34"/>
      <c r="C8" s="176"/>
      <c r="E8" s="143" t="s">
        <v>5</v>
      </c>
      <c r="F8" s="131">
        <f>[1]EO.2!B7</f>
        <v>6833830731.1999998</v>
      </c>
      <c r="G8" s="145">
        <f t="shared" si="0"/>
        <v>0.25425003167996774</v>
      </c>
      <c r="H8" s="22">
        <f t="shared" si="1"/>
        <v>2986799.4788868697</v>
      </c>
      <c r="L8" s="287"/>
    </row>
    <row r="9" spans="1:12" x14ac:dyDescent="0.3">
      <c r="A9" s="41"/>
      <c r="B9" s="34"/>
      <c r="C9" s="139"/>
      <c r="E9" s="143" t="s">
        <v>6</v>
      </c>
      <c r="F9" s="131">
        <f>[1]EO.2!B8</f>
        <v>2891252836.5</v>
      </c>
      <c r="G9" s="145">
        <f t="shared" si="0"/>
        <v>0.10756794456713739</v>
      </c>
      <c r="H9" s="22">
        <f t="shared" si="1"/>
        <v>1263653.2576030018</v>
      </c>
      <c r="L9" s="39"/>
    </row>
    <row r="10" spans="1:12" ht="15" thickBot="1" x14ac:dyDescent="0.35">
      <c r="A10" s="41"/>
      <c r="B10" s="260"/>
      <c r="C10" s="139"/>
      <c r="E10" s="143" t="s">
        <v>7</v>
      </c>
      <c r="F10" s="131">
        <f>[1]EO.2!B9</f>
        <v>1140859038.7</v>
      </c>
      <c r="G10" s="145">
        <f t="shared" si="0"/>
        <v>4.2445219693189311E-2</v>
      </c>
      <c r="H10" s="22">
        <f t="shared" si="1"/>
        <v>498624.75620232191</v>
      </c>
      <c r="L10" s="39"/>
    </row>
    <row r="11" spans="1:12" ht="15.6" thickTop="1" thickBot="1" x14ac:dyDescent="0.35">
      <c r="A11" s="139"/>
      <c r="B11" s="280" t="s">
        <v>156</v>
      </c>
      <c r="C11" s="273" t="s">
        <v>149</v>
      </c>
      <c r="D11" s="273"/>
      <c r="E11" s="108"/>
      <c r="F11" s="245">
        <f>SUM(F6:F10)</f>
        <v>26878386940.780998</v>
      </c>
      <c r="G11" s="252">
        <f>SUM(G6:G10)</f>
        <v>0.99999999999999989</v>
      </c>
      <c r="H11" s="132">
        <f>SUM(H6:H10)</f>
        <v>11747489.112003122</v>
      </c>
    </row>
    <row r="12" spans="1:12" x14ac:dyDescent="0.3">
      <c r="A12" s="41" t="s">
        <v>0</v>
      </c>
      <c r="B12" s="24">
        <f>'[1]PPC.1, PCR.2F, EO.3'!R27</f>
        <v>12916858435.280331</v>
      </c>
      <c r="C12" s="29">
        <f>+H6</f>
        <v>5624189.1429652143</v>
      </c>
      <c r="D12" s="289"/>
      <c r="E12" s="215"/>
      <c r="F12" s="159"/>
      <c r="G12" s="248"/>
      <c r="H12" s="159"/>
    </row>
    <row r="13" spans="1:12" x14ac:dyDescent="0.3">
      <c r="A13" s="142" t="s">
        <v>4</v>
      </c>
      <c r="B13" s="24">
        <f>'[1]PPC.1, PCR.2F, EO.3'!R28</f>
        <v>3015420391.7946997</v>
      </c>
      <c r="C13" s="29">
        <f t="shared" ref="C13:C16" si="2">+H7</f>
        <v>1374222.4763457133</v>
      </c>
      <c r="D13" s="289"/>
      <c r="E13" s="215"/>
      <c r="F13" s="159"/>
      <c r="G13" s="159"/>
      <c r="H13" s="159"/>
    </row>
    <row r="14" spans="1:12" x14ac:dyDescent="0.3">
      <c r="A14" s="142" t="s">
        <v>5</v>
      </c>
      <c r="B14" s="24">
        <f>'[1]PPC.1, PCR.2F, EO.3'!R29</f>
        <v>6710766435.5801058</v>
      </c>
      <c r="C14" s="29">
        <f t="shared" si="2"/>
        <v>2986799.4788868697</v>
      </c>
      <c r="D14" s="289"/>
      <c r="E14" s="215"/>
      <c r="F14" s="159"/>
      <c r="G14" s="249"/>
      <c r="H14" s="159"/>
    </row>
    <row r="15" spans="1:12" x14ac:dyDescent="0.3">
      <c r="A15" s="142" t="s">
        <v>6</v>
      </c>
      <c r="B15" s="24">
        <f>'[1]PPC.1, PCR.2F, EO.3'!R30</f>
        <v>2808126985.1604629</v>
      </c>
      <c r="C15" s="29">
        <f t="shared" si="2"/>
        <v>1263653.2576030018</v>
      </c>
      <c r="D15" s="289"/>
      <c r="E15" s="215"/>
      <c r="F15" s="159"/>
      <c r="G15" s="249"/>
      <c r="H15" s="159"/>
    </row>
    <row r="16" spans="1:12" x14ac:dyDescent="0.3">
      <c r="A16" s="142" t="s">
        <v>7</v>
      </c>
      <c r="B16" s="24">
        <f>'[1]PPC.1, PCR.2F, EO.3'!R31</f>
        <v>1103283414.1067083</v>
      </c>
      <c r="C16" s="29">
        <f t="shared" si="2"/>
        <v>498624.75620232191</v>
      </c>
      <c r="D16" s="289"/>
      <c r="E16" s="215"/>
      <c r="F16" s="159"/>
      <c r="G16" s="249"/>
      <c r="H16" s="159"/>
    </row>
    <row r="17" spans="1:10" ht="15" thickBot="1" x14ac:dyDescent="0.35">
      <c r="A17" s="142" t="s">
        <v>9</v>
      </c>
      <c r="B17" s="25">
        <f>SUM(B12:B16)</f>
        <v>26554455661.922306</v>
      </c>
      <c r="C17" s="21">
        <f>SUM(C12:C16)</f>
        <v>11747489.112003122</v>
      </c>
      <c r="D17" s="32"/>
      <c r="E17" s="215"/>
      <c r="F17" s="159"/>
      <c r="G17" s="249"/>
      <c r="H17" s="159"/>
    </row>
    <row r="18" spans="1:10" ht="15.6" thickTop="1" thickBot="1" x14ac:dyDescent="0.35">
      <c r="A18" s="139"/>
      <c r="B18" s="139"/>
      <c r="C18" s="18">
        <f>B5-C17</f>
        <v>0</v>
      </c>
      <c r="E18" s="216"/>
      <c r="F18" s="246"/>
      <c r="G18" s="247"/>
      <c r="H18" s="246"/>
    </row>
    <row r="19" spans="1:10" ht="15" thickTop="1" x14ac:dyDescent="0.3"/>
    <row r="20" spans="1:10" x14ac:dyDescent="0.3">
      <c r="A20" s="215"/>
      <c r="B20" s="34"/>
      <c r="C20" s="176"/>
      <c r="D20" s="176"/>
      <c r="E20" s="176"/>
      <c r="F20" s="186"/>
      <c r="G20" s="186"/>
      <c r="H20" s="186"/>
      <c r="I20" s="176"/>
      <c r="J20" s="176"/>
    </row>
    <row r="21" spans="1:10" x14ac:dyDescent="0.3">
      <c r="A21" s="215"/>
      <c r="B21" s="281"/>
      <c r="C21" s="282"/>
      <c r="D21" s="282"/>
      <c r="E21" s="215"/>
      <c r="F21" s="283"/>
      <c r="G21" s="159"/>
      <c r="H21" s="251"/>
      <c r="I21" s="176"/>
      <c r="J21" s="176"/>
    </row>
    <row r="22" spans="1:10" x14ac:dyDescent="0.3">
      <c r="A22" s="215"/>
      <c r="B22" s="34"/>
      <c r="C22" s="176"/>
      <c r="D22" s="176"/>
      <c r="E22" s="215"/>
      <c r="F22" s="283"/>
      <c r="G22" s="159"/>
      <c r="H22" s="251"/>
      <c r="I22" s="176"/>
      <c r="J22" s="176"/>
    </row>
    <row r="23" spans="1:10" x14ac:dyDescent="0.3">
      <c r="A23" s="215"/>
      <c r="B23" s="34"/>
      <c r="C23" s="176"/>
      <c r="D23" s="176"/>
      <c r="E23" s="215"/>
      <c r="F23" s="283"/>
      <c r="G23" s="159"/>
      <c r="H23" s="251"/>
      <c r="I23" s="176"/>
      <c r="J23" s="176"/>
    </row>
    <row r="24" spans="1:10" x14ac:dyDescent="0.3">
      <c r="A24" s="215"/>
      <c r="B24" s="34"/>
      <c r="C24" s="176"/>
      <c r="D24" s="176"/>
      <c r="E24" s="215"/>
      <c r="F24" s="283"/>
      <c r="G24" s="159"/>
      <c r="H24" s="251"/>
      <c r="I24" s="176"/>
      <c r="J24" s="176"/>
    </row>
    <row r="25" spans="1:10" x14ac:dyDescent="0.3">
      <c r="A25" s="215"/>
      <c r="B25" s="284"/>
      <c r="C25" s="176"/>
      <c r="D25" s="176"/>
      <c r="E25" s="215"/>
      <c r="F25" s="283"/>
      <c r="G25" s="159"/>
      <c r="H25" s="251"/>
      <c r="I25" s="176"/>
      <c r="J25" s="176"/>
    </row>
    <row r="26" spans="1:10" x14ac:dyDescent="0.3">
      <c r="A26" s="176"/>
      <c r="B26" s="186"/>
      <c r="C26" s="186"/>
      <c r="D26" s="186"/>
      <c r="E26" s="176"/>
      <c r="F26" s="247"/>
      <c r="G26" s="285"/>
      <c r="H26" s="250"/>
      <c r="I26" s="176"/>
      <c r="J26" s="176"/>
    </row>
    <row r="27" spans="1:10" x14ac:dyDescent="0.3">
      <c r="A27" s="215"/>
      <c r="B27" s="218"/>
      <c r="C27" s="34"/>
      <c r="D27" s="286"/>
      <c r="E27" s="215"/>
      <c r="F27" s="159"/>
      <c r="G27" s="248"/>
      <c r="H27" s="159"/>
      <c r="I27" s="176"/>
      <c r="J27" s="176"/>
    </row>
    <row r="28" spans="1:10" x14ac:dyDescent="0.3">
      <c r="A28" s="215"/>
      <c r="B28" s="218"/>
      <c r="C28" s="34"/>
      <c r="D28" s="286"/>
      <c r="E28" s="215"/>
      <c r="F28" s="159"/>
      <c r="G28" s="159"/>
      <c r="H28" s="159"/>
      <c r="I28" s="176"/>
      <c r="J28" s="176"/>
    </row>
    <row r="29" spans="1:10" x14ac:dyDescent="0.3">
      <c r="A29" s="215"/>
      <c r="B29" s="218"/>
      <c r="C29" s="34"/>
      <c r="D29" s="286"/>
      <c r="E29" s="215"/>
      <c r="F29" s="159"/>
      <c r="G29" s="249"/>
      <c r="H29" s="159"/>
      <c r="I29" s="176"/>
      <c r="J29" s="176"/>
    </row>
    <row r="30" spans="1:10" x14ac:dyDescent="0.3">
      <c r="A30" s="215"/>
      <c r="B30" s="218"/>
      <c r="C30" s="34"/>
      <c r="D30" s="286"/>
      <c r="E30" s="215"/>
      <c r="F30" s="159"/>
      <c r="G30" s="249"/>
      <c r="H30" s="159"/>
      <c r="I30" s="176"/>
      <c r="J30" s="176"/>
    </row>
    <row r="31" spans="1:10" x14ac:dyDescent="0.3">
      <c r="A31" s="215"/>
      <c r="B31" s="218"/>
      <c r="C31" s="34"/>
      <c r="D31" s="286"/>
      <c r="E31" s="215"/>
      <c r="F31" s="159"/>
      <c r="G31" s="249"/>
      <c r="H31" s="159"/>
      <c r="I31" s="176"/>
      <c r="J31" s="176"/>
    </row>
    <row r="32" spans="1:10" x14ac:dyDescent="0.3">
      <c r="A32" s="215"/>
      <c r="B32" s="220"/>
      <c r="C32" s="167"/>
      <c r="D32" s="176"/>
      <c r="E32" s="215"/>
      <c r="F32" s="159"/>
      <c r="G32" s="249"/>
      <c r="H32" s="159"/>
      <c r="I32" s="176"/>
      <c r="J32" s="176"/>
    </row>
    <row r="33" spans="1:10" x14ac:dyDescent="0.3">
      <c r="A33" s="176"/>
      <c r="B33" s="176"/>
      <c r="C33" s="212"/>
      <c r="D33" s="176"/>
      <c r="E33" s="216"/>
      <c r="F33" s="246"/>
      <c r="G33" s="247"/>
      <c r="H33" s="246"/>
      <c r="I33" s="176"/>
      <c r="J33" s="176"/>
    </row>
    <row r="34" spans="1:10" x14ac:dyDescent="0.3">
      <c r="A34" s="176"/>
      <c r="B34" s="176"/>
      <c r="C34" s="176"/>
      <c r="D34" s="176"/>
      <c r="E34" s="176"/>
      <c r="F34" s="176"/>
      <c r="G34" s="176"/>
      <c r="H34" s="176"/>
      <c r="I34" s="176"/>
      <c r="J34" s="176"/>
    </row>
  </sheetData>
  <mergeCells count="1">
    <mergeCell ref="E4:H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5" tint="0.79998168889431442"/>
    <pageSetUpPr fitToPage="1"/>
  </sheetPr>
  <dimension ref="A1:BH72"/>
  <sheetViews>
    <sheetView zoomScale="80" zoomScaleNormal="80" workbookViewId="0">
      <pane xSplit="1" ySplit="14" topLeftCell="B15" activePane="bottomRight" state="frozen"/>
      <selection activeCell="AC68" sqref="AC68"/>
      <selection pane="topRight" activeCell="AC68" sqref="AC68"/>
      <selection pane="bottomLeft" activeCell="AC68" sqref="AC68"/>
      <selection pane="bottomRight" activeCell="AF83" sqref="AF83"/>
    </sheetView>
  </sheetViews>
  <sheetFormatPr defaultColWidth="9.109375" defaultRowHeight="14.4" x14ac:dyDescent="0.3"/>
  <cols>
    <col min="1" max="1" width="26.44140625" style="139" customWidth="1"/>
    <col min="2" max="29" width="18" style="139" customWidth="1"/>
    <col min="30" max="30" width="16" style="139" customWidth="1"/>
    <col min="31" max="31" width="15" style="139" bestFit="1" customWidth="1"/>
    <col min="32" max="34" width="16" style="139" bestFit="1" customWidth="1"/>
    <col min="35" max="58" width="16" style="139" customWidth="1"/>
    <col min="59" max="59" width="16.44140625" style="139" customWidth="1"/>
    <col min="60" max="60" width="17.33203125" style="139" customWidth="1"/>
    <col min="61" max="61" width="16.88671875" style="139" customWidth="1"/>
    <col min="62" max="62" width="13.88671875" style="139" bestFit="1" customWidth="1"/>
    <col min="63" max="63" width="10.88671875" style="139" bestFit="1" customWidth="1"/>
    <col min="64" max="64" width="9.109375" style="139"/>
    <col min="65" max="65" width="12.6640625" style="139" bestFit="1" customWidth="1"/>
    <col min="66" max="16384" width="9.109375" style="139"/>
  </cols>
  <sheetData>
    <row r="1" spans="1:60" x14ac:dyDescent="0.3">
      <c r="A1" s="32" t="s">
        <v>157</v>
      </c>
      <c r="B1" s="32"/>
      <c r="O1" s="176"/>
      <c r="P1" s="176"/>
      <c r="Q1" s="176"/>
      <c r="R1" s="176"/>
      <c r="S1" s="176"/>
      <c r="T1" s="176"/>
      <c r="U1" s="176"/>
      <c r="V1" s="176"/>
      <c r="W1" s="176"/>
      <c r="X1" s="176"/>
      <c r="Y1" s="176"/>
    </row>
    <row r="2" spans="1:60" x14ac:dyDescent="0.3">
      <c r="A2" s="265"/>
      <c r="B2" s="158" t="s">
        <v>137</v>
      </c>
      <c r="C2" s="158"/>
      <c r="D2" s="158"/>
      <c r="E2" s="158"/>
      <c r="F2" s="158"/>
      <c r="G2" s="158"/>
      <c r="H2" s="158"/>
      <c r="I2" s="39" t="s">
        <v>26</v>
      </c>
      <c r="J2" s="366"/>
      <c r="K2" s="366"/>
      <c r="L2" s="366"/>
      <c r="M2" s="366"/>
      <c r="N2" s="158"/>
      <c r="O2" s="314"/>
      <c r="P2" s="314"/>
      <c r="Q2" s="314"/>
      <c r="R2" s="314"/>
      <c r="S2" s="314"/>
      <c r="T2" s="314"/>
      <c r="U2" s="313"/>
      <c r="V2" s="314"/>
      <c r="W2" s="314"/>
      <c r="X2" s="314"/>
      <c r="Y2" s="314"/>
      <c r="Z2" s="158"/>
      <c r="AA2" s="158"/>
      <c r="AB2" s="158"/>
      <c r="AC2" s="158"/>
      <c r="AF2" s="39"/>
      <c r="AG2" s="32"/>
      <c r="AH2" s="32"/>
      <c r="AI2" s="32"/>
      <c r="AJ2" s="32"/>
      <c r="AK2" s="32"/>
    </row>
    <row r="3" spans="1:60" x14ac:dyDescent="0.3">
      <c r="B3" s="193" t="s">
        <v>113</v>
      </c>
      <c r="C3" s="193" t="s">
        <v>64</v>
      </c>
      <c r="D3" s="193" t="s">
        <v>138</v>
      </c>
      <c r="E3" s="193" t="s">
        <v>91</v>
      </c>
      <c r="F3" s="193" t="s">
        <v>65</v>
      </c>
      <c r="G3" s="193" t="s">
        <v>139</v>
      </c>
      <c r="I3" s="39" t="s">
        <v>142</v>
      </c>
      <c r="J3" s="32"/>
      <c r="K3" s="32"/>
      <c r="L3" s="32"/>
      <c r="M3" s="32"/>
      <c r="N3" s="32"/>
      <c r="O3" s="186"/>
      <c r="P3" s="186"/>
      <c r="Q3" s="186"/>
      <c r="R3" s="186"/>
      <c r="S3" s="186"/>
      <c r="T3" s="176"/>
      <c r="U3" s="313"/>
      <c r="V3" s="176"/>
      <c r="W3" s="176"/>
      <c r="X3" s="176"/>
      <c r="Y3" s="176"/>
      <c r="Z3" s="32"/>
      <c r="AA3" s="32"/>
      <c r="AB3" s="32"/>
      <c r="AC3" s="32"/>
      <c r="AD3" s="32"/>
      <c r="AE3" s="32"/>
      <c r="AF3" s="32"/>
      <c r="AG3" s="32"/>
      <c r="AH3" s="32"/>
      <c r="AI3" s="32"/>
      <c r="AJ3" s="32"/>
      <c r="AK3" s="32"/>
      <c r="AL3" s="32"/>
      <c r="AM3" s="32"/>
      <c r="AN3" s="32"/>
      <c r="AO3" s="32"/>
      <c r="AP3" s="32"/>
      <c r="AQ3" s="32"/>
      <c r="AR3" s="32"/>
      <c r="AS3" s="32"/>
      <c r="AT3" s="32"/>
      <c r="AU3" s="32"/>
      <c r="AV3" s="32"/>
    </row>
    <row r="4" spans="1:60" x14ac:dyDescent="0.3">
      <c r="A4" s="139" t="s">
        <v>0</v>
      </c>
      <c r="B4" s="21">
        <f>+B65</f>
        <v>-462683.00379415316</v>
      </c>
      <c r="C4" s="21">
        <f>SUM(B29:AC29)</f>
        <v>19675146.505428061</v>
      </c>
      <c r="D4" s="21">
        <f>SUM(B15:AC15)</f>
        <v>19773144.679694235</v>
      </c>
      <c r="E4" s="21">
        <f>B4+D4-C4</f>
        <v>-364684.82952797785</v>
      </c>
      <c r="F4" s="21">
        <f>SUM(B55:AC55)</f>
        <v>1613.7029883008472</v>
      </c>
      <c r="G4" s="26">
        <f>E4+F4</f>
        <v>-363071.12653967703</v>
      </c>
      <c r="I4" s="39" t="s">
        <v>144</v>
      </c>
      <c r="J4" s="32"/>
      <c r="K4" s="32"/>
      <c r="L4" s="32"/>
      <c r="M4" s="32"/>
      <c r="N4" s="32"/>
      <c r="O4" s="167"/>
      <c r="P4" s="167"/>
      <c r="Q4" s="167"/>
      <c r="R4" s="167"/>
      <c r="S4" s="219"/>
      <c r="T4" s="176"/>
      <c r="U4" s="313"/>
      <c r="V4" s="176"/>
      <c r="W4" s="176"/>
      <c r="X4" s="176"/>
      <c r="Y4" s="176"/>
      <c r="Z4" s="32"/>
      <c r="AA4" s="32"/>
      <c r="AB4" s="32"/>
      <c r="AC4" s="32"/>
      <c r="AD4" s="32"/>
      <c r="AE4" s="32"/>
      <c r="AF4" s="32"/>
      <c r="AG4" s="32"/>
      <c r="AH4" s="32"/>
      <c r="AI4" s="32"/>
      <c r="AJ4" s="32"/>
      <c r="AK4" s="32"/>
      <c r="AL4" s="32"/>
      <c r="AM4" s="32"/>
      <c r="AN4" s="32"/>
      <c r="AO4" s="32"/>
      <c r="AP4" s="32"/>
      <c r="AQ4" s="32"/>
      <c r="AR4" s="32"/>
      <c r="AS4" s="32"/>
      <c r="AT4" s="32"/>
      <c r="AU4" s="32"/>
      <c r="AV4" s="32"/>
    </row>
    <row r="5" spans="1:60" x14ac:dyDescent="0.3">
      <c r="A5" s="139" t="s">
        <v>4</v>
      </c>
      <c r="B5" s="21">
        <f t="shared" ref="B5:B8" si="0">+B66</f>
        <v>-10108.99213094723</v>
      </c>
      <c r="C5" s="21">
        <f>SUM(B30:AC30)</f>
        <v>5053935.5986074563</v>
      </c>
      <c r="D5" s="21">
        <f>SUM(B16:AC16)</f>
        <v>4945224.7432305766</v>
      </c>
      <c r="E5" s="21">
        <f>B5+D5-C5</f>
        <v>-118819.84750782698</v>
      </c>
      <c r="F5" s="21">
        <f>SUM(B56:AC56)</f>
        <v>1380.768268750769</v>
      </c>
      <c r="G5" s="26">
        <f>E5+F5</f>
        <v>-117439.07923907622</v>
      </c>
      <c r="I5" s="39" t="s">
        <v>145</v>
      </c>
      <c r="J5" s="32"/>
      <c r="K5" s="32"/>
      <c r="L5" s="32"/>
      <c r="M5" s="32"/>
      <c r="N5" s="32"/>
      <c r="O5" s="167"/>
      <c r="P5" s="167"/>
      <c r="Q5" s="167"/>
      <c r="R5" s="167"/>
      <c r="S5" s="219"/>
      <c r="T5" s="176"/>
      <c r="U5" s="313"/>
      <c r="V5" s="176"/>
      <c r="W5" s="176"/>
      <c r="X5" s="176"/>
      <c r="Y5" s="176"/>
      <c r="Z5" s="32"/>
      <c r="AA5" s="32"/>
      <c r="AB5" s="32"/>
      <c r="AC5" s="32"/>
      <c r="AD5" s="32"/>
      <c r="AE5" s="32"/>
      <c r="AF5" s="32"/>
      <c r="AG5" s="32"/>
      <c r="AH5" s="32"/>
      <c r="AI5" s="32"/>
      <c r="AJ5" s="32"/>
      <c r="AK5" s="32"/>
      <c r="AL5" s="32"/>
      <c r="AM5" s="32"/>
      <c r="AN5" s="32"/>
      <c r="AO5" s="32"/>
      <c r="AP5" s="32"/>
      <c r="AQ5" s="32"/>
      <c r="AR5" s="32"/>
      <c r="AS5" s="32"/>
      <c r="AT5" s="32"/>
      <c r="AU5" s="32"/>
      <c r="AV5" s="32"/>
    </row>
    <row r="6" spans="1:60" x14ac:dyDescent="0.3">
      <c r="A6" s="139" t="s">
        <v>5</v>
      </c>
      <c r="B6" s="21">
        <f t="shared" si="0"/>
        <v>3604.9193919342115</v>
      </c>
      <c r="C6" s="21">
        <f>SUM(B31:AC31)</f>
        <v>11589375.830527298</v>
      </c>
      <c r="D6" s="21">
        <f>SUM(B17:AC17)</f>
        <v>11635754.081010701</v>
      </c>
      <c r="E6" s="21">
        <f>B6+D6-C6</f>
        <v>49983.169875336811</v>
      </c>
      <c r="F6" s="21">
        <f>SUM(B57:AC57)</f>
        <v>4269.5204685549197</v>
      </c>
      <c r="G6" s="26">
        <f>E6+F6</f>
        <v>54252.690343891729</v>
      </c>
      <c r="I6" s="39" t="s">
        <v>82</v>
      </c>
      <c r="J6" s="32"/>
      <c r="K6" s="32"/>
      <c r="L6" s="32"/>
      <c r="M6" s="32"/>
      <c r="N6" s="32"/>
      <c r="O6" s="167"/>
      <c r="P6" s="167"/>
      <c r="Q6" s="167"/>
      <c r="R6" s="167"/>
      <c r="S6" s="219"/>
      <c r="T6" s="176"/>
      <c r="U6" s="313"/>
      <c r="V6" s="176"/>
      <c r="W6" s="176"/>
      <c r="X6" s="176"/>
      <c r="Y6" s="176"/>
      <c r="Z6" s="32"/>
      <c r="AA6" s="32"/>
      <c r="AB6" s="32"/>
      <c r="AC6" s="32"/>
      <c r="AD6" s="32"/>
      <c r="AE6" s="32"/>
      <c r="AF6" s="32"/>
      <c r="AG6" s="32"/>
      <c r="AH6" s="32"/>
      <c r="AI6" s="32"/>
      <c r="AJ6" s="32"/>
      <c r="AK6" s="32"/>
      <c r="AL6" s="32"/>
      <c r="AM6" s="32"/>
      <c r="AN6" s="32"/>
      <c r="AO6" s="32"/>
      <c r="AP6" s="32"/>
      <c r="AQ6" s="32"/>
      <c r="AR6" s="32"/>
      <c r="AS6" s="32"/>
      <c r="AT6" s="32"/>
      <c r="AU6" s="32"/>
      <c r="AV6" s="32"/>
    </row>
    <row r="7" spans="1:60" x14ac:dyDescent="0.3">
      <c r="A7" s="139" t="s">
        <v>6</v>
      </c>
      <c r="B7" s="21">
        <f t="shared" si="0"/>
        <v>-6178.5070069833</v>
      </c>
      <c r="C7" s="21">
        <f>SUM(B32:AC32)</f>
        <v>5061908.7080930807</v>
      </c>
      <c r="D7" s="21">
        <f>SUM(B18:AC18)</f>
        <v>5139245.6229948299</v>
      </c>
      <c r="E7" s="21">
        <f>B7+D7-C7</f>
        <v>71158.407894765958</v>
      </c>
      <c r="F7" s="21">
        <f>SUM(B58:AC58)</f>
        <v>2082.7769921813601</v>
      </c>
      <c r="G7" s="26">
        <f>E7+F7</f>
        <v>73241.184886947318</v>
      </c>
      <c r="I7" s="39"/>
      <c r="J7" s="32"/>
      <c r="K7" s="32"/>
      <c r="L7" s="32"/>
      <c r="M7" s="32"/>
      <c r="N7" s="32"/>
      <c r="O7" s="167"/>
      <c r="P7" s="167"/>
      <c r="Q7" s="167"/>
      <c r="R7" s="167"/>
      <c r="S7" s="219"/>
      <c r="T7" s="176"/>
      <c r="U7" s="313"/>
      <c r="V7" s="176"/>
      <c r="W7" s="176"/>
      <c r="X7" s="176"/>
      <c r="Y7" s="176"/>
      <c r="Z7" s="32"/>
      <c r="AA7" s="32"/>
      <c r="AB7" s="32"/>
      <c r="AC7" s="32"/>
      <c r="AD7" s="32"/>
      <c r="AE7" s="32"/>
      <c r="AF7" s="32"/>
      <c r="AG7" s="32"/>
      <c r="AH7" s="32"/>
      <c r="AI7" s="32"/>
      <c r="AJ7" s="32"/>
      <c r="AK7" s="32"/>
      <c r="AL7" s="32"/>
      <c r="AM7" s="32"/>
      <c r="AN7" s="32"/>
      <c r="AO7" s="32"/>
      <c r="AP7" s="32"/>
      <c r="AQ7" s="32"/>
      <c r="AR7" s="32"/>
      <c r="AS7" s="32"/>
      <c r="AT7" s="32"/>
      <c r="AU7" s="32"/>
      <c r="AV7" s="32"/>
    </row>
    <row r="8" spans="1:60" ht="15" thickBot="1" x14ac:dyDescent="0.35">
      <c r="A8" s="139" t="s">
        <v>7</v>
      </c>
      <c r="B8" s="21">
        <f t="shared" si="0"/>
        <v>48966.060998976864</v>
      </c>
      <c r="C8" s="21">
        <f>SUM(B33:AC33)</f>
        <v>2438573.9373440994</v>
      </c>
      <c r="D8" s="21">
        <f>SUM(B19:AC19)</f>
        <v>2588486.0605716035</v>
      </c>
      <c r="E8" s="21">
        <f>B8+D8-C8</f>
        <v>198878.18422648078</v>
      </c>
      <c r="F8" s="21">
        <f>SUM(B59:AC59)</f>
        <v>2030.0387364695362</v>
      </c>
      <c r="G8" s="26">
        <f>E8+F8</f>
        <v>200908.22296295033</v>
      </c>
      <c r="I8" s="39"/>
      <c r="J8" s="32"/>
      <c r="K8" s="32"/>
      <c r="L8" s="32"/>
      <c r="M8" s="32"/>
      <c r="N8" s="32"/>
      <c r="O8" s="167"/>
      <c r="P8" s="167"/>
      <c r="Q8" s="167"/>
      <c r="R8" s="167"/>
      <c r="S8" s="219"/>
      <c r="T8" s="176"/>
      <c r="U8" s="313"/>
      <c r="V8" s="176"/>
      <c r="W8" s="176"/>
      <c r="X8" s="176"/>
      <c r="Y8" s="176"/>
      <c r="Z8" s="32"/>
      <c r="AA8" s="32"/>
      <c r="AB8" s="32"/>
      <c r="AC8" s="32"/>
      <c r="AD8" s="32"/>
      <c r="AE8" s="32"/>
      <c r="AF8" s="32"/>
      <c r="AG8" s="32"/>
      <c r="AH8" s="32"/>
      <c r="AI8" s="32"/>
      <c r="AJ8" s="32"/>
      <c r="AK8" s="32"/>
      <c r="AL8" s="32"/>
      <c r="AM8" s="32"/>
      <c r="AN8" s="32"/>
      <c r="AO8" s="32"/>
      <c r="AP8" s="32"/>
      <c r="AQ8" s="32"/>
      <c r="AR8" s="32"/>
      <c r="AS8" s="32"/>
      <c r="AT8" s="32"/>
      <c r="AU8" s="32"/>
      <c r="AV8" s="32"/>
    </row>
    <row r="9" spans="1:60" ht="15.6" thickTop="1" thickBot="1" x14ac:dyDescent="0.35">
      <c r="B9" s="62">
        <f t="shared" ref="B9" si="1">SUM(B4:B8)</f>
        <v>-426399.52254117257</v>
      </c>
      <c r="C9" s="62">
        <f t="shared" ref="C9:G9" si="2">SUM(C4:C8)</f>
        <v>43818940.579999991</v>
      </c>
      <c r="D9" s="62">
        <f t="shared" si="2"/>
        <v>44081855.187501952</v>
      </c>
      <c r="E9" s="62">
        <f>SUM(E4:E8)</f>
        <v>-163484.91503922129</v>
      </c>
      <c r="F9" s="62">
        <f>SUM(F4:F8)</f>
        <v>11376.807454257432</v>
      </c>
      <c r="G9" s="62">
        <f t="shared" si="2"/>
        <v>-152108.10758496387</v>
      </c>
      <c r="I9" s="39"/>
      <c r="J9" s="32"/>
      <c r="K9" s="32"/>
      <c r="L9" s="32"/>
      <c r="M9" s="32"/>
      <c r="N9" s="32"/>
      <c r="O9" s="315"/>
      <c r="P9" s="315"/>
      <c r="Q9" s="315"/>
      <c r="R9" s="315"/>
      <c r="S9" s="315"/>
      <c r="T9" s="176"/>
      <c r="U9" s="313"/>
      <c r="V9" s="176"/>
      <c r="W9" s="176"/>
      <c r="X9" s="176"/>
      <c r="Y9" s="176"/>
      <c r="Z9" s="32"/>
      <c r="AA9" s="32"/>
      <c r="AB9" s="32"/>
      <c r="AC9" s="32"/>
      <c r="AD9" s="32"/>
      <c r="AE9" s="32"/>
      <c r="AF9" s="32"/>
      <c r="AG9" s="32"/>
      <c r="AH9" s="32"/>
      <c r="AI9" s="32"/>
      <c r="AJ9" s="32"/>
      <c r="AK9" s="32"/>
      <c r="AL9" s="32"/>
      <c r="AM9" s="32"/>
      <c r="AN9" s="32"/>
      <c r="AO9" s="32"/>
      <c r="AP9" s="32"/>
      <c r="AQ9" s="32"/>
      <c r="AR9" s="32"/>
      <c r="AS9" s="32"/>
      <c r="AT9" s="32"/>
      <c r="AU9" s="32"/>
      <c r="AV9" s="32"/>
    </row>
    <row r="10" spans="1:60" ht="15.6" thickTop="1" thickBot="1" x14ac:dyDescent="0.35">
      <c r="E10" s="23" t="s">
        <v>25</v>
      </c>
      <c r="F10" s="228">
        <f>F9-SUM(B38:AC38)</f>
        <v>7.4542574329825584E-3</v>
      </c>
      <c r="G10" s="32"/>
      <c r="I10" s="39"/>
      <c r="J10" s="32"/>
      <c r="K10" s="32"/>
      <c r="L10" s="32"/>
      <c r="M10" s="32"/>
      <c r="O10" s="176"/>
      <c r="P10" s="176"/>
      <c r="Q10" s="216"/>
      <c r="R10" s="262"/>
      <c r="S10" s="176"/>
      <c r="T10" s="176"/>
      <c r="U10" s="313"/>
      <c r="V10" s="176"/>
      <c r="W10" s="176"/>
      <c r="X10" s="176"/>
      <c r="Y10" s="176"/>
      <c r="AF10" s="39"/>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ht="15" thickTop="1" x14ac:dyDescent="0.3">
      <c r="AE11" s="2"/>
    </row>
    <row r="12" spans="1:60" ht="15" thickBot="1" x14ac:dyDescent="0.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row>
    <row r="13" spans="1:60" ht="15" thickBot="1" x14ac:dyDescent="0.35">
      <c r="B13" s="141"/>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6"/>
    </row>
    <row r="14" spans="1:60" x14ac:dyDescent="0.3">
      <c r="A14" s="139" t="s">
        <v>140</v>
      </c>
      <c r="B14" s="66">
        <v>43739</v>
      </c>
      <c r="C14" s="67">
        <v>43770</v>
      </c>
      <c r="D14" s="67">
        <v>43800</v>
      </c>
      <c r="E14" s="67">
        <v>43831</v>
      </c>
      <c r="F14" s="67">
        <v>43862</v>
      </c>
      <c r="G14" s="67">
        <v>43891</v>
      </c>
      <c r="H14" s="67">
        <v>43922</v>
      </c>
      <c r="I14" s="67">
        <v>43952</v>
      </c>
      <c r="J14" s="67">
        <v>43983</v>
      </c>
      <c r="K14" s="67">
        <v>44013</v>
      </c>
      <c r="L14" s="67">
        <v>44044</v>
      </c>
      <c r="M14" s="67">
        <v>44075</v>
      </c>
      <c r="N14" s="67">
        <v>44105</v>
      </c>
      <c r="O14" s="67">
        <v>44136</v>
      </c>
      <c r="P14" s="67">
        <v>44166</v>
      </c>
      <c r="Q14" s="67">
        <v>44197</v>
      </c>
      <c r="R14" s="67">
        <v>44228</v>
      </c>
      <c r="S14" s="67">
        <v>44256</v>
      </c>
      <c r="T14" s="67">
        <v>44287</v>
      </c>
      <c r="U14" s="67">
        <v>44317</v>
      </c>
      <c r="V14" s="67">
        <v>44348</v>
      </c>
      <c r="W14" s="67">
        <v>44378</v>
      </c>
      <c r="X14" s="67">
        <v>44409</v>
      </c>
      <c r="Y14" s="67">
        <v>44440</v>
      </c>
      <c r="Z14" s="67">
        <v>44470</v>
      </c>
      <c r="AA14" s="67">
        <v>44501</v>
      </c>
      <c r="AB14" s="67">
        <v>44531</v>
      </c>
      <c r="AC14" s="68">
        <v>44562</v>
      </c>
      <c r="AD14" s="1"/>
      <c r="AE14" s="1"/>
      <c r="AF14" s="1"/>
      <c r="AG14" s="1"/>
      <c r="AH14" s="1"/>
      <c r="AI14" s="1"/>
    </row>
    <row r="15" spans="1:60" x14ac:dyDescent="0.3">
      <c r="A15" s="32" t="s">
        <v>0</v>
      </c>
      <c r="B15" s="256">
        <v>0</v>
      </c>
      <c r="C15" s="70">
        <v>212904.59692268647</v>
      </c>
      <c r="D15" s="70">
        <v>212904.59692268647</v>
      </c>
      <c r="E15" s="70">
        <v>212904.59692268647</v>
      </c>
      <c r="F15" s="70">
        <v>845412.99464061391</v>
      </c>
      <c r="G15" s="70">
        <v>845412.99464061391</v>
      </c>
      <c r="H15" s="70">
        <v>845412.99464061391</v>
      </c>
      <c r="I15" s="70">
        <v>845412.99464061391</v>
      </c>
      <c r="J15" s="70">
        <v>845412.99464061391</v>
      </c>
      <c r="K15" s="70">
        <v>845412.99464061391</v>
      </c>
      <c r="L15" s="70">
        <v>845412.99464061391</v>
      </c>
      <c r="M15" s="70">
        <v>845412.99464061391</v>
      </c>
      <c r="N15" s="70">
        <v>845412.99464061391</v>
      </c>
      <c r="O15" s="70">
        <v>845412.99464061402</v>
      </c>
      <c r="P15" s="70">
        <v>845412.99464061402</v>
      </c>
      <c r="Q15" s="70">
        <v>845412.99464061402</v>
      </c>
      <c r="R15" s="70">
        <v>819573.99565661815</v>
      </c>
      <c r="S15" s="70">
        <v>819573.99565661815</v>
      </c>
      <c r="T15" s="70">
        <v>819573.99565661815</v>
      </c>
      <c r="U15" s="70">
        <v>819573.99565661815</v>
      </c>
      <c r="V15" s="70">
        <v>819573.99565661815</v>
      </c>
      <c r="W15" s="70">
        <v>819573.99565661815</v>
      </c>
      <c r="X15" s="70">
        <v>819573.99565661815</v>
      </c>
      <c r="Y15" s="70">
        <v>819573.99565661815</v>
      </c>
      <c r="Z15" s="70">
        <v>819573.99565661815</v>
      </c>
      <c r="AA15" s="70">
        <f>'[1]EOR.1F, EOR.1'!$K$52+'[1]EOR.1F, EOR.1'!$K$71</f>
        <v>819573.99565661815</v>
      </c>
      <c r="AB15" s="70">
        <f>'[1]EOR.1F, EOR.1'!$K$52+'[1]EOR.1F, EOR.1'!$K$71</f>
        <v>819573.99565661815</v>
      </c>
      <c r="AC15" s="402">
        <f>'[1]EOR.1F, EOR.1'!$K$71</f>
        <v>-25838.998983995905</v>
      </c>
    </row>
    <row r="16" spans="1:60" x14ac:dyDescent="0.3">
      <c r="A16" s="32" t="s">
        <v>4</v>
      </c>
      <c r="B16" s="256">
        <v>0</v>
      </c>
      <c r="C16" s="70">
        <v>21961.342334895973</v>
      </c>
      <c r="D16" s="70">
        <v>21961.342334895973</v>
      </c>
      <c r="E16" s="70">
        <v>21961.342334895973</v>
      </c>
      <c r="F16" s="70">
        <v>215583.00169584531</v>
      </c>
      <c r="G16" s="70">
        <v>215583.00169584531</v>
      </c>
      <c r="H16" s="70">
        <v>215583.00169584531</v>
      </c>
      <c r="I16" s="70">
        <v>215583.00169584531</v>
      </c>
      <c r="J16" s="70">
        <v>215583.00169584531</v>
      </c>
      <c r="K16" s="70">
        <v>215583.00169584531</v>
      </c>
      <c r="L16" s="70">
        <v>215583.00169584531</v>
      </c>
      <c r="M16" s="70">
        <v>215583.00169584531</v>
      </c>
      <c r="N16" s="70">
        <v>215583.00169584531</v>
      </c>
      <c r="O16" s="70">
        <v>215583.00169584531</v>
      </c>
      <c r="P16" s="70">
        <v>215583.00169584531</v>
      </c>
      <c r="Q16" s="70">
        <v>215583.00169584531</v>
      </c>
      <c r="R16" s="70">
        <v>208993.9747976324</v>
      </c>
      <c r="S16" s="70">
        <v>208993.9747976324</v>
      </c>
      <c r="T16" s="70">
        <v>208993.9747976324</v>
      </c>
      <c r="U16" s="70">
        <v>208993.9747976324</v>
      </c>
      <c r="V16" s="70">
        <v>208993.9747976324</v>
      </c>
      <c r="W16" s="70">
        <v>208993.9747976324</v>
      </c>
      <c r="X16" s="70">
        <v>208993.9747976324</v>
      </c>
      <c r="Y16" s="70">
        <v>208993.9747976324</v>
      </c>
      <c r="Z16" s="70">
        <v>208993.9747976324</v>
      </c>
      <c r="AA16" s="70">
        <f>'[1]EOR.1F, EOR.1'!$K$53+'[1]EOR.1F, EOR.1'!$K$72</f>
        <v>208993.9747976324</v>
      </c>
      <c r="AB16" s="70">
        <f>'[1]EOR.1F, EOR.1'!$K$53+'[1]EOR.1F, EOR.1'!$K$72</f>
        <v>208993.9747976324</v>
      </c>
      <c r="AC16" s="402">
        <f>'[1]EOR.1F, EOR.1'!$K$72</f>
        <v>-6589.0268982129128</v>
      </c>
    </row>
    <row r="17" spans="1:30" x14ac:dyDescent="0.3">
      <c r="A17" s="32" t="s">
        <v>5</v>
      </c>
      <c r="B17" s="256">
        <v>0</v>
      </c>
      <c r="C17" s="70">
        <v>92828.194911367013</v>
      </c>
      <c r="D17" s="70">
        <v>92828.194911367013</v>
      </c>
      <c r="E17" s="70">
        <v>92828.194911367013</v>
      </c>
      <c r="F17" s="70">
        <v>501796.12195022247</v>
      </c>
      <c r="G17" s="70">
        <v>501796.12195022247</v>
      </c>
      <c r="H17" s="70">
        <v>501796.12195022247</v>
      </c>
      <c r="I17" s="70">
        <v>501796.12195022247</v>
      </c>
      <c r="J17" s="70">
        <v>501796.12195022247</v>
      </c>
      <c r="K17" s="70">
        <v>501796.12195022247</v>
      </c>
      <c r="L17" s="70">
        <v>501796.12195022247</v>
      </c>
      <c r="M17" s="70">
        <v>501796.12195022247</v>
      </c>
      <c r="N17" s="70">
        <v>501796.12195022247</v>
      </c>
      <c r="O17" s="70">
        <v>501796.12195022253</v>
      </c>
      <c r="P17" s="70">
        <v>501796.12195022253</v>
      </c>
      <c r="Q17" s="70">
        <v>501796.12195022253</v>
      </c>
      <c r="R17" s="70">
        <v>486459.3462353464</v>
      </c>
      <c r="S17" s="70">
        <v>486459.3462353464</v>
      </c>
      <c r="T17" s="70">
        <v>486459.3462353464</v>
      </c>
      <c r="U17" s="70">
        <v>486459.3462353464</v>
      </c>
      <c r="V17" s="70">
        <v>486459.3462353464</v>
      </c>
      <c r="W17" s="70">
        <v>486459.3462353464</v>
      </c>
      <c r="X17" s="70">
        <v>486459.3462353464</v>
      </c>
      <c r="Y17" s="70">
        <v>486459.3462353464</v>
      </c>
      <c r="Z17" s="70">
        <v>486459.3462353464</v>
      </c>
      <c r="AA17" s="70">
        <f>'[1]EOR.1F, EOR.1'!$K$54+'[1]EOR.1F, EOR.1'!$K$73</f>
        <v>486459.3462353464</v>
      </c>
      <c r="AB17" s="70">
        <f>'[1]EOR.1F, EOR.1'!$K$54+'[1]EOR.1F, EOR.1'!$K$73</f>
        <v>486459.3462353464</v>
      </c>
      <c r="AC17" s="402">
        <f>'[1]EOR.1F, EOR.1'!$K$73</f>
        <v>-15336.775714876145</v>
      </c>
    </row>
    <row r="18" spans="1:30" x14ac:dyDescent="0.3">
      <c r="A18" s="32" t="s">
        <v>6</v>
      </c>
      <c r="B18" s="256">
        <v>0</v>
      </c>
      <c r="C18" s="70">
        <v>41338.99733627477</v>
      </c>
      <c r="D18" s="70">
        <v>41338.99733627477</v>
      </c>
      <c r="E18" s="70">
        <v>41338.99733627477</v>
      </c>
      <c r="F18" s="70">
        <v>221586.9121136516</v>
      </c>
      <c r="G18" s="70">
        <v>221586.9121136516</v>
      </c>
      <c r="H18" s="70">
        <v>221586.9121136516</v>
      </c>
      <c r="I18" s="70">
        <v>221586.9121136516</v>
      </c>
      <c r="J18" s="70">
        <v>221586.9121136516</v>
      </c>
      <c r="K18" s="70">
        <v>221586.9121136516</v>
      </c>
      <c r="L18" s="70">
        <v>221586.9121136516</v>
      </c>
      <c r="M18" s="70">
        <v>221586.9121136516</v>
      </c>
      <c r="N18" s="70">
        <v>221586.9121136516</v>
      </c>
      <c r="O18" s="70">
        <v>221586.9121136516</v>
      </c>
      <c r="P18" s="70">
        <v>221586.9121136516</v>
      </c>
      <c r="Q18" s="70">
        <v>221586.9121136516</v>
      </c>
      <c r="R18" s="70">
        <v>214814.38314465299</v>
      </c>
      <c r="S18" s="70">
        <v>214814.38314465299</v>
      </c>
      <c r="T18" s="70">
        <v>214814.38314465299</v>
      </c>
      <c r="U18" s="70">
        <v>214814.38314465299</v>
      </c>
      <c r="V18" s="70">
        <v>214814.38314465299</v>
      </c>
      <c r="W18" s="70">
        <v>214814.38314465299</v>
      </c>
      <c r="X18" s="70">
        <v>214814.38314465299</v>
      </c>
      <c r="Y18" s="70">
        <v>214814.38314465299</v>
      </c>
      <c r="Z18" s="70">
        <v>214814.38314465299</v>
      </c>
      <c r="AA18" s="70">
        <f>'[1]EOR.1F, EOR.1'!$K$55+'[1]EOR.1F, EOR.1'!$K$74</f>
        <v>214814.38314465299</v>
      </c>
      <c r="AB18" s="70">
        <f>'[1]EOR.1F, EOR.1'!$K$55+'[1]EOR.1F, EOR.1'!$K$74</f>
        <v>214814.38314465299</v>
      </c>
      <c r="AC18" s="402">
        <f>'[1]EOR.1F, EOR.1'!$K$74</f>
        <v>-6772.5289689986212</v>
      </c>
    </row>
    <row r="19" spans="1:30" x14ac:dyDescent="0.3">
      <c r="A19" s="32" t="s">
        <v>7</v>
      </c>
      <c r="B19" s="256">
        <v>0</v>
      </c>
      <c r="C19" s="70">
        <v>28420.560668688908</v>
      </c>
      <c r="D19" s="70">
        <v>28420.560668688908</v>
      </c>
      <c r="E19" s="70">
        <v>28420.560668688908</v>
      </c>
      <c r="F19" s="70">
        <v>110599.49629153802</v>
      </c>
      <c r="G19" s="70">
        <v>110599.49629153802</v>
      </c>
      <c r="H19" s="70">
        <v>110599.49629153802</v>
      </c>
      <c r="I19" s="70">
        <v>110599.49629153802</v>
      </c>
      <c r="J19" s="70">
        <v>110599.49629153802</v>
      </c>
      <c r="K19" s="70">
        <v>110599.49629153802</v>
      </c>
      <c r="L19" s="70">
        <v>110599.49629153802</v>
      </c>
      <c r="M19" s="70">
        <v>110599.49629153802</v>
      </c>
      <c r="N19" s="70">
        <v>110599.49629153802</v>
      </c>
      <c r="O19" s="70">
        <v>110599.49629153802</v>
      </c>
      <c r="P19" s="70">
        <v>110599.49629153802</v>
      </c>
      <c r="Q19" s="70">
        <v>110599.49629153802</v>
      </c>
      <c r="R19" s="70">
        <v>107219.15994655156</v>
      </c>
      <c r="S19" s="70">
        <v>107219.15994655156</v>
      </c>
      <c r="T19" s="70">
        <v>107219.15994655156</v>
      </c>
      <c r="U19" s="70">
        <v>107219.15994655156</v>
      </c>
      <c r="V19" s="70">
        <v>107219.15994655156</v>
      </c>
      <c r="W19" s="70">
        <v>107219.15994655156</v>
      </c>
      <c r="X19" s="70">
        <v>107219.15994655156</v>
      </c>
      <c r="Y19" s="70">
        <v>107219.15994655156</v>
      </c>
      <c r="Z19" s="70">
        <v>107219.15994655156</v>
      </c>
      <c r="AA19" s="70">
        <f>'[1]EOR.1F, EOR.1'!$K$56+'[1]EOR.1F, EOR.1'!$K$75</f>
        <v>107219.15994655156</v>
      </c>
      <c r="AB19" s="70">
        <f>'[1]EOR.1F, EOR.1'!$K$56+'[1]EOR.1F, EOR.1'!$K$75</f>
        <v>107219.15994655156</v>
      </c>
      <c r="AC19" s="402">
        <f>'[1]EOR.1F, EOR.1'!$K$75</f>
        <v>-3380.3363449864592</v>
      </c>
    </row>
    <row r="20" spans="1:30" x14ac:dyDescent="0.3">
      <c r="B20" s="73"/>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7"/>
    </row>
    <row r="21" spans="1:30" x14ac:dyDescent="0.3">
      <c r="A21" s="139" t="s">
        <v>141</v>
      </c>
      <c r="B21" s="73"/>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7"/>
      <c r="AD21" s="32"/>
    </row>
    <row r="22" spans="1:30" x14ac:dyDescent="0.3">
      <c r="A22" s="32" t="s">
        <v>0</v>
      </c>
      <c r="B22" s="256">
        <v>0</v>
      </c>
      <c r="C22" s="70">
        <v>33714.800000000003</v>
      </c>
      <c r="D22" s="70">
        <v>45380.49</v>
      </c>
      <c r="E22" s="70">
        <v>50128.14</v>
      </c>
      <c r="F22" s="70">
        <v>482455.38</v>
      </c>
      <c r="G22" s="70">
        <v>884127.07999999984</v>
      </c>
      <c r="H22" s="70">
        <v>703811.8600000001</v>
      </c>
      <c r="I22" s="70">
        <v>628930.02</v>
      </c>
      <c r="J22" s="70">
        <v>832425.5199999999</v>
      </c>
      <c r="K22" s="70">
        <v>1118485.1099999999</v>
      </c>
      <c r="L22" s="70">
        <v>1049926.19</v>
      </c>
      <c r="M22" s="70">
        <v>946233.76</v>
      </c>
      <c r="N22" s="70">
        <v>639319.73999999987</v>
      </c>
      <c r="O22" s="70">
        <v>682004.01</v>
      </c>
      <c r="P22" s="70">
        <v>904361.95999999985</v>
      </c>
      <c r="Q22" s="70">
        <v>1176939.3</v>
      </c>
      <c r="R22" s="70">
        <v>1112235.0399999998</v>
      </c>
      <c r="S22" s="70">
        <v>808035.60999999987</v>
      </c>
      <c r="T22" s="70">
        <v>544762.52999999991</v>
      </c>
      <c r="U22" s="70">
        <v>511811.19</v>
      </c>
      <c r="V22" s="70">
        <v>671301.38999999978</v>
      </c>
      <c r="W22" s="70">
        <v>886731.1399999999</v>
      </c>
      <c r="X22" s="70">
        <v>904652.00999999989</v>
      </c>
      <c r="Y22" s="70">
        <v>888654.23999999987</v>
      </c>
      <c r="Z22" s="70">
        <v>615383.39999999991</v>
      </c>
      <c r="AA22" s="70">
        <f>-'[1]EOR.2 (M2)'!BH5</f>
        <v>576653</v>
      </c>
      <c r="AB22" s="70">
        <f>-'[1]EOR.2 (M2)'!BI5</f>
        <v>721531.84000000008</v>
      </c>
      <c r="AC22" s="402">
        <f>-'[1]EOR.2 (M2)'!BJ5</f>
        <v>932625.16000000015</v>
      </c>
      <c r="AD22" s="32"/>
    </row>
    <row r="23" spans="1:30" x14ac:dyDescent="0.3">
      <c r="A23" s="32" t="s">
        <v>4</v>
      </c>
      <c r="B23" s="256">
        <v>0</v>
      </c>
      <c r="C23" s="70">
        <v>13013.760000000002</v>
      </c>
      <c r="D23" s="70">
        <v>15283.54</v>
      </c>
      <c r="E23" s="70">
        <v>16296.619999999997</v>
      </c>
      <c r="F23" s="70">
        <v>110765.48</v>
      </c>
      <c r="G23" s="70">
        <v>212349.59</v>
      </c>
      <c r="H23" s="70">
        <v>163909.72</v>
      </c>
      <c r="I23" s="70">
        <v>148552.98000000001</v>
      </c>
      <c r="J23" s="70">
        <v>186584.49999999997</v>
      </c>
      <c r="K23" s="70">
        <v>232347.63</v>
      </c>
      <c r="L23" s="70">
        <v>226339.22</v>
      </c>
      <c r="M23" s="70">
        <v>216722.26000000007</v>
      </c>
      <c r="N23" s="70">
        <v>175659.7</v>
      </c>
      <c r="O23" s="70">
        <v>175568.87</v>
      </c>
      <c r="P23" s="70">
        <v>202853.58000000005</v>
      </c>
      <c r="Q23" s="70">
        <v>241987.81000000003</v>
      </c>
      <c r="R23" s="70">
        <v>257529.50000000003</v>
      </c>
      <c r="S23" s="70">
        <v>238359.56</v>
      </c>
      <c r="T23" s="70">
        <v>189608.11999999997</v>
      </c>
      <c r="U23" s="70">
        <v>185239.08999999994</v>
      </c>
      <c r="V23" s="70">
        <v>221003.24000000002</v>
      </c>
      <c r="W23" s="70">
        <v>261723.59</v>
      </c>
      <c r="X23" s="70">
        <v>261733.94999999992</v>
      </c>
      <c r="Y23" s="70">
        <v>264440.40000000008</v>
      </c>
      <c r="Z23" s="70">
        <v>220540.09000000005</v>
      </c>
      <c r="AA23" s="70">
        <f>-'[1]EOR.2 (M2)'!BH6</f>
        <v>197240.60000000003</v>
      </c>
      <c r="AB23" s="70">
        <f>-'[1]EOR.2 (M2)'!BI6</f>
        <v>224620.78999999998</v>
      </c>
      <c r="AC23" s="402">
        <f>-'[1]EOR.2 (M2)'!BJ6</f>
        <v>265354.46999999997</v>
      </c>
      <c r="AD23" s="32"/>
    </row>
    <row r="24" spans="1:30" x14ac:dyDescent="0.3">
      <c r="A24" s="32" t="s">
        <v>5</v>
      </c>
      <c r="B24" s="256">
        <v>0</v>
      </c>
      <c r="C24" s="70">
        <v>61482.37999999999</v>
      </c>
      <c r="D24" s="70">
        <v>66800.56</v>
      </c>
      <c r="E24" s="70">
        <v>69092.259999999995</v>
      </c>
      <c r="F24" s="70">
        <v>245551.36999999997</v>
      </c>
      <c r="G24" s="70">
        <v>469250.83000000007</v>
      </c>
      <c r="H24" s="70">
        <v>402985.79000000004</v>
      </c>
      <c r="I24" s="70">
        <v>376543.58999999997</v>
      </c>
      <c r="J24" s="70">
        <v>445439.24999999994</v>
      </c>
      <c r="K24" s="70">
        <v>520091.54999999993</v>
      </c>
      <c r="L24" s="70">
        <v>518246.07</v>
      </c>
      <c r="M24" s="70">
        <v>515760.15000000008</v>
      </c>
      <c r="N24" s="70">
        <v>440069.8499999998</v>
      </c>
      <c r="O24" s="70">
        <v>428730.73000000004</v>
      </c>
      <c r="P24" s="70">
        <v>460749.51000000007</v>
      </c>
      <c r="Q24" s="70">
        <v>493800.02</v>
      </c>
      <c r="R24" s="70">
        <v>510505.46000000008</v>
      </c>
      <c r="S24" s="70">
        <v>501120.29999999987</v>
      </c>
      <c r="T24" s="70">
        <v>445564.10000000009</v>
      </c>
      <c r="U24" s="70">
        <v>453852.69999999984</v>
      </c>
      <c r="V24" s="70">
        <v>503829.14999999997</v>
      </c>
      <c r="W24" s="70">
        <v>591104.72000000009</v>
      </c>
      <c r="X24" s="70">
        <v>585266.29999999993</v>
      </c>
      <c r="Y24" s="70">
        <v>596523.93999999994</v>
      </c>
      <c r="Z24" s="70">
        <v>524362.92000000004</v>
      </c>
      <c r="AA24" s="70">
        <f>-'[1]EOR.2 (M2)'!BH7</f>
        <v>465891.15</v>
      </c>
      <c r="AB24" s="70">
        <f>-'[1]EOR.2 (M2)'!BI7</f>
        <v>509206.41000000009</v>
      </c>
      <c r="AC24" s="402">
        <f>-'[1]EOR.2 (M2)'!BJ7</f>
        <v>544414.4</v>
      </c>
      <c r="AD24" s="32"/>
    </row>
    <row r="25" spans="1:30" x14ac:dyDescent="0.3">
      <c r="A25" s="32" t="s">
        <v>6</v>
      </c>
      <c r="B25" s="256">
        <v>0</v>
      </c>
      <c r="C25" s="70">
        <v>22497.26</v>
      </c>
      <c r="D25" s="70">
        <v>22651.670000000002</v>
      </c>
      <c r="E25" s="70">
        <v>23302.520000000004</v>
      </c>
      <c r="F25" s="70">
        <v>94504.6</v>
      </c>
      <c r="G25" s="70">
        <v>192705.58999999997</v>
      </c>
      <c r="H25" s="70">
        <v>189606.68999999997</v>
      </c>
      <c r="I25" s="70">
        <v>178498.29999999996</v>
      </c>
      <c r="J25" s="70">
        <v>207884.41</v>
      </c>
      <c r="K25" s="70">
        <v>218804.46999999994</v>
      </c>
      <c r="L25" s="70">
        <v>229342.58000000002</v>
      </c>
      <c r="M25" s="70">
        <v>229401.22</v>
      </c>
      <c r="N25" s="70">
        <v>203907.71999999994</v>
      </c>
      <c r="O25" s="70">
        <v>202463.37000000002</v>
      </c>
      <c r="P25" s="70">
        <v>211844.66999999998</v>
      </c>
      <c r="Q25" s="70">
        <v>208002.8</v>
      </c>
      <c r="R25" s="70">
        <v>226458.45000000004</v>
      </c>
      <c r="S25" s="70">
        <v>202385.89</v>
      </c>
      <c r="T25" s="70">
        <v>201276.12000000008</v>
      </c>
      <c r="U25" s="70">
        <v>207508.46000000008</v>
      </c>
      <c r="V25" s="70">
        <v>201881.28999999995</v>
      </c>
      <c r="W25" s="70">
        <v>268523.23</v>
      </c>
      <c r="X25" s="70">
        <v>246539.12</v>
      </c>
      <c r="Y25" s="70">
        <v>249668.40000000002</v>
      </c>
      <c r="Z25" s="70">
        <v>215584.98000000007</v>
      </c>
      <c r="AA25" s="70">
        <f>-'[1]EOR.2 (M2)'!BH8</f>
        <v>188053.52</v>
      </c>
      <c r="AB25" s="70">
        <f>-'[1]EOR.2 (M2)'!BI8</f>
        <v>247183.49999999997</v>
      </c>
      <c r="AC25" s="402">
        <f>-'[1]EOR.2 (M2)'!BJ8</f>
        <v>238709.47999999998</v>
      </c>
      <c r="AD25" s="32"/>
    </row>
    <row r="26" spans="1:30" x14ac:dyDescent="0.3">
      <c r="A26" s="32" t="s">
        <v>7</v>
      </c>
      <c r="B26" s="256">
        <v>0</v>
      </c>
      <c r="C26" s="70">
        <v>19674.5</v>
      </c>
      <c r="D26" s="70">
        <v>18512.41</v>
      </c>
      <c r="E26" s="70">
        <v>19591.43</v>
      </c>
      <c r="F26" s="70">
        <v>41025.460000000006</v>
      </c>
      <c r="G26" s="70">
        <v>83980.36</v>
      </c>
      <c r="H26" s="70">
        <v>91636.939999999988</v>
      </c>
      <c r="I26" s="70">
        <v>93038.790000000008</v>
      </c>
      <c r="J26" s="70">
        <v>73551.31</v>
      </c>
      <c r="K26" s="70">
        <v>104585.12999999999</v>
      </c>
      <c r="L26" s="70">
        <v>107724.62000000002</v>
      </c>
      <c r="M26" s="70">
        <v>109257.54000000001</v>
      </c>
      <c r="N26" s="70">
        <v>96238.28</v>
      </c>
      <c r="O26" s="70">
        <v>94391.979999999981</v>
      </c>
      <c r="P26" s="70">
        <v>96390.04</v>
      </c>
      <c r="Q26" s="70">
        <v>88153.260000000009</v>
      </c>
      <c r="R26" s="70">
        <v>118651.00999999998</v>
      </c>
      <c r="S26" s="70">
        <v>61230.89</v>
      </c>
      <c r="T26" s="70">
        <v>106121.76</v>
      </c>
      <c r="U26" s="70">
        <v>107814.95999999999</v>
      </c>
      <c r="V26" s="70">
        <v>104053.92000000001</v>
      </c>
      <c r="W26" s="70">
        <v>132792.52000000002</v>
      </c>
      <c r="X26" s="70">
        <v>126413.05</v>
      </c>
      <c r="Y26" s="70">
        <v>136690.82999999999</v>
      </c>
      <c r="Z26" s="70">
        <v>125286.9</v>
      </c>
      <c r="AA26" s="70">
        <f>-'[1]EOR.2 (M2)'!BH9</f>
        <v>83175.950000000012</v>
      </c>
      <c r="AB26" s="70">
        <f>-'[1]EOR.2 (M2)'!BI9</f>
        <v>116619.44000000002</v>
      </c>
      <c r="AC26" s="402">
        <f>-'[1]EOR.2 (M2)'!BJ9</f>
        <v>108662.95999999999</v>
      </c>
      <c r="AD26" s="32"/>
    </row>
    <row r="27" spans="1:30" x14ac:dyDescent="0.3">
      <c r="A27" s="32"/>
      <c r="B27" s="82"/>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358"/>
    </row>
    <row r="28" spans="1:30" x14ac:dyDescent="0.3">
      <c r="A28" s="32" t="s">
        <v>101</v>
      </c>
      <c r="B28" s="73"/>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7"/>
    </row>
    <row r="29" spans="1:30" x14ac:dyDescent="0.3">
      <c r="A29" s="139" t="s">
        <v>0</v>
      </c>
      <c r="B29" s="306">
        <v>0</v>
      </c>
      <c r="C29" s="332">
        <f>+(C22-C36)+((C36*'PCR (M2) Final'!AV28)/SUM('PCR (M2) Final'!AV28:AV32))</f>
        <v>34398.050690652643</v>
      </c>
      <c r="D29" s="332">
        <f>+(D22-D36)+((D36*'PCR (M2) Final'!AW28)/SUM('PCR (M2) Final'!AW28:AW32))</f>
        <v>46229.123934416857</v>
      </c>
      <c r="E29" s="332">
        <f>+(E22-E36)+((E36*'PCR (M2) Final'!AX28)/SUM('PCR (M2) Final'!AX28:AX32))</f>
        <v>51038.73401062531</v>
      </c>
      <c r="F29" s="332">
        <f>+(F22-F36)+((F36*'PCR (M2) Final'!AY28)/SUM('PCR (M2) Final'!AY28:AY32))</f>
        <v>491471.1067844939</v>
      </c>
      <c r="G29" s="332">
        <f>+(G22-G36)+((G36*'PCR (M2) Final'!AZ28)/SUM('PCR (M2) Final'!AZ28:AZ32))</f>
        <v>901317.60984854237</v>
      </c>
      <c r="H29" s="332">
        <f>+(H22-H36)+((H36*'PCR (M2) Final'!BA28)/SUM('PCR (M2) Final'!BA28:BA32))</f>
        <v>716944.02757345641</v>
      </c>
      <c r="I29" s="332">
        <f>+(I22-I36)+((I36*'PCR (M2) Final'!BB28)/SUM('PCR (M2) Final'!BB28:BB32))</f>
        <v>640013.90031156328</v>
      </c>
      <c r="J29" s="332">
        <f>+(J22-J36)+((J36*'PCR (M2) Final'!BC28)/SUM('PCR (M2) Final'!BC28:BC32))</f>
        <v>844319.20235286793</v>
      </c>
      <c r="K29" s="332">
        <f>+(K22-K36)+((K36*'PCR (M2) Final'!BD28)/SUM('PCR (M2) Final'!BD28:BD32))</f>
        <v>1132691.8803259342</v>
      </c>
      <c r="L29" s="332">
        <f>+(L22-L36)+((L36*'PCR (M2) Final'!BE28)/SUM('PCR (M2) Final'!BE28:BE32))</f>
        <v>1063527.1039573313</v>
      </c>
      <c r="M29" s="332">
        <f>+(M22-M36)+((M36*'PCR (M2) Final'!BF28)/SUM('PCR (M2) Final'!BF28:BF32))</f>
        <v>958791.97926856799</v>
      </c>
      <c r="N29" s="332">
        <f>+(N22-N36)+((N36*'PCR (M2) Final'!BG28)/SUM('PCR (M2) Final'!BG28:BG32))</f>
        <v>650162.75820908684</v>
      </c>
      <c r="O29" s="332">
        <f>+(O22-O36)+((O36*'PCR (M2) Final'!BH28)/SUM('PCR (M2) Final'!BH28:BH32))</f>
        <v>694378.92962999735</v>
      </c>
      <c r="P29" s="332">
        <f>+(P22-P36)+((P36*'PCR (M2) Final'!BI28)/SUM('PCR (M2) Final'!BI28:BI32))</f>
        <v>919893.17649550829</v>
      </c>
      <c r="Q29" s="332">
        <f>+(Q22-Q36)+((Q36*'PCR (M2) Final'!BJ28)/SUM('PCR (M2) Final'!BJ28:BJ32))</f>
        <v>1195719.438626095</v>
      </c>
      <c r="R29" s="332">
        <f>+(R22-R36)+((R36*'PCR (M2) Final'!BK28)/SUM('PCR (M2) Final'!BK28:BK32))</f>
        <v>1130672.8687991826</v>
      </c>
      <c r="S29" s="332">
        <f>+(S22-S36)+((S36*'PCR (M2) Final'!BL28)/SUM('PCR (M2) Final'!BL28:BL32))</f>
        <v>822126.29932729935</v>
      </c>
      <c r="T29" s="332">
        <f>+(T22-T36)+((T36*'PCR (M2) Final'!BM28)/SUM('PCR (M2) Final'!BM28:BM32))</f>
        <v>555461.14244129765</v>
      </c>
      <c r="U29" s="332">
        <f>+(U22-U36)+((U36*'PCR (M2) Final'!BN28)/SUM('PCR (M2) Final'!BN28:BN32))</f>
        <v>521508.63647688209</v>
      </c>
      <c r="V29" s="332">
        <f>+(V22-V36)+((V36*'PCR (M2) Final'!BO28)/SUM('PCR (M2) Final'!BO28:BO32))</f>
        <v>681391.69489780581</v>
      </c>
      <c r="W29" s="332">
        <f>+(W22-W36)+((W36*'PCR (M2) Final'!BP28)/SUM('PCR (M2) Final'!BP28:BP32))</f>
        <v>899489.37880667788</v>
      </c>
      <c r="X29" s="332">
        <f>+(X22-X36)+((X36*'PCR (M2) Final'!BQ28)/SUM('PCR (M2) Final'!BQ28:BQ32))</f>
        <v>917348.69226053567</v>
      </c>
      <c r="Y29" s="332">
        <f>+(Y22-Y36)+((Y36*'PCR (M2) Final'!BR28)/SUM('PCR (M2) Final'!BR28:BR32))</f>
        <v>901496.82793363254</v>
      </c>
      <c r="Z29" s="332">
        <f>+(Z22-Z36)+((Z36*'PCR (M2) Final'!BS28)/SUM('PCR (M2) Final'!BS28:BS32))</f>
        <v>625470.45047196827</v>
      </c>
      <c r="AA29" s="332">
        <f>+(AA22-AA36)+((AA36*'PCR (M2) Final'!BT28)/SUM('PCR (M2) Final'!BT28:BT32))</f>
        <v>588670.29226964747</v>
      </c>
      <c r="AB29" s="332">
        <f>+(AB22-AB36)+((AB36*'PCR (M2) Final'!BU28)/SUM('PCR (M2) Final'!BU28:BU32))</f>
        <v>737912.56134723942</v>
      </c>
      <c r="AC29" s="403">
        <f>+(AC22-AC36)+((AC36*'PCR (M2) Final'!BV28)/SUM('PCR (M2) Final'!BV28:BV32))</f>
        <v>952700.63837675296</v>
      </c>
    </row>
    <row r="30" spans="1:30" x14ac:dyDescent="0.3">
      <c r="A30" s="139" t="s">
        <v>4</v>
      </c>
      <c r="B30" s="306">
        <v>0</v>
      </c>
      <c r="C30" s="332">
        <f>+C23+((C36*'PCR (M2) Final'!AV29)/SUM('PCR (M2) Final'!AV28:AV32))</f>
        <v>12870.67851256724</v>
      </c>
      <c r="D30" s="332">
        <f>+D23+((D36*'PCR (M2) Final'!AW29)/SUM('PCR (M2) Final'!AW28:AW32))</f>
        <v>15089.142630790906</v>
      </c>
      <c r="E30" s="332">
        <f>+E23+((E36*'PCR (M2) Final'!AX29)/SUM('PCR (M2) Final'!AX28:AX32))</f>
        <v>16083.259219846572</v>
      </c>
      <c r="F30" s="332">
        <f>+F23+((F36*'PCR (M2) Final'!AY29)/SUM('PCR (M2) Final'!AY28:AY32))</f>
        <v>108678.91782909159</v>
      </c>
      <c r="G30" s="332">
        <f>+G23+((G36*'PCR (M2) Final'!AZ29)/SUM('PCR (M2) Final'!AZ28:AZ32))</f>
        <v>208364.98867386454</v>
      </c>
      <c r="H30" s="332">
        <f>+H23+((H36*'PCR (M2) Final'!BA29)/SUM('PCR (M2) Final'!BA28:BA32))</f>
        <v>161235.54529402038</v>
      </c>
      <c r="I30" s="332">
        <f>+I23+((I36*'PCR (M2) Final'!BB29)/SUM('PCR (M2) Final'!BB28:BB32))</f>
        <v>146369.95439842594</v>
      </c>
      <c r="J30" s="332">
        <f>+J23+((J36*'PCR (M2) Final'!BC29)/SUM('PCR (M2) Final'!BC28:BC32))</f>
        <v>184082.32851364437</v>
      </c>
      <c r="K30" s="332">
        <f>+K23+((K36*'PCR (M2) Final'!BD29)/SUM('PCR (M2) Final'!BD28:BD32))</f>
        <v>229125.55777620274</v>
      </c>
      <c r="L30" s="332">
        <f>+L23+((L36*'PCR (M2) Final'!BE29)/SUM('PCR (M2) Final'!BE28:BE32))</f>
        <v>223343.63738674179</v>
      </c>
      <c r="M30" s="332">
        <f>+M23+((M36*'PCR (M2) Final'!BF29)/SUM('PCR (M2) Final'!BF28:BF32))</f>
        <v>214048.96852043885</v>
      </c>
      <c r="N30" s="332">
        <f>+N23+((N36*'PCR (M2) Final'!BG29)/SUM('PCR (M2) Final'!BG28:BG32))</f>
        <v>173469.00284896826</v>
      </c>
      <c r="O30" s="332">
        <f>+O23+((O36*'PCR (M2) Final'!BH29)/SUM('PCR (M2) Final'!BH28:BH32))</f>
        <v>173028.92860090063</v>
      </c>
      <c r="P30" s="332">
        <f>+P23+((P36*'PCR (M2) Final'!BI29)/SUM('PCR (M2) Final'!BI28:BI32))</f>
        <v>199444.79422945739</v>
      </c>
      <c r="Q30" s="332">
        <f>+Q23+((Q36*'PCR (M2) Final'!BJ29)/SUM('PCR (M2) Final'!BJ28:BJ32))</f>
        <v>237358.61997323434</v>
      </c>
      <c r="R30" s="332">
        <f>+R23+((R36*'PCR (M2) Final'!BK29)/SUM('PCR (M2) Final'!BK28:BK32))</f>
        <v>253072.49830515892</v>
      </c>
      <c r="S30" s="332">
        <f>+S23+((S36*'PCR (M2) Final'!BL29)/SUM('PCR (M2) Final'!BL28:BL32))</f>
        <v>234884.59715469083</v>
      </c>
      <c r="T30" s="332">
        <f>+T23+((T36*'PCR (M2) Final'!BM29)/SUM('PCR (M2) Final'!BM28:BM32))</f>
        <v>187336.8246578972</v>
      </c>
      <c r="U30" s="332">
        <f>+U23+((U36*'PCR (M2) Final'!BN29)/SUM('PCR (M2) Final'!BN28:BN32))</f>
        <v>183269.56688189742</v>
      </c>
      <c r="V30" s="332">
        <f>+V23+((V36*'PCR (M2) Final'!BO29)/SUM('PCR (M2) Final'!BO28:BO32))</f>
        <v>218741.81178064027</v>
      </c>
      <c r="W30" s="332">
        <f>+W23+((W36*'PCR (M2) Final'!BP29)/SUM('PCR (M2) Final'!BP28:BP32))</f>
        <v>258926.47078937833</v>
      </c>
      <c r="X30" s="332">
        <f>+X23+((X36*'PCR (M2) Final'!BQ29)/SUM('PCR (M2) Final'!BQ28:BQ32))</f>
        <v>258877.60505053835</v>
      </c>
      <c r="Y30" s="332">
        <f>+Y23+((Y36*'PCR (M2) Final'!BR29)/SUM('PCR (M2) Final'!BR28:BR32))</f>
        <v>261581.82101469504</v>
      </c>
      <c r="Z30" s="332">
        <f>+Z23+((Z36*'PCR (M2) Final'!BS29)/SUM('PCR (M2) Final'!BS28:BS32))</f>
        <v>218385.45405672689</v>
      </c>
      <c r="AA30" s="332">
        <f>+AA23+((AA36*'PCR (M2) Final'!BT29)/SUM('PCR (M2) Final'!BT28:BT32))</f>
        <v>194589.28778468329</v>
      </c>
      <c r="AB30" s="332">
        <f>+AB23+((AB36*'PCR (M2) Final'!BU29)/SUM('PCR (M2) Final'!BU28:BU32))</f>
        <v>221133.88341454515</v>
      </c>
      <c r="AC30" s="403">
        <f>+AC23+((AC36*'PCR (M2) Final'!BV29)/SUM('PCR (M2) Final'!BV28:BV32))</f>
        <v>260541.45330840946</v>
      </c>
    </row>
    <row r="31" spans="1:30" x14ac:dyDescent="0.3">
      <c r="A31" s="139" t="s">
        <v>5</v>
      </c>
      <c r="B31" s="306">
        <v>0</v>
      </c>
      <c r="C31" s="332">
        <f>+C24+((C36*'PCR (M2) Final'!AV30)/SUM('PCR (M2) Final'!AV28:AV32))</f>
        <v>61150.778519098152</v>
      </c>
      <c r="D31" s="332">
        <f>+D24+((D36*'PCR (M2) Final'!AW30)/SUM('PCR (M2) Final'!AW28:AW32))</f>
        <v>66384.34937389371</v>
      </c>
      <c r="E31" s="332">
        <f>+E24+((E36*'PCR (M2) Final'!AX30)/SUM('PCR (M2) Final'!AX28:AX32))</f>
        <v>68649.146745818973</v>
      </c>
      <c r="F31" s="332">
        <f>+F24+((F36*'PCR (M2) Final'!AY30)/SUM('PCR (M2) Final'!AY28:AY32))</f>
        <v>241251.60161796273</v>
      </c>
      <c r="G31" s="332">
        <f>+G24+((G36*'PCR (M2) Final'!AZ30)/SUM('PCR (M2) Final'!AZ28:AZ32))</f>
        <v>460732.41515768034</v>
      </c>
      <c r="H31" s="332">
        <f>+H24+((H36*'PCR (M2) Final'!BA30)/SUM('PCR (M2) Final'!BA28:BA32))</f>
        <v>396628.3998778165</v>
      </c>
      <c r="I31" s="332">
        <f>+I24+((I36*'PCR (M2) Final'!BB30)/SUM('PCR (M2) Final'!BB28:BB32))</f>
        <v>371198.02007643908</v>
      </c>
      <c r="J31" s="332">
        <f>+J24+((J36*'PCR (M2) Final'!BC30)/SUM('PCR (M2) Final'!BC28:BC32))</f>
        <v>439654.46412294614</v>
      </c>
      <c r="K31" s="332">
        <f>+K24+((K36*'PCR (M2) Final'!BD30)/SUM('PCR (M2) Final'!BD28:BD32))</f>
        <v>513116.70588151854</v>
      </c>
      <c r="L31" s="332">
        <f>+L24+((L36*'PCR (M2) Final'!BE30)/SUM('PCR (M2) Final'!BE28:BE32))</f>
        <v>511625.67781876255</v>
      </c>
      <c r="M31" s="332">
        <f>+M24+((M36*'PCR (M2) Final'!BF30)/SUM('PCR (M2) Final'!BF28:BF32))</f>
        <v>509609.66412548878</v>
      </c>
      <c r="N31" s="332">
        <f>+N24+((N36*'PCR (M2) Final'!BG30)/SUM('PCR (M2) Final'!BG28:BG32))</f>
        <v>434764.60717552347</v>
      </c>
      <c r="O31" s="332">
        <f>+O24+((O36*'PCR (M2) Final'!BH30)/SUM('PCR (M2) Final'!BH28:BH32))</f>
        <v>422736.40499250655</v>
      </c>
      <c r="P31" s="332">
        <f>+P24+((P36*'PCR (M2) Final'!BI30)/SUM('PCR (M2) Final'!BI28:BI32))</f>
        <v>453264.01346016058</v>
      </c>
      <c r="Q31" s="332">
        <f>+Q24+((Q36*'PCR (M2) Final'!BJ30)/SUM('PCR (M2) Final'!BJ28:BJ32))</f>
        <v>484665.34602696402</v>
      </c>
      <c r="R31" s="332">
        <f>+R24+((R36*'PCR (M2) Final'!BK30)/SUM('PCR (M2) Final'!BK28:BK32))</f>
        <v>501906.27935731801</v>
      </c>
      <c r="S31" s="332">
        <f>+S24+((S36*'PCR (M2) Final'!BL30)/SUM('PCR (M2) Final'!BL28:BL32))</f>
        <v>494001.14052765229</v>
      </c>
      <c r="T31" s="332">
        <f>+T24+((T36*'PCR (M2) Final'!BM30)/SUM('PCR (M2) Final'!BM28:BM32))</f>
        <v>440364.53128028387</v>
      </c>
      <c r="U31" s="332">
        <f>+U24+((U36*'PCR (M2) Final'!BN30)/SUM('PCR (M2) Final'!BN28:BN32))</f>
        <v>449144.90607505688</v>
      </c>
      <c r="V31" s="332">
        <f>+V24+((V36*'PCR (M2) Final'!BO30)/SUM('PCR (M2) Final'!BO28:BO32))</f>
        <v>498813.63119672</v>
      </c>
      <c r="W31" s="332">
        <f>+W24+((W36*'PCR (M2) Final'!BP30)/SUM('PCR (M2) Final'!BP28:BP32))</f>
        <v>584958.33430967608</v>
      </c>
      <c r="X31" s="332">
        <f>+X24+((X36*'PCR (M2) Final'!BQ30)/SUM('PCR (M2) Final'!BQ28:BQ32))</f>
        <v>579044.41428618541</v>
      </c>
      <c r="Y31" s="332">
        <f>+Y24+((Y36*'PCR (M2) Final'!BR30)/SUM('PCR (M2) Final'!BR28:BR32))</f>
        <v>590240.95291178324</v>
      </c>
      <c r="Z31" s="332">
        <f>+Z24+((Z36*'PCR (M2) Final'!BS30)/SUM('PCR (M2) Final'!BS28:BS32))</f>
        <v>519371.98811006884</v>
      </c>
      <c r="AA31" s="332">
        <f>+AA24+((AA36*'PCR (M2) Final'!BT30)/SUM('PCR (M2) Final'!BT28:BT32))</f>
        <v>459790.62085470255</v>
      </c>
      <c r="AB31" s="332">
        <f>+AB24+((AB36*'PCR (M2) Final'!BU30)/SUM('PCR (M2) Final'!BU28:BU32))</f>
        <v>501519.60199521872</v>
      </c>
      <c r="AC31" s="403">
        <f>+AC24+((AC36*'PCR (M2) Final'!BV30)/SUM('PCR (M2) Final'!BV28:BV32))</f>
        <v>534787.83465005411</v>
      </c>
    </row>
    <row r="32" spans="1:30" x14ac:dyDescent="0.3">
      <c r="A32" s="139" t="s">
        <v>6</v>
      </c>
      <c r="B32" s="306">
        <v>0</v>
      </c>
      <c r="C32" s="332">
        <f>+C25+((C36*'PCR (M2) Final'!AV31)/SUM('PCR (M2) Final'!AV28:AV32))</f>
        <v>22352.857676006781</v>
      </c>
      <c r="D32" s="332">
        <f>+D25+((D36*'PCR (M2) Final'!AW31)/SUM('PCR (M2) Final'!AW28:AW32))</f>
        <v>22483.474258880513</v>
      </c>
      <c r="E32" s="332">
        <f>+E25+((E36*'PCR (M2) Final'!AX31)/SUM('PCR (M2) Final'!AX28:AX32))</f>
        <v>23124.463799664689</v>
      </c>
      <c r="F32" s="332">
        <f>+F25+((F36*'PCR (M2) Final'!AY31)/SUM('PCR (M2) Final'!AY28:AY32))</f>
        <v>92672.744839448511</v>
      </c>
      <c r="G32" s="332">
        <f>+G25+((G36*'PCR (M2) Final'!AZ31)/SUM('PCR (M2) Final'!AZ28:AZ32))</f>
        <v>189321.40329143935</v>
      </c>
      <c r="H32" s="332">
        <f>+H25+((H36*'PCR (M2) Final'!BA31)/SUM('PCR (M2) Final'!BA28:BA32))</f>
        <v>186716.2920340788</v>
      </c>
      <c r="I32" s="332">
        <f>+I25+((I36*'PCR (M2) Final'!BB31)/SUM('PCR (M2) Final'!BB28:BB32))</f>
        <v>176049.01397256256</v>
      </c>
      <c r="J32" s="332">
        <f>+J25+((J36*'PCR (M2) Final'!BC31)/SUM('PCR (M2) Final'!BC28:BC32))</f>
        <v>205274.73812152725</v>
      </c>
      <c r="K32" s="332">
        <f>+K25+((K36*'PCR (M2) Final'!BD31)/SUM('PCR (M2) Final'!BD28:BD32))</f>
        <v>215968.83331081923</v>
      </c>
      <c r="L32" s="332">
        <f>+L25+((L36*'PCR (M2) Final'!BE31)/SUM('PCR (M2) Final'!BE28:BE32))</f>
        <v>226510.20470787387</v>
      </c>
      <c r="M32" s="332">
        <f>+M25+((M36*'PCR (M2) Final'!BF31)/SUM('PCR (M2) Final'!BF28:BF32))</f>
        <v>226757.5731754757</v>
      </c>
      <c r="N32" s="332">
        <f>+N25+((N36*'PCR (M2) Final'!BG31)/SUM('PCR (M2) Final'!BG28:BG32))</f>
        <v>201531.68510690486</v>
      </c>
      <c r="O32" s="332">
        <f>+O25+((O36*'PCR (M2) Final'!BH31)/SUM('PCR (M2) Final'!BH28:BH32))</f>
        <v>199727.66498119946</v>
      </c>
      <c r="P32" s="332">
        <f>+P25+((P36*'PCR (M2) Final'!BI31)/SUM('PCR (M2) Final'!BI28:BI32))</f>
        <v>208518.75676749251</v>
      </c>
      <c r="Q32" s="332">
        <f>+Q25+((Q36*'PCR (M2) Final'!BJ31)/SUM('PCR (M2) Final'!BJ28:BJ32))</f>
        <v>204284.62609087559</v>
      </c>
      <c r="R32" s="332">
        <f>+R25+((R36*'PCR (M2) Final'!BK31)/SUM('PCR (M2) Final'!BK28:BK32))</f>
        <v>222726.22891019541</v>
      </c>
      <c r="S32" s="332">
        <f>+S25+((S36*'PCR (M2) Final'!BL31)/SUM('PCR (M2) Final'!BL28:BL32))</f>
        <v>199554.58409725592</v>
      </c>
      <c r="T32" s="332">
        <f>+T25+((T36*'PCR (M2) Final'!BM31)/SUM('PCR (M2) Final'!BM28:BM32))</f>
        <v>198964.92255797717</v>
      </c>
      <c r="U32" s="332">
        <f>+U25+((U36*'PCR (M2) Final'!BN31)/SUM('PCR (M2) Final'!BN28:BN32))</f>
        <v>205389.8791477365</v>
      </c>
      <c r="V32" s="332">
        <f>+V25+((V36*'PCR (M2) Final'!BO31)/SUM('PCR (M2) Final'!BO28:BO32))</f>
        <v>199894.33145159311</v>
      </c>
      <c r="W32" s="332">
        <f>+W25+((W36*'PCR (M2) Final'!BP31)/SUM('PCR (M2) Final'!BP28:BP32))</f>
        <v>265776.3200336548</v>
      </c>
      <c r="X32" s="332">
        <f>+X25+((X36*'PCR (M2) Final'!BQ31)/SUM('PCR (M2) Final'!BQ28:BQ32))</f>
        <v>243960.14817511005</v>
      </c>
      <c r="Y32" s="332">
        <f>+Y25+((Y36*'PCR (M2) Final'!BR31)/SUM('PCR (M2) Final'!BR28:BR32))</f>
        <v>247080.93724840175</v>
      </c>
      <c r="Z32" s="332">
        <f>+Z25+((Z36*'PCR (M2) Final'!BS31)/SUM('PCR (M2) Final'!BS28:BS32))</f>
        <v>213565.87558045221</v>
      </c>
      <c r="AA32" s="332">
        <f>+AA25+((AA36*'PCR (M2) Final'!BT31)/SUM('PCR (M2) Final'!BT28:BT32))</f>
        <v>185630.50330375056</v>
      </c>
      <c r="AB32" s="332">
        <f>+AB25+((AB36*'PCR (M2) Final'!BU31)/SUM('PCR (M2) Final'!BU28:BU32))</f>
        <v>243511.83293383304</v>
      </c>
      <c r="AC32" s="403">
        <f>+AC25+((AC36*'PCR (M2) Final'!BV31)/SUM('PCR (M2) Final'!BV28:BV32))</f>
        <v>234558.81251887162</v>
      </c>
    </row>
    <row r="33" spans="1:30" x14ac:dyDescent="0.3">
      <c r="A33" s="139" t="s">
        <v>7</v>
      </c>
      <c r="B33" s="306">
        <v>0</v>
      </c>
      <c r="C33" s="332">
        <f>+C26+((C36*'PCR (M2) Final'!AV32)/SUM('PCR (M2) Final'!AV28:AV32))</f>
        <v>19610.334601675182</v>
      </c>
      <c r="D33" s="332">
        <f>+D26+((D36*'PCR (M2) Final'!AW32)/SUM('PCR (M2) Final'!AW28:AW32))</f>
        <v>18442.579802018015</v>
      </c>
      <c r="E33" s="332">
        <f>+E26+((E36*'PCR (M2) Final'!AX32)/SUM('PCR (M2) Final'!AX28:AX32))</f>
        <v>19515.366224044457</v>
      </c>
      <c r="F33" s="332">
        <f>+F26+((F36*'PCR (M2) Final'!AY32)/SUM('PCR (M2) Final'!AY28:AY32))</f>
        <v>40227.918929003274</v>
      </c>
      <c r="G33" s="332">
        <f>+G26+((G36*'PCR (M2) Final'!AZ32)/SUM('PCR (M2) Final'!AZ28:AZ32))</f>
        <v>82677.033028473379</v>
      </c>
      <c r="H33" s="332">
        <f>+H26+((H36*'PCR (M2) Final'!BA32)/SUM('PCR (M2) Final'!BA28:BA32))</f>
        <v>90426.735220627961</v>
      </c>
      <c r="I33" s="332">
        <f>+I26+((I36*'PCR (M2) Final'!BB32)/SUM('PCR (M2) Final'!BB28:BB32))</f>
        <v>91932.791241009094</v>
      </c>
      <c r="J33" s="332">
        <f>+J26+((J36*'PCR (M2) Final'!BC32)/SUM('PCR (M2) Final'!BC28:BC32))</f>
        <v>72554.256889014185</v>
      </c>
      <c r="K33" s="332">
        <f>+K26+((K36*'PCR (M2) Final'!BD32)/SUM('PCR (M2) Final'!BD28:BD32))</f>
        <v>103410.91270552529</v>
      </c>
      <c r="L33" s="332">
        <f>+L26+((L36*'PCR (M2) Final'!BE32)/SUM('PCR (M2) Final'!BE28:BE32))</f>
        <v>106572.05612929049</v>
      </c>
      <c r="M33" s="332">
        <f>+M26+((M36*'PCR (M2) Final'!BF32)/SUM('PCR (M2) Final'!BF28:BF32))</f>
        <v>108166.74491002895</v>
      </c>
      <c r="N33" s="332">
        <f>+N26+((N36*'PCR (M2) Final'!BG32)/SUM('PCR (M2) Final'!BG28:BG32))</f>
        <v>95267.236659516173</v>
      </c>
      <c r="O33" s="332">
        <f>+O26+((O36*'PCR (M2) Final'!BH32)/SUM('PCR (M2) Final'!BH28:BH32))</f>
        <v>93287.031795396048</v>
      </c>
      <c r="P33" s="332">
        <f>+P26+((P36*'PCR (M2) Final'!BI32)/SUM('PCR (M2) Final'!BI28:BI32))</f>
        <v>95079.019047381109</v>
      </c>
      <c r="Q33" s="332">
        <f>+Q26+((Q36*'PCR (M2) Final'!BJ32)/SUM('PCR (M2) Final'!BJ28:BJ32))</f>
        <v>86855.159282831373</v>
      </c>
      <c r="R33" s="332">
        <f>+R26+((R36*'PCR (M2) Final'!BK32)/SUM('PCR (M2) Final'!BK28:BK32))</f>
        <v>117001.58462814485</v>
      </c>
      <c r="S33" s="332">
        <f>+S26+((S36*'PCR (M2) Final'!BL32)/SUM('PCR (M2) Final'!BL28:BL32))</f>
        <v>60565.628893101464</v>
      </c>
      <c r="T33" s="332">
        <f>+T26+((T36*'PCR (M2) Final'!BM32)/SUM('PCR (M2) Final'!BM28:BM32))</f>
        <v>105205.20906254415</v>
      </c>
      <c r="U33" s="332">
        <f>+U26+((U36*'PCR (M2) Final'!BN32)/SUM('PCR (M2) Final'!BN28:BN32))</f>
        <v>106913.411418427</v>
      </c>
      <c r="V33" s="332">
        <f>+V26+((V36*'PCR (M2) Final'!BO32)/SUM('PCR (M2) Final'!BO28:BO32))</f>
        <v>103227.52067324065</v>
      </c>
      <c r="W33" s="332">
        <f>+W26+((W36*'PCR (M2) Final'!BP32)/SUM('PCR (M2) Final'!BP28:BP32))</f>
        <v>131724.69606061291</v>
      </c>
      <c r="X33" s="332">
        <f>+X26+((X36*'PCR (M2) Final'!BQ32)/SUM('PCR (M2) Final'!BQ28:BQ32))</f>
        <v>125373.57022763028</v>
      </c>
      <c r="Y33" s="332">
        <f>+Y26+((Y36*'PCR (M2) Final'!BR32)/SUM('PCR (M2) Final'!BR28:BR32))</f>
        <v>135577.27089148748</v>
      </c>
      <c r="Z33" s="332">
        <f>+Z26+((Z36*'PCR (M2) Final'!BS32)/SUM('PCR (M2) Final'!BS28:BS32))</f>
        <v>124364.52178078394</v>
      </c>
      <c r="AA33" s="332">
        <f>+AA26+((AA36*'PCR (M2) Final'!BT32)/SUM('PCR (M2) Final'!BT28:BT32))</f>
        <v>82333.515787216194</v>
      </c>
      <c r="AB33" s="332">
        <f>+AB26+((AB36*'PCR (M2) Final'!BU32)/SUM('PCR (M2) Final'!BU28:BU32))</f>
        <v>115084.10030916387</v>
      </c>
      <c r="AC33" s="403">
        <f>+AC26+((AC36*'PCR (M2) Final'!BV32)/SUM('PCR (M2) Final'!BV28:BV32))</f>
        <v>107177.73114591185</v>
      </c>
    </row>
    <row r="34" spans="1:30" s="32" customFormat="1" x14ac:dyDescent="0.3">
      <c r="B34" s="180"/>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359"/>
    </row>
    <row r="35" spans="1:30" x14ac:dyDescent="0.3">
      <c r="A35" s="32" t="s">
        <v>105</v>
      </c>
      <c r="B35" s="73"/>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7"/>
      <c r="AD35" s="32"/>
    </row>
    <row r="36" spans="1:30" x14ac:dyDescent="0.3">
      <c r="A36" s="32" t="str">
        <f>A22</f>
        <v>RES</v>
      </c>
      <c r="B36" s="256">
        <v>0</v>
      </c>
      <c r="C36" s="70">
        <v>-1224.55</v>
      </c>
      <c r="D36" s="70">
        <v>-1691.72</v>
      </c>
      <c r="E36" s="70">
        <v>-1868.8899999999999</v>
      </c>
      <c r="F36" s="70">
        <v>-18358.559999999998</v>
      </c>
      <c r="G36" s="70">
        <v>-34080.03</v>
      </c>
      <c r="H36" s="70">
        <v>-24782.240000000002</v>
      </c>
      <c r="I36" s="70">
        <v>-20429.210000000003</v>
      </c>
      <c r="J36" s="70">
        <v>-23158.6</v>
      </c>
      <c r="K36" s="70">
        <v>-29813.57</v>
      </c>
      <c r="L36" s="70">
        <v>-27554.450000000004</v>
      </c>
      <c r="M36" s="70">
        <v>-25225.43</v>
      </c>
      <c r="N36" s="70">
        <v>-18882.45</v>
      </c>
      <c r="O36" s="70">
        <v>-22356.239999999998</v>
      </c>
      <c r="P36" s="70">
        <v>-30930.21</v>
      </c>
      <c r="Q36" s="70">
        <v>-41623.58</v>
      </c>
      <c r="R36" s="70">
        <v>-40563.659999999996</v>
      </c>
      <c r="S36" s="70">
        <v>-29716.030000000002</v>
      </c>
      <c r="T36" s="70">
        <v>-19344.450000000004</v>
      </c>
      <c r="U36" s="70">
        <v>-16898.72</v>
      </c>
      <c r="V36" s="70">
        <v>-19165.049999999996</v>
      </c>
      <c r="W36" s="70">
        <v>-25213.13</v>
      </c>
      <c r="X36" s="70">
        <v>-25690.130000000005</v>
      </c>
      <c r="Y36" s="70">
        <v>-25489.039999999997</v>
      </c>
      <c r="Z36" s="70">
        <v>-18005.919999999998</v>
      </c>
      <c r="AA36" s="70">
        <f>'[1]EOR.3 (M2)'!BE5</f>
        <v>-19460.699999999997</v>
      </c>
      <c r="AB36" s="70">
        <f>'[1]EOR.3 (M2)'!BF5</f>
        <v>-25023.98</v>
      </c>
      <c r="AC36" s="402">
        <f>'[1]EOR.3 (M2)'!BG5</f>
        <v>-30779.19</v>
      </c>
      <c r="AD36" s="32"/>
    </row>
    <row r="37" spans="1:30" x14ac:dyDescent="0.3">
      <c r="A37" s="32"/>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358"/>
    </row>
    <row r="38" spans="1:30" ht="15" thickBot="1" x14ac:dyDescent="0.35">
      <c r="A38" s="32" t="s">
        <v>88</v>
      </c>
      <c r="B38" s="406">
        <v>0</v>
      </c>
      <c r="C38" s="408">
        <v>-271.38</v>
      </c>
      <c r="D38" s="408">
        <v>78.56</v>
      </c>
      <c r="E38" s="408">
        <v>422.44</v>
      </c>
      <c r="F38" s="408">
        <v>1787.72</v>
      </c>
      <c r="G38" s="408">
        <v>1957.52</v>
      </c>
      <c r="H38" s="408">
        <v>1242.51</v>
      </c>
      <c r="I38" s="408">
        <v>221.5</v>
      </c>
      <c r="J38" s="408">
        <v>231.24</v>
      </c>
      <c r="K38" s="408">
        <v>308.19</v>
      </c>
      <c r="L38" s="408">
        <v>190.46</v>
      </c>
      <c r="M38" s="408">
        <v>160.18</v>
      </c>
      <c r="N38" s="408">
        <v>315.18</v>
      </c>
      <c r="O38" s="408">
        <v>463.49</v>
      </c>
      <c r="P38" s="408">
        <v>527.28</v>
      </c>
      <c r="Q38" s="408">
        <v>327.95</v>
      </c>
      <c r="R38" s="408">
        <v>294.36</v>
      </c>
      <c r="S38" s="408">
        <v>275.52</v>
      </c>
      <c r="T38" s="408">
        <v>355.94</v>
      </c>
      <c r="U38" s="408">
        <v>423.97</v>
      </c>
      <c r="V38" s="408">
        <v>403.98</v>
      </c>
      <c r="W38" s="408">
        <v>244.27</v>
      </c>
      <c r="X38" s="408">
        <v>309.91000000000003</v>
      </c>
      <c r="Y38" s="408">
        <v>243.9</v>
      </c>
      <c r="Z38" s="408">
        <v>206.35</v>
      </c>
      <c r="AA38" s="408">
        <f>-'[1]EOR.4 (M2)'!$W$63</f>
        <v>252.41</v>
      </c>
      <c r="AB38" s="408">
        <f>-'[1]EOR.4 (M2)'!$W$64</f>
        <v>433.06</v>
      </c>
      <c r="AC38" s="407">
        <f>-'[1]EOR.4 (M2)'!$W$65</f>
        <v>-29.71</v>
      </c>
    </row>
    <row r="39" spans="1:30" x14ac:dyDescent="0.3">
      <c r="B39" s="257"/>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404"/>
    </row>
    <row r="40" spans="1:30" x14ac:dyDescent="0.3">
      <c r="A40" s="32" t="s">
        <v>69</v>
      </c>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7"/>
    </row>
    <row r="41" spans="1:30" x14ac:dyDescent="0.3">
      <c r="A41" s="139" t="s">
        <v>0</v>
      </c>
      <c r="B41" s="306">
        <f t="shared" ref="B41:C45" si="3">B15-B29</f>
        <v>0</v>
      </c>
      <c r="C41" s="89">
        <f t="shared" si="3"/>
        <v>178506.54623203381</v>
      </c>
      <c r="D41" s="89">
        <f t="shared" ref="D41:M41" si="4">D15-D29</f>
        <v>166675.47298826961</v>
      </c>
      <c r="E41" s="89">
        <f t="shared" si="4"/>
        <v>161865.86291206116</v>
      </c>
      <c r="F41" s="89">
        <f t="shared" si="4"/>
        <v>353941.88785612001</v>
      </c>
      <c r="G41" s="89">
        <f t="shared" si="4"/>
        <v>-55904.615207928466</v>
      </c>
      <c r="H41" s="89">
        <f t="shared" si="4"/>
        <v>128468.9670671575</v>
      </c>
      <c r="I41" s="89">
        <f t="shared" si="4"/>
        <v>205399.09432905063</v>
      </c>
      <c r="J41" s="89">
        <f t="shared" si="4"/>
        <v>1093.7922877459787</v>
      </c>
      <c r="K41" s="89">
        <f t="shared" si="4"/>
        <v>-287278.88568532025</v>
      </c>
      <c r="L41" s="89">
        <f t="shared" si="4"/>
        <v>-218114.10931671737</v>
      </c>
      <c r="M41" s="89">
        <f t="shared" si="4"/>
        <v>-113378.98462795408</v>
      </c>
      <c r="N41" s="89">
        <f>N15-N29</f>
        <v>195250.23643152707</v>
      </c>
      <c r="O41" s="89">
        <f t="shared" ref="O41:Y41" si="5">O15-O29</f>
        <v>151034.06501061667</v>
      </c>
      <c r="P41" s="89">
        <f t="shared" si="5"/>
        <v>-74480.181854894268</v>
      </c>
      <c r="Q41" s="89">
        <f t="shared" si="5"/>
        <v>-350306.44398548093</v>
      </c>
      <c r="R41" s="89">
        <f t="shared" si="5"/>
        <v>-311098.87314256444</v>
      </c>
      <c r="S41" s="89">
        <f t="shared" si="5"/>
        <v>-2552.3036706811981</v>
      </c>
      <c r="T41" s="89">
        <f t="shared" si="5"/>
        <v>264112.8532153205</v>
      </c>
      <c r="U41" s="89">
        <f t="shared" si="5"/>
        <v>298065.35917973606</v>
      </c>
      <c r="V41" s="89">
        <f t="shared" si="5"/>
        <v>138182.30075881234</v>
      </c>
      <c r="W41" s="89">
        <f t="shared" si="5"/>
        <v>-79915.38315005973</v>
      </c>
      <c r="X41" s="89">
        <f t="shared" si="5"/>
        <v>-97774.696603917517</v>
      </c>
      <c r="Y41" s="89">
        <f t="shared" si="5"/>
        <v>-81922.832277014386</v>
      </c>
      <c r="Z41" s="89">
        <f t="shared" ref="Z41:AC41" si="6">Z15-Z29</f>
        <v>194103.54518464988</v>
      </c>
      <c r="AA41" s="89">
        <f t="shared" si="6"/>
        <v>230903.70338697068</v>
      </c>
      <c r="AB41" s="89">
        <f t="shared" si="6"/>
        <v>81661.434309378732</v>
      </c>
      <c r="AC41" s="371">
        <f t="shared" si="6"/>
        <v>-978539.63736074883</v>
      </c>
    </row>
    <row r="42" spans="1:30" x14ac:dyDescent="0.3">
      <c r="A42" s="139" t="s">
        <v>4</v>
      </c>
      <c r="B42" s="306">
        <f t="shared" si="3"/>
        <v>0</v>
      </c>
      <c r="C42" s="89">
        <f t="shared" si="3"/>
        <v>9090.6638223287337</v>
      </c>
      <c r="D42" s="89">
        <f t="shared" ref="D42:M42" si="7">D16-D30</f>
        <v>6872.1997041050672</v>
      </c>
      <c r="E42" s="89">
        <f t="shared" si="7"/>
        <v>5878.0831150494014</v>
      </c>
      <c r="F42" s="89">
        <f t="shared" si="7"/>
        <v>106904.08386675372</v>
      </c>
      <c r="G42" s="89">
        <f t="shared" si="7"/>
        <v>7218.0130219807616</v>
      </c>
      <c r="H42" s="89">
        <f t="shared" si="7"/>
        <v>54347.456401824922</v>
      </c>
      <c r="I42" s="89">
        <f t="shared" si="7"/>
        <v>69213.047297419369</v>
      </c>
      <c r="J42" s="89">
        <f t="shared" si="7"/>
        <v>31500.673182200931</v>
      </c>
      <c r="K42" s="89">
        <f t="shared" si="7"/>
        <v>-13542.556080357434</v>
      </c>
      <c r="L42" s="89">
        <f t="shared" si="7"/>
        <v>-7760.6356908964808</v>
      </c>
      <c r="M42" s="89">
        <f t="shared" si="7"/>
        <v>1534.0331754064537</v>
      </c>
      <c r="N42" s="89">
        <f t="shared" ref="N42:Y42" si="8">N16-N30</f>
        <v>42113.998846877046</v>
      </c>
      <c r="O42" s="89">
        <f t="shared" si="8"/>
        <v>42554.073094944673</v>
      </c>
      <c r="P42" s="89">
        <f t="shared" si="8"/>
        <v>16138.207466387918</v>
      </c>
      <c r="Q42" s="89">
        <f t="shared" si="8"/>
        <v>-21775.618277389032</v>
      </c>
      <c r="R42" s="89">
        <f t="shared" si="8"/>
        <v>-44078.523507526523</v>
      </c>
      <c r="S42" s="89">
        <f t="shared" si="8"/>
        <v>-25890.622357058426</v>
      </c>
      <c r="T42" s="89">
        <f t="shared" si="8"/>
        <v>21657.150139735197</v>
      </c>
      <c r="U42" s="89">
        <f t="shared" si="8"/>
        <v>25724.407915734977</v>
      </c>
      <c r="V42" s="89">
        <f t="shared" si="8"/>
        <v>-9747.8369830078736</v>
      </c>
      <c r="W42" s="89">
        <f t="shared" si="8"/>
        <v>-49932.495991745935</v>
      </c>
      <c r="X42" s="89">
        <f t="shared" si="8"/>
        <v>-49883.630252905947</v>
      </c>
      <c r="Y42" s="89">
        <f t="shared" si="8"/>
        <v>-52587.846217062644</v>
      </c>
      <c r="Z42" s="89">
        <f t="shared" ref="Z42:AC42" si="9">Z16-Z30</f>
        <v>-9391.4792590944853</v>
      </c>
      <c r="AA42" s="89">
        <f t="shared" si="9"/>
        <v>14404.687012949114</v>
      </c>
      <c r="AB42" s="89">
        <f t="shared" si="9"/>
        <v>-12139.908616912755</v>
      </c>
      <c r="AC42" s="371">
        <f t="shared" si="9"/>
        <v>-267130.48020662239</v>
      </c>
    </row>
    <row r="43" spans="1:30" x14ac:dyDescent="0.3">
      <c r="A43" s="139" t="s">
        <v>5</v>
      </c>
      <c r="B43" s="306">
        <f t="shared" si="3"/>
        <v>0</v>
      </c>
      <c r="C43" s="89">
        <f t="shared" si="3"/>
        <v>31677.41639226886</v>
      </c>
      <c r="D43" s="89">
        <f t="shared" ref="D43:M43" si="10">D17-D31</f>
        <v>26443.845537473302</v>
      </c>
      <c r="E43" s="89">
        <f t="shared" si="10"/>
        <v>24179.04816554804</v>
      </c>
      <c r="F43" s="89">
        <f t="shared" si="10"/>
        <v>260544.52033225974</v>
      </c>
      <c r="G43" s="89">
        <f t="shared" si="10"/>
        <v>41063.706792542129</v>
      </c>
      <c r="H43" s="89">
        <f t="shared" si="10"/>
        <v>105167.72207240597</v>
      </c>
      <c r="I43" s="89">
        <f t="shared" si="10"/>
        <v>130598.10187378339</v>
      </c>
      <c r="J43" s="89">
        <f t="shared" si="10"/>
        <v>62141.657827276329</v>
      </c>
      <c r="K43" s="89">
        <f t="shared" si="10"/>
        <v>-11320.583931296074</v>
      </c>
      <c r="L43" s="89">
        <f t="shared" si="10"/>
        <v>-9829.5558685400756</v>
      </c>
      <c r="M43" s="89">
        <f t="shared" si="10"/>
        <v>-7813.5421752663096</v>
      </c>
      <c r="N43" s="89">
        <f t="shared" ref="N43:Y43" si="11">N17-N31</f>
        <v>67031.514774698997</v>
      </c>
      <c r="O43" s="89">
        <f t="shared" si="11"/>
        <v>79059.71695771598</v>
      </c>
      <c r="P43" s="89">
        <f t="shared" si="11"/>
        <v>48532.108490061946</v>
      </c>
      <c r="Q43" s="89">
        <f t="shared" si="11"/>
        <v>17130.775923258509</v>
      </c>
      <c r="R43" s="89">
        <f t="shared" si="11"/>
        <v>-15446.933121971611</v>
      </c>
      <c r="S43" s="89">
        <f t="shared" si="11"/>
        <v>-7541.7942923058872</v>
      </c>
      <c r="T43" s="89">
        <f t="shared" si="11"/>
        <v>46094.814955062524</v>
      </c>
      <c r="U43" s="89">
        <f t="shared" si="11"/>
        <v>37314.440160289523</v>
      </c>
      <c r="V43" s="89">
        <f t="shared" si="11"/>
        <v>-12354.284961373603</v>
      </c>
      <c r="W43" s="89">
        <f t="shared" si="11"/>
        <v>-98498.988074329682</v>
      </c>
      <c r="X43" s="89">
        <f t="shared" si="11"/>
        <v>-92585.068050839007</v>
      </c>
      <c r="Y43" s="89">
        <f t="shared" si="11"/>
        <v>-103781.60667643684</v>
      </c>
      <c r="Z43" s="89">
        <f t="shared" ref="Z43:AC43" si="12">Z17-Z31</f>
        <v>-32912.641874722438</v>
      </c>
      <c r="AA43" s="89">
        <f t="shared" si="12"/>
        <v>26668.725380643853</v>
      </c>
      <c r="AB43" s="89">
        <f t="shared" si="12"/>
        <v>-15060.255759872322</v>
      </c>
      <c r="AC43" s="371">
        <f t="shared" si="12"/>
        <v>-550124.61036493024</v>
      </c>
    </row>
    <row r="44" spans="1:30" x14ac:dyDescent="0.3">
      <c r="A44" s="139" t="s">
        <v>6</v>
      </c>
      <c r="B44" s="306">
        <f t="shared" si="3"/>
        <v>0</v>
      </c>
      <c r="C44" s="89">
        <f t="shared" si="3"/>
        <v>18986.139660267989</v>
      </c>
      <c r="D44" s="89">
        <f t="shared" ref="D44:M44" si="13">D18-D32</f>
        <v>18855.523077394257</v>
      </c>
      <c r="E44" s="89">
        <f t="shared" si="13"/>
        <v>18214.533536610081</v>
      </c>
      <c r="F44" s="89">
        <f t="shared" si="13"/>
        <v>128914.16727420309</v>
      </c>
      <c r="G44" s="89">
        <f t="shared" si="13"/>
        <v>32265.508822212258</v>
      </c>
      <c r="H44" s="89">
        <f t="shared" si="13"/>
        <v>34870.620079572807</v>
      </c>
      <c r="I44" s="89">
        <f t="shared" si="13"/>
        <v>45537.898141089041</v>
      </c>
      <c r="J44" s="89">
        <f t="shared" si="13"/>
        <v>16312.173992124357</v>
      </c>
      <c r="K44" s="89">
        <f t="shared" si="13"/>
        <v>5618.0788028323732</v>
      </c>
      <c r="L44" s="89">
        <f t="shared" si="13"/>
        <v>-4923.2925942222646</v>
      </c>
      <c r="M44" s="89">
        <f t="shared" si="13"/>
        <v>-5170.6610618240957</v>
      </c>
      <c r="N44" s="89">
        <f t="shared" ref="N44:Y44" si="14">N18-N32</f>
        <v>20055.227006746747</v>
      </c>
      <c r="O44" s="89">
        <f t="shared" si="14"/>
        <v>21859.247132452147</v>
      </c>
      <c r="P44" s="89">
        <f t="shared" si="14"/>
        <v>13068.155346159096</v>
      </c>
      <c r="Q44" s="89">
        <f t="shared" si="14"/>
        <v>17302.28602277601</v>
      </c>
      <c r="R44" s="89">
        <f t="shared" si="14"/>
        <v>-7911.8457655424136</v>
      </c>
      <c r="S44" s="89">
        <f t="shared" si="14"/>
        <v>15259.799047397071</v>
      </c>
      <c r="T44" s="89">
        <f t="shared" si="14"/>
        <v>15849.460586675821</v>
      </c>
      <c r="U44" s="89">
        <f t="shared" si="14"/>
        <v>9424.5039969164936</v>
      </c>
      <c r="V44" s="89">
        <f t="shared" si="14"/>
        <v>14920.051693059882</v>
      </c>
      <c r="W44" s="89">
        <f t="shared" si="14"/>
        <v>-50961.936889001809</v>
      </c>
      <c r="X44" s="89">
        <f t="shared" si="14"/>
        <v>-29145.765030457056</v>
      </c>
      <c r="Y44" s="89">
        <f t="shared" si="14"/>
        <v>-32266.554103748756</v>
      </c>
      <c r="Z44" s="89">
        <f t="shared" ref="Z44:AC44" si="15">Z18-Z32</f>
        <v>1248.5075642007869</v>
      </c>
      <c r="AA44" s="89">
        <f t="shared" si="15"/>
        <v>29183.879840902431</v>
      </c>
      <c r="AB44" s="89">
        <f t="shared" si="15"/>
        <v>-28697.449789180042</v>
      </c>
      <c r="AC44" s="371">
        <f t="shared" si="15"/>
        <v>-241331.34148787023</v>
      </c>
    </row>
    <row r="45" spans="1:30" x14ac:dyDescent="0.3">
      <c r="A45" s="139" t="s">
        <v>7</v>
      </c>
      <c r="B45" s="306">
        <f t="shared" si="3"/>
        <v>0</v>
      </c>
      <c r="C45" s="89">
        <f t="shared" si="3"/>
        <v>8810.2260670137257</v>
      </c>
      <c r="D45" s="89">
        <f t="shared" ref="D45:M45" si="16">D19-D33</f>
        <v>9977.9808666708923</v>
      </c>
      <c r="E45" s="89">
        <f t="shared" si="16"/>
        <v>8905.1944446444504</v>
      </c>
      <c r="F45" s="89">
        <f t="shared" si="16"/>
        <v>70371.577362534736</v>
      </c>
      <c r="G45" s="89">
        <f t="shared" si="16"/>
        <v>27922.463263064637</v>
      </c>
      <c r="H45" s="89">
        <f t="shared" si="16"/>
        <v>20172.761070910055</v>
      </c>
      <c r="I45" s="89">
        <f t="shared" si="16"/>
        <v>18666.705050528923</v>
      </c>
      <c r="J45" s="89">
        <f t="shared" si="16"/>
        <v>38045.239402523832</v>
      </c>
      <c r="K45" s="89">
        <f t="shared" si="16"/>
        <v>7188.5835860127263</v>
      </c>
      <c r="L45" s="89">
        <f t="shared" si="16"/>
        <v>4027.440162247527</v>
      </c>
      <c r="M45" s="89">
        <f t="shared" si="16"/>
        <v>2432.7513815090642</v>
      </c>
      <c r="N45" s="89">
        <f t="shared" ref="N45:Y45" si="17">N19-N33</f>
        <v>15332.259632021844</v>
      </c>
      <c r="O45" s="89">
        <f t="shared" si="17"/>
        <v>17312.464496141969</v>
      </c>
      <c r="P45" s="89">
        <f t="shared" si="17"/>
        <v>15520.477244156908</v>
      </c>
      <c r="Q45" s="89">
        <f t="shared" si="17"/>
        <v>23744.337008706643</v>
      </c>
      <c r="R45" s="89">
        <f t="shared" si="17"/>
        <v>-9782.4246815932856</v>
      </c>
      <c r="S45" s="89">
        <f t="shared" si="17"/>
        <v>46653.531053450097</v>
      </c>
      <c r="T45" s="89">
        <f t="shared" si="17"/>
        <v>2013.9508840074122</v>
      </c>
      <c r="U45" s="89">
        <f t="shared" si="17"/>
        <v>305.74852812456083</v>
      </c>
      <c r="V45" s="89">
        <f t="shared" si="17"/>
        <v>3991.6392733109096</v>
      </c>
      <c r="W45" s="89">
        <f t="shared" si="17"/>
        <v>-24505.536114061353</v>
      </c>
      <c r="X45" s="89">
        <f t="shared" si="17"/>
        <v>-18154.410281078715</v>
      </c>
      <c r="Y45" s="89">
        <f t="shared" si="17"/>
        <v>-28358.110944935921</v>
      </c>
      <c r="Z45" s="89">
        <f t="shared" ref="Z45:AC45" si="18">Z19-Z33</f>
        <v>-17145.361834232375</v>
      </c>
      <c r="AA45" s="89">
        <f t="shared" si="18"/>
        <v>24885.644159335367</v>
      </c>
      <c r="AB45" s="89">
        <f t="shared" si="18"/>
        <v>-7864.9403626123094</v>
      </c>
      <c r="AC45" s="371">
        <f t="shared" si="18"/>
        <v>-110558.06749089831</v>
      </c>
    </row>
    <row r="46" spans="1:30" x14ac:dyDescent="0.3">
      <c r="B46" s="73"/>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7"/>
    </row>
    <row r="47" spans="1:30" x14ac:dyDescent="0.3">
      <c r="A47" s="32" t="s">
        <v>70</v>
      </c>
      <c r="B47" s="73"/>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7"/>
    </row>
    <row r="48" spans="1:30" x14ac:dyDescent="0.3">
      <c r="A48" s="139" t="s">
        <v>0</v>
      </c>
      <c r="B48" s="306">
        <v>0</v>
      </c>
      <c r="C48" s="89">
        <f>B48+C41+B55+B65</f>
        <v>-284176.45756211935</v>
      </c>
      <c r="D48" s="89">
        <f>C48+D41+C55</f>
        <v>-117931.03567467621</v>
      </c>
      <c r="E48" s="89">
        <f t="shared" ref="E48:E52" si="19">D48+E41+D55</f>
        <v>43746.609402724025</v>
      </c>
      <c r="F48" s="89">
        <f t="shared" ref="F48:F52" si="20">E48+F41+E55</f>
        <v>397757.36455667508</v>
      </c>
      <c r="G48" s="89">
        <f t="shared" ref="G48:G52" si="21">F48+G41+F55</f>
        <v>342450.57303277927</v>
      </c>
      <c r="H48" s="89">
        <f t="shared" ref="H48:H52" si="22">G48+H41+G55</f>
        <v>471458.49794379104</v>
      </c>
      <c r="I48" s="89">
        <f t="shared" ref="I48:I52" si="23">H48+I41+H55</f>
        <v>677226.2963911586</v>
      </c>
      <c r="J48" s="89">
        <f t="shared" ref="J48:J52" si="24">I48+J41+I55</f>
        <v>678392.92831756815</v>
      </c>
      <c r="K48" s="89">
        <f t="shared" ref="K48:K52" si="25">J48+K41+J55</f>
        <v>391185.06528389582</v>
      </c>
      <c r="L48" s="89">
        <f t="shared" ref="L48:L52" si="26">K48+L41+K55</f>
        <v>173134.08769492686</v>
      </c>
      <c r="M48" s="89">
        <f t="shared" ref="M48:N52" si="27">L48+M41+L55</f>
        <v>59774.809333112622</v>
      </c>
      <c r="N48" s="89">
        <f>M48+N41+M55</f>
        <v>255031.21831070079</v>
      </c>
      <c r="O48" s="89">
        <f>N48+O41+N55</f>
        <v>406107.78852436924</v>
      </c>
      <c r="P48" s="89">
        <f t="shared" ref="P48:Y48" si="28">O48+P41+O55</f>
        <v>331713.03956494684</v>
      </c>
      <c r="Q48" s="89">
        <f t="shared" si="28"/>
        <v>-18514.705778324838</v>
      </c>
      <c r="R48" s="89">
        <f t="shared" si="28"/>
        <v>-329616.75942333468</v>
      </c>
      <c r="S48" s="89">
        <f t="shared" si="28"/>
        <v>-332232.84860653506</v>
      </c>
      <c r="T48" s="89">
        <f t="shared" si="28"/>
        <v>-68179.153325958847</v>
      </c>
      <c r="U48" s="89">
        <f t="shared" si="28"/>
        <v>229873.41527416537</v>
      </c>
      <c r="V48" s="89">
        <f t="shared" si="28"/>
        <v>368098.677841803</v>
      </c>
      <c r="W48" s="89">
        <f t="shared" si="28"/>
        <v>288245.1533678057</v>
      </c>
      <c r="X48" s="89">
        <f t="shared" si="28"/>
        <v>190503.97703297762</v>
      </c>
      <c r="Y48" s="89">
        <f t="shared" si="28"/>
        <v>108613.70490195115</v>
      </c>
      <c r="Z48" s="89">
        <f>Y48+Z41+Y55</f>
        <v>302734.73987996712</v>
      </c>
      <c r="AA48" s="89">
        <f t="shared" ref="AA48:AC52" si="29">Z48+AA41+Z55</f>
        <v>533676.28510942275</v>
      </c>
      <c r="AB48" s="89">
        <f t="shared" si="29"/>
        <v>615405.85609377257</v>
      </c>
      <c r="AC48" s="371">
        <f t="shared" si="29"/>
        <v>-363000.20537455828</v>
      </c>
    </row>
    <row r="49" spans="1:29" x14ac:dyDescent="0.3">
      <c r="A49" s="139" t="s">
        <v>4</v>
      </c>
      <c r="B49" s="306">
        <v>0</v>
      </c>
      <c r="C49" s="89">
        <f>B49+C42+B56+B66</f>
        <v>-1018.3283086184965</v>
      </c>
      <c r="D49" s="89">
        <f t="shared" ref="D49:D52" si="30">C49+D42+C56</f>
        <v>5852.3303346475377</v>
      </c>
      <c r="E49" s="89">
        <f t="shared" si="19"/>
        <v>11739.753764034094</v>
      </c>
      <c r="F49" s="89">
        <f t="shared" si="20"/>
        <v>118662.31872292202</v>
      </c>
      <c r="G49" s="89">
        <f t="shared" si="21"/>
        <v>126058.67952889382</v>
      </c>
      <c r="H49" s="89">
        <f t="shared" si="22"/>
        <v>180604.5304421261</v>
      </c>
      <c r="I49" s="89">
        <f t="shared" si="23"/>
        <v>249958.81951257773</v>
      </c>
      <c r="J49" s="89">
        <f t="shared" si="24"/>
        <v>281486.37722391036</v>
      </c>
      <c r="K49" s="89">
        <f t="shared" si="25"/>
        <v>267973.29065610043</v>
      </c>
      <c r="L49" s="89">
        <f t="shared" si="26"/>
        <v>260255.90205802757</v>
      </c>
      <c r="M49" s="89">
        <f t="shared" si="27"/>
        <v>261819.55777708619</v>
      </c>
      <c r="N49" s="89">
        <f t="shared" si="27"/>
        <v>303960.59298423113</v>
      </c>
      <c r="O49" s="89">
        <f>N49+O42+N56</f>
        <v>346565.32617800648</v>
      </c>
      <c r="P49" s="89">
        <f t="shared" ref="P49:Z49" si="31">O49+P42+O56</f>
        <v>362776.44059206243</v>
      </c>
      <c r="Q49" s="89">
        <f t="shared" si="31"/>
        <v>341086.89072289015</v>
      </c>
      <c r="R49" s="89">
        <f t="shared" si="31"/>
        <v>297066.95997416927</v>
      </c>
      <c r="S49" s="89">
        <f t="shared" si="31"/>
        <v>271233.8242823144</v>
      </c>
      <c r="T49" s="89">
        <f t="shared" si="31"/>
        <v>292939.27076885768</v>
      </c>
      <c r="U49" s="89">
        <f t="shared" si="31"/>
        <v>318718.63482413709</v>
      </c>
      <c r="V49" s="89">
        <f t="shared" si="31"/>
        <v>309030.36422918696</v>
      </c>
      <c r="W49" s="89">
        <f t="shared" si="31"/>
        <v>259149.80053262445</v>
      </c>
      <c r="X49" s="89">
        <f t="shared" si="31"/>
        <v>209296.30702598061</v>
      </c>
      <c r="Y49" s="89">
        <f t="shared" si="31"/>
        <v>156744.23286164689</v>
      </c>
      <c r="Z49" s="89">
        <f t="shared" si="31"/>
        <v>147377.99373450954</v>
      </c>
      <c r="AA49" s="89">
        <f t="shared" si="29"/>
        <v>161801.10299667547</v>
      </c>
      <c r="AB49" s="89">
        <f t="shared" si="29"/>
        <v>149681.85220075358</v>
      </c>
      <c r="AC49" s="371">
        <f t="shared" si="29"/>
        <v>-117416.13906090913</v>
      </c>
    </row>
    <row r="50" spans="1:29" x14ac:dyDescent="0.3">
      <c r="A50" s="139" t="s">
        <v>5</v>
      </c>
      <c r="B50" s="306">
        <v>0</v>
      </c>
      <c r="C50" s="89">
        <f>B50+C43+B57+B67</f>
        <v>35282.335784203075</v>
      </c>
      <c r="D50" s="89">
        <f t="shared" si="30"/>
        <v>61779.574933075062</v>
      </c>
      <c r="E50" s="89">
        <f t="shared" si="19"/>
        <v>86057.223248733309</v>
      </c>
      <c r="F50" s="89">
        <f t="shared" si="20"/>
        <v>346737.21758697659</v>
      </c>
      <c r="G50" s="89">
        <f t="shared" si="21"/>
        <v>388322.06550544134</v>
      </c>
      <c r="H50" s="89">
        <f t="shared" si="22"/>
        <v>494100.93919979484</v>
      </c>
      <c r="I50" s="89">
        <f t="shared" si="23"/>
        <v>625085.4527130794</v>
      </c>
      <c r="J50" s="89">
        <f t="shared" si="24"/>
        <v>687294.34212712687</v>
      </c>
      <c r="K50" s="89">
        <f t="shared" si="25"/>
        <v>676045.7127587439</v>
      </c>
      <c r="L50" s="89">
        <f t="shared" si="26"/>
        <v>666325.26109092881</v>
      </c>
      <c r="M50" s="89">
        <f t="shared" si="27"/>
        <v>658587.56061215093</v>
      </c>
      <c r="N50" s="89">
        <f t="shared" si="27"/>
        <v>725687.0833336506</v>
      </c>
      <c r="O50" s="89">
        <f>N50+O43+N57</f>
        <v>804867.74813858897</v>
      </c>
      <c r="P50" s="89">
        <f t="shared" ref="P50:Z50" si="32">O50+P43+O57</f>
        <v>853569.17665682686</v>
      </c>
      <c r="Q50" s="89">
        <f t="shared" si="32"/>
        <v>870902.46115593961</v>
      </c>
      <c r="R50" s="89">
        <f t="shared" si="32"/>
        <v>855605.13383600162</v>
      </c>
      <c r="S50" s="89">
        <f t="shared" si="32"/>
        <v>848228.91125816584</v>
      </c>
      <c r="T50" s="89">
        <f t="shared" si="32"/>
        <v>894474.76326688193</v>
      </c>
      <c r="U50" s="89">
        <f t="shared" si="32"/>
        <v>931957.00912894728</v>
      </c>
      <c r="V50" s="89">
        <f t="shared" si="32"/>
        <v>919776.90071953321</v>
      </c>
      <c r="W50" s="89">
        <f t="shared" si="32"/>
        <v>821432.48038688872</v>
      </c>
      <c r="X50" s="89">
        <f t="shared" si="32"/>
        <v>728942.93740372092</v>
      </c>
      <c r="Y50" s="89">
        <f t="shared" si="32"/>
        <v>625285.91861688287</v>
      </c>
      <c r="Z50" s="89">
        <f t="shared" si="32"/>
        <v>592473.96497042046</v>
      </c>
      <c r="AA50" s="89">
        <f t="shared" si="29"/>
        <v>619216.74959668564</v>
      </c>
      <c r="AB50" s="89">
        <f t="shared" si="29"/>
        <v>604235.55181930412</v>
      </c>
      <c r="AC50" s="371">
        <f t="shared" si="29"/>
        <v>54242.092795014767</v>
      </c>
    </row>
    <row r="51" spans="1:29" x14ac:dyDescent="0.3">
      <c r="A51" s="139" t="s">
        <v>6</v>
      </c>
      <c r="B51" s="306">
        <v>0</v>
      </c>
      <c r="C51" s="89">
        <f>B51+C44+B58+B68</f>
        <v>12807.632653284689</v>
      </c>
      <c r="D51" s="89">
        <f t="shared" si="30"/>
        <v>31682.537830690952</v>
      </c>
      <c r="E51" s="89">
        <f t="shared" si="19"/>
        <v>49947.636671276698</v>
      </c>
      <c r="F51" s="89">
        <f t="shared" si="20"/>
        <v>178940.43309680288</v>
      </c>
      <c r="G51" s="89">
        <f t="shared" si="21"/>
        <v>211474.88685497016</v>
      </c>
      <c r="H51" s="89">
        <f t="shared" si="22"/>
        <v>246678.33175080564</v>
      </c>
      <c r="I51" s="89">
        <f t="shared" si="23"/>
        <v>292409.14468124037</v>
      </c>
      <c r="J51" s="89">
        <f t="shared" si="24"/>
        <v>308752.76898259518</v>
      </c>
      <c r="K51" s="89">
        <f t="shared" si="25"/>
        <v>314403.17188469431</v>
      </c>
      <c r="L51" s="89">
        <f t="shared" si="26"/>
        <v>309530.61950836924</v>
      </c>
      <c r="M51" s="89">
        <f t="shared" si="27"/>
        <v>304395.18947959982</v>
      </c>
      <c r="N51" s="89">
        <f t="shared" si="27"/>
        <v>324481.84934826288</v>
      </c>
      <c r="O51" s="89">
        <f>N51+O44+N58</f>
        <v>346395.17678893975</v>
      </c>
      <c r="P51" s="89">
        <f t="shared" ref="P51:Z51" si="33">O51+P44+O58</f>
        <v>359536.20328843995</v>
      </c>
      <c r="Q51" s="89">
        <f t="shared" si="33"/>
        <v>376923.78897583263</v>
      </c>
      <c r="R51" s="89">
        <f t="shared" si="33"/>
        <v>369076.69212106994</v>
      </c>
      <c r="S51" s="89">
        <f t="shared" si="33"/>
        <v>384407.91273697891</v>
      </c>
      <c r="T51" s="89">
        <f t="shared" si="33"/>
        <v>400325.82163727656</v>
      </c>
      <c r="U51" s="89">
        <f t="shared" si="33"/>
        <v>409825.42775914673</v>
      </c>
      <c r="V51" s="89">
        <f t="shared" si="33"/>
        <v>424822.07309248531</v>
      </c>
      <c r="W51" s="89">
        <f t="shared" si="33"/>
        <v>373931.52719884831</v>
      </c>
      <c r="X51" s="89">
        <f t="shared" si="33"/>
        <v>344829.24697729881</v>
      </c>
      <c r="Y51" s="89">
        <f t="shared" si="33"/>
        <v>312621.62965165486</v>
      </c>
      <c r="Z51" s="89">
        <f t="shared" si="33"/>
        <v>313920.47789532435</v>
      </c>
      <c r="AA51" s="89">
        <f t="shared" si="29"/>
        <v>343143.59779596369</v>
      </c>
      <c r="AB51" s="89">
        <f t="shared" si="29"/>
        <v>314489.95857967931</v>
      </c>
      <c r="AC51" s="371">
        <f t="shared" si="29"/>
        <v>73226.878185618654</v>
      </c>
    </row>
    <row r="52" spans="1:29" x14ac:dyDescent="0.3">
      <c r="A52" s="139" t="s">
        <v>7</v>
      </c>
      <c r="B52" s="306">
        <v>0</v>
      </c>
      <c r="C52" s="89">
        <f>B52+C45+B59+B69</f>
        <v>57776.287065990589</v>
      </c>
      <c r="D52" s="89">
        <f t="shared" si="30"/>
        <v>67841.702184138718</v>
      </c>
      <c r="E52" s="89">
        <f t="shared" si="19"/>
        <v>76855.171928934302</v>
      </c>
      <c r="F52" s="89">
        <f t="shared" si="20"/>
        <v>147347.73713686669</v>
      </c>
      <c r="G52" s="89">
        <f t="shared" si="21"/>
        <v>175491.66196142178</v>
      </c>
      <c r="H52" s="89">
        <f t="shared" si="22"/>
        <v>195940.61648970438</v>
      </c>
      <c r="I52" s="89">
        <f t="shared" si="23"/>
        <v>214760.55689935907</v>
      </c>
      <c r="J52" s="89">
        <f t="shared" si="24"/>
        <v>252828.89505254733</v>
      </c>
      <c r="K52" s="89">
        <f t="shared" si="25"/>
        <v>260043.94792765533</v>
      </c>
      <c r="L52" s="89">
        <f t="shared" si="26"/>
        <v>264113.35549914249</v>
      </c>
      <c r="M52" s="89">
        <f t="shared" si="27"/>
        <v>266576.16848286893</v>
      </c>
      <c r="N52" s="89">
        <f t="shared" si="27"/>
        <v>281935.95565863553</v>
      </c>
      <c r="O52" s="89">
        <f>N52+O45+N59</f>
        <v>299295.40948072058</v>
      </c>
      <c r="P52" s="89">
        <f t="shared" ref="P52:Z52" si="34">O52+P45+O59</f>
        <v>314878.84950016998</v>
      </c>
      <c r="Q52" s="89">
        <f t="shared" si="34"/>
        <v>338697.89125352149</v>
      </c>
      <c r="R52" s="89">
        <f t="shared" si="34"/>
        <v>328973.64894243248</v>
      </c>
      <c r="S52" s="89">
        <f t="shared" si="34"/>
        <v>375690.84105741297</v>
      </c>
      <c r="T52" s="89">
        <f t="shared" si="34"/>
        <v>377771.68807873048</v>
      </c>
      <c r="U52" s="89">
        <f t="shared" si="34"/>
        <v>378148.30751996778</v>
      </c>
      <c r="V52" s="89">
        <f t="shared" si="34"/>
        <v>382210.62019096542</v>
      </c>
      <c r="W52" s="89">
        <f t="shared" si="34"/>
        <v>357769.3142531183</v>
      </c>
      <c r="X52" s="89">
        <f t="shared" si="34"/>
        <v>339656.50926373515</v>
      </c>
      <c r="Y52" s="89">
        <f t="shared" si="34"/>
        <v>311356.45099412714</v>
      </c>
      <c r="Z52" s="89">
        <f t="shared" si="34"/>
        <v>294261.22611080721</v>
      </c>
      <c r="AA52" s="89">
        <f t="shared" si="29"/>
        <v>319183.65292340639</v>
      </c>
      <c r="AB52" s="89">
        <f t="shared" si="29"/>
        <v>311359.46406769467</v>
      </c>
      <c r="AC52" s="371">
        <f t="shared" si="29"/>
        <v>200868.97818633713</v>
      </c>
    </row>
    <row r="53" spans="1:29" x14ac:dyDescent="0.3">
      <c r="B53" s="73"/>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7"/>
    </row>
    <row r="54" spans="1:29" x14ac:dyDescent="0.3">
      <c r="A54" s="32" t="s">
        <v>65</v>
      </c>
      <c r="B54" s="258">
        <f>+'PCR (M2) Final'!AU67</f>
        <v>1.7616100000000003E-3</v>
      </c>
      <c r="C54" s="160">
        <f>+'PCR (M2) Final'!AV67</f>
        <v>1.5133241666666667E-3</v>
      </c>
      <c r="D54" s="160">
        <f>+'PCR (M2) Final'!AW67</f>
        <v>1.5959991666666667E-3</v>
      </c>
      <c r="E54" s="160">
        <f>+'PCR (M2) Final'!AX67</f>
        <v>1.5742316666666667E-3</v>
      </c>
      <c r="F54" s="160">
        <f>+'PCR (M2) Final'!AY67</f>
        <v>1.5029858333333332E-3</v>
      </c>
      <c r="G54" s="160">
        <f>+'PCR (M2) Final'!AZ67</f>
        <v>1.5738266666666667E-3</v>
      </c>
      <c r="H54" s="160">
        <f>+'PCR (M2) Final'!BA67</f>
        <v>7.8204999999999995E-4</v>
      </c>
      <c r="I54" s="160">
        <f>+'PCR (M2) Final'!BB67</f>
        <v>1.0755583333333334E-4</v>
      </c>
      <c r="J54" s="160">
        <f>+'PCR (M2) Final'!BC67</f>
        <v>1.046925E-4</v>
      </c>
      <c r="K54" s="160">
        <f>+'PCR (M2) Final'!BD67</f>
        <v>1.6138583333333333E-4</v>
      </c>
      <c r="L54" s="160">
        <f>+'PCR (M2) Final'!BE67</f>
        <v>1.1382083333333333E-4</v>
      </c>
      <c r="M54" s="160">
        <f>+'PCR (M2) Final'!BF67</f>
        <v>1.0326333333333334E-4</v>
      </c>
      <c r="N54" s="160">
        <f>+'PCR (M2) Final'!BG67</f>
        <v>1.6666666666666666E-4</v>
      </c>
      <c r="O54" s="160">
        <f>+'PCR (M2) Final'!BH67</f>
        <v>2.1037000000000001E-4</v>
      </c>
      <c r="P54" s="160">
        <f>+'PCR (M2) Final'!BI67</f>
        <v>2.3724916666666669E-4</v>
      </c>
      <c r="Q54" s="160">
        <f>+'PCR (M2) Final'!BJ67</f>
        <v>1.7178250000000002E-4</v>
      </c>
      <c r="R54" s="160">
        <f>+'PCR (M2) Final'!BK67</f>
        <v>1.9351416666666668E-4</v>
      </c>
      <c r="S54" s="160">
        <f>+'PCR (M2) Final'!BL67</f>
        <v>1.7806166666666664E-4</v>
      </c>
      <c r="T54" s="160">
        <f>+'PCR (M2) Final'!BM67</f>
        <v>1.8760249999999999E-4</v>
      </c>
      <c r="U54" s="160">
        <f>+'PCR (M2) Final'!BN67</f>
        <v>1.8689333333333334E-4</v>
      </c>
      <c r="V54" s="160">
        <f>+'PCR (M2) Final'!BO67</f>
        <v>1.6804916666666666E-4</v>
      </c>
      <c r="W54" s="160">
        <f>+'PCR (M2) Final'!BP67</f>
        <v>1.1629083333333334E-4</v>
      </c>
      <c r="X54" s="160">
        <f>+'PCR (M2) Final'!BQ67</f>
        <v>1.7091583333333333E-4</v>
      </c>
      <c r="Y54" s="160">
        <f>+'PCR (M2) Final'!BR67</f>
        <v>1.6102749999999998E-4</v>
      </c>
      <c r="Z54" s="160">
        <f>+'PCR (M2) Final'!BS67</f>
        <v>1.25E-4</v>
      </c>
      <c r="AA54" s="160">
        <f>+'PCR (M2) Final'!BT67</f>
        <v>1.2767416666666667E-4</v>
      </c>
      <c r="AB54" s="160">
        <f>+'PCR (M2) Final'!BU67</f>
        <v>2.1705333333333333E-4</v>
      </c>
      <c r="AC54" s="206">
        <f>+'PCR (M2) Final'!BV67</f>
        <v>1.9537499999999999E-4</v>
      </c>
    </row>
    <row r="55" spans="1:29" x14ac:dyDescent="0.3">
      <c r="A55" s="139" t="s">
        <v>0</v>
      </c>
      <c r="B55" s="306">
        <f t="shared" ref="B55:C59" si="35">B48*B$54</f>
        <v>0</v>
      </c>
      <c r="C55" s="89">
        <f>C48*C$54</f>
        <v>-430.05110082647963</v>
      </c>
      <c r="D55" s="89">
        <f t="shared" ref="D55:M55" si="36">D48*D$54</f>
        <v>-188.21783466092018</v>
      </c>
      <c r="E55" s="89">
        <f t="shared" si="36"/>
        <v>68.867297831065912</v>
      </c>
      <c r="F55" s="89">
        <f t="shared" si="36"/>
        <v>597.8236840326847</v>
      </c>
      <c r="G55" s="89">
        <f t="shared" si="36"/>
        <v>538.95784385426896</v>
      </c>
      <c r="H55" s="89">
        <f t="shared" si="36"/>
        <v>368.70411831694173</v>
      </c>
      <c r="I55" s="89">
        <f t="shared" si="36"/>
        <v>72.839638663598052</v>
      </c>
      <c r="J55" s="89">
        <f t="shared" si="36"/>
        <v>71.022651647887002</v>
      </c>
      <c r="K55" s="89">
        <f t="shared" si="36"/>
        <v>63.131727748395932</v>
      </c>
      <c r="L55" s="89">
        <f t="shared" si="36"/>
        <v>19.706266139842988</v>
      </c>
      <c r="M55" s="89">
        <f t="shared" si="36"/>
        <v>6.1725460611016532</v>
      </c>
      <c r="N55" s="89">
        <f t="shared" ref="N55" si="37">N48*N$54</f>
        <v>42.505203051783461</v>
      </c>
      <c r="O55" s="89">
        <f>O48*O$54</f>
        <v>85.432895471871561</v>
      </c>
      <c r="P55" s="89">
        <f t="shared" ref="P55:Z55" si="38">P48*P$54</f>
        <v>78.698642209250679</v>
      </c>
      <c r="Q55" s="89">
        <f t="shared" si="38"/>
        <v>-3.1805024453650872</v>
      </c>
      <c r="R55" s="89">
        <f t="shared" si="38"/>
        <v>-63.785512519173764</v>
      </c>
      <c r="S55" s="89">
        <f t="shared" si="38"/>
        <v>-59.157934744293968</v>
      </c>
      <c r="T55" s="89">
        <f t="shared" si="38"/>
        <v>-12.790579611833193</v>
      </c>
      <c r="U55" s="89">
        <f t="shared" si="38"/>
        <v>42.961808825306349</v>
      </c>
      <c r="V55" s="89">
        <f t="shared" si="38"/>
        <v>61.858676062416791</v>
      </c>
      <c r="W55" s="89">
        <f t="shared" si="38"/>
        <v>33.520269089436603</v>
      </c>
      <c r="X55" s="89">
        <f t="shared" si="38"/>
        <v>32.560145987905564</v>
      </c>
      <c r="Y55" s="89">
        <f t="shared" si="38"/>
        <v>17.489793366098937</v>
      </c>
      <c r="Z55" s="89">
        <f t="shared" si="38"/>
        <v>37.841842484995894</v>
      </c>
      <c r="AA55" s="89">
        <f t="shared" ref="AA55:AC55" si="39">AA48*AA$54</f>
        <v>68.136674971107965</v>
      </c>
      <c r="AB55" s="89">
        <f t="shared" si="39"/>
        <v>133.57589241800699</v>
      </c>
      <c r="AC55" s="371">
        <f t="shared" si="39"/>
        <v>-70.921165125054316</v>
      </c>
    </row>
    <row r="56" spans="1:29" x14ac:dyDescent="0.3">
      <c r="A56" s="139" t="s">
        <v>4</v>
      </c>
      <c r="B56" s="306">
        <f t="shared" si="35"/>
        <v>0</v>
      </c>
      <c r="C56" s="89">
        <f t="shared" si="35"/>
        <v>-1.5410608390331624</v>
      </c>
      <c r="D56" s="89">
        <f t="shared" ref="D56:M56" si="40">D49*D$54</f>
        <v>9.3403143371555242</v>
      </c>
      <c r="E56" s="89">
        <f t="shared" si="40"/>
        <v>18.481092134211664</v>
      </c>
      <c r="F56" s="89">
        <f t="shared" si="40"/>
        <v>178.34778399103655</v>
      </c>
      <c r="G56" s="89">
        <f t="shared" si="40"/>
        <v>198.39451140736054</v>
      </c>
      <c r="H56" s="89">
        <f t="shared" si="40"/>
        <v>141.24177303226472</v>
      </c>
      <c r="I56" s="89">
        <f t="shared" si="40"/>
        <v>26.884529131691558</v>
      </c>
      <c r="J56" s="89">
        <f t="shared" si="40"/>
        <v>29.469512547514235</v>
      </c>
      <c r="K56" s="89">
        <f t="shared" si="40"/>
        <v>43.247092823610316</v>
      </c>
      <c r="L56" s="89">
        <f t="shared" si="40"/>
        <v>29.622543652163081</v>
      </c>
      <c r="M56" s="89">
        <f t="shared" si="40"/>
        <v>27.036360267921179</v>
      </c>
      <c r="N56" s="89">
        <f t="shared" ref="N56:Y56" si="41">N49*N$54</f>
        <v>50.660098830705188</v>
      </c>
      <c r="O56" s="89">
        <f t="shared" si="41"/>
        <v>72.906947668067232</v>
      </c>
      <c r="P56" s="89">
        <f t="shared" si="41"/>
        <v>86.068408216766329</v>
      </c>
      <c r="Q56" s="89">
        <f t="shared" si="41"/>
        <v>58.592758805604888</v>
      </c>
      <c r="R56" s="89">
        <f t="shared" si="41"/>
        <v>57.48666520360139</v>
      </c>
      <c r="S56" s="89">
        <f t="shared" si="41"/>
        <v>48.296346808082696</v>
      </c>
      <c r="T56" s="89">
        <f t="shared" si="41"/>
        <v>54.956139544414619</v>
      </c>
      <c r="U56" s="89">
        <f t="shared" si="41"/>
        <v>59.566388057732397</v>
      </c>
      <c r="V56" s="89">
        <f t="shared" si="41"/>
        <v>51.932295183411341</v>
      </c>
      <c r="W56" s="89">
        <f t="shared" si="41"/>
        <v>30.136746262106008</v>
      </c>
      <c r="X56" s="89">
        <f t="shared" si="41"/>
        <v>35.772052728934661</v>
      </c>
      <c r="Y56" s="89">
        <f t="shared" si="41"/>
        <v>25.240131957128842</v>
      </c>
      <c r="Z56" s="89">
        <f t="shared" ref="Z56:AC56" si="42">Z49*Z$54</f>
        <v>18.422249216813693</v>
      </c>
      <c r="AA56" s="89">
        <f t="shared" si="42"/>
        <v>20.657820990848045</v>
      </c>
      <c r="AB56" s="89">
        <f t="shared" si="42"/>
        <v>32.4889449596809</v>
      </c>
      <c r="AC56" s="371">
        <f t="shared" si="42"/>
        <v>-22.940178169025121</v>
      </c>
    </row>
    <row r="57" spans="1:29" x14ac:dyDescent="0.3">
      <c r="A57" s="139" t="s">
        <v>5</v>
      </c>
      <c r="B57" s="306">
        <f t="shared" si="35"/>
        <v>0</v>
      </c>
      <c r="C57" s="89">
        <f t="shared" si="35"/>
        <v>53.39361139868263</v>
      </c>
      <c r="D57" s="89">
        <f t="shared" ref="D57:M57" si="43">D50*D$54</f>
        <v>98.600150110208688</v>
      </c>
      <c r="E57" s="89">
        <f t="shared" si="43"/>
        <v>135.47400598355887</v>
      </c>
      <c r="F57" s="89">
        <f t="shared" si="43"/>
        <v>521.14112592264325</v>
      </c>
      <c r="G57" s="89">
        <f t="shared" si="43"/>
        <v>611.15162194754373</v>
      </c>
      <c r="H57" s="89">
        <f t="shared" si="43"/>
        <v>386.41163950119955</v>
      </c>
      <c r="I57" s="89">
        <f t="shared" si="43"/>
        <v>67.231586771099188</v>
      </c>
      <c r="J57" s="89">
        <f t="shared" si="43"/>
        <v>71.95456291314423</v>
      </c>
      <c r="K57" s="89">
        <f t="shared" si="43"/>
        <v>109.10420072499718</v>
      </c>
      <c r="L57" s="89">
        <f t="shared" si="43"/>
        <v>75.841696488420425</v>
      </c>
      <c r="M57" s="89">
        <f t="shared" si="43"/>
        <v>68.00794680067942</v>
      </c>
      <c r="N57" s="89">
        <f t="shared" ref="N57:Y57" si="44">N50*N$54</f>
        <v>120.9478472222751</v>
      </c>
      <c r="O57" s="89">
        <f t="shared" si="44"/>
        <v>169.32002817591496</v>
      </c>
      <c r="P57" s="89">
        <f t="shared" si="44"/>
        <v>202.50857585418498</v>
      </c>
      <c r="Q57" s="89">
        <f t="shared" si="44"/>
        <v>149.60580203352021</v>
      </c>
      <c r="R57" s="89">
        <f t="shared" si="44"/>
        <v>165.57171446999567</v>
      </c>
      <c r="S57" s="89">
        <f t="shared" si="44"/>
        <v>151.03705365348108</v>
      </c>
      <c r="T57" s="89">
        <f t="shared" si="44"/>
        <v>167.80570177577522</v>
      </c>
      <c r="U57" s="89">
        <f t="shared" si="44"/>
        <v>174.17655195947273</v>
      </c>
      <c r="V57" s="89">
        <f t="shared" si="44"/>
        <v>154.56774168516696</v>
      </c>
      <c r="W57" s="89">
        <f t="shared" si="44"/>
        <v>95.525067671258284</v>
      </c>
      <c r="X57" s="89">
        <f t="shared" si="44"/>
        <v>124.58788959880479</v>
      </c>
      <c r="Y57" s="89">
        <f t="shared" si="44"/>
        <v>100.68822826008009</v>
      </c>
      <c r="Z57" s="89">
        <f t="shared" ref="Z57:AC57" si="45">Z50*Z$54</f>
        <v>74.059245621302566</v>
      </c>
      <c r="AA57" s="89">
        <f t="shared" si="45"/>
        <v>79.05798249079885</v>
      </c>
      <c r="AB57" s="89">
        <f t="shared" si="45"/>
        <v>131.15134064088602</v>
      </c>
      <c r="AC57" s="371">
        <f t="shared" si="45"/>
        <v>10.597548879826009</v>
      </c>
    </row>
    <row r="58" spans="1:29" x14ac:dyDescent="0.3">
      <c r="A58" s="139" t="s">
        <v>6</v>
      </c>
      <c r="B58" s="306">
        <f t="shared" si="35"/>
        <v>0</v>
      </c>
      <c r="C58" s="89">
        <f t="shared" si="35"/>
        <v>19.382100012004841</v>
      </c>
      <c r="D58" s="89">
        <f t="shared" ref="D58:M58" si="46">D51*D$54</f>
        <v>50.565303975667902</v>
      </c>
      <c r="E58" s="89">
        <f t="shared" si="46"/>
        <v>78.62915132308504</v>
      </c>
      <c r="F58" s="89">
        <f t="shared" si="46"/>
        <v>268.94493595502581</v>
      </c>
      <c r="G58" s="89">
        <f t="shared" si="46"/>
        <v>332.82481626266815</v>
      </c>
      <c r="H58" s="89">
        <f t="shared" si="46"/>
        <v>192.91478934571754</v>
      </c>
      <c r="I58" s="89">
        <f t="shared" si="46"/>
        <v>31.450309230478044</v>
      </c>
      <c r="J58" s="89">
        <f t="shared" si="46"/>
        <v>32.324099266710348</v>
      </c>
      <c r="K58" s="89">
        <f t="shared" si="46"/>
        <v>50.740217897254624</v>
      </c>
      <c r="L58" s="89">
        <f t="shared" si="46"/>
        <v>35.231033054625513</v>
      </c>
      <c r="M58" s="89">
        <f t="shared" si="46"/>
        <v>31.432861916295078</v>
      </c>
      <c r="N58" s="89">
        <f t="shared" ref="N58:Y58" si="47">N51*N$54</f>
        <v>54.080308224710478</v>
      </c>
      <c r="O58" s="89">
        <f t="shared" si="47"/>
        <v>72.871153341089254</v>
      </c>
      <c r="P58" s="89">
        <f t="shared" si="47"/>
        <v>85.299664616679649</v>
      </c>
      <c r="Q58" s="89">
        <f t="shared" si="47"/>
        <v>64.748910779740982</v>
      </c>
      <c r="R58" s="89">
        <f t="shared" si="47"/>
        <v>71.421568511898755</v>
      </c>
      <c r="S58" s="89">
        <f t="shared" si="47"/>
        <v>68.44831362180102</v>
      </c>
      <c r="T58" s="89">
        <f t="shared" si="47"/>
        <v>75.102124953707175</v>
      </c>
      <c r="U58" s="89">
        <f t="shared" si="47"/>
        <v>76.593640278666129</v>
      </c>
      <c r="V58" s="89">
        <f t="shared" si="47"/>
        <v>71.390995364797917</v>
      </c>
      <c r="W58" s="89">
        <f t="shared" si="47"/>
        <v>43.484808907560073</v>
      </c>
      <c r="X58" s="89">
        <f t="shared" si="47"/>
        <v>58.936778104830836</v>
      </c>
      <c r="Y58" s="89">
        <f t="shared" si="47"/>
        <v>50.34067946873185</v>
      </c>
      <c r="Z58" s="89">
        <f t="shared" ref="Z58:AC58" si="48">Z51*Z$54</f>
        <v>39.240059736915548</v>
      </c>
      <c r="AA58" s="89">
        <f t="shared" si="48"/>
        <v>43.810572895601503</v>
      </c>
      <c r="AB58" s="89">
        <f t="shared" si="48"/>
        <v>68.261093809581325</v>
      </c>
      <c r="AC58" s="371">
        <f t="shared" si="48"/>
        <v>14.306701325515244</v>
      </c>
    </row>
    <row r="59" spans="1:29" ht="15" thickBot="1" x14ac:dyDescent="0.35">
      <c r="A59" s="139" t="s">
        <v>7</v>
      </c>
      <c r="B59" s="306">
        <f t="shared" si="35"/>
        <v>0</v>
      </c>
      <c r="C59" s="89">
        <f t="shared" si="35"/>
        <v>87.434251477234326</v>
      </c>
      <c r="D59" s="89">
        <f t="shared" ref="D59:M59" si="49">D52*D$54</f>
        <v>108.27530015113358</v>
      </c>
      <c r="E59" s="89">
        <f t="shared" si="49"/>
        <v>120.98784539763946</v>
      </c>
      <c r="F59" s="89">
        <f t="shared" si="49"/>
        <v>221.46156149043452</v>
      </c>
      <c r="G59" s="89">
        <f t="shared" si="49"/>
        <v>276.19345737253792</v>
      </c>
      <c r="H59" s="89">
        <f t="shared" si="49"/>
        <v>153.2353591257733</v>
      </c>
      <c r="I59" s="89">
        <f t="shared" si="49"/>
        <v>23.098750664441315</v>
      </c>
      <c r="J59" s="89">
        <f t="shared" si="49"/>
        <v>26.469289095288811</v>
      </c>
      <c r="K59" s="89">
        <f t="shared" si="49"/>
        <v>41.967409239594595</v>
      </c>
      <c r="L59" s="89">
        <f t="shared" si="49"/>
        <v>30.061602217375313</v>
      </c>
      <c r="M59" s="89">
        <f t="shared" si="49"/>
        <v>27.527543744769325</v>
      </c>
      <c r="N59" s="89">
        <f t="shared" ref="N59:Y59" si="50">N52*N$54</f>
        <v>46.989325943105918</v>
      </c>
      <c r="O59" s="89">
        <f t="shared" si="50"/>
        <v>62.962775292459192</v>
      </c>
      <c r="P59" s="89">
        <f t="shared" si="50"/>
        <v>74.704744644874083</v>
      </c>
      <c r="Q59" s="89">
        <f t="shared" si="50"/>
        <v>58.182370504258067</v>
      </c>
      <c r="R59" s="89">
        <f t="shared" si="50"/>
        <v>63.661061530387371</v>
      </c>
      <c r="S59" s="89">
        <f t="shared" si="50"/>
        <v>66.896137310084711</v>
      </c>
      <c r="T59" s="89">
        <f t="shared" si="50"/>
        <v>70.870913112790035</v>
      </c>
      <c r="U59" s="89">
        <f t="shared" si="50"/>
        <v>70.673397686765185</v>
      </c>
      <c r="V59" s="89">
        <f t="shared" si="50"/>
        <v>64.230176214241581</v>
      </c>
      <c r="W59" s="89">
        <f t="shared" si="50"/>
        <v>41.605291695590338</v>
      </c>
      <c r="X59" s="89">
        <f t="shared" si="50"/>
        <v>58.052675327902342</v>
      </c>
      <c r="Y59" s="89">
        <f t="shared" si="50"/>
        <v>50.136950912456804</v>
      </c>
      <c r="Z59" s="89">
        <f t="shared" ref="Z59:AC59" si="51">Z52*Z$54</f>
        <v>36.782653263850904</v>
      </c>
      <c r="AA59" s="89">
        <f t="shared" si="51"/>
        <v>40.751506900618473</v>
      </c>
      <c r="AB59" s="89">
        <f t="shared" si="51"/>
        <v>67.581609540773357</v>
      </c>
      <c r="AC59" s="371">
        <f t="shared" si="51"/>
        <v>39.244776613155615</v>
      </c>
    </row>
    <row r="60" spans="1:29" ht="15.6" thickTop="1" thickBot="1" x14ac:dyDescent="0.35">
      <c r="A60" s="101" t="s">
        <v>71</v>
      </c>
      <c r="B60" s="307">
        <f>SUM(B55:B59)+SUM(B48:B52)-B63</f>
        <v>0</v>
      </c>
      <c r="C60" s="409">
        <f>SUM(C55:C59)+SUM(C48:C52)-C63</f>
        <v>0</v>
      </c>
      <c r="D60" s="409">
        <f t="shared" ref="D60:M60" si="52">SUM(D55:D59)+SUM(D48:D52)-D63</f>
        <v>0</v>
      </c>
      <c r="E60" s="409">
        <f t="shared" si="52"/>
        <v>0</v>
      </c>
      <c r="F60" s="409">
        <f t="shared" si="52"/>
        <v>0</v>
      </c>
      <c r="G60" s="409">
        <f t="shared" si="52"/>
        <v>0</v>
      </c>
      <c r="H60" s="409">
        <f t="shared" si="52"/>
        <v>0</v>
      </c>
      <c r="I60" s="409">
        <f t="shared" si="52"/>
        <v>0</v>
      </c>
      <c r="J60" s="409">
        <f t="shared" si="52"/>
        <v>0</v>
      </c>
      <c r="K60" s="409">
        <f t="shared" si="52"/>
        <v>0</v>
      </c>
      <c r="L60" s="409">
        <f t="shared" si="52"/>
        <v>0</v>
      </c>
      <c r="M60" s="409">
        <f t="shared" si="52"/>
        <v>0</v>
      </c>
      <c r="N60" s="409">
        <f t="shared" ref="N60" si="53">SUM(N55:N59)+SUM(N48:N52)-N63</f>
        <v>0</v>
      </c>
      <c r="O60" s="409">
        <f>SUM(O55:O59)+SUM(O48:O52)-O63</f>
        <v>0</v>
      </c>
      <c r="P60" s="409">
        <f t="shared" ref="P60:Y60" si="54">SUM(P55:P59)+SUM(P48:P52)-P63</f>
        <v>0</v>
      </c>
      <c r="Q60" s="409">
        <f t="shared" si="54"/>
        <v>0</v>
      </c>
      <c r="R60" s="409">
        <f t="shared" si="54"/>
        <v>0</v>
      </c>
      <c r="S60" s="409">
        <f t="shared" si="54"/>
        <v>0</v>
      </c>
      <c r="T60" s="409">
        <f t="shared" si="54"/>
        <v>0</v>
      </c>
      <c r="U60" s="409">
        <f t="shared" si="54"/>
        <v>0</v>
      </c>
      <c r="V60" s="409">
        <f t="shared" si="54"/>
        <v>0</v>
      </c>
      <c r="W60" s="409">
        <f t="shared" si="54"/>
        <v>0</v>
      </c>
      <c r="X60" s="409">
        <f t="shared" si="54"/>
        <v>1.862645149230957E-9</v>
      </c>
      <c r="Y60" s="409">
        <f t="shared" si="54"/>
        <v>2.0954757928848267E-9</v>
      </c>
      <c r="Z60" s="409">
        <f t="shared" ref="Z60:AC60" si="55">SUM(Z55:Z59)+SUM(Z48:Z52)-Z63</f>
        <v>1.862645149230957E-9</v>
      </c>
      <c r="AA60" s="409">
        <f t="shared" si="55"/>
        <v>0</v>
      </c>
      <c r="AB60" s="409">
        <f t="shared" si="55"/>
        <v>0</v>
      </c>
      <c r="AC60" s="401">
        <f t="shared" si="55"/>
        <v>2.35741026699543E-9</v>
      </c>
    </row>
    <row r="61" spans="1:29" ht="15.6" thickTop="1" thickBot="1" x14ac:dyDescent="0.35">
      <c r="A61" s="101" t="s">
        <v>72</v>
      </c>
      <c r="B61" s="307">
        <f t="shared" ref="B61" si="56">SUM(B55:B59)-B38</f>
        <v>0</v>
      </c>
      <c r="C61" s="409">
        <f>SUM(C55:C59)-C38</f>
        <v>-2.198777590933787E-3</v>
      </c>
      <c r="D61" s="409">
        <f t="shared" ref="D61:M61" si="57">SUM(D55:D59)-D38</f>
        <v>3.2339132455092567E-3</v>
      </c>
      <c r="E61" s="409">
        <f t="shared" si="57"/>
        <v>-6.0733043898153483E-4</v>
      </c>
      <c r="F61" s="409">
        <f t="shared" si="57"/>
        <v>-9.0860817522298021E-4</v>
      </c>
      <c r="G61" s="409">
        <f t="shared" si="57"/>
        <v>2.2508443794322375E-3</v>
      </c>
      <c r="H61" s="409">
        <f t="shared" si="57"/>
        <v>-2.3206781031603896E-3</v>
      </c>
      <c r="I61" s="409">
        <f t="shared" si="57"/>
        <v>4.814461308171758E-3</v>
      </c>
      <c r="J61" s="409">
        <f t="shared" si="57"/>
        <v>1.1547054461402695E-4</v>
      </c>
      <c r="K61" s="409">
        <f t="shared" si="57"/>
        <v>6.4843385263202435E-4</v>
      </c>
      <c r="L61" s="409">
        <f t="shared" si="57"/>
        <v>3.1415524273086248E-3</v>
      </c>
      <c r="M61" s="409">
        <f t="shared" si="57"/>
        <v>-2.7412092333349847E-3</v>
      </c>
      <c r="N61" s="409">
        <f t="shared" ref="N61" si="58">SUM(N55:N59)-N38</f>
        <v>2.7832725801317793E-3</v>
      </c>
      <c r="O61" s="409">
        <f>SUM(O55:O59)-O38</f>
        <v>3.7999494022074032E-3</v>
      </c>
      <c r="P61" s="409">
        <f t="shared" ref="P61:Y61" si="59">SUM(P55:P59)-P38</f>
        <v>3.5541755778467632E-5</v>
      </c>
      <c r="Q61" s="409">
        <f t="shared" si="59"/>
        <v>-6.6032224088985458E-4</v>
      </c>
      <c r="R61" s="409">
        <f t="shared" si="59"/>
        <v>-4.5028032906202498E-3</v>
      </c>
      <c r="S61" s="409">
        <f t="shared" si="59"/>
        <v>-8.3350844420237991E-5</v>
      </c>
      <c r="T61" s="409">
        <f t="shared" si="59"/>
        <v>4.2997748539050917E-3</v>
      </c>
      <c r="U61" s="409">
        <f t="shared" si="59"/>
        <v>1.7868079427216799E-3</v>
      </c>
      <c r="V61" s="409">
        <f t="shared" si="59"/>
        <v>-1.1548996542387613E-4</v>
      </c>
      <c r="W61" s="409">
        <f t="shared" si="59"/>
        <v>2.183625951289514E-3</v>
      </c>
      <c r="X61" s="409">
        <f t="shared" si="59"/>
        <v>-4.5825162180790358E-4</v>
      </c>
      <c r="Y61" s="409">
        <f t="shared" si="59"/>
        <v>-4.2160355035036901E-3</v>
      </c>
      <c r="Z61" s="409">
        <f t="shared" ref="Z61:AC61" si="60">SUM(Z55:Z59)-Z38</f>
        <v>-3.9496761213797527E-3</v>
      </c>
      <c r="AA61" s="409">
        <f t="shared" si="60"/>
        <v>4.5582489748312582E-3</v>
      </c>
      <c r="AB61" s="409">
        <f t="shared" si="60"/>
        <v>-1.1186310713924286E-3</v>
      </c>
      <c r="AC61" s="401">
        <f t="shared" si="60"/>
        <v>-2.3164755825604288E-3</v>
      </c>
    </row>
    <row r="62" spans="1:29" ht="15" thickTop="1" x14ac:dyDescent="0.3">
      <c r="B62" s="73"/>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7"/>
    </row>
    <row r="63" spans="1:29" ht="15" thickBot="1" x14ac:dyDescent="0.35">
      <c r="A63" s="32" t="s">
        <v>73</v>
      </c>
      <c r="B63" s="320">
        <f>(SUM(B15:B19)-SUM(B22:B26))+SUM(B55:B59)</f>
        <v>0</v>
      </c>
      <c r="C63" s="378">
        <f>(SUM(C15:C19)-SUM(C22:C26))+SUM(C55:C59)+B63+B64</f>
        <v>-179599.91256603706</v>
      </c>
      <c r="D63" s="378">
        <f>(SUM(D15:D19)-SUM(D22:D26))+SUM(D55:D59)+C63</f>
        <v>49303.672841789288</v>
      </c>
      <c r="E63" s="378">
        <f t="shared" ref="E63:M63" si="61">(SUM(E15:E19)-SUM(E22:E26))+SUM(E55:E59)+D63</f>
        <v>268768.834408372</v>
      </c>
      <c r="F63" s="378">
        <f t="shared" si="61"/>
        <v>1191232.790191635</v>
      </c>
      <c r="G63" s="378">
        <f t="shared" si="61"/>
        <v>1245755.3891343507</v>
      </c>
      <c r="H63" s="378">
        <f t="shared" si="61"/>
        <v>1590025.4235055437</v>
      </c>
      <c r="I63" s="378">
        <f t="shared" si="61"/>
        <v>2059661.7750118764</v>
      </c>
      <c r="J63" s="378">
        <f t="shared" si="61"/>
        <v>2208986.5518192183</v>
      </c>
      <c r="K63" s="378">
        <f t="shared" si="61"/>
        <v>1909959.3791595236</v>
      </c>
      <c r="L63" s="378">
        <f t="shared" si="61"/>
        <v>1673549.6889929471</v>
      </c>
      <c r="M63" s="378">
        <f t="shared" si="61"/>
        <v>1551313.4629436089</v>
      </c>
      <c r="N63" s="378">
        <f>(SUM(N15:N19)-SUM(N22:N26))+SUM(N55:N59)+M63</f>
        <v>1891411.8824187529</v>
      </c>
      <c r="O63" s="378">
        <f>(SUM(O15:O19)-SUM(O22:O26))+SUM(O55:O59)+N63+N64</f>
        <v>2203694.9429105734</v>
      </c>
      <c r="P63" s="378">
        <f>(SUM(P15:P19)-SUM(P22:P26))+SUM(P55:P59)+O63</f>
        <v>2223000.9896379868</v>
      </c>
      <c r="Q63" s="378">
        <f t="shared" ref="Q63" si="62">(SUM(Q15:Q19)-SUM(Q22:Q26))+SUM(Q55:Q59)+P63</f>
        <v>1909424.2756695356</v>
      </c>
      <c r="R63" s="378">
        <f t="shared" ref="R63" si="63">(SUM(R15:R19)-SUM(R22:R26))+SUM(R55:R59)+Q63</f>
        <v>1521400.0309475339</v>
      </c>
      <c r="S63" s="378">
        <f t="shared" ref="S63" si="64">(SUM(S15:S19)-SUM(S22:S26))+SUM(S55:S59)+R63</f>
        <v>1547604.1606449848</v>
      </c>
      <c r="T63" s="378">
        <f t="shared" ref="T63" si="65">(SUM(T15:T19)-SUM(T22:T26))+SUM(T55:T59)+S63</f>
        <v>1897688.3347255611</v>
      </c>
      <c r="U63" s="378">
        <f t="shared" ref="U63" si="66">(SUM(U15:U19)-SUM(U22:U26))+SUM(U55:U59)+T63</f>
        <v>2268946.7662931704</v>
      </c>
      <c r="V63" s="378">
        <f t="shared" ref="V63" si="67">(SUM(V15:V19)-SUM(V22:V26))+SUM(V55:V59)+U63</f>
        <v>2404342.615958482</v>
      </c>
      <c r="W63" s="378">
        <f t="shared" ref="W63" si="68">(SUM(W15:W19)-SUM(W22:W26))+SUM(W55:W59)+V63</f>
        <v>2100772.5479229093</v>
      </c>
      <c r="X63" s="378">
        <f t="shared" ref="X63" si="69">(SUM(X15:X19)-SUM(X22:X26))+SUM(X55:X59)+W63</f>
        <v>1813538.8872454595</v>
      </c>
      <c r="Y63" s="378">
        <f>(SUM(Y15:Y19)-SUM(Y22:Y26))+SUM(Y55:Y59)+X63</f>
        <v>1514865.8328102254</v>
      </c>
      <c r="Z63" s="378">
        <f>(SUM(Z15:Z19)-SUM(Z22:Z26))+SUM(Z55:Z59)+Y63</f>
        <v>1650974.7486413508</v>
      </c>
      <c r="AA63" s="378">
        <f t="shared" ref="AA63:AC63" si="70">(SUM(AA15:AA19)-SUM(AA22:AA26))+SUM(AA55:AA59)+Z63</f>
        <v>1977273.8029804013</v>
      </c>
      <c r="AB63" s="378">
        <f t="shared" si="70"/>
        <v>1995605.7416425715</v>
      </c>
      <c r="AC63" s="405">
        <f t="shared" si="70"/>
        <v>-152108.10758497473</v>
      </c>
    </row>
    <row r="64" spans="1:29" x14ac:dyDescent="0.3">
      <c r="A64" s="139" t="s">
        <v>104</v>
      </c>
      <c r="B64" s="317">
        <f>SUM(B65:B69)</f>
        <v>-426399.52254117257</v>
      </c>
      <c r="C64" s="318"/>
      <c r="D64" s="318"/>
      <c r="E64" s="318"/>
      <c r="F64" s="318"/>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row>
    <row r="65" spans="1:58" x14ac:dyDescent="0.3">
      <c r="A65" s="173" t="s">
        <v>0</v>
      </c>
      <c r="B65" s="255">
        <v>-462683.00379415316</v>
      </c>
      <c r="C65" s="316"/>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row>
    <row r="66" spans="1:58" x14ac:dyDescent="0.3">
      <c r="A66" s="173" t="s">
        <v>4</v>
      </c>
      <c r="B66" s="255">
        <v>-10108.99213094723</v>
      </c>
      <c r="C66" s="316"/>
      <c r="D66" s="316"/>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row>
    <row r="67" spans="1:58" x14ac:dyDescent="0.3">
      <c r="A67" s="173" t="s">
        <v>5</v>
      </c>
      <c r="B67" s="255">
        <v>3604.9193919342115</v>
      </c>
      <c r="C67" s="316"/>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row>
    <row r="68" spans="1:58" x14ac:dyDescent="0.3">
      <c r="A68" s="173" t="s">
        <v>6</v>
      </c>
      <c r="B68" s="255">
        <v>-6178.5070069833</v>
      </c>
      <c r="C68" s="316"/>
      <c r="D68" s="316"/>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row>
    <row r="69" spans="1:58" ht="15" thickBot="1" x14ac:dyDescent="0.35">
      <c r="A69" s="173" t="s">
        <v>7</v>
      </c>
      <c r="B69" s="259">
        <v>48966.060998976864</v>
      </c>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row>
    <row r="71" spans="1:58" x14ac:dyDescent="0.3">
      <c r="M71" s="336"/>
      <c r="N71" s="31"/>
      <c r="O71" s="31"/>
      <c r="P71" s="31"/>
      <c r="Q71" s="31"/>
      <c r="R71" s="31"/>
      <c r="S71" s="31"/>
      <c r="T71" s="31"/>
      <c r="U71" s="31"/>
      <c r="V71" s="31"/>
      <c r="W71" s="31"/>
      <c r="X71" s="31"/>
      <c r="Y71" s="236"/>
      <c r="Z71" s="412"/>
      <c r="AA71" s="236"/>
      <c r="AB71" s="236"/>
      <c r="AC71" s="236"/>
    </row>
    <row r="72" spans="1:58" x14ac:dyDescent="0.3">
      <c r="N72" s="31"/>
      <c r="O72" s="31"/>
      <c r="P72" s="31"/>
      <c r="Q72" s="31"/>
      <c r="R72" s="31"/>
      <c r="S72" s="31"/>
      <c r="T72" s="31"/>
      <c r="U72" s="31"/>
      <c r="V72" s="31"/>
      <c r="W72" s="31"/>
      <c r="X72" s="31"/>
      <c r="Y72" s="31"/>
      <c r="Z72" s="31"/>
      <c r="AA72" s="31"/>
      <c r="AB72" s="31"/>
      <c r="AC72" s="31"/>
    </row>
  </sheetData>
  <pageMargins left="0.7" right="0.7" top="0.75" bottom="0.75" header="0.3" footer="0.3"/>
  <pageSetup scale="7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tint="0.79998168889431442"/>
    <pageSetUpPr fitToPage="1"/>
  </sheetPr>
  <dimension ref="A1:BF71"/>
  <sheetViews>
    <sheetView zoomScale="80" zoomScaleNormal="80" workbookViewId="0">
      <pane xSplit="1" ySplit="14" topLeftCell="B15" activePane="bottomRight" state="frozen"/>
      <selection activeCell="AC68" sqref="AC68"/>
      <selection pane="topRight" activeCell="AC68" sqref="AC68"/>
      <selection pane="bottomLeft" activeCell="AC68" sqref="AC68"/>
      <selection pane="bottomRight" activeCell="E75" sqref="E75"/>
    </sheetView>
  </sheetViews>
  <sheetFormatPr defaultColWidth="9.109375" defaultRowHeight="14.4" x14ac:dyDescent="0.3"/>
  <cols>
    <col min="1" max="1" width="30.6640625" style="139" customWidth="1"/>
    <col min="2" max="2" width="17.5546875" style="139" customWidth="1"/>
    <col min="3" max="23" width="18" style="139" customWidth="1"/>
    <col min="24" max="24" width="16.44140625" style="139" customWidth="1"/>
    <col min="25" max="25" width="15.109375" style="139" customWidth="1"/>
    <col min="26" max="26" width="16.109375" style="139" customWidth="1"/>
    <col min="27" max="27" width="15" style="139" bestFit="1" customWidth="1"/>
    <col min="28" max="28" width="16" style="139" customWidth="1"/>
    <col min="29" max="29" width="15" style="139" bestFit="1" customWidth="1"/>
    <col min="30" max="32" width="16" style="139" bestFit="1" customWidth="1"/>
    <col min="33" max="56" width="16" style="139" customWidth="1"/>
    <col min="57" max="57" width="16.44140625" style="139" customWidth="1"/>
    <col min="58" max="58" width="17.33203125" style="139" customWidth="1"/>
    <col min="59" max="59" width="16.88671875" style="139" customWidth="1"/>
    <col min="60" max="60" width="13.88671875" style="139" bestFit="1" customWidth="1"/>
    <col min="61" max="61" width="10.88671875" style="139" bestFit="1" customWidth="1"/>
    <col min="62" max="62" width="9.109375" style="139"/>
    <col min="63" max="63" width="12.6640625" style="139" bestFit="1" customWidth="1"/>
    <col min="64" max="16384" width="9.109375" style="139"/>
  </cols>
  <sheetData>
    <row r="1" spans="1:58" x14ac:dyDescent="0.3">
      <c r="A1" s="32" t="s">
        <v>164</v>
      </c>
      <c r="B1" s="32"/>
    </row>
    <row r="2" spans="1:58" x14ac:dyDescent="0.3">
      <c r="A2" s="265"/>
      <c r="B2" s="158" t="s">
        <v>137</v>
      </c>
      <c r="C2" s="158"/>
      <c r="D2" s="158"/>
      <c r="E2" s="158"/>
      <c r="F2" s="158"/>
      <c r="G2" s="158"/>
      <c r="H2" s="158"/>
      <c r="I2" s="39"/>
      <c r="J2" s="39" t="s">
        <v>26</v>
      </c>
      <c r="K2" s="158"/>
      <c r="L2" s="158"/>
      <c r="M2" s="158"/>
      <c r="N2" s="158"/>
      <c r="O2" s="158"/>
      <c r="P2" s="158"/>
      <c r="Q2" s="158"/>
      <c r="R2" s="158"/>
      <c r="S2" s="158"/>
      <c r="T2" s="158"/>
      <c r="U2" s="158"/>
      <c r="V2" s="158"/>
      <c r="W2" s="158"/>
      <c r="AD2" s="39"/>
      <c r="AE2" s="32"/>
      <c r="AF2" s="32"/>
      <c r="AG2" s="32"/>
      <c r="AH2" s="32"/>
      <c r="AI2" s="32"/>
    </row>
    <row r="3" spans="1:58" x14ac:dyDescent="0.3">
      <c r="B3" s="301" t="s">
        <v>175</v>
      </c>
      <c r="C3" s="301" t="s">
        <v>64</v>
      </c>
      <c r="D3" s="301" t="s">
        <v>138</v>
      </c>
      <c r="E3" s="301" t="s">
        <v>91</v>
      </c>
      <c r="F3" s="301" t="s">
        <v>65</v>
      </c>
      <c r="G3" s="301" t="s">
        <v>139</v>
      </c>
      <c r="I3" s="39"/>
      <c r="J3" s="39" t="s">
        <v>142</v>
      </c>
      <c r="K3" s="32"/>
      <c r="L3" s="32"/>
      <c r="M3" s="32"/>
      <c r="N3" s="32"/>
      <c r="O3" s="32"/>
      <c r="P3" s="381"/>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row>
    <row r="4" spans="1:58" x14ac:dyDescent="0.3">
      <c r="A4" s="139" t="s">
        <v>0</v>
      </c>
      <c r="B4" s="21">
        <f>+N65</f>
        <v>-363071.12653968332</v>
      </c>
      <c r="C4" s="21">
        <f>SUM(B29:Z29)</f>
        <v>7975424.032290386</v>
      </c>
      <c r="D4" s="21">
        <f>SUM(B15:Z15)</f>
        <v>7527678.8185135797</v>
      </c>
      <c r="E4" s="21">
        <f>B4+D4-C4</f>
        <v>-810816.34031648934</v>
      </c>
      <c r="F4" s="21">
        <f>SUM(B55:Z55)</f>
        <v>-16724.941218602384</v>
      </c>
      <c r="G4" s="26">
        <f>E4+F4</f>
        <v>-827541.28153509169</v>
      </c>
      <c r="I4" s="39"/>
      <c r="J4" s="39" t="s">
        <v>143</v>
      </c>
      <c r="K4" s="32"/>
      <c r="L4" s="32"/>
      <c r="M4" s="32"/>
      <c r="N4" s="32"/>
      <c r="O4" s="32"/>
      <c r="P4" s="381"/>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row>
    <row r="5" spans="1:58" x14ac:dyDescent="0.3">
      <c r="A5" s="139" t="s">
        <v>4</v>
      </c>
      <c r="B5" s="21">
        <f t="shared" ref="B5:B8" si="0">+N66</f>
        <v>-117439.07923907816</v>
      </c>
      <c r="C5" s="21">
        <f>SUM(B30:Z30)</f>
        <v>1790066.1211867176</v>
      </c>
      <c r="D5" s="21">
        <f>SUM(B16:Z16)</f>
        <v>1771663.7533086916</v>
      </c>
      <c r="E5" s="21">
        <f>B5+D5-C5</f>
        <v>-135841.4471171042</v>
      </c>
      <c r="F5" s="21">
        <f>SUM(B56:Z56)</f>
        <v>-3631.0937407536971</v>
      </c>
      <c r="G5" s="26">
        <f>E5+F5</f>
        <v>-139472.54085785788</v>
      </c>
      <c r="I5" s="39"/>
      <c r="J5" s="39" t="s">
        <v>144</v>
      </c>
      <c r="K5" s="32"/>
      <c r="L5" s="32"/>
      <c r="M5" s="32"/>
      <c r="N5" s="32"/>
      <c r="O5" s="32"/>
      <c r="P5" s="381"/>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row>
    <row r="6" spans="1:58" x14ac:dyDescent="0.3">
      <c r="A6" s="139" t="s">
        <v>5</v>
      </c>
      <c r="B6" s="21">
        <f t="shared" si="0"/>
        <v>54252.690343894596</v>
      </c>
      <c r="C6" s="21">
        <f>SUM(B31:Z31)</f>
        <v>4230414.4801434455</v>
      </c>
      <c r="D6" s="21">
        <f>SUM(B17:Z17)</f>
        <v>3987785.5568331154</v>
      </c>
      <c r="E6" s="21">
        <f>B6+D6-C6</f>
        <v>-188376.23296643561</v>
      </c>
      <c r="F6" s="21">
        <f>SUM(B57:Z57)</f>
        <v>-3419.864353338181</v>
      </c>
      <c r="G6" s="26">
        <f>E6+F6</f>
        <v>-191796.09731977378</v>
      </c>
      <c r="I6" s="39"/>
      <c r="J6" s="39" t="s">
        <v>107</v>
      </c>
      <c r="K6" s="32"/>
      <c r="L6" s="32"/>
      <c r="M6" s="32"/>
      <c r="N6" s="32"/>
      <c r="O6" s="32"/>
      <c r="P6" s="381"/>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row>
    <row r="7" spans="1:58" x14ac:dyDescent="0.3">
      <c r="A7" s="139" t="s">
        <v>6</v>
      </c>
      <c r="B7" s="21">
        <f t="shared" si="0"/>
        <v>73241.184886944175</v>
      </c>
      <c r="C7" s="21">
        <f>SUM(B32:Z32)</f>
        <v>1844748.4970644319</v>
      </c>
      <c r="D7" s="21">
        <f>SUM(B18:Z18)</f>
        <v>1698389.9690506516</v>
      </c>
      <c r="E7" s="21">
        <f>B7+D7-C7</f>
        <v>-73117.343126836</v>
      </c>
      <c r="F7" s="21">
        <f>SUM(B58:Z58)</f>
        <v>-850.62369087224795</v>
      </c>
      <c r="G7" s="26">
        <f>E7+F7</f>
        <v>-73967.966817708249</v>
      </c>
      <c r="I7" s="39"/>
      <c r="J7" s="39" t="s">
        <v>145</v>
      </c>
      <c r="K7" s="32"/>
      <c r="L7" s="32"/>
      <c r="M7" s="32"/>
      <c r="N7" s="32"/>
      <c r="O7" s="32"/>
      <c r="P7" s="381"/>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row>
    <row r="8" spans="1:58" ht="15" thickBot="1" x14ac:dyDescent="0.35">
      <c r="A8" s="139" t="s">
        <v>7</v>
      </c>
      <c r="B8" s="21">
        <f t="shared" si="0"/>
        <v>200908.2229629503</v>
      </c>
      <c r="C8" s="21">
        <f>SUM(B33:Z33)</f>
        <v>759697.11878600926</v>
      </c>
      <c r="D8" s="21">
        <f>SUM(B19:Z19)</f>
        <v>715741.53904107632</v>
      </c>
      <c r="E8" s="21">
        <f>B8+D8-C8</f>
        <v>156952.64321801742</v>
      </c>
      <c r="F8" s="21">
        <f>SUM(B59:Z59)</f>
        <v>4185.9621142012593</v>
      </c>
      <c r="G8" s="26">
        <f>E8+F8</f>
        <v>161138.60533221866</v>
      </c>
      <c r="I8" s="39"/>
      <c r="J8" s="39" t="s">
        <v>82</v>
      </c>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row>
    <row r="9" spans="1:58" ht="15.6" thickTop="1" thickBot="1" x14ac:dyDescent="0.35">
      <c r="B9" s="62">
        <f t="shared" ref="B9:G9" si="1">SUM(B4:B8)</f>
        <v>-152108.1075849724</v>
      </c>
      <c r="C9" s="62">
        <f t="shared" si="1"/>
        <v>16600350.24947099</v>
      </c>
      <c r="D9" s="62">
        <f t="shared" si="1"/>
        <v>15701259.636747112</v>
      </c>
      <c r="E9" s="62">
        <f>SUM(E4:E8)</f>
        <v>-1051198.7203088477</v>
      </c>
      <c r="F9" s="62">
        <f>SUM(F4:F8)</f>
        <v>-20440.560889365253</v>
      </c>
      <c r="G9" s="62">
        <f t="shared" si="1"/>
        <v>-1071639.2811982131</v>
      </c>
      <c r="I9" s="39"/>
      <c r="J9" s="39" t="s">
        <v>96</v>
      </c>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row>
    <row r="10" spans="1:58" ht="15.6" thickTop="1" thickBot="1" x14ac:dyDescent="0.35">
      <c r="E10" s="23" t="s">
        <v>25</v>
      </c>
      <c r="F10" s="228">
        <f>F9-SUM(B38:Z38)</f>
        <v>-1.6614449828921352E-2</v>
      </c>
      <c r="G10" s="32"/>
      <c r="I10" s="39"/>
      <c r="J10" s="39" t="s">
        <v>146</v>
      </c>
      <c r="Z10" s="23"/>
      <c r="AA10" s="262"/>
      <c r="AD10" s="39"/>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row>
    <row r="11" spans="1:58" ht="15" thickTop="1" x14ac:dyDescent="0.3">
      <c r="B11" s="31"/>
      <c r="AA11" s="3"/>
      <c r="AC11" s="2"/>
    </row>
    <row r="12" spans="1:58" ht="15" thickBot="1" x14ac:dyDescent="0.35">
      <c r="B12" s="35"/>
      <c r="C12" s="35"/>
      <c r="D12" s="35"/>
      <c r="E12" s="35"/>
      <c r="F12" s="35"/>
      <c r="G12" s="35"/>
      <c r="H12" s="35"/>
      <c r="I12" s="35"/>
      <c r="J12" s="35"/>
      <c r="K12" s="35"/>
      <c r="L12" s="35"/>
      <c r="M12" s="35"/>
      <c r="N12" s="35"/>
      <c r="O12" s="35"/>
      <c r="P12" s="35"/>
      <c r="Q12" s="35"/>
      <c r="R12" s="35"/>
      <c r="S12" s="35"/>
      <c r="T12" s="35"/>
      <c r="U12" s="35"/>
      <c r="V12" s="35"/>
      <c r="W12" s="35"/>
      <c r="X12" s="236"/>
      <c r="Y12" s="236"/>
      <c r="Z12" s="32"/>
    </row>
    <row r="13" spans="1:58" ht="15" thickBot="1" x14ac:dyDescent="0.35">
      <c r="B13" s="141"/>
      <c r="C13" s="95"/>
      <c r="D13" s="95"/>
      <c r="E13" s="95"/>
      <c r="F13" s="95"/>
      <c r="G13" s="95"/>
      <c r="H13" s="95"/>
      <c r="I13" s="95"/>
      <c r="J13" s="95"/>
      <c r="K13" s="95"/>
      <c r="L13" s="95"/>
      <c r="M13" s="95"/>
      <c r="N13" s="95"/>
      <c r="O13" s="95"/>
      <c r="P13" s="95"/>
      <c r="Q13" s="95"/>
      <c r="R13" s="95"/>
      <c r="S13" s="95"/>
      <c r="T13" s="95"/>
      <c r="U13" s="95"/>
      <c r="V13" s="95"/>
      <c r="W13" s="95"/>
      <c r="X13" s="425" t="s">
        <v>67</v>
      </c>
      <c r="Y13" s="426"/>
      <c r="Z13" s="427"/>
      <c r="AA13" s="32"/>
    </row>
    <row r="14" spans="1:58" x14ac:dyDescent="0.3">
      <c r="A14" s="139" t="s">
        <v>140</v>
      </c>
      <c r="B14" s="66">
        <v>44197</v>
      </c>
      <c r="C14" s="67">
        <v>44228</v>
      </c>
      <c r="D14" s="67">
        <v>44256</v>
      </c>
      <c r="E14" s="67">
        <v>44287</v>
      </c>
      <c r="F14" s="67">
        <v>44317</v>
      </c>
      <c r="G14" s="67">
        <v>44348</v>
      </c>
      <c r="H14" s="67">
        <v>44378</v>
      </c>
      <c r="I14" s="67">
        <v>44409</v>
      </c>
      <c r="J14" s="67">
        <v>44440</v>
      </c>
      <c r="K14" s="67">
        <v>44470</v>
      </c>
      <c r="L14" s="67">
        <v>44501</v>
      </c>
      <c r="M14" s="67">
        <v>44531</v>
      </c>
      <c r="N14" s="67">
        <v>44562</v>
      </c>
      <c r="O14" s="67">
        <v>44593</v>
      </c>
      <c r="P14" s="67">
        <v>44621</v>
      </c>
      <c r="Q14" s="67">
        <v>44652</v>
      </c>
      <c r="R14" s="67">
        <v>44682</v>
      </c>
      <c r="S14" s="67">
        <v>44713</v>
      </c>
      <c r="T14" s="67">
        <v>44743</v>
      </c>
      <c r="U14" s="67">
        <v>44774</v>
      </c>
      <c r="V14" s="67">
        <v>44805</v>
      </c>
      <c r="W14" s="67">
        <v>44835</v>
      </c>
      <c r="X14" s="66">
        <f>EDATE(W14,1)</f>
        <v>44866</v>
      </c>
      <c r="Y14" s="67">
        <f>EDATE(X14,1)</f>
        <v>44896</v>
      </c>
      <c r="Z14" s="68">
        <f>EDATE(Y14,1)</f>
        <v>44927</v>
      </c>
      <c r="AA14" s="1"/>
      <c r="AB14" s="1"/>
      <c r="AC14" s="1"/>
      <c r="AD14" s="1"/>
      <c r="AE14" s="1"/>
      <c r="AF14" s="1"/>
      <c r="AG14" s="1"/>
    </row>
    <row r="15" spans="1:58" x14ac:dyDescent="0.3">
      <c r="A15" s="32" t="s">
        <v>0</v>
      </c>
      <c r="B15" s="256">
        <v>0</v>
      </c>
      <c r="C15" s="70">
        <v>241015.78129744003</v>
      </c>
      <c r="D15" s="70">
        <v>241015.78129744003</v>
      </c>
      <c r="E15" s="70">
        <v>241015.78129744003</v>
      </c>
      <c r="F15" s="70">
        <v>241015.78129744003</v>
      </c>
      <c r="G15" s="70">
        <v>241015.78129744003</v>
      </c>
      <c r="H15" s="70">
        <v>241015.78129744003</v>
      </c>
      <c r="I15" s="70">
        <v>241015.78129744003</v>
      </c>
      <c r="J15" s="70">
        <v>241015.78129744003</v>
      </c>
      <c r="K15" s="70">
        <v>241015.78129744003</v>
      </c>
      <c r="L15" s="70">
        <f>'[1]EOR.1F, EOR.1'!$K$89</f>
        <v>241015.78129744003</v>
      </c>
      <c r="M15" s="70">
        <f>'[1]EOR.1F, EOR.1'!$K$89</f>
        <v>241015.78129744003</v>
      </c>
      <c r="N15" s="70">
        <f>'[1]EOR.1F, EOR.1'!$K$89</f>
        <v>241015.78129744003</v>
      </c>
      <c r="O15" s="70">
        <f>'[1]EOR.1F, EOR.1'!$K$14+'[1]EOR.1F, EOR.1'!$K$33</f>
        <v>386290.78691202495</v>
      </c>
      <c r="P15" s="70">
        <f>'[1]EOR.1F, EOR.1'!$K$14+'[1]EOR.1F, EOR.1'!$K$33</f>
        <v>386290.78691202495</v>
      </c>
      <c r="Q15" s="70">
        <f>'[1]EOR.1F, EOR.1'!$K$14+'[1]EOR.1F, EOR.1'!$K$33</f>
        <v>386290.78691202495</v>
      </c>
      <c r="R15" s="70">
        <f>'[1]EOR.1F, EOR.1'!$K$14+'[1]EOR.1F, EOR.1'!$K$33</f>
        <v>386290.78691202495</v>
      </c>
      <c r="S15" s="70">
        <f>'[1]EOR.1F, EOR.1'!$K$14+'[1]EOR.1F, EOR.1'!$K$33</f>
        <v>386290.78691202495</v>
      </c>
      <c r="T15" s="70">
        <f>'[1]EOR.1F, EOR.1'!$K$14+'[1]EOR.1F, EOR.1'!$K$33</f>
        <v>386290.78691202495</v>
      </c>
      <c r="U15" s="70">
        <f>'[1]EOR.1F, EOR.1'!$K$14+'[1]EOR.1F, EOR.1'!$K$33</f>
        <v>386290.78691202495</v>
      </c>
      <c r="V15" s="70">
        <f>'[1]EOR.1F, EOR.1'!$K$14+'[1]EOR.1F, EOR.1'!$K$33</f>
        <v>386290.78691202495</v>
      </c>
      <c r="W15" s="70">
        <f>'[1]EOR.1F, EOR.1'!$K$14+'[1]EOR.1F, EOR.1'!$K$33</f>
        <v>386290.78691202495</v>
      </c>
      <c r="X15" s="114">
        <f>'[1]EOR.1F, EOR.1'!$K$14+'[1]EOR.1F, EOR.1'!$K$33</f>
        <v>386290.78691202495</v>
      </c>
      <c r="Y15" s="115">
        <f>'[1]EOR.1F, EOR.1'!$K$14+'[1]EOR.1F, EOR.1'!$K$33</f>
        <v>386290.78691202495</v>
      </c>
      <c r="Z15" s="116">
        <f>'[1]EOR.1F, EOR.1'!$K$14+'[1]EOR.1F, EOR.1'!$K$33</f>
        <v>386290.78691202495</v>
      </c>
      <c r="AA15" s="32"/>
    </row>
    <row r="16" spans="1:58" x14ac:dyDescent="0.3">
      <c r="A16" s="32" t="s">
        <v>4</v>
      </c>
      <c r="B16" s="256">
        <v>0</v>
      </c>
      <c r="C16" s="70">
        <v>60257.948421472975</v>
      </c>
      <c r="D16" s="70">
        <v>60257.948421472975</v>
      </c>
      <c r="E16" s="70">
        <v>60257.948421472975</v>
      </c>
      <c r="F16" s="70">
        <v>60257.948421472975</v>
      </c>
      <c r="G16" s="70">
        <v>60257.948421472975</v>
      </c>
      <c r="H16" s="70">
        <v>60257.948421472975</v>
      </c>
      <c r="I16" s="70">
        <v>60257.948421472975</v>
      </c>
      <c r="J16" s="70">
        <v>60257.948421472975</v>
      </c>
      <c r="K16" s="70">
        <v>60257.948421472975</v>
      </c>
      <c r="L16" s="70">
        <f>'[1]EOR.1F, EOR.1'!$K$90</f>
        <v>60257.948421472975</v>
      </c>
      <c r="M16" s="70">
        <f>'[1]EOR.1F, EOR.1'!$K$90</f>
        <v>60257.948421472975</v>
      </c>
      <c r="N16" s="70">
        <f>'[1]EOR.1F, EOR.1'!$K$90</f>
        <v>60257.948421472975</v>
      </c>
      <c r="O16" s="70">
        <f>'[1]EOR.1F, EOR.1'!$K$15+'[1]EOR.1F, EOR.1'!$K$34</f>
        <v>87380.697687584703</v>
      </c>
      <c r="P16" s="70">
        <f>'[1]EOR.1F, EOR.1'!$K$15+'[1]EOR.1F, EOR.1'!$K$34</f>
        <v>87380.697687584703</v>
      </c>
      <c r="Q16" s="70">
        <f>'[1]EOR.1F, EOR.1'!$K$15+'[1]EOR.1F, EOR.1'!$K$34</f>
        <v>87380.697687584703</v>
      </c>
      <c r="R16" s="70">
        <f>'[1]EOR.1F, EOR.1'!$K$15+'[1]EOR.1F, EOR.1'!$K$34</f>
        <v>87380.697687584703</v>
      </c>
      <c r="S16" s="70">
        <f>'[1]EOR.1F, EOR.1'!$K$15+'[1]EOR.1F, EOR.1'!$K$34</f>
        <v>87380.697687584703</v>
      </c>
      <c r="T16" s="70">
        <f>'[1]EOR.1F, EOR.1'!$K$15+'[1]EOR.1F, EOR.1'!$K$34</f>
        <v>87380.697687584703</v>
      </c>
      <c r="U16" s="70">
        <f>'[1]EOR.1F, EOR.1'!$K$15+'[1]EOR.1F, EOR.1'!$K$34</f>
        <v>87380.697687584703</v>
      </c>
      <c r="V16" s="70">
        <f>'[1]EOR.1F, EOR.1'!$K$15+'[1]EOR.1F, EOR.1'!$K$34</f>
        <v>87380.697687584703</v>
      </c>
      <c r="W16" s="70">
        <f>'[1]EOR.1F, EOR.1'!$K$15+'[1]EOR.1F, EOR.1'!$K$34</f>
        <v>87380.697687584703</v>
      </c>
      <c r="X16" s="114">
        <f>'[1]EOR.1F, EOR.1'!$K$15+'[1]EOR.1F, EOR.1'!$K$34</f>
        <v>87380.697687584703</v>
      </c>
      <c r="Y16" s="115">
        <f>'[1]EOR.1F, EOR.1'!$K$15+'[1]EOR.1F, EOR.1'!$K$34</f>
        <v>87380.697687584703</v>
      </c>
      <c r="Z16" s="116">
        <f>'[1]EOR.1F, EOR.1'!$K$15+'[1]EOR.1F, EOR.1'!$K$34</f>
        <v>87380.697687584703</v>
      </c>
      <c r="AA16" s="32"/>
    </row>
    <row r="17" spans="1:28" x14ac:dyDescent="0.3">
      <c r="A17" s="32" t="s">
        <v>5</v>
      </c>
      <c r="B17" s="256">
        <v>0</v>
      </c>
      <c r="C17" s="70">
        <v>136707.26308755999</v>
      </c>
      <c r="D17" s="70">
        <v>136707.26308755999</v>
      </c>
      <c r="E17" s="70">
        <v>136707.26308755999</v>
      </c>
      <c r="F17" s="70">
        <v>136707.26308755999</v>
      </c>
      <c r="G17" s="70">
        <v>136707.26308755999</v>
      </c>
      <c r="H17" s="70">
        <v>136707.26308755999</v>
      </c>
      <c r="I17" s="70">
        <v>136707.26308755999</v>
      </c>
      <c r="J17" s="70">
        <v>136707.26308755999</v>
      </c>
      <c r="K17" s="70">
        <v>136707.26308755999</v>
      </c>
      <c r="L17" s="70">
        <f>'[1]EOR.1F, EOR.1'!$K$91</f>
        <v>136707.26308755999</v>
      </c>
      <c r="M17" s="70">
        <f>'[1]EOR.1F, EOR.1'!$K$91</f>
        <v>136707.26308755999</v>
      </c>
      <c r="N17" s="70">
        <f>'[1]EOR.1F, EOR.1'!$K$91</f>
        <v>136707.26308755999</v>
      </c>
      <c r="O17" s="70">
        <f>'[1]EOR.1F, EOR.1'!$K$16+'[1]EOR.1F, EOR.1'!$K$35</f>
        <v>195608.19998186617</v>
      </c>
      <c r="P17" s="70">
        <f>'[1]EOR.1F, EOR.1'!$K$16+'[1]EOR.1F, EOR.1'!$K$35</f>
        <v>195608.19998186617</v>
      </c>
      <c r="Q17" s="70">
        <f>'[1]EOR.1F, EOR.1'!$K$16+'[1]EOR.1F, EOR.1'!$K$35</f>
        <v>195608.19998186617</v>
      </c>
      <c r="R17" s="70">
        <f>'[1]EOR.1F, EOR.1'!$K$16+'[1]EOR.1F, EOR.1'!$K$35</f>
        <v>195608.19998186617</v>
      </c>
      <c r="S17" s="70">
        <f>'[1]EOR.1F, EOR.1'!$K$16+'[1]EOR.1F, EOR.1'!$K$35</f>
        <v>195608.19998186617</v>
      </c>
      <c r="T17" s="70">
        <f>'[1]EOR.1F, EOR.1'!$K$16+'[1]EOR.1F, EOR.1'!$K$35</f>
        <v>195608.19998186617</v>
      </c>
      <c r="U17" s="70">
        <f>'[1]EOR.1F, EOR.1'!$K$16+'[1]EOR.1F, EOR.1'!$K$35</f>
        <v>195608.19998186617</v>
      </c>
      <c r="V17" s="70">
        <f>'[1]EOR.1F, EOR.1'!$K$16+'[1]EOR.1F, EOR.1'!$K$35</f>
        <v>195608.19998186617</v>
      </c>
      <c r="W17" s="70">
        <f>'[1]EOR.1F, EOR.1'!$K$16+'[1]EOR.1F, EOR.1'!$K$35</f>
        <v>195608.19998186617</v>
      </c>
      <c r="X17" s="114">
        <f>'[1]EOR.1F, EOR.1'!$K$16+'[1]EOR.1F, EOR.1'!$K$35</f>
        <v>195608.19998186617</v>
      </c>
      <c r="Y17" s="115">
        <f>'[1]EOR.1F, EOR.1'!$K$16+'[1]EOR.1F, EOR.1'!$K$35</f>
        <v>195608.19998186617</v>
      </c>
      <c r="Z17" s="116">
        <f>'[1]EOR.1F, EOR.1'!$K$16+'[1]EOR.1F, EOR.1'!$K$35</f>
        <v>195608.19998186617</v>
      </c>
      <c r="AA17" s="32"/>
    </row>
    <row r="18" spans="1:28" x14ac:dyDescent="0.3">
      <c r="A18" s="32" t="s">
        <v>6</v>
      </c>
      <c r="B18" s="256">
        <v>0</v>
      </c>
      <c r="C18" s="70">
        <v>57061.112488556311</v>
      </c>
      <c r="D18" s="70">
        <v>57061.112488556311</v>
      </c>
      <c r="E18" s="70">
        <v>57061.112488556311</v>
      </c>
      <c r="F18" s="70">
        <v>57061.112488556311</v>
      </c>
      <c r="G18" s="70">
        <v>57061.112488556311</v>
      </c>
      <c r="H18" s="70">
        <v>57061.112488556311</v>
      </c>
      <c r="I18" s="70">
        <v>57061.112488556311</v>
      </c>
      <c r="J18" s="70">
        <v>57061.112488556311</v>
      </c>
      <c r="K18" s="70">
        <v>57061.112488556311</v>
      </c>
      <c r="L18" s="70">
        <f>'[1]EOR.1F, EOR.1'!$K$92</f>
        <v>57061.112488556311</v>
      </c>
      <c r="M18" s="70">
        <f>'[1]EOR.1F, EOR.1'!$K$92</f>
        <v>57061.112488556311</v>
      </c>
      <c r="N18" s="70">
        <f>'[1]EOR.1F, EOR.1'!$K$92</f>
        <v>57061.112488556311</v>
      </c>
      <c r="O18" s="70">
        <f>'[1]EOR.1F, EOR.1'!$K$17+'[1]EOR.1F, EOR.1'!$K$36</f>
        <v>84471.384932331363</v>
      </c>
      <c r="P18" s="70">
        <f>'[1]EOR.1F, EOR.1'!$K$17+'[1]EOR.1F, EOR.1'!$K$36</f>
        <v>84471.384932331363</v>
      </c>
      <c r="Q18" s="70">
        <f>'[1]EOR.1F, EOR.1'!$K$17+'[1]EOR.1F, EOR.1'!$K$36</f>
        <v>84471.384932331363</v>
      </c>
      <c r="R18" s="70">
        <f>'[1]EOR.1F, EOR.1'!$K$17+'[1]EOR.1F, EOR.1'!$K$36</f>
        <v>84471.384932331363</v>
      </c>
      <c r="S18" s="70">
        <f>'[1]EOR.1F, EOR.1'!$K$17+'[1]EOR.1F, EOR.1'!$K$36</f>
        <v>84471.384932331363</v>
      </c>
      <c r="T18" s="70">
        <f>'[1]EOR.1F, EOR.1'!$K$17+'[1]EOR.1F, EOR.1'!$K$36</f>
        <v>84471.384932331363</v>
      </c>
      <c r="U18" s="70">
        <f>'[1]EOR.1F, EOR.1'!$K$17+'[1]EOR.1F, EOR.1'!$K$36</f>
        <v>84471.384932331363</v>
      </c>
      <c r="V18" s="70">
        <f>'[1]EOR.1F, EOR.1'!$K$17+'[1]EOR.1F, EOR.1'!$K$36</f>
        <v>84471.384932331363</v>
      </c>
      <c r="W18" s="70">
        <f>'[1]EOR.1F, EOR.1'!$K$17+'[1]EOR.1F, EOR.1'!$K$36</f>
        <v>84471.384932331363</v>
      </c>
      <c r="X18" s="114">
        <f>'[1]EOR.1F, EOR.1'!$K$17+'[1]EOR.1F, EOR.1'!$K$36</f>
        <v>84471.384932331363</v>
      </c>
      <c r="Y18" s="115">
        <f>'[1]EOR.1F, EOR.1'!$K$17+'[1]EOR.1F, EOR.1'!$K$36</f>
        <v>84471.384932331363</v>
      </c>
      <c r="Z18" s="116">
        <f>'[1]EOR.1F, EOR.1'!$K$17+'[1]EOR.1F, EOR.1'!$K$36</f>
        <v>84471.384932331363</v>
      </c>
      <c r="AA18" s="32"/>
    </row>
    <row r="19" spans="1:28" x14ac:dyDescent="0.3">
      <c r="A19" s="32" t="s">
        <v>7</v>
      </c>
      <c r="B19" s="256">
        <v>0</v>
      </c>
      <c r="C19" s="70">
        <v>24906.284299744875</v>
      </c>
      <c r="D19" s="70">
        <v>24906.284299744875</v>
      </c>
      <c r="E19" s="70">
        <v>24906.284299744875</v>
      </c>
      <c r="F19" s="70">
        <v>24906.284299744875</v>
      </c>
      <c r="G19" s="70">
        <v>24906.284299744875</v>
      </c>
      <c r="H19" s="70">
        <v>24906.284299744875</v>
      </c>
      <c r="I19" s="70">
        <v>24906.284299744875</v>
      </c>
      <c r="J19" s="70">
        <v>24906.284299744875</v>
      </c>
      <c r="K19" s="70">
        <v>24906.284299744875</v>
      </c>
      <c r="L19" s="70">
        <f>'[1]EOR.1F, EOR.1'!$K$93</f>
        <v>24906.284299744875</v>
      </c>
      <c r="M19" s="70">
        <f>'[1]EOR.1F, EOR.1'!$K$93</f>
        <v>24906.284299744875</v>
      </c>
      <c r="N19" s="70">
        <f>'[1]EOR.1F, EOR.1'!$K$93</f>
        <v>24906.284299744875</v>
      </c>
      <c r="O19" s="70">
        <f>'[1]EOR.1F, EOR.1'!$K$18+'[1]EOR.1F, EOR.1'!$K$37</f>
        <v>34738.843953678122</v>
      </c>
      <c r="P19" s="70">
        <f>'[1]EOR.1F, EOR.1'!$K$18+'[1]EOR.1F, EOR.1'!$K$37</f>
        <v>34738.843953678122</v>
      </c>
      <c r="Q19" s="70">
        <f>'[1]EOR.1F, EOR.1'!$K$18+'[1]EOR.1F, EOR.1'!$K$37</f>
        <v>34738.843953678122</v>
      </c>
      <c r="R19" s="70">
        <f>'[1]EOR.1F, EOR.1'!$K$18+'[1]EOR.1F, EOR.1'!$K$37</f>
        <v>34738.843953678122</v>
      </c>
      <c r="S19" s="70">
        <f>'[1]EOR.1F, EOR.1'!$K$18+'[1]EOR.1F, EOR.1'!$K$37</f>
        <v>34738.843953678122</v>
      </c>
      <c r="T19" s="70">
        <f>'[1]EOR.1F, EOR.1'!$K$18+'[1]EOR.1F, EOR.1'!$K$37</f>
        <v>34738.843953678122</v>
      </c>
      <c r="U19" s="70">
        <f>'[1]EOR.1F, EOR.1'!$K$18+'[1]EOR.1F, EOR.1'!$K$37</f>
        <v>34738.843953678122</v>
      </c>
      <c r="V19" s="70">
        <f>'[1]EOR.1F, EOR.1'!$K$18+'[1]EOR.1F, EOR.1'!$K$37</f>
        <v>34738.843953678122</v>
      </c>
      <c r="W19" s="70">
        <f>'[1]EOR.1F, EOR.1'!$K$18+'[1]EOR.1F, EOR.1'!$K$37</f>
        <v>34738.843953678122</v>
      </c>
      <c r="X19" s="114">
        <f>'[1]EOR.1F, EOR.1'!$K$18+'[1]EOR.1F, EOR.1'!$K$37</f>
        <v>34738.843953678122</v>
      </c>
      <c r="Y19" s="115">
        <f>'[1]EOR.1F, EOR.1'!$K$18+'[1]EOR.1F, EOR.1'!$K$37</f>
        <v>34738.843953678122</v>
      </c>
      <c r="Z19" s="116">
        <f>'[1]EOR.1F, EOR.1'!$K$18+'[1]EOR.1F, EOR.1'!$K$37</f>
        <v>34738.843953678122</v>
      </c>
      <c r="AA19" s="32"/>
    </row>
    <row r="20" spans="1:28" x14ac:dyDescent="0.3">
      <c r="B20" s="73"/>
      <c r="C20" s="74"/>
      <c r="D20" s="74"/>
      <c r="E20" s="74"/>
      <c r="F20" s="74"/>
      <c r="G20" s="74"/>
      <c r="H20" s="74"/>
      <c r="I20" s="74"/>
      <c r="J20" s="74"/>
      <c r="K20" s="74"/>
      <c r="L20" s="74"/>
      <c r="M20" s="74"/>
      <c r="N20" s="74"/>
      <c r="O20" s="74"/>
      <c r="P20" s="74"/>
      <c r="Q20" s="74"/>
      <c r="R20" s="74"/>
      <c r="S20" s="74"/>
      <c r="T20" s="74"/>
      <c r="U20" s="74"/>
      <c r="V20" s="74"/>
      <c r="W20" s="74"/>
      <c r="X20" s="73"/>
      <c r="Y20" s="74"/>
      <c r="Z20" s="77"/>
    </row>
    <row r="21" spans="1:28" x14ac:dyDescent="0.3">
      <c r="A21" s="139" t="s">
        <v>141</v>
      </c>
      <c r="B21" s="73"/>
      <c r="C21" s="74"/>
      <c r="D21" s="74"/>
      <c r="E21" s="74"/>
      <c r="F21" s="74"/>
      <c r="G21" s="74"/>
      <c r="H21" s="74"/>
      <c r="I21" s="74"/>
      <c r="J21" s="74"/>
      <c r="K21" s="74"/>
      <c r="L21" s="74"/>
      <c r="M21" s="74"/>
      <c r="N21" s="74"/>
      <c r="O21" s="74"/>
      <c r="P21" s="74"/>
      <c r="Q21" s="74"/>
      <c r="R21" s="74"/>
      <c r="S21" s="74"/>
      <c r="T21" s="74"/>
      <c r="U21" s="74"/>
      <c r="V21" s="74"/>
      <c r="W21" s="74"/>
      <c r="X21" s="73"/>
      <c r="Y21" s="74"/>
      <c r="Z21" s="77"/>
      <c r="AA21" s="91" t="s">
        <v>106</v>
      </c>
      <c r="AB21" s="32"/>
    </row>
    <row r="22" spans="1:28" x14ac:dyDescent="0.3">
      <c r="A22" s="32" t="s">
        <v>0</v>
      </c>
      <c r="B22" s="256">
        <v>0</v>
      </c>
      <c r="C22" s="70">
        <v>157696.34999999998</v>
      </c>
      <c r="D22" s="70">
        <v>262118.75000000003</v>
      </c>
      <c r="E22" s="70">
        <v>176918.09999999998</v>
      </c>
      <c r="F22" s="70">
        <v>166217.88</v>
      </c>
      <c r="G22" s="70">
        <v>218023.10000000006</v>
      </c>
      <c r="H22" s="70">
        <v>287988.33</v>
      </c>
      <c r="I22" s="70">
        <v>293829.03999999998</v>
      </c>
      <c r="J22" s="70">
        <v>288623.95</v>
      </c>
      <c r="K22" s="70">
        <v>199870.21</v>
      </c>
      <c r="L22" s="70">
        <f>-'[1]EOR.2 (M3)'!K5</f>
        <v>187290.08000000002</v>
      </c>
      <c r="M22" s="70">
        <f>-'[1]EOR.2 (M3)'!L5</f>
        <v>234342.37999999998</v>
      </c>
      <c r="N22" s="70">
        <f>-'[1]EOR.2 (M3)'!M5</f>
        <v>302905.40999999997</v>
      </c>
      <c r="O22" s="70">
        <f>-'[1]EOR.2 (M3)'!N5</f>
        <v>971398.06</v>
      </c>
      <c r="P22" s="70">
        <f>-'[1]EOR.2 (M3)'!O5</f>
        <v>390125.46</v>
      </c>
      <c r="Q22" s="70">
        <f>-'[1]EOR.2 (M3)'!P5</f>
        <v>298029.42</v>
      </c>
      <c r="R22" s="70">
        <f>-'[1]EOR.2 (M3)'!Q5</f>
        <v>278820.68</v>
      </c>
      <c r="S22" s="70">
        <f>-'[1]EOR.2 (M3)'!R5</f>
        <v>354413.77999999997</v>
      </c>
      <c r="T22" s="70">
        <f>-'[1]EOR.2 (M3)'!S5</f>
        <v>487506.99999999988</v>
      </c>
      <c r="U22" s="70">
        <f>-'[1]EOR.2 (M3)'!T5</f>
        <v>464335.1700000001</v>
      </c>
      <c r="V22" s="70">
        <f>-'[1]EOR.2 (M3)'!U5</f>
        <v>386724.81000000011</v>
      </c>
      <c r="W22" s="70">
        <f>-'[1]EOR.2 (M3)'!V5</f>
        <v>278400.09000000014</v>
      </c>
      <c r="X22" s="382">
        <f>'PCR (M3)'!AW28*$AA$22+X36</f>
        <v>270379.92565971974</v>
      </c>
      <c r="Y22" s="89">
        <f>'PCR (M3)'!AX28*$AA$22+Y36</f>
        <v>388603.63837950153</v>
      </c>
      <c r="Z22" s="371">
        <f>'PCR (M3)'!AY28*$AA$22+Z36</f>
        <v>480401.24854830379</v>
      </c>
      <c r="AA22" s="80">
        <v>3.4400000000000001E-4</v>
      </c>
      <c r="AB22" s="32"/>
    </row>
    <row r="23" spans="1:28" x14ac:dyDescent="0.3">
      <c r="A23" s="32" t="s">
        <v>4</v>
      </c>
      <c r="B23" s="256">
        <v>0</v>
      </c>
      <c r="C23" s="70">
        <v>34382.359999999993</v>
      </c>
      <c r="D23" s="70">
        <v>65187.54</v>
      </c>
      <c r="E23" s="70">
        <v>51850.529999999984</v>
      </c>
      <c r="F23" s="70">
        <v>50709.489999999983</v>
      </c>
      <c r="G23" s="70">
        <v>60482.549999999988</v>
      </c>
      <c r="H23" s="70">
        <v>71580.460000000006</v>
      </c>
      <c r="I23" s="70">
        <v>71618.059999999983</v>
      </c>
      <c r="J23" s="70">
        <v>72365.91</v>
      </c>
      <c r="K23" s="70">
        <v>60365.950000000004</v>
      </c>
      <c r="L23" s="70">
        <f>-'[1]EOR.2 (M3)'!K6</f>
        <v>53967.649999999994</v>
      </c>
      <c r="M23" s="70">
        <f>-'[1]EOR.2 (M3)'!L6</f>
        <v>61496.84</v>
      </c>
      <c r="N23" s="70">
        <f>-'[1]EOR.2 (M3)'!M6</f>
        <v>72615.059999999983</v>
      </c>
      <c r="O23" s="70">
        <f>-'[1]EOR.2 (M3)'!N6</f>
        <v>240199.46000000002</v>
      </c>
      <c r="P23" s="70">
        <f>-'[1]EOR.2 (M3)'!O6</f>
        <v>77955.22</v>
      </c>
      <c r="Q23" s="70">
        <f>-'[1]EOR.2 (M3)'!P6</f>
        <v>69048.09</v>
      </c>
      <c r="R23" s="70">
        <f>-'[1]EOR.2 (M3)'!Q6</f>
        <v>66642.47</v>
      </c>
      <c r="S23" s="70">
        <f>-'[1]EOR.2 (M3)'!R6</f>
        <v>77325.340000000026</v>
      </c>
      <c r="T23" s="70">
        <f>-'[1]EOR.2 (M3)'!S6</f>
        <v>92407.98000000001</v>
      </c>
      <c r="U23" s="70">
        <f>-'[1]EOR.2 (M3)'!T6</f>
        <v>91024.860000000015</v>
      </c>
      <c r="V23" s="70">
        <f>-'[1]EOR.2 (M3)'!U6</f>
        <v>83345.549999999988</v>
      </c>
      <c r="W23" s="70">
        <f>-'[1]EOR.2 (M3)'!V6</f>
        <v>68631.539999999979</v>
      </c>
      <c r="X23" s="306">
        <f>'PCR (M3)'!AW29*$AA$23</f>
        <v>63559.957468842556</v>
      </c>
      <c r="Y23" s="89">
        <f>'PCR (M3)'!AX29*$AA$23</f>
        <v>76984.894586323804</v>
      </c>
      <c r="Z23" s="371">
        <f>'PCR (M3)'!AY29*$AA$23</f>
        <v>90868.16995796113</v>
      </c>
      <c r="AA23" s="80">
        <v>2.9700000000000001E-4</v>
      </c>
      <c r="AB23" s="32"/>
    </row>
    <row r="24" spans="1:28" x14ac:dyDescent="0.3">
      <c r="A24" s="32" t="s">
        <v>5</v>
      </c>
      <c r="B24" s="256">
        <v>0</v>
      </c>
      <c r="C24" s="70">
        <v>61993.280000000013</v>
      </c>
      <c r="D24" s="70">
        <v>132324.62</v>
      </c>
      <c r="E24" s="70">
        <v>117883.68000000004</v>
      </c>
      <c r="F24" s="70">
        <v>120070.09999999999</v>
      </c>
      <c r="G24" s="70">
        <v>133462.75999999998</v>
      </c>
      <c r="H24" s="70">
        <v>156252.48999999996</v>
      </c>
      <c r="I24" s="70">
        <v>154890.56999999998</v>
      </c>
      <c r="J24" s="70">
        <v>157865.05000000002</v>
      </c>
      <c r="K24" s="70">
        <v>138763.51000000004</v>
      </c>
      <c r="L24" s="70">
        <f>-'[1]EOR.2 (M3)'!K7</f>
        <v>123294.13000000002</v>
      </c>
      <c r="M24" s="70">
        <f>-'[1]EOR.2 (M3)'!L7</f>
        <v>134755.04</v>
      </c>
      <c r="N24" s="70">
        <f>-'[1]EOR.2 (M3)'!M7</f>
        <v>144055.51999999999</v>
      </c>
      <c r="O24" s="70">
        <f>-'[1]EOR.2 (M3)'!N7</f>
        <v>500176.30000000005</v>
      </c>
      <c r="P24" s="70">
        <f>-'[1]EOR.2 (M3)'!O7</f>
        <v>193544.31</v>
      </c>
      <c r="Q24" s="70">
        <f>-'[1]EOR.2 (M3)'!P7</f>
        <v>175699.06999999998</v>
      </c>
      <c r="R24" s="70">
        <f>-'[1]EOR.2 (M3)'!Q7</f>
        <v>184492.13</v>
      </c>
      <c r="S24" s="70">
        <f>-'[1]EOR.2 (M3)'!R7</f>
        <v>206518.16</v>
      </c>
      <c r="T24" s="70">
        <f>-'[1]EOR.2 (M3)'!S7</f>
        <v>229045.56000000003</v>
      </c>
      <c r="U24" s="70">
        <f>-'[1]EOR.2 (M3)'!T7</f>
        <v>230300.69999999998</v>
      </c>
      <c r="V24" s="70">
        <f>-'[1]EOR.2 (M3)'!U7</f>
        <v>219984.12</v>
      </c>
      <c r="W24" s="70">
        <f>-'[1]EOR.2 (M3)'!V7</f>
        <v>189248.49</v>
      </c>
      <c r="X24" s="306">
        <f>'PCR (M3)'!AW30*$AA$24</f>
        <v>180232.20600912272</v>
      </c>
      <c r="Y24" s="89">
        <f>'PCR (M3)'!AX30*$AA$24</f>
        <v>200048.42183954397</v>
      </c>
      <c r="Z24" s="371">
        <f>'PCR (M3)'!AY30*$AA$24</f>
        <v>218974.71287614078</v>
      </c>
      <c r="AA24" s="80">
        <v>3.57E-4</v>
      </c>
      <c r="AB24" s="32"/>
    </row>
    <row r="25" spans="1:28" x14ac:dyDescent="0.3">
      <c r="A25" s="32" t="s">
        <v>6</v>
      </c>
      <c r="B25" s="256">
        <v>0</v>
      </c>
      <c r="C25" s="70">
        <v>22772.02</v>
      </c>
      <c r="D25" s="70">
        <v>49753.889999999992</v>
      </c>
      <c r="E25" s="70">
        <v>50050.459999999985</v>
      </c>
      <c r="F25" s="70">
        <v>51917.840000000018</v>
      </c>
      <c r="G25" s="70">
        <v>49875.689999999995</v>
      </c>
      <c r="H25" s="70">
        <v>66772.61</v>
      </c>
      <c r="I25" s="70">
        <v>61305.869999999995</v>
      </c>
      <c r="J25" s="70">
        <v>62084.26</v>
      </c>
      <c r="K25" s="70">
        <v>53608.65</v>
      </c>
      <c r="L25" s="70">
        <f>-'[1]EOR.2 (M3)'!K8</f>
        <v>46762.649999999994</v>
      </c>
      <c r="M25" s="70">
        <f>-'[1]EOR.2 (M3)'!L8</f>
        <v>61465.96</v>
      </c>
      <c r="N25" s="70">
        <f>-'[1]EOR.2 (M3)'!M8</f>
        <v>59358.80000000001</v>
      </c>
      <c r="O25" s="70">
        <f>-'[1]EOR.2 (M3)'!N8</f>
        <v>214471.97000000003</v>
      </c>
      <c r="P25" s="70">
        <f>-'[1]EOR.2 (M3)'!O8</f>
        <v>90397.930000000022</v>
      </c>
      <c r="Q25" s="70">
        <f>-'[1]EOR.2 (M3)'!P8</f>
        <v>70095.929999999993</v>
      </c>
      <c r="R25" s="70">
        <f>-'[1]EOR.2 (M3)'!Q8</f>
        <v>88817.24</v>
      </c>
      <c r="S25" s="70">
        <f>-'[1]EOR.2 (M3)'!R8</f>
        <v>101024.78000000001</v>
      </c>
      <c r="T25" s="70">
        <f>-'[1]EOR.2 (M3)'!S8</f>
        <v>105129.26999999997</v>
      </c>
      <c r="U25" s="70">
        <f>-'[1]EOR.2 (M3)'!T8</f>
        <v>104285.51</v>
      </c>
      <c r="V25" s="70">
        <f>-'[1]EOR.2 (M3)'!U8</f>
        <v>101638.22</v>
      </c>
      <c r="W25" s="70">
        <f>-'[1]EOR.2 (M3)'!V8</f>
        <v>90067.37</v>
      </c>
      <c r="X25" s="306">
        <f>'PCR (M3)'!AW31*$AA$25</f>
        <v>87692.738883961691</v>
      </c>
      <c r="Y25" s="89">
        <f>'PCR (M3)'!AX31*$AA$25</f>
        <v>91386.527655577403</v>
      </c>
      <c r="Z25" s="371">
        <f>'PCR (M3)'!AY31*$AA$25</f>
        <v>94932.330055185725</v>
      </c>
      <c r="AA25" s="80">
        <v>3.9300000000000001E-4</v>
      </c>
      <c r="AB25" s="32"/>
    </row>
    <row r="26" spans="1:28" x14ac:dyDescent="0.3">
      <c r="A26" s="32" t="s">
        <v>7</v>
      </c>
      <c r="B26" s="256">
        <v>0</v>
      </c>
      <c r="C26" s="70">
        <v>8260.7199999999993</v>
      </c>
      <c r="D26" s="70">
        <v>12852.73</v>
      </c>
      <c r="E26" s="70">
        <v>21099.699999999997</v>
      </c>
      <c r="F26" s="70">
        <v>21436.389999999996</v>
      </c>
      <c r="G26" s="70">
        <v>20688.54</v>
      </c>
      <c r="H26" s="70">
        <v>26402.519999999997</v>
      </c>
      <c r="I26" s="70">
        <v>25134.159999999996</v>
      </c>
      <c r="J26" s="70">
        <v>27177.62</v>
      </c>
      <c r="K26" s="70">
        <v>24910.239999999994</v>
      </c>
      <c r="L26" s="70">
        <f>-'[1]EOR.2 (M3)'!K9</f>
        <v>16537.5</v>
      </c>
      <c r="M26" s="70">
        <f>-'[1]EOR.2 (M3)'!L9</f>
        <v>23186.94</v>
      </c>
      <c r="N26" s="70">
        <f>-'[1]EOR.2 (M3)'!M9</f>
        <v>21604.960000000003</v>
      </c>
      <c r="O26" s="70">
        <f>-'[1]EOR.2 (M3)'!N9</f>
        <v>111481.37000000002</v>
      </c>
      <c r="P26" s="70">
        <f>-'[1]EOR.2 (M3)'!O9</f>
        <v>43645.109999999993</v>
      </c>
      <c r="Q26" s="70">
        <f>-'[1]EOR.2 (M3)'!P9</f>
        <v>-50755.6</v>
      </c>
      <c r="R26" s="70">
        <f>-'[1]EOR.2 (M3)'!Q9</f>
        <v>36959.53</v>
      </c>
      <c r="S26" s="70">
        <f>-'[1]EOR.2 (M3)'!R9</f>
        <v>45054.05</v>
      </c>
      <c r="T26" s="70">
        <f>-'[1]EOR.2 (M3)'!S9</f>
        <v>51687.740000000013</v>
      </c>
      <c r="U26" s="70">
        <f>-'[1]EOR.2 (M3)'!T9</f>
        <v>51107.55</v>
      </c>
      <c r="V26" s="70">
        <f>-'[1]EOR.2 (M3)'!U9</f>
        <v>53280.58</v>
      </c>
      <c r="W26" s="70">
        <f>-'[1]EOR.2 (M3)'!V9</f>
        <v>45772.969999999994</v>
      </c>
      <c r="X26" s="306">
        <f>'PCR (M3)'!AW32*$AA$26</f>
        <v>44386.499367010911</v>
      </c>
      <c r="Y26" s="89">
        <f>'PCR (M3)'!AX32*$AA$26</f>
        <v>43492.271392258299</v>
      </c>
      <c r="Z26" s="371">
        <f>'PCR (M3)'!AY32*$AA$26</f>
        <v>45823.916791535412</v>
      </c>
      <c r="AA26" s="80">
        <v>5.1800000000000001E-4</v>
      </c>
      <c r="AB26" s="32"/>
    </row>
    <row r="27" spans="1:28" x14ac:dyDescent="0.3">
      <c r="A27" s="32"/>
      <c r="B27" s="82"/>
      <c r="C27" s="83"/>
      <c r="D27" s="83"/>
      <c r="E27" s="83"/>
      <c r="F27" s="83"/>
      <c r="G27" s="83"/>
      <c r="H27" s="83"/>
      <c r="I27" s="83"/>
      <c r="J27" s="83"/>
      <c r="K27" s="83"/>
      <c r="L27" s="83"/>
      <c r="M27" s="83"/>
      <c r="N27" s="83"/>
      <c r="O27" s="83"/>
      <c r="P27" s="83"/>
      <c r="Q27" s="83"/>
      <c r="R27" s="83"/>
      <c r="S27" s="83"/>
      <c r="T27" s="83"/>
      <c r="U27" s="83"/>
      <c r="V27" s="83"/>
      <c r="W27" s="83"/>
      <c r="X27" s="75"/>
      <c r="Y27" s="74"/>
      <c r="Z27" s="77"/>
    </row>
    <row r="28" spans="1:28" x14ac:dyDescent="0.3">
      <c r="A28" s="32" t="s">
        <v>101</v>
      </c>
      <c r="B28" s="73"/>
      <c r="C28" s="74"/>
      <c r="D28" s="74"/>
      <c r="E28" s="74"/>
      <c r="F28" s="74"/>
      <c r="G28" s="74"/>
      <c r="H28" s="74"/>
      <c r="I28" s="74"/>
      <c r="J28" s="74"/>
      <c r="K28" s="74"/>
      <c r="L28" s="74"/>
      <c r="M28" s="74"/>
      <c r="N28" s="74"/>
      <c r="O28" s="74"/>
      <c r="P28" s="74"/>
      <c r="Q28" s="74"/>
      <c r="R28" s="74"/>
      <c r="S28" s="74"/>
      <c r="T28" s="74"/>
      <c r="U28" s="74"/>
      <c r="V28" s="74"/>
      <c r="W28" s="74"/>
      <c r="X28" s="73"/>
      <c r="Y28" s="74"/>
      <c r="Z28" s="77"/>
    </row>
    <row r="29" spans="1:28" x14ac:dyDescent="0.3">
      <c r="A29" s="139" t="s">
        <v>0</v>
      </c>
      <c r="B29" s="306">
        <v>0</v>
      </c>
      <c r="C29" s="332">
        <f>+(C22-C36)+((C36*'PCR (M3)'!AB28)/SUM('PCR (M3)'!AB28:AB32))</f>
        <v>160226.20913103136</v>
      </c>
      <c r="D29" s="332">
        <f>+(D22-D36)+((D36*'PCR (M3)'!AC28)/SUM('PCR (M3)'!AC28:AC32))</f>
        <v>266689.59410930384</v>
      </c>
      <c r="E29" s="332">
        <f>+(E22-E36)+((E36*'PCR (M3)'!AD28)/SUM('PCR (M3)'!AD28:AD32))</f>
        <v>180392.6844764947</v>
      </c>
      <c r="F29" s="332">
        <f>+(F22-F36)+((F36*'PCR (M3)'!AE28)/SUM('PCR (M3)'!AE28:AE32))</f>
        <v>169368.15907594661</v>
      </c>
      <c r="G29" s="332">
        <f>+(G22-G36)+((G36*'PCR (M3)'!AF28)/SUM('PCR (M3)'!AF28:AF32))</f>
        <v>221301.421768225</v>
      </c>
      <c r="H29" s="332">
        <f>+(H22-H36)+((H36*'PCR (M3)'!AG28)/SUM('PCR (M3)'!AG28:AG32))</f>
        <v>292132.20362459257</v>
      </c>
      <c r="I29" s="332">
        <f>+(I22-I36)+((I36*'PCR (M3)'!AH28)/SUM('PCR (M3)'!AH28:AH32))</f>
        <v>297952.44091320893</v>
      </c>
      <c r="J29" s="332">
        <f>+(J22-J36)+((J36*'PCR (M3)'!AI28)/SUM('PCR (M3)'!AI28:AI32))</f>
        <v>292795.29300274886</v>
      </c>
      <c r="K29" s="332">
        <f>+(K22-K36)+((K36*'PCR (M3)'!AJ28)/SUM('PCR (M3)'!AJ28:AJ32))</f>
        <v>203147.7989032513</v>
      </c>
      <c r="L29" s="332">
        <f>+(L22-L36)+((L36*'PCR (M3)'!AK28)/SUM('PCR (M3)'!AK28:AK32))</f>
        <v>191193.41672248224</v>
      </c>
      <c r="M29" s="332">
        <f>+(M22-M36)+((M36*'PCR (M3)'!AL28)/SUM('PCR (M3)'!AL28:AL32))</f>
        <v>239663.01588420552</v>
      </c>
      <c r="N29" s="332">
        <f>+(N22-N36)+((N36*'PCR (M3)'!AM28)/SUM('PCR (M3)'!AM28:AM32))</f>
        <v>309425.78781111876</v>
      </c>
      <c r="O29" s="332">
        <f>+(O22-O36)+((O36*'PCR (M3)'!AN28)/SUM('PCR (M3)'!AN28:AN32))</f>
        <v>994127.82749669568</v>
      </c>
      <c r="P29" s="332">
        <f>+(P22-P36)+((P36*'PCR (M3)'!AO28)/SUM('PCR (M3)'!AO28:AO32))</f>
        <v>399138.45370659913</v>
      </c>
      <c r="Q29" s="332">
        <f>+(Q22-Q36)+((Q36*'PCR (M3)'!AP28)/SUM('PCR (M3)'!AP28:AP32))</f>
        <v>305029.68732026225</v>
      </c>
      <c r="R29" s="332">
        <f>+(R22-R36)+((R36*'PCR (M3)'!AQ28)/SUM('PCR (M3)'!AQ28:AQ32))</f>
        <v>284026.23248041508</v>
      </c>
      <c r="S29" s="332">
        <f>+(S22-S36)+((S36*'PCR (M3)'!AR28)/SUM('PCR (M3)'!AR28:AR32))</f>
        <v>359931.27802498243</v>
      </c>
      <c r="T29" s="332">
        <f>+(T22-T36)+((T36*'PCR (M3)'!AS28)/SUM('PCR (M3)'!AS28:AS32))</f>
        <v>494291.21261405293</v>
      </c>
      <c r="U29" s="332">
        <f>+(U22-U36)+((U36*'PCR (M3)'!AT28)/SUM('PCR (M3)'!AT28:AT32))</f>
        <v>471196.62510552246</v>
      </c>
      <c r="V29" s="332">
        <f>+(V22-V36)+((V36*'PCR (M3)'!AU28)/SUM('PCR (M3)'!AU28:AU32))</f>
        <v>393132.51792568876</v>
      </c>
      <c r="W29" s="332">
        <f>+(W22-W36)+((W36*'PCR (M3)'!AV28)/SUM('PCR (M3)'!AV28:AV32))</f>
        <v>283854.0943363987</v>
      </c>
      <c r="X29" s="333">
        <f>+(X22-X36)+((X36*'PCR (M3)'!AW28)/SUM('PCR (M3)'!AW28:AW32))</f>
        <v>277601.55367341603</v>
      </c>
      <c r="Y29" s="332">
        <f>+(Y22-Y36)+((Y36*'PCR (M3)'!AX28)/SUM('PCR (M3)'!AX28:AX32))</f>
        <v>397760.13882085978</v>
      </c>
      <c r="Z29" s="334">
        <f>+(Z22-Z36)+((Z36*'PCR (M3)'!AY28)/SUM('PCR (M3)'!AY28:AY32))</f>
        <v>491046.38536288252</v>
      </c>
    </row>
    <row r="30" spans="1:28" x14ac:dyDescent="0.3">
      <c r="A30" s="139" t="s">
        <v>4</v>
      </c>
      <c r="B30" s="306">
        <v>0</v>
      </c>
      <c r="C30" s="332">
        <f>+C23+((C36*'PCR (M3)'!AB29)/SUM('PCR (M3)'!AB28:AB32))</f>
        <v>33770.813675455756</v>
      </c>
      <c r="D30" s="332">
        <f>+D23+((D36*'PCR (M3)'!AC29)/SUM('PCR (M3)'!AC28:AC32))</f>
        <v>64060.305335847814</v>
      </c>
      <c r="E30" s="332">
        <f>+E23+((E36*'PCR (M3)'!AD29)/SUM('PCR (M3)'!AD28:AD32))</f>
        <v>51112.88223674969</v>
      </c>
      <c r="F30" s="332">
        <f>+F23+((F36*'PCR (M3)'!AE29)/SUM('PCR (M3)'!AE28:AE32))</f>
        <v>50069.677500560814</v>
      </c>
      <c r="G30" s="332">
        <f>+G23+((G36*'PCR (M3)'!AF29)/SUM('PCR (M3)'!AF28:AF32))</f>
        <v>59747.816071353562</v>
      </c>
      <c r="H30" s="332">
        <f>+H23+((H36*'PCR (M3)'!AG29)/SUM('PCR (M3)'!AG28:AG32))</f>
        <v>70671.956193371996</v>
      </c>
      <c r="I30" s="332">
        <f>+I23+((I36*'PCR (M3)'!AH29)/SUM('PCR (M3)'!AH28:AH32))</f>
        <v>70690.427479049366</v>
      </c>
      <c r="J30" s="332">
        <f>+J23+((J36*'PCR (M3)'!AI29)/SUM('PCR (M3)'!AI28:AI32))</f>
        <v>71437.427866198152</v>
      </c>
      <c r="K30" s="332">
        <f>+K23+((K36*'PCR (M3)'!AJ29)/SUM('PCR (M3)'!AJ28:AJ32))</f>
        <v>59665.843375388213</v>
      </c>
      <c r="L30" s="332">
        <f>+L23+((L36*'PCR (M3)'!AK29)/SUM('PCR (M3)'!AK28:AK32))</f>
        <v>53106.477274847057</v>
      </c>
      <c r="M30" s="332">
        <f>+M23+((M36*'PCR (M3)'!AL29)/SUM('PCR (M3)'!AL28:AL32))</f>
        <v>60364.254937952632</v>
      </c>
      <c r="N30" s="332">
        <f>+N23+((N36*'PCR (M3)'!AM29)/SUM('PCR (M3)'!AM28:AM32))</f>
        <v>71051.825159393047</v>
      </c>
      <c r="O30" s="332">
        <f>+O23+((O36*'PCR (M3)'!AN29)/SUM('PCR (M3)'!AN28:AN32))</f>
        <v>234519.72321815527</v>
      </c>
      <c r="P30" s="332">
        <f>+P23+((P36*'PCR (M3)'!AO29)/SUM('PCR (M3)'!AO28:AO32))</f>
        <v>75809.848154096166</v>
      </c>
      <c r="Q30" s="332">
        <f>+Q23+((Q36*'PCR (M3)'!AP29)/SUM('PCR (M3)'!AP28:AP32))</f>
        <v>67508.592160432818</v>
      </c>
      <c r="R30" s="332">
        <f>+R23+((R36*'PCR (M3)'!AQ29)/SUM('PCR (M3)'!AQ28:AQ32))</f>
        <v>65518.417074567413</v>
      </c>
      <c r="S30" s="332">
        <f>+S23+((S36*'PCR (M3)'!AR29)/SUM('PCR (M3)'!AR28:AR32))</f>
        <v>76105.026855407603</v>
      </c>
      <c r="T30" s="332">
        <f>+T23+((T36*'PCR (M3)'!AS29)/SUM('PCR (M3)'!AS28:AS32))</f>
        <v>90815.279182289174</v>
      </c>
      <c r="U30" s="332">
        <f>+U23+((U36*'PCR (M3)'!AT29)/SUM('PCR (M3)'!AT28:AT32))</f>
        <v>89439.010558452996</v>
      </c>
      <c r="V30" s="332">
        <f>+V23+((V36*'PCR (M3)'!AU29)/SUM('PCR (M3)'!AU28:AU32))</f>
        <v>81920.333747872501</v>
      </c>
      <c r="W30" s="332">
        <f>+W23+((W36*'PCR (M3)'!AV29)/SUM('PCR (M3)'!AV28:AV32))</f>
        <v>67467.071794130185</v>
      </c>
      <c r="X30" s="333">
        <f>+X23+((X36*'PCR (M3)'!AW29)/SUM('PCR (M3)'!AW28:AW32))</f>
        <v>62056.113402478994</v>
      </c>
      <c r="Y30" s="332">
        <f>+Y23+((Y36*'PCR (M3)'!AX29)/SUM('PCR (M3)'!AX28:AX32))</f>
        <v>74895.718092753392</v>
      </c>
      <c r="Z30" s="334">
        <f>+Z23+((Z36*'PCR (M3)'!AY29)/SUM('PCR (M3)'!AY28:AY32))</f>
        <v>88261.279839912982</v>
      </c>
    </row>
    <row r="31" spans="1:28" x14ac:dyDescent="0.3">
      <c r="A31" s="139" t="s">
        <v>5</v>
      </c>
      <c r="B31" s="306">
        <v>0</v>
      </c>
      <c r="C31" s="332">
        <f>+C24+((C36*'PCR (M3)'!AB30)/SUM('PCR (M3)'!AB28:AB32))</f>
        <v>60813.384259280174</v>
      </c>
      <c r="D31" s="332">
        <f>+D24+((D36*'PCR (M3)'!AC30)/SUM('PCR (M3)'!AC28:AC32))</f>
        <v>130015.25334081674</v>
      </c>
      <c r="E31" s="332">
        <f>+E24+((E36*'PCR (M3)'!AD30)/SUM('PCR (M3)'!AD28:AD32))</f>
        <v>116195.01795554129</v>
      </c>
      <c r="F31" s="332">
        <f>+F24+((F36*'PCR (M3)'!AE30)/SUM('PCR (M3)'!AE28:AE32))</f>
        <v>118540.74227361585</v>
      </c>
      <c r="G31" s="332">
        <f>+G24+((G36*'PCR (M3)'!AF30)/SUM('PCR (M3)'!AF28:AF32))</f>
        <v>131833.22703362652</v>
      </c>
      <c r="H31" s="332">
        <f>+H24+((H36*'PCR (M3)'!AG30)/SUM('PCR (M3)'!AG28:AG32))</f>
        <v>154256.14505500838</v>
      </c>
      <c r="I31" s="332">
        <f>+I24+((I36*'PCR (M3)'!AH30)/SUM('PCR (M3)'!AH28:AH32))</f>
        <v>152869.93746720301</v>
      </c>
      <c r="J31" s="332">
        <f>+J24+((J36*'PCR (M3)'!AI30)/SUM('PCR (M3)'!AI28:AI32))</f>
        <v>155824.30133141129</v>
      </c>
      <c r="K31" s="332">
        <f>+K24+((K36*'PCR (M3)'!AJ30)/SUM('PCR (M3)'!AJ28:AJ32))</f>
        <v>137141.80472304314</v>
      </c>
      <c r="L31" s="332">
        <f>+L24+((L36*'PCR (M3)'!AK30)/SUM('PCR (M3)'!AK28:AK32))</f>
        <v>121312.61711797112</v>
      </c>
      <c r="M31" s="332">
        <f>+M24+((M36*'PCR (M3)'!AL30)/SUM('PCR (M3)'!AL28:AL32))</f>
        <v>132258.2814239724</v>
      </c>
      <c r="N31" s="332">
        <f>+N24+((N36*'PCR (M3)'!AM30)/SUM('PCR (M3)'!AM28:AM32))</f>
        <v>140928.87753962615</v>
      </c>
      <c r="O31" s="332">
        <f>+O24+((O36*'PCR (M3)'!AN30)/SUM('PCR (M3)'!AN28:AN32))</f>
        <v>489192.03970835207</v>
      </c>
      <c r="P31" s="332">
        <f>+P24+((P36*'PCR (M3)'!AO30)/SUM('PCR (M3)'!AO28:AO32))</f>
        <v>189155.33120630635</v>
      </c>
      <c r="Q31" s="332">
        <f>+Q24+((Q36*'PCR (M3)'!AP30)/SUM('PCR (M3)'!AP28:AP32))</f>
        <v>172323.03532224926</v>
      </c>
      <c r="R31" s="332">
        <f>+R24+((R36*'PCR (M3)'!AQ30)/SUM('PCR (M3)'!AQ28:AQ32))</f>
        <v>181902.75972910927</v>
      </c>
      <c r="S31" s="332">
        <f>+S24+((S36*'PCR (M3)'!AR30)/SUM('PCR (M3)'!AR28:AR32))</f>
        <v>203803.41780704333</v>
      </c>
      <c r="T31" s="332">
        <f>+T24+((T36*'PCR (M3)'!AS30)/SUM('PCR (M3)'!AS28:AS32))</f>
        <v>225727.00724228862</v>
      </c>
      <c r="U31" s="332">
        <f>+U24+((U36*'PCR (M3)'!AT30)/SUM('PCR (M3)'!AT28:AT32))</f>
        <v>226950.25166138777</v>
      </c>
      <c r="V31" s="332">
        <f>+V24+((V36*'PCR (M3)'!AU30)/SUM('PCR (M3)'!AU28:AU32))</f>
        <v>216840.39536781848</v>
      </c>
      <c r="W31" s="332">
        <f>+W24+((W36*'PCR (M3)'!AV30)/SUM('PCR (M3)'!AV28:AV32))</f>
        <v>186565.64591375092</v>
      </c>
      <c r="X31" s="333">
        <f>+X24+((X36*'PCR (M3)'!AW30)/SUM('PCR (M3)'!AW28:AW32))</f>
        <v>176684.56358044758</v>
      </c>
      <c r="Y31" s="332">
        <f>+Y24+((Y36*'PCR (M3)'!AX30)/SUM('PCR (M3)'!AX28:AX32))</f>
        <v>195532.01585598782</v>
      </c>
      <c r="Z31" s="334">
        <f>+Z24+((Z36*'PCR (M3)'!AY30)/SUM('PCR (M3)'!AY28:AY32))</f>
        <v>213748.42722758793</v>
      </c>
    </row>
    <row r="32" spans="1:28" x14ac:dyDescent="0.3">
      <c r="A32" s="139" t="s">
        <v>6</v>
      </c>
      <c r="B32" s="306">
        <v>0</v>
      </c>
      <c r="C32" s="332">
        <f>+C25+((C36*'PCR (M3)'!AB31)/SUM('PCR (M3)'!AB28:AB32))</f>
        <v>22259.921004727381</v>
      </c>
      <c r="D32" s="332">
        <f>+D25+((D36*'PCR (M3)'!AC31)/SUM('PCR (M3)'!AC28:AC32))</f>
        <v>48835.449630860479</v>
      </c>
      <c r="E32" s="332">
        <f>+E25+((E36*'PCR (M3)'!AD31)/SUM('PCR (M3)'!AD28:AD32))</f>
        <v>49299.853246252293</v>
      </c>
      <c r="F32" s="332">
        <f>+F25+((F36*'PCR (M3)'!AE31)/SUM('PCR (M3)'!AE28:AE32))</f>
        <v>51229.605118219784</v>
      </c>
      <c r="G32" s="332">
        <f>+G25+((G36*'PCR (M3)'!AF31)/SUM('PCR (M3)'!AF28:AF32))</f>
        <v>49230.130769850351</v>
      </c>
      <c r="H32" s="332">
        <f>+H25+((H36*'PCR (M3)'!AG31)/SUM('PCR (M3)'!AG28:AG32))</f>
        <v>65880.414146704788</v>
      </c>
      <c r="I32" s="332">
        <f>+I25+((I36*'PCR (M3)'!AH31)/SUM('PCR (M3)'!AH28:AH32))</f>
        <v>60468.317751335417</v>
      </c>
      <c r="J32" s="332">
        <f>+J25+((J36*'PCR (M3)'!AI31)/SUM('PCR (M3)'!AI28:AI32))</f>
        <v>61243.837905985201</v>
      </c>
      <c r="K32" s="332">
        <f>+K25+((K36*'PCR (M3)'!AJ31)/SUM('PCR (M3)'!AJ28:AJ32))</f>
        <v>52952.581681673801</v>
      </c>
      <c r="L32" s="332">
        <f>+L25+((L36*'PCR (M3)'!AK31)/SUM('PCR (M3)'!AK28:AK32))</f>
        <v>45975.629942782449</v>
      </c>
      <c r="M32" s="332">
        <f>+M25+((M36*'PCR (M3)'!AL31)/SUM('PCR (M3)'!AL28:AL32))</f>
        <v>60273.362730747511</v>
      </c>
      <c r="N32" s="332">
        <f>+N25+((N36*'PCR (M3)'!AM31)/SUM('PCR (M3)'!AM28:AM32))</f>
        <v>58010.691644254861</v>
      </c>
      <c r="O32" s="332">
        <f>+O25+((O36*'PCR (M3)'!AN31)/SUM('PCR (M3)'!AN28:AN32))</f>
        <v>210008.34960294465</v>
      </c>
      <c r="P32" s="332">
        <f>+P25+((P36*'PCR (M3)'!AO31)/SUM('PCR (M3)'!AO28:AO32))</f>
        <v>88585.041879975077</v>
      </c>
      <c r="Q32" s="332">
        <f>+Q25+((Q36*'PCR (M3)'!AP31)/SUM('PCR (M3)'!AP28:AP32))</f>
        <v>68582.643260317942</v>
      </c>
      <c r="R32" s="332">
        <f>+R25+((R36*'PCR (M3)'!AQ31)/SUM('PCR (M3)'!AQ28:AQ32))</f>
        <v>87683.155766242475</v>
      </c>
      <c r="S32" s="332">
        <f>+S25+((S36*'PCR (M3)'!AR31)/SUM('PCR (M3)'!AR28:AR32))</f>
        <v>99849.480235517025</v>
      </c>
      <c r="T32" s="332">
        <f>+T25+((T36*'PCR (M3)'!AS31)/SUM('PCR (M3)'!AS28:AS32))</f>
        <v>103765.14974308507</v>
      </c>
      <c r="U32" s="332">
        <f>+U25+((U36*'PCR (M3)'!AT31)/SUM('PCR (M3)'!AT28:AT32))</f>
        <v>102872.77019167259</v>
      </c>
      <c r="V32" s="332">
        <f>+V25+((V36*'PCR (M3)'!AU31)/SUM('PCR (M3)'!AU28:AU32))</f>
        <v>100323.13994661867</v>
      </c>
      <c r="W32" s="332">
        <f>+W25+((W36*'PCR (M3)'!AV31)/SUM('PCR (M3)'!AV28:AV32))</f>
        <v>88907.782352418595</v>
      </c>
      <c r="X32" s="333">
        <f>+X25+((X36*'PCR (M3)'!AW31)/SUM('PCR (M3)'!AW28:AW32))</f>
        <v>86124.736415343781</v>
      </c>
      <c r="Y32" s="332">
        <f>+Y25+((Y36*'PCR (M3)'!AX31)/SUM('PCR (M3)'!AX28:AX32))</f>
        <v>89512.328722557286</v>
      </c>
      <c r="Z32" s="334">
        <f>+Z25+((Z36*'PCR (M3)'!AY31)/SUM('PCR (M3)'!AY28:AY32))</f>
        <v>92874.123374344548</v>
      </c>
    </row>
    <row r="33" spans="1:28" x14ac:dyDescent="0.3">
      <c r="A33" s="139" t="s">
        <v>7</v>
      </c>
      <c r="B33" s="306">
        <v>0</v>
      </c>
      <c r="C33" s="332">
        <f>+C26+((C36*'PCR (M3)'!AB32)/SUM('PCR (M3)'!AB28:AB32))</f>
        <v>8034.4019295053076</v>
      </c>
      <c r="D33" s="332">
        <f>+D26+((D36*'PCR (M3)'!AC32)/SUM('PCR (M3)'!AC28:AC32))</f>
        <v>12636.92758317112</v>
      </c>
      <c r="E33" s="332">
        <f>+E26+((E36*'PCR (M3)'!AD32)/SUM('PCR (M3)'!AD28:AD32))</f>
        <v>20802.032084961989</v>
      </c>
      <c r="F33" s="332">
        <f>+F26+((F36*'PCR (M3)'!AE32)/SUM('PCR (M3)'!AE28:AE32))</f>
        <v>21143.516031656949</v>
      </c>
      <c r="G33" s="332">
        <f>+G26+((G36*'PCR (M3)'!AF32)/SUM('PCR (M3)'!AF28:AF32))</f>
        <v>20420.044356944582</v>
      </c>
      <c r="H33" s="332">
        <f>+H26+((H36*'PCR (M3)'!AG32)/SUM('PCR (M3)'!AG28:AG32))</f>
        <v>26055.690980322244</v>
      </c>
      <c r="I33" s="332">
        <f>+I26+((I36*'PCR (M3)'!AH32)/SUM('PCR (M3)'!AH28:AH32))</f>
        <v>24796.576389203179</v>
      </c>
      <c r="J33" s="332">
        <f>+J26+((J36*'PCR (M3)'!AI32)/SUM('PCR (M3)'!AI28:AI32))</f>
        <v>26815.929893656532</v>
      </c>
      <c r="K33" s="332">
        <f>+K26+((K36*'PCR (M3)'!AJ32)/SUM('PCR (M3)'!AJ28:AJ32))</f>
        <v>24610.531316643588</v>
      </c>
      <c r="L33" s="332">
        <f>+L26+((L36*'PCR (M3)'!AK32)/SUM('PCR (M3)'!AK28:AK32))</f>
        <v>16263.86894191715</v>
      </c>
      <c r="M33" s="332">
        <f>+M26+((M36*'PCR (M3)'!AL32)/SUM('PCR (M3)'!AL28:AL32))</f>
        <v>22688.245023121915</v>
      </c>
      <c r="N33" s="332">
        <f>+N26+((N36*'PCR (M3)'!AM32)/SUM('PCR (M3)'!AM28:AM32))</f>
        <v>21122.567845607111</v>
      </c>
      <c r="O33" s="332">
        <f>+O26+((O36*'PCR (M3)'!AN32)/SUM('PCR (M3)'!AN28:AN32))</f>
        <v>109879.21997385254</v>
      </c>
      <c r="P33" s="332">
        <f>+P26+((P36*'PCR (M3)'!AO32)/SUM('PCR (M3)'!AO28:AO32))</f>
        <v>42979.355053023304</v>
      </c>
      <c r="Q33" s="332">
        <f>+Q26+((Q36*'PCR (M3)'!AP32)/SUM('PCR (M3)'!AP28:AP32))</f>
        <v>-51327.048063262358</v>
      </c>
      <c r="R33" s="332">
        <f>+R26+((R36*'PCR (M3)'!AQ32)/SUM('PCR (M3)'!AQ28:AQ32))</f>
        <v>36601.484949665763</v>
      </c>
      <c r="S33" s="332">
        <f>+S26+((S36*'PCR (M3)'!AR32)/SUM('PCR (M3)'!AR28:AR32))</f>
        <v>44646.907077049669</v>
      </c>
      <c r="T33" s="332">
        <f>+T26+((T36*'PCR (M3)'!AS32)/SUM('PCR (M3)'!AS28:AS32))</f>
        <v>51178.901218284132</v>
      </c>
      <c r="U33" s="332">
        <f>+U26+((U36*'PCR (M3)'!AT32)/SUM('PCR (M3)'!AT28:AT32))</f>
        <v>50595.132482964284</v>
      </c>
      <c r="V33" s="332">
        <f>+V26+((V36*'PCR (M3)'!AU32)/SUM('PCR (M3)'!AU28:AU32))</f>
        <v>52756.893012001688</v>
      </c>
      <c r="W33" s="332">
        <f>+W26+((W36*'PCR (M3)'!AV32)/SUM('PCR (M3)'!AV28:AV32))</f>
        <v>45325.865603301696</v>
      </c>
      <c r="X33" s="333">
        <f>+X26+((X36*'PCR (M3)'!AW32)/SUM('PCR (M3)'!AW28:AW32))</f>
        <v>43784.360316971273</v>
      </c>
      <c r="Y33" s="332">
        <f>+Y26+((Y36*'PCR (M3)'!AX32)/SUM('PCR (M3)'!AX28:AX32))</f>
        <v>42815.552361046743</v>
      </c>
      <c r="Z33" s="334">
        <f>+Z26+((Z36*'PCR (M3)'!AY32)/SUM('PCR (M3)'!AY28:AY32))</f>
        <v>45070.162424398848</v>
      </c>
    </row>
    <row r="34" spans="1:28" s="32" customFormat="1" x14ac:dyDescent="0.3">
      <c r="B34" s="180"/>
      <c r="C34" s="167"/>
      <c r="D34" s="167"/>
      <c r="E34" s="167"/>
      <c r="F34" s="167"/>
      <c r="G34" s="167"/>
      <c r="H34" s="167"/>
      <c r="I34" s="167"/>
      <c r="J34" s="167"/>
      <c r="K34" s="167"/>
      <c r="L34" s="167"/>
      <c r="M34" s="167"/>
      <c r="N34" s="167"/>
      <c r="O34" s="167"/>
      <c r="P34" s="167"/>
      <c r="Q34" s="167"/>
      <c r="R34" s="167"/>
      <c r="S34" s="167"/>
      <c r="T34" s="167"/>
      <c r="U34" s="167"/>
      <c r="V34" s="167"/>
      <c r="W34" s="167"/>
      <c r="X34" s="75"/>
      <c r="Y34" s="74"/>
      <c r="Z34" s="77"/>
    </row>
    <row r="35" spans="1:28" x14ac:dyDescent="0.3">
      <c r="A35" s="32" t="s">
        <v>105</v>
      </c>
      <c r="B35" s="73"/>
      <c r="C35" s="74"/>
      <c r="D35" s="74"/>
      <c r="E35" s="74"/>
      <c r="F35" s="74"/>
      <c r="G35" s="74"/>
      <c r="H35" s="74"/>
      <c r="I35" s="74"/>
      <c r="J35" s="74"/>
      <c r="K35" s="74"/>
      <c r="L35" s="74"/>
      <c r="M35" s="74"/>
      <c r="N35" s="74"/>
      <c r="O35" s="74"/>
      <c r="P35" s="74"/>
      <c r="Q35" s="74"/>
      <c r="R35" s="74"/>
      <c r="S35" s="74"/>
      <c r="T35" s="74"/>
      <c r="U35" s="74"/>
      <c r="V35" s="74"/>
      <c r="W35" s="74"/>
      <c r="X35" s="73"/>
      <c r="Y35" s="74"/>
      <c r="Z35" s="77"/>
      <c r="AA35" s="166"/>
      <c r="AB35" s="32"/>
    </row>
    <row r="36" spans="1:28" x14ac:dyDescent="0.3">
      <c r="A36" s="32" t="str">
        <f>A22</f>
        <v>RES</v>
      </c>
      <c r="B36" s="256">
        <v>0</v>
      </c>
      <c r="C36" s="70">
        <v>-5565.7500000000009</v>
      </c>
      <c r="D36" s="70">
        <v>-9639.51</v>
      </c>
      <c r="E36" s="70">
        <v>-6282.49</v>
      </c>
      <c r="F36" s="70">
        <v>-5489.66</v>
      </c>
      <c r="G36" s="70">
        <v>-6226.6900000000005</v>
      </c>
      <c r="H36" s="70">
        <v>-8189.2199999999993</v>
      </c>
      <c r="I36" s="70">
        <v>-8343.18</v>
      </c>
      <c r="J36" s="70">
        <v>-8278.98</v>
      </c>
      <c r="K36" s="70">
        <v>-5850.67</v>
      </c>
      <c r="L36" s="70">
        <f>'[1]EOR.3 (M3)'!K7</f>
        <v>-6321.0300000000007</v>
      </c>
      <c r="M36" s="70">
        <f>'[1]EOR.3 (M3)'!L7</f>
        <v>-8128.06</v>
      </c>
      <c r="N36" s="70">
        <f>'[1]EOR.3 (M3)'!M7</f>
        <v>-9996.869999999999</v>
      </c>
      <c r="O36" s="70">
        <f>'[1]EOR.3 (M3)'!N7</f>
        <v>-34921.86</v>
      </c>
      <c r="P36" s="70">
        <f>'[1]EOR.3 (M3)'!O7</f>
        <v>-14075.109999999997</v>
      </c>
      <c r="Q36" s="70">
        <f>'[1]EOR.3 (M3)'!P7</f>
        <v>-10847.039999999999</v>
      </c>
      <c r="R36" s="70">
        <f>'[1]EOR.3 (M3)'!Q7</f>
        <v>-9159.5800000000017</v>
      </c>
      <c r="S36" s="70">
        <f>'[1]EOR.3 (M3)'!R7</f>
        <v>-10480.329999999998</v>
      </c>
      <c r="T36" s="70">
        <f>'[1]EOR.3 (M3)'!S7</f>
        <v>-14215.879999999997</v>
      </c>
      <c r="U36" s="70">
        <f>'[1]EOR.3 (M3)'!T7</f>
        <v>-14083.44</v>
      </c>
      <c r="V36" s="70">
        <f>'[1]EOR.3 (M3)'!U7</f>
        <v>-12311.810000000001</v>
      </c>
      <c r="W36" s="70">
        <f>'[1]EOR.3 (M3)'!V7</f>
        <v>-9689.2699999999986</v>
      </c>
      <c r="X36" s="306">
        <f>-('PCR (M3)'!AW28*$AA$22*PPC!$B$14)</f>
        <v>-13010.614889724509</v>
      </c>
      <c r="Y36" s="352">
        <f>-('PCR (M3)'!AX28*$AA$22*PPC!$B$14)</f>
        <v>-18699.510591864484</v>
      </c>
      <c r="Z36" s="371">
        <f>-('PCR (M3)'!AY28*$AA$22*PPC!$B$14)</f>
        <v>-23116.788800626393</v>
      </c>
      <c r="AA36" s="178"/>
      <c r="AB36" s="32"/>
    </row>
    <row r="37" spans="1:28" x14ac:dyDescent="0.3">
      <c r="A37" s="32"/>
      <c r="B37" s="82"/>
      <c r="C37" s="83"/>
      <c r="D37" s="83"/>
      <c r="E37" s="83"/>
      <c r="F37" s="83"/>
      <c r="G37" s="83"/>
      <c r="H37" s="83"/>
      <c r="I37" s="83"/>
      <c r="J37" s="83"/>
      <c r="K37" s="83"/>
      <c r="L37" s="83"/>
      <c r="M37" s="83"/>
      <c r="N37" s="83"/>
      <c r="O37" s="83"/>
      <c r="P37" s="83"/>
      <c r="Q37" s="83"/>
      <c r="R37" s="83"/>
      <c r="S37" s="83"/>
      <c r="T37" s="83"/>
      <c r="U37" s="83"/>
      <c r="V37" s="83"/>
      <c r="W37" s="83"/>
      <c r="X37" s="82"/>
      <c r="Y37" s="83"/>
      <c r="Z37" s="77"/>
    </row>
    <row r="38" spans="1:28" ht="15" thickBot="1" x14ac:dyDescent="0.35">
      <c r="A38" s="32" t="s">
        <v>88</v>
      </c>
      <c r="B38" s="406">
        <v>0</v>
      </c>
      <c r="C38" s="408">
        <v>45.45</v>
      </c>
      <c r="D38" s="408">
        <v>41.42</v>
      </c>
      <c r="E38" s="408">
        <v>62.81</v>
      </c>
      <c r="F38" s="408">
        <v>83.06</v>
      </c>
      <c r="G38" s="408">
        <v>80.989999999999995</v>
      </c>
      <c r="H38" s="408">
        <v>45.7</v>
      </c>
      <c r="I38" s="408">
        <v>52.33</v>
      </c>
      <c r="J38" s="408">
        <v>35.119999999999997</v>
      </c>
      <c r="K38" s="408">
        <v>32.57</v>
      </c>
      <c r="L38" s="408">
        <f>-'[1]EOR.4 (M3)'!$W$14</f>
        <v>45.03</v>
      </c>
      <c r="M38" s="408">
        <f>-'[1]EOR.4 (M3)'!$W$15</f>
        <v>77.58</v>
      </c>
      <c r="N38" s="408">
        <f>-'[1]EOR.4 (M3)'!$W$16</f>
        <v>54.1</v>
      </c>
      <c r="O38" s="408">
        <f>-'[1]EOR.4 (M3)'!$W$17</f>
        <v>-277.20999999999998</v>
      </c>
      <c r="P38" s="408">
        <f>-'[1]EOR.4 (M3)'!$W$18</f>
        <v>-649.20000000000005</v>
      </c>
      <c r="Q38" s="408">
        <f>-'[1]EOR.4 (M3)'!$W$19</f>
        <v>-453.37</v>
      </c>
      <c r="R38" s="408">
        <f>-'[1]EOR.4 (M3)'!$W$20</f>
        <v>-612.41</v>
      </c>
      <c r="S38" s="408">
        <f>-'[1]EOR.4 (M3)'!$W$21</f>
        <v>-953.77</v>
      </c>
      <c r="T38" s="408">
        <f>-'[1]EOR.4 (M3)'!$W$22</f>
        <v>-1625.66</v>
      </c>
      <c r="U38" s="408">
        <f>-'[1]EOR.4 (M3)'!$W$23</f>
        <v>-2356.16</v>
      </c>
      <c r="V38" s="408">
        <f>-'[1]EOR.4 (M3)'!$W$24</f>
        <v>-2750.62</v>
      </c>
      <c r="W38" s="408">
        <f>-'[1]EOR.4 (M3)'!$W$25</f>
        <v>-3030.35</v>
      </c>
      <c r="X38" s="196">
        <f>'[2]MEEIA 3 calcs'!AX89</f>
        <v>-2627.7920066791603</v>
      </c>
      <c r="Y38" s="197">
        <f>'[2]MEEIA 3 calcs'!AY89</f>
        <v>-2670.1668831258007</v>
      </c>
      <c r="Z38" s="126">
        <f>'[2]MEEIA 3 calcs'!AZ89</f>
        <v>-3089.9953851104642</v>
      </c>
      <c r="AA38" s="32"/>
    </row>
    <row r="39" spans="1:28" x14ac:dyDescent="0.3">
      <c r="B39" s="257"/>
      <c r="C39" s="34"/>
      <c r="D39" s="34"/>
      <c r="E39" s="34"/>
      <c r="F39" s="34"/>
      <c r="G39" s="34"/>
      <c r="H39" s="34"/>
      <c r="I39" s="34"/>
      <c r="J39" s="34"/>
      <c r="K39" s="34"/>
      <c r="L39" s="34"/>
      <c r="M39" s="34"/>
      <c r="N39" s="34"/>
      <c r="O39" s="34"/>
      <c r="P39" s="34"/>
      <c r="Q39" s="34"/>
      <c r="R39" s="34"/>
      <c r="S39" s="34"/>
      <c r="T39" s="34"/>
      <c r="U39" s="34"/>
      <c r="V39" s="34"/>
      <c r="W39" s="34"/>
      <c r="X39" s="194"/>
      <c r="Y39" s="127"/>
      <c r="Z39" s="195"/>
    </row>
    <row r="40" spans="1:28" x14ac:dyDescent="0.3">
      <c r="A40" s="32" t="s">
        <v>69</v>
      </c>
      <c r="B40" s="73"/>
      <c r="C40" s="74"/>
      <c r="D40" s="74"/>
      <c r="E40" s="74"/>
      <c r="F40" s="74"/>
      <c r="G40" s="74"/>
      <c r="H40" s="74"/>
      <c r="I40" s="74"/>
      <c r="J40" s="74"/>
      <c r="K40" s="74"/>
      <c r="L40" s="74"/>
      <c r="M40" s="74"/>
      <c r="N40" s="74"/>
      <c r="O40" s="74"/>
      <c r="P40" s="74"/>
      <c r="Q40" s="74"/>
      <c r="R40" s="74"/>
      <c r="S40" s="74"/>
      <c r="T40" s="74"/>
      <c r="U40" s="74"/>
      <c r="V40" s="74"/>
      <c r="W40" s="74"/>
      <c r="X40" s="73"/>
      <c r="Y40" s="74"/>
      <c r="Z40" s="77"/>
    </row>
    <row r="41" spans="1:28" x14ac:dyDescent="0.3">
      <c r="A41" s="139" t="s">
        <v>0</v>
      </c>
      <c r="B41" s="306">
        <f t="shared" ref="B41:K45" si="2">B15-B29</f>
        <v>0</v>
      </c>
      <c r="C41" s="89">
        <f t="shared" si="2"/>
        <v>80789.572166408674</v>
      </c>
      <c r="D41" s="89">
        <f t="shared" si="2"/>
        <v>-25673.812811863812</v>
      </c>
      <c r="E41" s="89">
        <f t="shared" si="2"/>
        <v>60623.096820945328</v>
      </c>
      <c r="F41" s="89">
        <f t="shared" si="2"/>
        <v>71647.622221493424</v>
      </c>
      <c r="G41" s="89">
        <f t="shared" si="2"/>
        <v>19714.359529215028</v>
      </c>
      <c r="H41" s="89">
        <f t="shared" si="2"/>
        <v>-51116.422327152541</v>
      </c>
      <c r="I41" s="89">
        <f t="shared" si="2"/>
        <v>-56936.659615768905</v>
      </c>
      <c r="J41" s="89">
        <f t="shared" si="2"/>
        <v>-51779.511705308832</v>
      </c>
      <c r="K41" s="89">
        <f t="shared" si="2"/>
        <v>37867.98239418873</v>
      </c>
      <c r="L41" s="89">
        <f t="shared" ref="L41:W41" si="3">L15-L29</f>
        <v>49822.364574957784</v>
      </c>
      <c r="M41" s="89">
        <f t="shared" si="3"/>
        <v>1352.7654132345051</v>
      </c>
      <c r="N41" s="89">
        <f t="shared" si="3"/>
        <v>-68410.006513678731</v>
      </c>
      <c r="O41" s="89">
        <f t="shared" si="3"/>
        <v>-607837.04058467073</v>
      </c>
      <c r="P41" s="89">
        <f t="shared" si="3"/>
        <v>-12847.666794574179</v>
      </c>
      <c r="Q41" s="89">
        <f t="shared" si="3"/>
        <v>81261.099591762701</v>
      </c>
      <c r="R41" s="89">
        <f t="shared" si="3"/>
        <v>102264.55443160987</v>
      </c>
      <c r="S41" s="89">
        <f t="shared" si="3"/>
        <v>26359.508887042524</v>
      </c>
      <c r="T41" s="89">
        <f t="shared" si="3"/>
        <v>-108000.42570202798</v>
      </c>
      <c r="U41" s="89">
        <f t="shared" si="3"/>
        <v>-84905.838193497504</v>
      </c>
      <c r="V41" s="89">
        <f t="shared" si="3"/>
        <v>-6841.7310136638116</v>
      </c>
      <c r="W41" s="89">
        <f t="shared" si="3"/>
        <v>102436.69257562625</v>
      </c>
      <c r="X41" s="85">
        <f>X15-X29</f>
        <v>108689.23323860893</v>
      </c>
      <c r="Y41" s="89">
        <f t="shared" ref="Y41:Z41" si="4">Y15-Y29</f>
        <v>-11469.351908834826</v>
      </c>
      <c r="Z41" s="90">
        <f t="shared" si="4"/>
        <v>-104755.59845085756</v>
      </c>
    </row>
    <row r="42" spans="1:28" x14ac:dyDescent="0.3">
      <c r="A42" s="139" t="s">
        <v>4</v>
      </c>
      <c r="B42" s="306">
        <f t="shared" si="2"/>
        <v>0</v>
      </c>
      <c r="C42" s="89">
        <f t="shared" si="2"/>
        <v>26487.134746017218</v>
      </c>
      <c r="D42" s="89">
        <f t="shared" si="2"/>
        <v>-3802.3569143748391</v>
      </c>
      <c r="E42" s="89">
        <f t="shared" si="2"/>
        <v>9145.0661847232841</v>
      </c>
      <c r="F42" s="89">
        <f t="shared" si="2"/>
        <v>10188.27092091216</v>
      </c>
      <c r="G42" s="89">
        <f t="shared" si="2"/>
        <v>510.13235011941288</v>
      </c>
      <c r="H42" s="89">
        <f t="shared" si="2"/>
        <v>-10414.007771899021</v>
      </c>
      <c r="I42" s="89">
        <f t="shared" si="2"/>
        <v>-10432.479057576391</v>
      </c>
      <c r="J42" s="89">
        <f t="shared" si="2"/>
        <v>-11179.479444725177</v>
      </c>
      <c r="K42" s="89">
        <f t="shared" si="2"/>
        <v>592.10504608476185</v>
      </c>
      <c r="L42" s="89">
        <f t="shared" ref="L42:W42" si="5">L16-L30</f>
        <v>7151.4711466259178</v>
      </c>
      <c r="M42" s="89">
        <f t="shared" si="5"/>
        <v>-106.30651647965715</v>
      </c>
      <c r="N42" s="89">
        <f t="shared" si="5"/>
        <v>-10793.876737920073</v>
      </c>
      <c r="O42" s="89">
        <f t="shared" si="5"/>
        <v>-147139.02553057057</v>
      </c>
      <c r="P42" s="89">
        <f t="shared" si="5"/>
        <v>11570.849533488537</v>
      </c>
      <c r="Q42" s="89">
        <f t="shared" si="5"/>
        <v>19872.105527151885</v>
      </c>
      <c r="R42" s="89">
        <f t="shared" si="5"/>
        <v>21862.28061301729</v>
      </c>
      <c r="S42" s="89">
        <f t="shared" si="5"/>
        <v>11275.6708321771</v>
      </c>
      <c r="T42" s="89">
        <f t="shared" si="5"/>
        <v>-3434.581494704471</v>
      </c>
      <c r="U42" s="89">
        <f t="shared" si="5"/>
        <v>-2058.3128708682925</v>
      </c>
      <c r="V42" s="89">
        <f t="shared" si="5"/>
        <v>5460.3639397122024</v>
      </c>
      <c r="W42" s="89">
        <f t="shared" si="5"/>
        <v>19913.625893454519</v>
      </c>
      <c r="X42" s="85">
        <f t="shared" ref="X42:Z45" si="6">X16-X30</f>
        <v>25324.58428510571</v>
      </c>
      <c r="Y42" s="89">
        <f t="shared" si="6"/>
        <v>12484.979594831311</v>
      </c>
      <c r="Z42" s="90">
        <f t="shared" si="6"/>
        <v>-880.58215232827934</v>
      </c>
    </row>
    <row r="43" spans="1:28" x14ac:dyDescent="0.3">
      <c r="A43" s="139" t="s">
        <v>5</v>
      </c>
      <c r="B43" s="306">
        <f t="shared" si="2"/>
        <v>0</v>
      </c>
      <c r="C43" s="89">
        <f t="shared" si="2"/>
        <v>75893.87882827982</v>
      </c>
      <c r="D43" s="89">
        <f t="shared" si="2"/>
        <v>6692.0097467432497</v>
      </c>
      <c r="E43" s="89">
        <f t="shared" si="2"/>
        <v>20512.245132018696</v>
      </c>
      <c r="F43" s="89">
        <f t="shared" si="2"/>
        <v>18166.520813944138</v>
      </c>
      <c r="G43" s="89">
        <f t="shared" si="2"/>
        <v>4874.0360539334652</v>
      </c>
      <c r="H43" s="89">
        <f t="shared" si="2"/>
        <v>-17548.881967448397</v>
      </c>
      <c r="I43" s="89">
        <f t="shared" si="2"/>
        <v>-16162.674379643024</v>
      </c>
      <c r="J43" s="89">
        <f t="shared" si="2"/>
        <v>-19117.038243851304</v>
      </c>
      <c r="K43" s="89">
        <f t="shared" si="2"/>
        <v>-434.5416354831541</v>
      </c>
      <c r="L43" s="89">
        <f t="shared" ref="L43:W43" si="7">L17-L31</f>
        <v>15394.645969588862</v>
      </c>
      <c r="M43" s="89">
        <f t="shared" si="7"/>
        <v>4448.9816635875904</v>
      </c>
      <c r="N43" s="89">
        <f t="shared" si="7"/>
        <v>-4221.6144520661619</v>
      </c>
      <c r="O43" s="89">
        <f t="shared" si="7"/>
        <v>-293583.83972648589</v>
      </c>
      <c r="P43" s="89">
        <f t="shared" si="7"/>
        <v>6452.8687755598221</v>
      </c>
      <c r="Q43" s="89">
        <f t="shared" si="7"/>
        <v>23285.164659616916</v>
      </c>
      <c r="R43" s="89">
        <f t="shared" si="7"/>
        <v>13705.440252756904</v>
      </c>
      <c r="S43" s="89">
        <f t="shared" si="7"/>
        <v>-8195.2178251771547</v>
      </c>
      <c r="T43" s="89">
        <f t="shared" si="7"/>
        <v>-30118.807260422444</v>
      </c>
      <c r="U43" s="89">
        <f t="shared" si="7"/>
        <v>-31342.051679521595</v>
      </c>
      <c r="V43" s="89">
        <f t="shared" si="7"/>
        <v>-21232.195385952306</v>
      </c>
      <c r="W43" s="89">
        <f t="shared" si="7"/>
        <v>9042.5540681152488</v>
      </c>
      <c r="X43" s="85">
        <f t="shared" si="6"/>
        <v>18923.636401418597</v>
      </c>
      <c r="Y43" s="89">
        <f t="shared" si="6"/>
        <v>76.18412587835337</v>
      </c>
      <c r="Z43" s="90">
        <f t="shared" si="6"/>
        <v>-18140.227245721762</v>
      </c>
    </row>
    <row r="44" spans="1:28" x14ac:dyDescent="0.3">
      <c r="A44" s="139" t="s">
        <v>6</v>
      </c>
      <c r="B44" s="306">
        <f t="shared" si="2"/>
        <v>0</v>
      </c>
      <c r="C44" s="89">
        <f t="shared" si="2"/>
        <v>34801.19148382893</v>
      </c>
      <c r="D44" s="89">
        <f t="shared" si="2"/>
        <v>8225.6628576958319</v>
      </c>
      <c r="E44" s="89">
        <f t="shared" si="2"/>
        <v>7761.2592423040187</v>
      </c>
      <c r="F44" s="89">
        <f t="shared" si="2"/>
        <v>5831.5073703365269</v>
      </c>
      <c r="G44" s="89">
        <f t="shared" si="2"/>
        <v>7830.9817187059598</v>
      </c>
      <c r="H44" s="89">
        <f t="shared" si="2"/>
        <v>-8819.3016581484771</v>
      </c>
      <c r="I44" s="89">
        <f t="shared" si="2"/>
        <v>-3407.2052627791054</v>
      </c>
      <c r="J44" s="89">
        <f t="shared" si="2"/>
        <v>-4182.7254174288901</v>
      </c>
      <c r="K44" s="89">
        <f t="shared" si="2"/>
        <v>4108.5308068825107</v>
      </c>
      <c r="L44" s="89">
        <f t="shared" ref="L44:W44" si="8">L18-L32</f>
        <v>11085.482545773863</v>
      </c>
      <c r="M44" s="89">
        <f t="shared" si="8"/>
        <v>-3212.2502421911995</v>
      </c>
      <c r="N44" s="89">
        <f t="shared" si="8"/>
        <v>-949.57915569854958</v>
      </c>
      <c r="O44" s="89">
        <f t="shared" si="8"/>
        <v>-125536.96467061329</v>
      </c>
      <c r="P44" s="89">
        <f t="shared" si="8"/>
        <v>-4113.6569476437144</v>
      </c>
      <c r="Q44" s="89">
        <f t="shared" si="8"/>
        <v>15888.741672013421</v>
      </c>
      <c r="R44" s="89">
        <f t="shared" si="8"/>
        <v>-3211.7708339111123</v>
      </c>
      <c r="S44" s="89">
        <f t="shared" si="8"/>
        <v>-15378.095303185662</v>
      </c>
      <c r="T44" s="89">
        <f t="shared" si="8"/>
        <v>-19293.76481075371</v>
      </c>
      <c r="U44" s="89">
        <f t="shared" si="8"/>
        <v>-18401.38525934123</v>
      </c>
      <c r="V44" s="89">
        <f t="shared" si="8"/>
        <v>-15851.755014287308</v>
      </c>
      <c r="W44" s="89">
        <f t="shared" si="8"/>
        <v>-4436.3974200872326</v>
      </c>
      <c r="X44" s="85">
        <f t="shared" si="6"/>
        <v>-1653.3514830124186</v>
      </c>
      <c r="Y44" s="89">
        <f t="shared" si="6"/>
        <v>-5040.9437902259233</v>
      </c>
      <c r="Z44" s="90">
        <f t="shared" si="6"/>
        <v>-8402.7384420131857</v>
      </c>
    </row>
    <row r="45" spans="1:28" x14ac:dyDescent="0.3">
      <c r="A45" s="139" t="s">
        <v>7</v>
      </c>
      <c r="B45" s="306">
        <f t="shared" si="2"/>
        <v>0</v>
      </c>
      <c r="C45" s="89">
        <f t="shared" si="2"/>
        <v>16871.882370239568</v>
      </c>
      <c r="D45" s="89">
        <f t="shared" si="2"/>
        <v>12269.356716573755</v>
      </c>
      <c r="E45" s="89">
        <f t="shared" si="2"/>
        <v>4104.2522147828859</v>
      </c>
      <c r="F45" s="89">
        <f t="shared" si="2"/>
        <v>3762.7682680879261</v>
      </c>
      <c r="G45" s="89">
        <f t="shared" si="2"/>
        <v>4486.2399428002936</v>
      </c>
      <c r="H45" s="89">
        <f t="shared" si="2"/>
        <v>-1149.4066805773691</v>
      </c>
      <c r="I45" s="89">
        <f t="shared" si="2"/>
        <v>109.70791054169604</v>
      </c>
      <c r="J45" s="89">
        <f t="shared" si="2"/>
        <v>-1909.6455939116568</v>
      </c>
      <c r="K45" s="89">
        <f t="shared" si="2"/>
        <v>295.7529831012871</v>
      </c>
      <c r="L45" s="89">
        <f t="shared" ref="L45:W45" si="9">L19-L33</f>
        <v>8642.4153578277255</v>
      </c>
      <c r="M45" s="89">
        <f t="shared" si="9"/>
        <v>2218.0392766229597</v>
      </c>
      <c r="N45" s="89">
        <f t="shared" si="9"/>
        <v>3783.7164541377642</v>
      </c>
      <c r="O45" s="89">
        <f t="shared" si="9"/>
        <v>-75140.376020174415</v>
      </c>
      <c r="P45" s="89">
        <f t="shared" si="9"/>
        <v>-8240.5110993451817</v>
      </c>
      <c r="Q45" s="89">
        <f t="shared" si="9"/>
        <v>86065.892016940488</v>
      </c>
      <c r="R45" s="89">
        <f t="shared" si="9"/>
        <v>-1862.6409959876401</v>
      </c>
      <c r="S45" s="89">
        <f t="shared" si="9"/>
        <v>-9908.0631233715467</v>
      </c>
      <c r="T45" s="89">
        <f t="shared" si="9"/>
        <v>-16440.05726460601</v>
      </c>
      <c r="U45" s="89">
        <f t="shared" si="9"/>
        <v>-15856.288529286161</v>
      </c>
      <c r="V45" s="89">
        <f t="shared" si="9"/>
        <v>-18018.049058323566</v>
      </c>
      <c r="W45" s="89">
        <f t="shared" si="9"/>
        <v>-10587.021649623573</v>
      </c>
      <c r="X45" s="85">
        <f t="shared" si="6"/>
        <v>-9045.5163632931508</v>
      </c>
      <c r="Y45" s="89">
        <f t="shared" si="6"/>
        <v>-8076.7084073686201</v>
      </c>
      <c r="Z45" s="90">
        <f t="shared" si="6"/>
        <v>-10331.318470720726</v>
      </c>
    </row>
    <row r="46" spans="1:28" x14ac:dyDescent="0.3">
      <c r="B46" s="73"/>
      <c r="C46" s="74"/>
      <c r="D46" s="74"/>
      <c r="E46" s="74"/>
      <c r="F46" s="74"/>
      <c r="G46" s="74"/>
      <c r="H46" s="74"/>
      <c r="I46" s="74"/>
      <c r="J46" s="74"/>
      <c r="K46" s="74"/>
      <c r="L46" s="74"/>
      <c r="M46" s="74"/>
      <c r="N46" s="74"/>
      <c r="O46" s="74"/>
      <c r="P46" s="74"/>
      <c r="Q46" s="74"/>
      <c r="R46" s="74"/>
      <c r="S46" s="74"/>
      <c r="T46" s="74"/>
      <c r="U46" s="74"/>
      <c r="V46" s="74"/>
      <c r="W46" s="74"/>
      <c r="X46" s="73"/>
      <c r="Y46" s="74"/>
      <c r="Z46" s="77"/>
    </row>
    <row r="47" spans="1:28" x14ac:dyDescent="0.3">
      <c r="A47" s="32" t="s">
        <v>70</v>
      </c>
      <c r="B47" s="73"/>
      <c r="C47" s="74"/>
      <c r="D47" s="74"/>
      <c r="E47" s="74"/>
      <c r="F47" s="74"/>
      <c r="G47" s="74"/>
      <c r="H47" s="74"/>
      <c r="I47" s="74"/>
      <c r="J47" s="74"/>
      <c r="K47" s="74"/>
      <c r="L47" s="74"/>
      <c r="M47" s="74"/>
      <c r="N47" s="74"/>
      <c r="O47" s="74"/>
      <c r="P47" s="74"/>
      <c r="Q47" s="74"/>
      <c r="R47" s="74"/>
      <c r="S47" s="74"/>
      <c r="T47" s="74"/>
      <c r="U47" s="74"/>
      <c r="V47" s="74"/>
      <c r="W47" s="74"/>
      <c r="X47" s="73"/>
      <c r="Y47" s="74"/>
      <c r="Z47" s="77"/>
    </row>
    <row r="48" spans="1:28" x14ac:dyDescent="0.3">
      <c r="A48" s="139" t="s">
        <v>0</v>
      </c>
      <c r="B48" s="306">
        <v>0</v>
      </c>
      <c r="C48" s="89">
        <f>B48+C41+B55+B65</f>
        <v>80789.572166408674</v>
      </c>
      <c r="D48" s="89">
        <f>C48+D41+C55</f>
        <v>55131.393281278004</v>
      </c>
      <c r="E48" s="89">
        <f t="shared" ref="E48:K52" si="10">D48+E41+D55</f>
        <v>115764.30688999665</v>
      </c>
      <c r="F48" s="89">
        <f t="shared" si="10"/>
        <v>187433.64678487342</v>
      </c>
      <c r="G48" s="89">
        <f t="shared" si="10"/>
        <v>207183.0364131149</v>
      </c>
      <c r="H48" s="89">
        <f t="shared" si="10"/>
        <v>156101.43102257905</v>
      </c>
      <c r="I48" s="89">
        <f t="shared" si="10"/>
        <v>99182.924572308286</v>
      </c>
      <c r="J48" s="89">
        <f t="shared" si="10"/>
        <v>47420.36479920517</v>
      </c>
      <c r="K48" s="89">
        <f t="shared" ref="K48:L51" si="11">J48+K41+J55</f>
        <v>85295.983176186608</v>
      </c>
      <c r="L48" s="89">
        <f t="shared" si="11"/>
        <v>135129.0097490414</v>
      </c>
      <c r="M48" s="89">
        <f t="shared" ref="M48:M52" si="12">L48+M41+L55</f>
        <v>136499.0276459881</v>
      </c>
      <c r="N48" s="89">
        <f>M48+N41+M55</f>
        <v>68118.648701256694</v>
      </c>
      <c r="O48" s="89">
        <f>N48+O41+N55+N65</f>
        <v>-902776.20974210731</v>
      </c>
      <c r="P48" s="89">
        <f t="shared" ref="P48:P52" si="13">O48+P41+O55</f>
        <v>-915846.44773574488</v>
      </c>
      <c r="Q48" s="89">
        <f t="shared" ref="Q48:Q52" si="14">P48+Q41+P55</f>
        <v>-835110.65934947447</v>
      </c>
      <c r="R48" s="89">
        <f t="shared" ref="R48:R52" si="15">Q48+R41+Q55</f>
        <v>-733263.9497525678</v>
      </c>
      <c r="S48" s="89">
        <f t="shared" ref="S48:S52" si="16">R48+S41+R55</f>
        <v>-707484.76123169169</v>
      </c>
      <c r="T48" s="89">
        <f t="shared" ref="T48:T52" si="17">S48+T41+S55</f>
        <v>-816361.20989391324</v>
      </c>
      <c r="U48" s="89">
        <f t="shared" ref="U48:U52" si="18">T48+U41+T55</f>
        <v>-902666.216368058</v>
      </c>
      <c r="V48" s="89">
        <f t="shared" ref="V48:V52" si="19">U48+V41+U55</f>
        <v>-911436.68481734127</v>
      </c>
      <c r="W48" s="89">
        <f>V48+W41+V55</f>
        <v>-811158.34722629737</v>
      </c>
      <c r="X48" s="85">
        <f>W48+X41+W55</f>
        <v>-704814.79465758591</v>
      </c>
      <c r="Y48" s="89">
        <f t="shared" ref="Y48:Z49" si="20">X48+Y41+X55</f>
        <v>-718322.30649578513</v>
      </c>
      <c r="Z48" s="90">
        <f t="shared" si="20"/>
        <v>-825155.12544849038</v>
      </c>
    </row>
    <row r="49" spans="1:26" x14ac:dyDescent="0.3">
      <c r="A49" s="139" t="s">
        <v>4</v>
      </c>
      <c r="B49" s="306">
        <v>0</v>
      </c>
      <c r="C49" s="89">
        <f>B49+C42+B56+B66</f>
        <v>26487.134746017218</v>
      </c>
      <c r="D49" s="89">
        <f t="shared" ref="D49:D52" si="21">C49+D42+C56</f>
        <v>22689.903467450142</v>
      </c>
      <c r="E49" s="89">
        <f t="shared" si="10"/>
        <v>31839.009854201347</v>
      </c>
      <c r="F49" s="89">
        <f t="shared" si="10"/>
        <v>42033.253852959686</v>
      </c>
      <c r="G49" s="89">
        <f t="shared" si="10"/>
        <v>42551.241938002524</v>
      </c>
      <c r="H49" s="89">
        <f t="shared" si="10"/>
        <v>32144.384866851815</v>
      </c>
      <c r="I49" s="89">
        <f t="shared" si="10"/>
        <v>21715.643906578578</v>
      </c>
      <c r="J49" s="89">
        <f t="shared" si="10"/>
        <v>10539.876009228065</v>
      </c>
      <c r="K49" s="89">
        <f t="shared" si="11"/>
        <v>11133.678265196902</v>
      </c>
      <c r="L49" s="89">
        <f t="shared" si="11"/>
        <v>18286.541121605973</v>
      </c>
      <c r="M49" s="89">
        <f t="shared" si="12"/>
        <v>18182.569324025233</v>
      </c>
      <c r="N49" s="89">
        <f t="shared" ref="N49:N52" si="22">M49+N42+M56</f>
        <v>7392.6391733855044</v>
      </c>
      <c r="O49" s="89">
        <f>N49+O42+N56+N66</f>
        <v>-257184.0212593847</v>
      </c>
      <c r="P49" s="89">
        <f t="shared" si="13"/>
        <v>-245676.57808881748</v>
      </c>
      <c r="Q49" s="89">
        <f t="shared" si="14"/>
        <v>-225945.38773332577</v>
      </c>
      <c r="R49" s="89">
        <f t="shared" si="15"/>
        <v>-204196.15814190955</v>
      </c>
      <c r="S49" s="89">
        <f t="shared" si="16"/>
        <v>-193082.09240337258</v>
      </c>
      <c r="T49" s="89">
        <f t="shared" si="17"/>
        <v>-196755.75232833624</v>
      </c>
      <c r="U49" s="89">
        <f t="shared" si="18"/>
        <v>-199151.28652275135</v>
      </c>
      <c r="V49" s="89">
        <f t="shared" si="19"/>
        <v>-194116.45146038398</v>
      </c>
      <c r="W49" s="89">
        <f t="shared" ref="W49:W52" si="23">V49+W42+V56</f>
        <v>-174662.50885330379</v>
      </c>
      <c r="X49" s="85">
        <f t="shared" ref="X49:X52" si="24">W49+X42+W56</f>
        <v>-149843.00778921644</v>
      </c>
      <c r="Y49" s="89">
        <f t="shared" si="20"/>
        <v>-137791.33920954305</v>
      </c>
      <c r="Z49" s="90">
        <f t="shared" si="20"/>
        <v>-139070.38176355284</v>
      </c>
    </row>
    <row r="50" spans="1:26" x14ac:dyDescent="0.3">
      <c r="A50" s="139" t="s">
        <v>5</v>
      </c>
      <c r="B50" s="306">
        <v>0</v>
      </c>
      <c r="C50" s="89">
        <f>B50+C43+B57+B67</f>
        <v>75893.87882827982</v>
      </c>
      <c r="D50" s="89">
        <f t="shared" si="21"/>
        <v>82600.57511573963</v>
      </c>
      <c r="E50" s="89">
        <f t="shared" si="10"/>
        <v>103127.52824383105</v>
      </c>
      <c r="F50" s="89">
        <f t="shared" si="10"/>
        <v>121313.39603989256</v>
      </c>
      <c r="G50" s="89">
        <f t="shared" si="10"/>
        <v>126210.10475878991</v>
      </c>
      <c r="H50" s="89">
        <f t="shared" si="10"/>
        <v>108682.43229427114</v>
      </c>
      <c r="I50" s="89">
        <f t="shared" si="10"/>
        <v>92532.396685248314</v>
      </c>
      <c r="J50" s="89">
        <f t="shared" si="10"/>
        <v>73431.173693086792</v>
      </c>
      <c r="K50" s="89">
        <f t="shared" si="11"/>
        <v>73008.456495925508</v>
      </c>
      <c r="L50" s="89">
        <f t="shared" si="11"/>
        <v>88412.228522576363</v>
      </c>
      <c r="M50" s="89">
        <f t="shared" si="12"/>
        <v>92872.498143763718</v>
      </c>
      <c r="N50" s="89">
        <f t="shared" si="22"/>
        <v>88671.04197699466</v>
      </c>
      <c r="O50" s="89">
        <f>N50+O43+N57+N67</f>
        <v>-150642.78330077039</v>
      </c>
      <c r="P50" s="89">
        <f t="shared" si="13"/>
        <v>-144227.05412254119</v>
      </c>
      <c r="Q50" s="89">
        <f t="shared" si="14"/>
        <v>-121024.61521662788</v>
      </c>
      <c r="R50" s="89">
        <f t="shared" si="15"/>
        <v>-107379.72922667924</v>
      </c>
      <c r="S50" s="89">
        <f t="shared" si="16"/>
        <v>-115659.92960664407</v>
      </c>
      <c r="T50" s="89">
        <f t="shared" si="17"/>
        <v>-145921.94949787061</v>
      </c>
      <c r="U50" s="89">
        <f t="shared" si="18"/>
        <v>-177514.09802265285</v>
      </c>
      <c r="V50" s="89">
        <f t="shared" si="19"/>
        <v>-199125.58985284797</v>
      </c>
      <c r="W50" s="89">
        <f t="shared" si="23"/>
        <v>-190554.58111155147</v>
      </c>
      <c r="X50" s="85">
        <f t="shared" si="24"/>
        <v>-172181.98409597189</v>
      </c>
      <c r="Y50" s="89">
        <f t="shared" ref="Y50:Z52" si="25">X50+Y43+X57</f>
        <v>-172603.71009230279</v>
      </c>
      <c r="Z50" s="90">
        <f>Y50+Z43+Y57</f>
        <v>-191243.06699341247</v>
      </c>
    </row>
    <row r="51" spans="1:26" x14ac:dyDescent="0.3">
      <c r="A51" s="139" t="s">
        <v>6</v>
      </c>
      <c r="B51" s="306">
        <v>0</v>
      </c>
      <c r="C51" s="89">
        <f>B51+C44+B58+B68</f>
        <v>34801.19148382893</v>
      </c>
      <c r="D51" s="89">
        <f t="shared" si="21"/>
        <v>43033.588865093763</v>
      </c>
      <c r="E51" s="89">
        <f t="shared" si="10"/>
        <v>50802.510739953752</v>
      </c>
      <c r="F51" s="89">
        <f t="shared" si="10"/>
        <v>56643.548788311367</v>
      </c>
      <c r="G51" s="89">
        <f t="shared" si="10"/>
        <v>64485.116808662206</v>
      </c>
      <c r="H51" s="89">
        <f t="shared" si="10"/>
        <v>55676.651820655825</v>
      </c>
      <c r="I51" s="89">
        <f t="shared" si="10"/>
        <v>52275.921242114156</v>
      </c>
      <c r="J51" s="89">
        <f t="shared" si="10"/>
        <v>48102.130607327628</v>
      </c>
      <c r="K51" s="89">
        <f t="shared" si="11"/>
        <v>52218.40718004651</v>
      </c>
      <c r="L51" s="89">
        <f t="shared" si="11"/>
        <v>63310.417026717878</v>
      </c>
      <c r="M51" s="89">
        <f t="shared" si="12"/>
        <v>60106.249889261882</v>
      </c>
      <c r="N51" s="89">
        <f t="shared" si="22"/>
        <v>59169.716995455965</v>
      </c>
      <c r="O51" s="89">
        <f>N51+O44+N58+N68</f>
        <v>6885.4974952448392</v>
      </c>
      <c r="P51" s="89">
        <f t="shared" si="13"/>
        <v>2773.538103891517</v>
      </c>
      <c r="Q51" s="89">
        <f t="shared" si="14"/>
        <v>18663.870621890568</v>
      </c>
      <c r="R51" s="89">
        <f t="shared" si="15"/>
        <v>15461.438193432217</v>
      </c>
      <c r="S51" s="89">
        <f t="shared" si="16"/>
        <v>95.579394546132775</v>
      </c>
      <c r="T51" s="89">
        <f t="shared" si="17"/>
        <v>-19198.067067730361</v>
      </c>
      <c r="U51" s="89">
        <f t="shared" si="18"/>
        <v>-37632.356054202864</v>
      </c>
      <c r="V51" s="89">
        <f t="shared" si="19"/>
        <v>-53564.520562715341</v>
      </c>
      <c r="W51" s="89">
        <f t="shared" si="23"/>
        <v>-58127.76305265673</v>
      </c>
      <c r="X51" s="85">
        <f t="shared" si="24"/>
        <v>-59949.20646327272</v>
      </c>
      <c r="Y51" s="89">
        <f t="shared" si="25"/>
        <v>-65163.509370442254</v>
      </c>
      <c r="Z51" s="90">
        <f t="shared" si="25"/>
        <v>-73754.685476735904</v>
      </c>
    </row>
    <row r="52" spans="1:26" x14ac:dyDescent="0.3">
      <c r="A52" s="139" t="s">
        <v>7</v>
      </c>
      <c r="B52" s="306">
        <v>0</v>
      </c>
      <c r="C52" s="89">
        <f>B52+C45+B59+B69</f>
        <v>16871.882370239568</v>
      </c>
      <c r="D52" s="89">
        <f t="shared" si="21"/>
        <v>29144.504035070298</v>
      </c>
      <c r="E52" s="89">
        <f t="shared" si="10"/>
        <v>33253.945768815844</v>
      </c>
      <c r="F52" s="89">
        <f t="shared" si="10"/>
        <v>37022.952560264857</v>
      </c>
      <c r="G52" s="89">
        <f t="shared" si="10"/>
        <v>41516.11184607898</v>
      </c>
      <c r="H52" s="89">
        <f t="shared" si="10"/>
        <v>40373.681913500586</v>
      </c>
      <c r="I52" s="89">
        <f t="shared" si="10"/>
        <v>40488.084913156745</v>
      </c>
      <c r="J52" s="89">
        <f t="shared" si="10"/>
        <v>38585.359374018088</v>
      </c>
      <c r="K52" s="89">
        <f t="shared" si="10"/>
        <v>38887.325661075971</v>
      </c>
      <c r="L52" s="89">
        <f t="shared" ref="L52" si="26">K52+L45+K59</f>
        <v>47534.601934611332</v>
      </c>
      <c r="M52" s="89">
        <f t="shared" si="12"/>
        <v>49758.710151924126</v>
      </c>
      <c r="N52" s="89">
        <f t="shared" si="22"/>
        <v>53553.226899962734</v>
      </c>
      <c r="O52" s="89">
        <f>N52+O45+N59+N69</f>
        <v>179331.53680444419</v>
      </c>
      <c r="P52" s="89">
        <f t="shared" si="13"/>
        <v>171135.23825162571</v>
      </c>
      <c r="Q52" s="89">
        <f t="shared" si="14"/>
        <v>257299.29001852256</v>
      </c>
      <c r="R52" s="89">
        <f t="shared" si="15"/>
        <v>255565.3878646314</v>
      </c>
      <c r="S52" s="89">
        <f t="shared" si="16"/>
        <v>245859.58451349483</v>
      </c>
      <c r="T52" s="89">
        <f t="shared" si="17"/>
        <v>229723.95591339111</v>
      </c>
      <c r="U52" s="89">
        <f t="shared" si="18"/>
        <v>214261.39318651121</v>
      </c>
      <c r="V52" s="89">
        <f t="shared" si="19"/>
        <v>196701.15894672551</v>
      </c>
      <c r="W52" s="89">
        <f t="shared" si="23"/>
        <v>186579.94137758049</v>
      </c>
      <c r="X52" s="85">
        <f t="shared" si="24"/>
        <v>178073.97066943167</v>
      </c>
      <c r="Y52" s="89">
        <f>X52+Y45+X59</f>
        <v>170512.21063464589</v>
      </c>
      <c r="Z52" s="90">
        <f t="shared" si="25"/>
        <v>160673.97369089807</v>
      </c>
    </row>
    <row r="53" spans="1:26" x14ac:dyDescent="0.3">
      <c r="B53" s="73"/>
      <c r="C53" s="74"/>
      <c r="D53" s="74"/>
      <c r="E53" s="74"/>
      <c r="F53" s="74"/>
      <c r="G53" s="74"/>
      <c r="H53" s="74"/>
      <c r="I53" s="74"/>
      <c r="J53" s="74"/>
      <c r="K53" s="74"/>
      <c r="L53" s="74"/>
      <c r="M53" s="74"/>
      <c r="N53" s="74"/>
      <c r="O53" s="74"/>
      <c r="P53" s="74"/>
      <c r="Q53" s="74"/>
      <c r="R53" s="74"/>
      <c r="S53" s="74"/>
      <c r="T53" s="74"/>
      <c r="U53" s="74"/>
      <c r="V53" s="74"/>
      <c r="W53" s="74"/>
      <c r="X53" s="73"/>
      <c r="Y53" s="74"/>
      <c r="Z53" s="77"/>
    </row>
    <row r="54" spans="1:26" x14ac:dyDescent="0.3">
      <c r="A54" s="32" t="s">
        <v>65</v>
      </c>
      <c r="B54" s="258">
        <f>'PCR (M3)'!AA67</f>
        <v>1.7178250000000002E-4</v>
      </c>
      <c r="C54" s="160">
        <f>'PCR (M3)'!AB67</f>
        <v>1.9351416666666668E-4</v>
      </c>
      <c r="D54" s="160">
        <f>'PCR (M3)'!AC67</f>
        <v>1.7806166666666664E-4</v>
      </c>
      <c r="E54" s="160">
        <f>'PCR (M3)'!AD67</f>
        <v>1.8760249999999999E-4</v>
      </c>
      <c r="F54" s="160">
        <f>'PCR (M3)'!AE67</f>
        <v>1.8689333333333334E-4</v>
      </c>
      <c r="G54" s="160">
        <f>'PCR (M3)'!AF67</f>
        <v>1.6804916666666666E-4</v>
      </c>
      <c r="H54" s="160">
        <f>'PCR (M3)'!AG67</f>
        <v>1.1629083333333334E-4</v>
      </c>
      <c r="I54" s="160">
        <f>'PCR (M3)'!AH67</f>
        <v>1.7091583333333333E-4</v>
      </c>
      <c r="J54" s="160">
        <f>'PCR (M3)'!AI67</f>
        <v>1.6102749999999998E-4</v>
      </c>
      <c r="K54" s="160">
        <f>'PCR (M3)'!AJ67</f>
        <v>1.25E-4</v>
      </c>
      <c r="L54" s="160">
        <f>'PCR (M3)'!AK67</f>
        <v>1.2767416666666667E-4</v>
      </c>
      <c r="M54" s="160">
        <f>'PCR (M3)'!AL67</f>
        <v>2.1705333333333333E-4</v>
      </c>
      <c r="N54" s="160">
        <f>'PCR (M3)'!AM67</f>
        <v>1.9537499999999999E-4</v>
      </c>
      <c r="O54" s="160">
        <f>'PCR (M3)'!AN67</f>
        <v>2.4654083333333334E-4</v>
      </c>
      <c r="P54" s="160">
        <f>'PCR (M3)'!AO67</f>
        <v>5.7357999999999997E-4</v>
      </c>
      <c r="Q54" s="160">
        <f>'PCR (M3)'!AP67</f>
        <v>5.0034666666666668E-4</v>
      </c>
      <c r="R54" s="160">
        <f>'PCR (M3)'!AQ67</f>
        <v>7.9142083333333336E-4</v>
      </c>
      <c r="S54" s="160">
        <f>'PCR (M3)'!AR67</f>
        <v>1.2382216666666666E-3</v>
      </c>
      <c r="T54" s="160">
        <f>'PCR (M3)'!AS67</f>
        <v>1.7139083333333333E-3</v>
      </c>
      <c r="U54" s="160">
        <f>'PCR (M3)'!AT67</f>
        <v>2.1367116666666667E-3</v>
      </c>
      <c r="V54" s="160">
        <f>'PCR (M3)'!AU67</f>
        <v>2.3680800000000003E-3</v>
      </c>
      <c r="W54" s="160">
        <f>'PCR (M3)'!AV67</f>
        <v>2.8917666666666668E-3</v>
      </c>
      <c r="X54" s="258">
        <f>W54</f>
        <v>2.8917666666666668E-3</v>
      </c>
      <c r="Y54" s="160">
        <f>X54</f>
        <v>2.8917666666666668E-3</v>
      </c>
      <c r="Z54" s="206">
        <f>Y54</f>
        <v>2.8917666666666668E-3</v>
      </c>
    </row>
    <row r="55" spans="1:26" x14ac:dyDescent="0.3">
      <c r="A55" s="139" t="s">
        <v>0</v>
      </c>
      <c r="B55" s="306">
        <f t="shared" ref="B55:Z59" si="27">B48*B$54</f>
        <v>0</v>
      </c>
      <c r="C55" s="89">
        <f>C48*C$54</f>
        <v>15.633926733139104</v>
      </c>
      <c r="D55" s="89">
        <f t="shared" ref="D55:K59" si="28">D48*D$54</f>
        <v>9.8167877733198292</v>
      </c>
      <c r="E55" s="89">
        <f t="shared" si="28"/>
        <v>21.717673383330595</v>
      </c>
      <c r="F55" s="89">
        <f t="shared" si="28"/>
        <v>35.030099026447608</v>
      </c>
      <c r="G55" s="89">
        <f t="shared" si="28"/>
        <v>34.81693661669361</v>
      </c>
      <c r="H55" s="89">
        <f t="shared" si="28"/>
        <v>18.153165498141572</v>
      </c>
      <c r="I55" s="89">
        <f t="shared" si="28"/>
        <v>16.951932205713213</v>
      </c>
      <c r="J55" s="89">
        <f t="shared" si="28"/>
        <v>7.6359827927040094</v>
      </c>
      <c r="K55" s="89">
        <f>K48*K$54</f>
        <v>10.661997897023326</v>
      </c>
      <c r="L55" s="89">
        <f t="shared" ref="L55:W55" si="29">L48*L$54</f>
        <v>17.252483712200739</v>
      </c>
      <c r="M55" s="89">
        <f t="shared" si="29"/>
        <v>29.627568947320537</v>
      </c>
      <c r="N55" s="89">
        <f t="shared" si="29"/>
        <v>13.308680990008027</v>
      </c>
      <c r="O55" s="89">
        <f t="shared" si="29"/>
        <v>-222.57119906332727</v>
      </c>
      <c r="P55" s="89">
        <f t="shared" si="29"/>
        <v>-525.31120549226853</v>
      </c>
      <c r="Q55" s="89">
        <f t="shared" si="29"/>
        <v>-417.84483470331173</v>
      </c>
      <c r="R55" s="89">
        <f t="shared" si="29"/>
        <v>-580.32036616646872</v>
      </c>
      <c r="S55" s="89">
        <f t="shared" si="29"/>
        <v>-876.02296019357391</v>
      </c>
      <c r="T55" s="89">
        <f t="shared" si="29"/>
        <v>-1399.1682806472602</v>
      </c>
      <c r="U55" s="89">
        <f t="shared" si="29"/>
        <v>-1928.7374356194871</v>
      </c>
      <c r="V55" s="89">
        <f t="shared" si="29"/>
        <v>-2158.3549845822499</v>
      </c>
      <c r="W55" s="89">
        <f t="shared" si="29"/>
        <v>-2345.6806698974328</v>
      </c>
      <c r="X55" s="85">
        <f>X48*X$54</f>
        <v>-2038.1599293643185</v>
      </c>
      <c r="Y55" s="89">
        <f>Y48*Y$54</f>
        <v>-2077.2205018476284</v>
      </c>
      <c r="Z55" s="90">
        <f>Z48*Z$54</f>
        <v>-2386.1560866010964</v>
      </c>
    </row>
    <row r="56" spans="1:26" x14ac:dyDescent="0.3">
      <c r="A56" s="139" t="s">
        <v>4</v>
      </c>
      <c r="B56" s="306">
        <f t="shared" si="27"/>
        <v>0</v>
      </c>
      <c r="C56" s="89">
        <f t="shared" si="27"/>
        <v>5.125635807763234</v>
      </c>
      <c r="D56" s="89">
        <f t="shared" si="28"/>
        <v>4.0402020279199506</v>
      </c>
      <c r="E56" s="89">
        <f t="shared" si="28"/>
        <v>5.9730778461728082</v>
      </c>
      <c r="F56" s="89">
        <f t="shared" si="28"/>
        <v>7.8557349234258123</v>
      </c>
      <c r="G56" s="89">
        <f t="shared" si="28"/>
        <v>7.1507007483130423</v>
      </c>
      <c r="H56" s="89">
        <f t="shared" si="28"/>
        <v>3.7380973031535869</v>
      </c>
      <c r="I56" s="89">
        <f t="shared" si="28"/>
        <v>3.7115473746627998</v>
      </c>
      <c r="J56" s="89">
        <f t="shared" si="28"/>
        <v>1.697209884075972</v>
      </c>
      <c r="K56" s="89">
        <f>K49*K$54</f>
        <v>1.3917097831496128</v>
      </c>
      <c r="L56" s="89">
        <f t="shared" ref="L56:W56" si="30">L49*L$54</f>
        <v>2.3347188989167749</v>
      </c>
      <c r="M56" s="89">
        <f t="shared" si="30"/>
        <v>3.9465872803440902</v>
      </c>
      <c r="N56" s="89">
        <f t="shared" si="30"/>
        <v>1.4443368785001929</v>
      </c>
      <c r="O56" s="89">
        <f t="shared" si="30"/>
        <v>-63.406362921306417</v>
      </c>
      <c r="P56" s="89">
        <f t="shared" si="30"/>
        <v>-140.91517166018392</v>
      </c>
      <c r="Q56" s="89">
        <f t="shared" si="30"/>
        <v>-113.05102160107711</v>
      </c>
      <c r="R56" s="89">
        <f t="shared" si="30"/>
        <v>-161.60509364013518</v>
      </c>
      <c r="S56" s="89">
        <f t="shared" si="30"/>
        <v>-239.07843025919132</v>
      </c>
      <c r="T56" s="89">
        <f t="shared" si="30"/>
        <v>-337.22132354680485</v>
      </c>
      <c r="U56" s="89">
        <f t="shared" si="30"/>
        <v>-425.52887734483892</v>
      </c>
      <c r="V56" s="89">
        <f t="shared" si="30"/>
        <v>-459.68328637430614</v>
      </c>
      <c r="W56" s="89">
        <f t="shared" si="30"/>
        <v>-505.08322101835546</v>
      </c>
      <c r="X56" s="85">
        <f t="shared" si="27"/>
        <v>-433.31101515792983</v>
      </c>
      <c r="Y56" s="89">
        <f t="shared" si="27"/>
        <v>-398.46040168151626</v>
      </c>
      <c r="Z56" s="90">
        <f t="shared" si="27"/>
        <v>-402.15909430444998</v>
      </c>
    </row>
    <row r="57" spans="1:26" x14ac:dyDescent="0.3">
      <c r="A57" s="139" t="s">
        <v>5</v>
      </c>
      <c r="B57" s="306">
        <f t="shared" si="27"/>
        <v>0</v>
      </c>
      <c r="C57" s="89">
        <f t="shared" si="27"/>
        <v>14.686540716555546</v>
      </c>
      <c r="D57" s="89">
        <f t="shared" si="28"/>
        <v>14.70799607273379</v>
      </c>
      <c r="E57" s="89">
        <f t="shared" si="28"/>
        <v>19.346982117363314</v>
      </c>
      <c r="F57" s="89">
        <f t="shared" si="28"/>
        <v>22.672664963882319</v>
      </c>
      <c r="G57" s="89">
        <f t="shared" si="28"/>
        <v>21.209502929627345</v>
      </c>
      <c r="H57" s="89">
        <f t="shared" si="28"/>
        <v>12.638770620194371</v>
      </c>
      <c r="I57" s="89">
        <f t="shared" si="28"/>
        <v>15.815251689789786</v>
      </c>
      <c r="J57" s="89">
        <f t="shared" si="28"/>
        <v>11.824438321863532</v>
      </c>
      <c r="K57" s="89">
        <f>K50*K$54</f>
        <v>9.1260570619906893</v>
      </c>
      <c r="L57" s="89">
        <f t="shared" ref="L57:W57" si="31">L50*L$54</f>
        <v>11.287957599762835</v>
      </c>
      <c r="M57" s="89">
        <f t="shared" si="31"/>
        <v>20.158285297097727</v>
      </c>
      <c r="N57" s="89">
        <f t="shared" si="31"/>
        <v>17.324104826255333</v>
      </c>
      <c r="O57" s="89">
        <f t="shared" si="31"/>
        <v>-37.139597330624682</v>
      </c>
      <c r="P57" s="89">
        <f t="shared" si="31"/>
        <v>-82.725753703607168</v>
      </c>
      <c r="Q57" s="89">
        <f t="shared" si="31"/>
        <v>-60.554262808255707</v>
      </c>
      <c r="R57" s="89">
        <f t="shared" si="31"/>
        <v>-84.982554787686169</v>
      </c>
      <c r="S57" s="89">
        <f t="shared" si="31"/>
        <v>-143.21263080408815</v>
      </c>
      <c r="T57" s="89">
        <f t="shared" si="31"/>
        <v>-250.09684526064623</v>
      </c>
      <c r="U57" s="89">
        <f t="shared" si="31"/>
        <v>-379.29644424281258</v>
      </c>
      <c r="V57" s="89">
        <f t="shared" si="31"/>
        <v>-471.54532681873229</v>
      </c>
      <c r="W57" s="89">
        <f t="shared" si="31"/>
        <v>-551.03938583901413</v>
      </c>
      <c r="X57" s="85">
        <f t="shared" si="27"/>
        <v>-497.91012220926166</v>
      </c>
      <c r="Y57" s="89">
        <f t="shared" si="27"/>
        <v>-499.12965538791815</v>
      </c>
      <c r="Z57" s="90">
        <f t="shared" si="27"/>
        <v>-553.03032636265038</v>
      </c>
    </row>
    <row r="58" spans="1:26" x14ac:dyDescent="0.3">
      <c r="A58" s="139" t="s">
        <v>6</v>
      </c>
      <c r="B58" s="306">
        <f t="shared" si="27"/>
        <v>0</v>
      </c>
      <c r="C58" s="89">
        <f t="shared" si="27"/>
        <v>6.7345235690002525</v>
      </c>
      <c r="D58" s="89">
        <f t="shared" si="28"/>
        <v>7.6626325559667032</v>
      </c>
      <c r="E58" s="89">
        <f t="shared" si="28"/>
        <v>9.5306780210921733</v>
      </c>
      <c r="F58" s="89">
        <f t="shared" si="28"/>
        <v>10.586301644876807</v>
      </c>
      <c r="G58" s="89">
        <f t="shared" si="28"/>
        <v>10.836670142098344</v>
      </c>
      <c r="H58" s="89">
        <f t="shared" si="28"/>
        <v>6.4746842374339169</v>
      </c>
      <c r="I58" s="89">
        <f t="shared" si="28"/>
        <v>8.9347826423636434</v>
      </c>
      <c r="J58" s="89">
        <f t="shared" si="28"/>
        <v>7.745765836371449</v>
      </c>
      <c r="K58" s="89">
        <f>K51*K$54</f>
        <v>6.527300897505814</v>
      </c>
      <c r="L58" s="89">
        <f t="shared" ref="L58:W58" si="32">L51*L$54</f>
        <v>8.0831047352053496</v>
      </c>
      <c r="M58" s="89">
        <f t="shared" si="32"/>
        <v>13.046261892630589</v>
      </c>
      <c r="N58" s="89">
        <f t="shared" si="32"/>
        <v>11.560283457987209</v>
      </c>
      <c r="O58" s="89">
        <f t="shared" si="32"/>
        <v>1.6975562903922421</v>
      </c>
      <c r="P58" s="89">
        <f t="shared" si="32"/>
        <v>1.5908459856300963</v>
      </c>
      <c r="Q58" s="89">
        <f t="shared" si="32"/>
        <v>9.3384054527608722</v>
      </c>
      <c r="R58" s="89">
        <f t="shared" si="32"/>
        <v>12.236504299577954</v>
      </c>
      <c r="S58" s="89">
        <f t="shared" si="32"/>
        <v>0.11834847721390343</v>
      </c>
      <c r="T58" s="89">
        <f t="shared" si="32"/>
        <v>-32.903727131275296</v>
      </c>
      <c r="U58" s="89">
        <f t="shared" si="32"/>
        <v>-80.409494225169226</v>
      </c>
      <c r="V58" s="89">
        <f t="shared" si="32"/>
        <v>-126.84506985415496</v>
      </c>
      <c r="W58" s="89">
        <f t="shared" si="32"/>
        <v>-168.09192760357098</v>
      </c>
      <c r="X58" s="85">
        <f t="shared" si="27"/>
        <v>-173.35911694360996</v>
      </c>
      <c r="Y58" s="89">
        <f t="shared" si="27"/>
        <v>-188.4376642804659</v>
      </c>
      <c r="Z58" s="90">
        <f t="shared" si="27"/>
        <v>-213.28134097210901</v>
      </c>
    </row>
    <row r="59" spans="1:26" ht="15" thickBot="1" x14ac:dyDescent="0.35">
      <c r="A59" s="139" t="s">
        <v>7</v>
      </c>
      <c r="B59" s="306">
        <f t="shared" si="27"/>
        <v>0</v>
      </c>
      <c r="C59" s="89">
        <f t="shared" si="27"/>
        <v>3.2649482569749351</v>
      </c>
      <c r="D59" s="89">
        <f t="shared" si="28"/>
        <v>5.189518962658008</v>
      </c>
      <c r="E59" s="89">
        <f t="shared" si="28"/>
        <v>6.2385233610942743</v>
      </c>
      <c r="F59" s="89">
        <f t="shared" si="28"/>
        <v>6.9193430138297671</v>
      </c>
      <c r="G59" s="89">
        <f t="shared" si="28"/>
        <v>6.9767479989737007</v>
      </c>
      <c r="H59" s="89">
        <f t="shared" si="28"/>
        <v>4.6950891144559117</v>
      </c>
      <c r="I59" s="89">
        <f t="shared" si="28"/>
        <v>6.9200547730029456</v>
      </c>
      <c r="J59" s="89">
        <f t="shared" si="28"/>
        <v>6.213303956599697</v>
      </c>
      <c r="K59" s="89">
        <f t="shared" si="28"/>
        <v>4.8609157076344962</v>
      </c>
      <c r="L59" s="89">
        <f t="shared" ref="L59:W59" si="33">L52*L$54</f>
        <v>6.068940689833223</v>
      </c>
      <c r="M59" s="89">
        <f t="shared" si="33"/>
        <v>10.800293900842304</v>
      </c>
      <c r="N59" s="89">
        <f t="shared" si="33"/>
        <v>10.462961705580218</v>
      </c>
      <c r="O59" s="89">
        <f t="shared" si="33"/>
        <v>44.212546526715009</v>
      </c>
      <c r="P59" s="89">
        <f t="shared" si="33"/>
        <v>98.159749956367463</v>
      </c>
      <c r="Q59" s="89">
        <f t="shared" si="33"/>
        <v>128.73884209646769</v>
      </c>
      <c r="R59" s="89">
        <f t="shared" si="33"/>
        <v>202.25977223498313</v>
      </c>
      <c r="S59" s="89">
        <f t="shared" si="33"/>
        <v>304.42866450227376</v>
      </c>
      <c r="T59" s="89">
        <f t="shared" si="33"/>
        <v>393.7258024062603</v>
      </c>
      <c r="U59" s="89">
        <f t="shared" si="33"/>
        <v>457.81481853787233</v>
      </c>
      <c r="V59" s="89">
        <f t="shared" si="33"/>
        <v>465.80408047856179</v>
      </c>
      <c r="W59" s="89">
        <f t="shared" si="33"/>
        <v>539.54565514430806</v>
      </c>
      <c r="X59" s="85">
        <f t="shared" si="27"/>
        <v>514.94837258284019</v>
      </c>
      <c r="Y59" s="89">
        <f t="shared" si="27"/>
        <v>493.0815269729145</v>
      </c>
      <c r="Z59" s="90">
        <f t="shared" si="27"/>
        <v>464.63164132021603</v>
      </c>
    </row>
    <row r="60" spans="1:26" ht="15.6" thickTop="1" thickBot="1" x14ac:dyDescent="0.35">
      <c r="A60" s="101" t="s">
        <v>71</v>
      </c>
      <c r="B60" s="307">
        <f>SUM(B55:B59)+SUM(B48:B52)-B63</f>
        <v>0</v>
      </c>
      <c r="C60" s="409">
        <f>SUM(C55:C59)+SUM(C48:C52)-C63</f>
        <v>0</v>
      </c>
      <c r="D60" s="409">
        <f t="shared" ref="D60:J60" si="34">SUM(D55:D59)+SUM(D48:D52)-D63</f>
        <v>0</v>
      </c>
      <c r="E60" s="409">
        <f t="shared" si="34"/>
        <v>0</v>
      </c>
      <c r="F60" s="409">
        <f t="shared" si="34"/>
        <v>0</v>
      </c>
      <c r="G60" s="409">
        <f t="shared" si="34"/>
        <v>4.6566128730773926E-10</v>
      </c>
      <c r="H60" s="409">
        <f t="shared" si="34"/>
        <v>5.2386894822120667E-10</v>
      </c>
      <c r="I60" s="409">
        <f t="shared" si="34"/>
        <v>6.9849193096160889E-10</v>
      </c>
      <c r="J60" s="409">
        <f t="shared" si="34"/>
        <v>7.2759576141834259E-10</v>
      </c>
      <c r="K60" s="409">
        <f>SUM(K55:K59)+SUM(K48:K52)-K63</f>
        <v>8.440110832452774E-10</v>
      </c>
      <c r="L60" s="409">
        <f t="shared" ref="L60:V60" si="35">SUM(L55:L59)+SUM(L48:L52)-L63</f>
        <v>8.7311491370201111E-10</v>
      </c>
      <c r="M60" s="409">
        <f t="shared" si="35"/>
        <v>9.8953023552894592E-10</v>
      </c>
      <c r="N60" s="409">
        <f t="shared" si="35"/>
        <v>1.1641532182693481E-9</v>
      </c>
      <c r="O60" s="409">
        <f t="shared" si="35"/>
        <v>3.0267983675003052E-9</v>
      </c>
      <c r="P60" s="409">
        <f t="shared" si="35"/>
        <v>3.2596290111541748E-9</v>
      </c>
      <c r="Q60" s="409">
        <f t="shared" si="35"/>
        <v>3.14321368932724E-9</v>
      </c>
      <c r="R60" s="409">
        <f t="shared" si="35"/>
        <v>3.3760443329811096E-9</v>
      </c>
      <c r="S60" s="409">
        <f t="shared" si="35"/>
        <v>3.3760443329811096E-9</v>
      </c>
      <c r="T60" s="409">
        <f t="shared" si="35"/>
        <v>3.3760443329811096E-9</v>
      </c>
      <c r="U60" s="409">
        <f t="shared" si="35"/>
        <v>3.4924596548080444E-9</v>
      </c>
      <c r="V60" s="409">
        <f t="shared" si="35"/>
        <v>3.4924596548080444E-9</v>
      </c>
      <c r="W60" s="409">
        <f>SUM(W55:W59)+SUM(W48:W52)-W63</f>
        <v>3.2596290111541748E-9</v>
      </c>
      <c r="X60" s="202">
        <f>SUM(X55:X59)+SUM(X48:X52)-X63</f>
        <v>3.0267983675003052E-9</v>
      </c>
      <c r="Y60" s="107">
        <f t="shared" ref="Y60:Z60" si="36">SUM(Y55:Y59)+SUM(Y48:Y52)-Y63</f>
        <v>3.14321368932724E-9</v>
      </c>
      <c r="Z60" s="107">
        <f t="shared" si="36"/>
        <v>2.7939677238464355E-9</v>
      </c>
    </row>
    <row r="61" spans="1:26" ht="15.6" thickTop="1" thickBot="1" x14ac:dyDescent="0.35">
      <c r="A61" s="101" t="s">
        <v>72</v>
      </c>
      <c r="B61" s="307">
        <f t="shared" ref="B61" si="37">SUM(B55:B59)-B38</f>
        <v>0</v>
      </c>
      <c r="C61" s="409">
        <f>SUM(C55:C59)-C38</f>
        <v>-4.4249165669327795E-3</v>
      </c>
      <c r="D61" s="409">
        <f t="shared" ref="D61:K61" si="38">SUM(D55:D59)-D38</f>
        <v>-2.8626074017239489E-3</v>
      </c>
      <c r="E61" s="409">
        <f t="shared" si="38"/>
        <v>-3.0652709468412809E-3</v>
      </c>
      <c r="F61" s="409">
        <f t="shared" si="38"/>
        <v>4.1435724623113401E-3</v>
      </c>
      <c r="G61" s="409">
        <f t="shared" si="38"/>
        <v>5.5843570605418336E-4</v>
      </c>
      <c r="H61" s="409">
        <f t="shared" si="38"/>
        <v>-1.9322662063814278E-4</v>
      </c>
      <c r="I61" s="409">
        <f t="shared" si="38"/>
        <v>3.5686855323859845E-3</v>
      </c>
      <c r="J61" s="409">
        <f t="shared" si="38"/>
        <v>-3.2992083853429222E-3</v>
      </c>
      <c r="K61" s="409">
        <f t="shared" si="38"/>
        <v>-2.0186526960657147E-3</v>
      </c>
      <c r="L61" s="409">
        <f t="shared" ref="L61:W61" si="39">SUM(L55:L59)-L38</f>
        <v>-2.794364081069034E-3</v>
      </c>
      <c r="M61" s="409">
        <f t="shared" si="39"/>
        <v>-1.0026817647457165E-3</v>
      </c>
      <c r="N61" s="409">
        <f t="shared" si="39"/>
        <v>3.6785833098207377E-4</v>
      </c>
      <c r="O61" s="409">
        <f t="shared" si="39"/>
        <v>2.9435018489039066E-3</v>
      </c>
      <c r="P61" s="409">
        <f t="shared" si="39"/>
        <v>-1.5349140620628532E-3</v>
      </c>
      <c r="Q61" s="409">
        <f t="shared" si="39"/>
        <v>-2.8715634159652836E-3</v>
      </c>
      <c r="R61" s="409">
        <f t="shared" si="39"/>
        <v>-1.7380597288365607E-3</v>
      </c>
      <c r="S61" s="409">
        <f t="shared" si="39"/>
        <v>2.9917226343059156E-3</v>
      </c>
      <c r="T61" s="409">
        <f t="shared" si="39"/>
        <v>-4.3741797260281601E-3</v>
      </c>
      <c r="U61" s="409">
        <f t="shared" si="39"/>
        <v>2.5671055645943852E-3</v>
      </c>
      <c r="V61" s="409">
        <f t="shared" si="39"/>
        <v>-4.5871508818891016E-3</v>
      </c>
      <c r="W61" s="409">
        <f t="shared" si="39"/>
        <v>4.5078593484504381E-4</v>
      </c>
      <c r="X61" s="202">
        <f t="shared" ref="X61:Z61" si="40">SUM(X55:X59)-X38</f>
        <v>1.955868801815086E-4</v>
      </c>
      <c r="Y61" s="107">
        <f>SUM(Y55:Y59)-Y38</f>
        <v>1.869011866801884E-4</v>
      </c>
      <c r="Z61" s="107">
        <f t="shared" si="40"/>
        <v>1.7819037520894199E-4</v>
      </c>
    </row>
    <row r="62" spans="1:26" ht="15" thickTop="1" x14ac:dyDescent="0.3">
      <c r="B62" s="73"/>
      <c r="C62" s="74"/>
      <c r="D62" s="74"/>
      <c r="E62" s="74"/>
      <c r="F62" s="74"/>
      <c r="G62" s="74"/>
      <c r="H62" s="74"/>
      <c r="I62" s="74"/>
      <c r="J62" s="74"/>
      <c r="K62" s="74"/>
      <c r="L62" s="74"/>
      <c r="M62" s="74"/>
      <c r="N62" s="74"/>
      <c r="O62" s="74"/>
      <c r="P62" s="74"/>
      <c r="Q62" s="74"/>
      <c r="R62" s="74"/>
      <c r="S62" s="74"/>
      <c r="T62" s="74"/>
      <c r="U62" s="74"/>
      <c r="V62" s="74"/>
      <c r="W62" s="74"/>
      <c r="X62" s="73"/>
      <c r="Y62" s="74"/>
      <c r="Z62" s="77"/>
    </row>
    <row r="63" spans="1:26" ht="15" thickBot="1" x14ac:dyDescent="0.35">
      <c r="A63" s="32" t="s">
        <v>73</v>
      </c>
      <c r="B63" s="320">
        <f>(SUM(B15:B19)-SUM(B22:B26))+SUM(B55:B59)</f>
        <v>0</v>
      </c>
      <c r="C63" s="378">
        <f>(SUM(C15:C19)-SUM(C22:C26))+SUM(C55:C59)+B63+B64</f>
        <v>234889.10516985756</v>
      </c>
      <c r="D63" s="378">
        <f>(SUM(D15:D19)-SUM(D22:D26))+SUM(D55:D59)+C63</f>
        <v>232641.38190202424</v>
      </c>
      <c r="E63" s="378">
        <f t="shared" ref="E63:K63" si="41">(SUM(E15:E19)-SUM(E22:E26))+SUM(E55:E59)+D63</f>
        <v>334850.10843152745</v>
      </c>
      <c r="F63" s="378">
        <f t="shared" si="41"/>
        <v>444529.86216987402</v>
      </c>
      <c r="G63" s="378">
        <f t="shared" si="41"/>
        <v>482026.60232308379</v>
      </c>
      <c r="H63" s="378">
        <f t="shared" si="41"/>
        <v>393024.28172463126</v>
      </c>
      <c r="I63" s="378">
        <f t="shared" si="41"/>
        <v>306247.30488809093</v>
      </c>
      <c r="J63" s="378">
        <f t="shared" si="41"/>
        <v>218114.02118365662</v>
      </c>
      <c r="K63" s="378">
        <f t="shared" si="41"/>
        <v>260576.41875977797</v>
      </c>
      <c r="L63" s="378">
        <f t="shared" ref="L63" si="42">(SUM(L15:L19)-SUM(L22:L26))+SUM(L55:L59)+K63</f>
        <v>352717.82556018798</v>
      </c>
      <c r="M63" s="378">
        <f t="shared" ref="M63" si="43">(SUM(M15:M19)-SUM(M22:M26))+SUM(M55:M59)+L63</f>
        <v>357496.63415228028</v>
      </c>
      <c r="N63" s="378">
        <f>(SUM(N15:N19)-SUM(N22:N26))+SUM(N55:N59)+M63</f>
        <v>276959.3741149127</v>
      </c>
      <c r="O63" s="378">
        <f>(SUM(O15:O19)-SUM(O22:O26))+SUM(O55:O59)+N63+N64</f>
        <v>-1124663.1870590749</v>
      </c>
      <c r="P63" s="378">
        <f t="shared" ref="P63" si="44">(SUM(P15:P19)-SUM(P22:P26))+SUM(P55:P59)+O63</f>
        <v>-1132490.5051265035</v>
      </c>
      <c r="Q63" s="378">
        <f t="shared" ref="Q63" si="45">(SUM(Q15:Q19)-SUM(Q22:Q26))+SUM(Q55:Q59)+P63</f>
        <v>-906570.87453058164</v>
      </c>
      <c r="R63" s="378">
        <f t="shared" ref="R63" si="46">(SUM(R15:R19)-SUM(R22:R26))+SUM(R55:R59)+Q63</f>
        <v>-774425.42280115606</v>
      </c>
      <c r="S63" s="378">
        <f t="shared" ref="S63" si="47">(SUM(S15:S19)-SUM(S22:S26))+SUM(S55:S59)+R63</f>
        <v>-771225.38634194818</v>
      </c>
      <c r="T63" s="378">
        <f t="shared" ref="T63" si="48">(SUM(T15:T19)-SUM(T22:T26))+SUM(T55:T59)+S63</f>
        <v>-950138.68724864256</v>
      </c>
      <c r="U63" s="378">
        <f t="shared" ref="U63" si="49">(SUM(U15:U19)-SUM(U22:U26))+SUM(U55:U59)+T63</f>
        <v>-1105058.7212140518</v>
      </c>
      <c r="V63" s="378">
        <f t="shared" ref="V63" si="50">(SUM(V15:V19)-SUM(V22:V26))+SUM(V55:V59)+U63</f>
        <v>-1164292.7123337174</v>
      </c>
      <c r="W63" s="378">
        <f>(SUM(W15:W19)-SUM(W22:W26))+SUM(W55:W59)+V63</f>
        <v>-1050953.6084154462</v>
      </c>
      <c r="X63" s="410">
        <f>(SUM(X15:X19)-SUM(X22:X26))+SUM(X55:X59)+W63</f>
        <v>-911342.8141477108</v>
      </c>
      <c r="Y63" s="378">
        <f>(SUM(Y15:Y19)-SUM(Y22:Y26))+SUM(Y55:Y59)+X63</f>
        <v>-926038.82122965506</v>
      </c>
      <c r="Z63" s="405">
        <f>(SUM(Z15:Z19)-SUM(Z22:Z26))+SUM(Z55:Z59)+Y63</f>
        <v>-1071639.2811982166</v>
      </c>
    </row>
    <row r="64" spans="1:26" x14ac:dyDescent="0.3">
      <c r="A64" s="139" t="s">
        <v>165</v>
      </c>
      <c r="B64" s="317">
        <v>0</v>
      </c>
      <c r="C64" s="318"/>
      <c r="D64" s="318"/>
      <c r="E64" s="318"/>
      <c r="F64" s="318"/>
      <c r="G64" s="318"/>
      <c r="H64" s="318"/>
      <c r="I64" s="318"/>
      <c r="J64" s="318"/>
      <c r="K64" s="318"/>
      <c r="L64" s="318"/>
      <c r="M64" s="190" t="s">
        <v>162</v>
      </c>
      <c r="N64" s="383">
        <f>'EOR (M2) Final'!AC63</f>
        <v>-152108.10758497473</v>
      </c>
      <c r="O64" s="318"/>
      <c r="P64" s="318"/>
      <c r="Q64" s="318"/>
      <c r="R64" s="318"/>
      <c r="S64" s="318"/>
      <c r="T64" s="318"/>
      <c r="U64" s="318"/>
      <c r="V64" s="318"/>
      <c r="W64" s="318"/>
      <c r="X64" s="177"/>
      <c r="Y64" s="176"/>
      <c r="Z64" s="276"/>
    </row>
    <row r="65" spans="1:56" x14ac:dyDescent="0.3">
      <c r="A65" s="173" t="s">
        <v>0</v>
      </c>
      <c r="B65" s="255">
        <v>0</v>
      </c>
      <c r="C65" s="316"/>
      <c r="D65" s="316"/>
      <c r="E65" s="316"/>
      <c r="F65" s="316"/>
      <c r="G65" s="316"/>
      <c r="H65" s="316"/>
      <c r="I65" s="316"/>
      <c r="J65" s="316"/>
      <c r="K65" s="316"/>
      <c r="L65" s="316"/>
      <c r="M65" s="316"/>
      <c r="N65" s="367">
        <f>'EOR (M2) Final'!AC48+'EOR (M2) Final'!AC55</f>
        <v>-363071.12653968332</v>
      </c>
      <c r="O65" s="316"/>
      <c r="P65" s="316"/>
      <c r="Q65" s="316"/>
      <c r="R65" s="316"/>
      <c r="S65" s="316"/>
      <c r="T65" s="316"/>
      <c r="U65" s="316"/>
      <c r="V65" s="316"/>
      <c r="W65" s="316"/>
      <c r="X65" s="73"/>
      <c r="Y65" s="74"/>
      <c r="Z65" s="77"/>
    </row>
    <row r="66" spans="1:56" x14ac:dyDescent="0.3">
      <c r="A66" s="173" t="s">
        <v>4</v>
      </c>
      <c r="B66" s="255">
        <v>0</v>
      </c>
      <c r="C66" s="316"/>
      <c r="D66" s="316"/>
      <c r="E66" s="316"/>
      <c r="F66" s="316"/>
      <c r="G66" s="316"/>
      <c r="H66" s="316"/>
      <c r="I66" s="316"/>
      <c r="J66" s="316"/>
      <c r="K66" s="316"/>
      <c r="L66" s="316"/>
      <c r="M66" s="316"/>
      <c r="N66" s="367">
        <f>'EOR (M2) Final'!AC49+'EOR (M2) Final'!AC56</f>
        <v>-117439.07923907816</v>
      </c>
      <c r="O66" s="316"/>
      <c r="P66" s="316"/>
      <c r="Q66" s="316"/>
      <c r="R66" s="316"/>
      <c r="S66" s="316"/>
      <c r="T66" s="316"/>
      <c r="U66" s="316"/>
      <c r="V66" s="316"/>
      <c r="W66" s="316"/>
      <c r="X66" s="203"/>
      <c r="Y66" s="204"/>
      <c r="Z66" s="205"/>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row>
    <row r="67" spans="1:56" x14ac:dyDescent="0.3">
      <c r="A67" s="173" t="s">
        <v>5</v>
      </c>
      <c r="B67" s="255">
        <v>0</v>
      </c>
      <c r="C67" s="316"/>
      <c r="D67" s="316"/>
      <c r="E67" s="316"/>
      <c r="F67" s="316"/>
      <c r="G67" s="316"/>
      <c r="H67" s="316"/>
      <c r="I67" s="316"/>
      <c r="J67" s="316"/>
      <c r="K67" s="316"/>
      <c r="L67" s="316"/>
      <c r="M67" s="316"/>
      <c r="N67" s="367">
        <f>'EOR (M2) Final'!AC50+'EOR (M2) Final'!AC57</f>
        <v>54252.690343894596</v>
      </c>
      <c r="O67" s="316"/>
      <c r="P67" s="316"/>
      <c r="Q67" s="316"/>
      <c r="R67" s="316"/>
      <c r="S67" s="316"/>
      <c r="T67" s="316"/>
      <c r="U67" s="316"/>
      <c r="V67" s="316"/>
      <c r="W67" s="316"/>
      <c r="X67" s="73"/>
      <c r="Y67" s="74"/>
      <c r="Z67" s="77"/>
    </row>
    <row r="68" spans="1:56" x14ac:dyDescent="0.3">
      <c r="A68" s="173" t="s">
        <v>6</v>
      </c>
      <c r="B68" s="255">
        <v>0</v>
      </c>
      <c r="C68" s="316"/>
      <c r="D68" s="316"/>
      <c r="E68" s="316"/>
      <c r="F68" s="316"/>
      <c r="G68" s="316"/>
      <c r="H68" s="316"/>
      <c r="I68" s="316"/>
      <c r="J68" s="316"/>
      <c r="K68" s="316"/>
      <c r="L68" s="316"/>
      <c r="M68" s="316"/>
      <c r="N68" s="367">
        <f>'EOR (M2) Final'!AC51+'EOR (M2) Final'!AC58</f>
        <v>73241.184886944175</v>
      </c>
      <c r="O68" s="316"/>
      <c r="P68" s="316"/>
      <c r="Q68" s="316"/>
      <c r="R68" s="316"/>
      <c r="S68" s="316"/>
      <c r="T68" s="316"/>
      <c r="U68" s="316"/>
      <c r="V68" s="316"/>
      <c r="W68" s="316"/>
      <c r="X68" s="73"/>
      <c r="Y68" s="74"/>
      <c r="Z68" s="77"/>
    </row>
    <row r="69" spans="1:56" ht="15" thickBot="1" x14ac:dyDescent="0.35">
      <c r="A69" s="173" t="s">
        <v>7</v>
      </c>
      <c r="B69" s="259">
        <v>0</v>
      </c>
      <c r="C69" s="319"/>
      <c r="D69" s="319"/>
      <c r="E69" s="319"/>
      <c r="F69" s="319"/>
      <c r="G69" s="319"/>
      <c r="H69" s="319"/>
      <c r="I69" s="319"/>
      <c r="J69" s="319"/>
      <c r="K69" s="319"/>
      <c r="L69" s="319"/>
      <c r="M69" s="319"/>
      <c r="N69" s="369">
        <f>'EOR (M2) Final'!AC52+'EOR (M2) Final'!AC59</f>
        <v>200908.2229629503</v>
      </c>
      <c r="O69" s="319"/>
      <c r="P69" s="319"/>
      <c r="Q69" s="319"/>
      <c r="R69" s="319"/>
      <c r="S69" s="319"/>
      <c r="T69" s="319"/>
      <c r="U69" s="319"/>
      <c r="V69" s="319"/>
      <c r="W69" s="319"/>
      <c r="X69" s="108"/>
      <c r="Y69" s="109"/>
      <c r="Z69" s="110"/>
    </row>
    <row r="71" spans="1:56" x14ac:dyDescent="0.3">
      <c r="A71" s="336"/>
      <c r="B71" s="31"/>
      <c r="C71" s="31"/>
      <c r="D71" s="31"/>
      <c r="E71" s="31"/>
      <c r="F71" s="31"/>
      <c r="G71" s="31"/>
      <c r="H71" s="31"/>
      <c r="I71" s="31"/>
      <c r="J71" s="31"/>
      <c r="K71" s="412"/>
      <c r="L71" s="236"/>
      <c r="M71" s="236"/>
      <c r="N71" s="236"/>
      <c r="O71" s="236"/>
      <c r="P71" s="236"/>
      <c r="Q71" s="236"/>
      <c r="R71" s="236"/>
      <c r="S71" s="236"/>
      <c r="T71" s="236"/>
      <c r="U71" s="236"/>
      <c r="V71" s="236"/>
      <c r="W71" s="236"/>
      <c r="X71" s="236"/>
      <c r="Y71" s="236"/>
      <c r="Z71" s="236"/>
    </row>
  </sheetData>
  <mergeCells count="1">
    <mergeCell ref="X13:Z13"/>
  </mergeCells>
  <pageMargins left="0.7" right="0.7" top="0.75" bottom="0.75" header="0.3" footer="0.3"/>
  <pageSetup scale="7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omments xmlns="$ListId:Library;" xsi:nil="true"/>
  </documentManagement>
</p:properties>
</file>

<file path=customXml/itemProps1.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2.xml><?xml version="1.0" encoding="utf-8"?>
<ds:datastoreItem xmlns:ds="http://schemas.openxmlformats.org/officeDocument/2006/customXml" ds:itemID="{EE59A039-35BE-4825-A566-93A760079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E680F6-EEBC-41A4-AEB5-0B773B5EACA2}">
  <ds:schemaRefs>
    <ds:schemaRef ds:uri="$ListId:Library;"/>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PPC</vt:lpstr>
      <vt:lpstr>PCR (M2) Final</vt:lpstr>
      <vt:lpstr>PCR (M3)</vt:lpstr>
      <vt:lpstr>PTD</vt:lpstr>
      <vt:lpstr>TDR (M2)</vt:lpstr>
      <vt:lpstr>TDR (M3)</vt:lpstr>
      <vt:lpstr>EO</vt:lpstr>
      <vt:lpstr>EOR (M2) Final</vt:lpstr>
      <vt:lpstr>EOR (M3)</vt:lpstr>
      <vt:lpstr>OA</vt:lpstr>
      <vt:lpstr>OAR (M2) Final</vt:lpstr>
      <vt:lpstr>OAR (M3)</vt:lpstr>
      <vt:lpstr>tariff tables (M3)</vt:lpstr>
      <vt:lpstr>tariff tables (M2)</vt:lpstr>
      <vt:lpstr>Sheet 91.23</vt:lpstr>
      <vt:lpstr>'EOR (M2) Final'!Print_Area</vt:lpstr>
      <vt:lpstr>'EOR (M3)'!Print_Area</vt:lpstr>
      <vt:lpstr>'OAR (M2) Final'!Print_Area</vt:lpstr>
      <vt:lpstr>'OAR (M3)'!Print_Area</vt:lpstr>
      <vt:lpstr>'PCR (M2) Final'!Print_Area</vt:lpstr>
      <vt:lpstr>'PCR (M3)'!Print_Area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Unspecified User</dc:creator>
  <cp:lastModifiedBy>Best, Geri A</cp:lastModifiedBy>
  <cp:lastPrinted>2022-12-01T15:30:48Z</cp:lastPrinted>
  <dcterms:created xsi:type="dcterms:W3CDTF">2013-08-12T19:20:10Z</dcterms:created>
  <dcterms:modified xsi:type="dcterms:W3CDTF">2022-12-01T15:30:56Z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y fmtid="{D5CDD505-2E9C-101B-9397-08002B2CF9AE}" pid="3" name="SV_QUERY_LIST_4F35BF76-6C0D-4D9B-82B2-816C12CF3733">
    <vt:lpwstr>empty_477D106A-C0D6-4607-AEBD-E2C9D60EA279</vt:lpwstr>
  </property>
  <property fmtid="{D5CDD505-2E9C-101B-9397-08002B2CF9AE}" pid="4" name="Order">
    <vt:r8>3300</vt:r8>
  </property>
  <property fmtid="{D5CDD505-2E9C-101B-9397-08002B2CF9AE}" pid="5" name="SV_HIDDEN_GRID_QUERY_LIST_4F35BF76-6C0D-4D9B-82B2-816C12CF3733">
    <vt:lpwstr>empty_477D106A-C0D6-4607-AEBD-E2C9D60EA279</vt:lpwstr>
  </property>
</Properties>
</file>